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0 - COTIZACIONES\"/>
    </mc:Choice>
  </mc:AlternateContent>
  <xr:revisionPtr revIDLastSave="0" documentId="13_ncr:1_{2E29848D-EC9F-4CA4-8D2A-408AA2443EE5}" xr6:coauthVersionLast="47" xr6:coauthVersionMax="47" xr10:uidLastSave="{00000000-0000-0000-0000-000000000000}"/>
  <bookViews>
    <workbookView xWindow="-120" yWindow="-120" windowWidth="24240" windowHeight="13020" tabRatio="1000" xr2:uid="{00000000-000D-0000-FFFF-FFFF00000000}"/>
  </bookViews>
  <sheets>
    <sheet name="Entregable" sheetId="39" r:id="rId1"/>
    <sheet name="Analisis" sheetId="8" r:id="rId2"/>
    <sheet name="REQ GALV" sheetId="28" r:id="rId3"/>
    <sheet name="COT. GAL" sheetId="9" r:id="rId4"/>
    <sheet name="Tiempo Objeto" sheetId="11" state="hidden" r:id="rId5"/>
    <sheet name="REQ. PINTADO" sheetId="38" r:id="rId6"/>
    <sheet name="COT. PITADO" sheetId="37" r:id="rId7"/>
    <sheet name="Velocidades Std 1500 w" sheetId="12" r:id="rId8"/>
    <sheet name="Material" sheetId="13" r:id="rId9"/>
    <sheet name="TARIFA LASER" sheetId="29" r:id="rId10"/>
    <sheet name="TARIFA DOBLEZ" sheetId="30" r:id="rId11"/>
    <sheet name="TARIFA PINTURA" sheetId="31" r:id="rId12"/>
    <sheet name="Cotizador" sheetId="32" r:id="rId13"/>
    <sheet name="Dep. Maquina" sheetId="33" r:id="rId14"/>
    <sheet name="BD" sheetId="34" r:id="rId15"/>
    <sheet name="MO" sheetId="35" r:id="rId16"/>
    <sheet name="Analisis Coatek" sheetId="36" r:id="rId17"/>
  </sheets>
  <externalReferences>
    <externalReference r:id="rId18"/>
    <externalReference r:id="rId19"/>
    <externalReference r:id="rId20"/>
    <externalReference r:id="rId21"/>
  </externalReferences>
  <definedNames>
    <definedName name="_xlnm._FilterDatabase" localSheetId="3" hidden="1">'COT. GAL'!$A$1:$AH$809</definedName>
    <definedName name="_xlnm._FilterDatabase" localSheetId="6" hidden="1">'COT. PITADO'!$A$1:$L$1732</definedName>
    <definedName name="_xlnm._FilterDatabase" localSheetId="0" hidden="1">Entregable!$A$9:$I$24</definedName>
    <definedName name="_xlnm._FilterDatabase" localSheetId="2" hidden="1">'REQ GALV'!$A$2:$A$135</definedName>
    <definedName name="_xlnm._FilterDatabase" localSheetId="5" hidden="1">'REQ. PINTADO'!$B$1:$P$22</definedName>
    <definedName name="_xlnm.Print_Area" localSheetId="12">Cotizador!$A$1:$AD$13</definedName>
    <definedName name="_xlnm.Print_Area" localSheetId="0">Entregable!$A$1:$O$37</definedName>
    <definedName name="DOLARIN">[1]ANALISIS!$H$2</definedName>
    <definedName name="ST">[2]Datos!$C$2:$C$7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3" i="39" l="1"/>
  <c r="D27" i="39"/>
  <c r="E27" i="39" s="1"/>
  <c r="F27" i="39"/>
  <c r="AL1571" i="37"/>
  <c r="AF1571" i="37"/>
  <c r="AG1571" i="37" s="1"/>
  <c r="AE1571" i="37"/>
  <c r="AB1571" i="37"/>
  <c r="X1571" i="37"/>
  <c r="Y1571" i="37" s="1"/>
  <c r="U1571" i="37"/>
  <c r="Q1571" i="37"/>
  <c r="R1571" i="37" s="1"/>
  <c r="N1571" i="37"/>
  <c r="O1571" i="37" s="1"/>
  <c r="M1571" i="37"/>
  <c r="L1571" i="37" s="1"/>
  <c r="D1571" i="37"/>
  <c r="AD1571" i="37" s="1"/>
  <c r="AL1568" i="37"/>
  <c r="AF1568" i="37"/>
  <c r="AG1568" i="37" s="1"/>
  <c r="AE1568" i="37"/>
  <c r="AB1568" i="37"/>
  <c r="U1568" i="37"/>
  <c r="Q1568" i="37"/>
  <c r="X1568" i="37" s="1"/>
  <c r="Y1568" i="37" s="1"/>
  <c r="M1568" i="37"/>
  <c r="L1568" i="37" s="1"/>
  <c r="D1568" i="37"/>
  <c r="AD1568" i="37" s="1"/>
  <c r="AL1567" i="37"/>
  <c r="AF1567" i="37"/>
  <c r="AG1567" i="37" s="1"/>
  <c r="AE1567" i="37"/>
  <c r="AB1567" i="37"/>
  <c r="U1567" i="37"/>
  <c r="Q1567" i="37"/>
  <c r="X1567" i="37" s="1"/>
  <c r="Y1567" i="37" s="1"/>
  <c r="M1567" i="37"/>
  <c r="L1567" i="37" s="1"/>
  <c r="D1567" i="37"/>
  <c r="AD1567" i="37" s="1"/>
  <c r="AL1566" i="37"/>
  <c r="AF1566" i="37"/>
  <c r="AG1566" i="37" s="1"/>
  <c r="AE1566" i="37"/>
  <c r="AB1566" i="37"/>
  <c r="U1566" i="37"/>
  <c r="Q1566" i="37"/>
  <c r="X1566" i="37" s="1"/>
  <c r="Y1566" i="37" s="1"/>
  <c r="M1566" i="37"/>
  <c r="L1566" i="37" s="1"/>
  <c r="D1566" i="37"/>
  <c r="AD1566" i="37" s="1"/>
  <c r="AL1565" i="37"/>
  <c r="AF1565" i="37"/>
  <c r="AG1565" i="37" s="1"/>
  <c r="AE1565" i="37"/>
  <c r="AB1565" i="37"/>
  <c r="U1565" i="37"/>
  <c r="Q1565" i="37"/>
  <c r="X1565" i="37" s="1"/>
  <c r="Y1565" i="37" s="1"/>
  <c r="M1565" i="37"/>
  <c r="L1565" i="37" s="1"/>
  <c r="D1565" i="37"/>
  <c r="AD1565" i="37" s="1"/>
  <c r="AL1564" i="37"/>
  <c r="AF1564" i="37"/>
  <c r="AG1564" i="37" s="1"/>
  <c r="AE1564" i="37"/>
  <c r="AB1564" i="37"/>
  <c r="X1564" i="37"/>
  <c r="Y1564" i="37" s="1"/>
  <c r="U1564" i="37"/>
  <c r="Q1564" i="37"/>
  <c r="R1564" i="37" s="1"/>
  <c r="M1564" i="37"/>
  <c r="L1564" i="37" s="1"/>
  <c r="D1564" i="37"/>
  <c r="AD1564" i="37" s="1"/>
  <c r="AL1563" i="37"/>
  <c r="AF1563" i="37"/>
  <c r="AG1563" i="37" s="1"/>
  <c r="AE1563" i="37"/>
  <c r="AB1563" i="37"/>
  <c r="U1563" i="37"/>
  <c r="Q1563" i="37"/>
  <c r="X1563" i="37" s="1"/>
  <c r="Y1563" i="37" s="1"/>
  <c r="M1563" i="37"/>
  <c r="L1563" i="37" s="1"/>
  <c r="D1563" i="37"/>
  <c r="AD1563" i="37" s="1"/>
  <c r="AL1562" i="37"/>
  <c r="AF1562" i="37"/>
  <c r="AG1562" i="37" s="1"/>
  <c r="AE1562" i="37"/>
  <c r="AB1562" i="37"/>
  <c r="X1562" i="37"/>
  <c r="Y1562" i="37" s="1"/>
  <c r="U1562" i="37"/>
  <c r="T1562" i="37" s="1"/>
  <c r="R1562" i="37"/>
  <c r="Q1562" i="37"/>
  <c r="M1562" i="37"/>
  <c r="L1562" i="37" s="1"/>
  <c r="D1562" i="37"/>
  <c r="AD1562" i="37" s="1"/>
  <c r="AL1561" i="37"/>
  <c r="AF1561" i="37"/>
  <c r="AG1561" i="37" s="1"/>
  <c r="AE1561" i="37"/>
  <c r="AB1561" i="37"/>
  <c r="X1561" i="37"/>
  <c r="Y1561" i="37" s="1"/>
  <c r="U1561" i="37"/>
  <c r="R1561" i="37"/>
  <c r="Q1561" i="37"/>
  <c r="M1561" i="37"/>
  <c r="L1561" i="37" s="1"/>
  <c r="D1561" i="37"/>
  <c r="AD1561" i="37" s="1"/>
  <c r="AL1556" i="37"/>
  <c r="AF1556" i="37"/>
  <c r="AG1556" i="37" s="1"/>
  <c r="AE1556" i="37"/>
  <c r="AB1556" i="37"/>
  <c r="U1556" i="37"/>
  <c r="Q1556" i="37"/>
  <c r="R1556" i="37" s="1"/>
  <c r="M1556" i="37"/>
  <c r="L1556" i="37" s="1"/>
  <c r="D1556" i="37"/>
  <c r="AD1556" i="37" s="1"/>
  <c r="AL1555" i="37"/>
  <c r="AF1555" i="37"/>
  <c r="AG1555" i="37" s="1"/>
  <c r="AE1555" i="37"/>
  <c r="AB1555" i="37"/>
  <c r="U1555" i="37"/>
  <c r="Q1555" i="37"/>
  <c r="X1555" i="37" s="1"/>
  <c r="Y1555" i="37" s="1"/>
  <c r="M1555" i="37"/>
  <c r="L1555" i="37" s="1"/>
  <c r="D1555" i="37"/>
  <c r="AD1555" i="37" s="1"/>
  <c r="AL1554" i="37"/>
  <c r="AF1554" i="37"/>
  <c r="AG1554" i="37" s="1"/>
  <c r="AE1554" i="37"/>
  <c r="AB1554" i="37"/>
  <c r="U1554" i="37"/>
  <c r="Q1554" i="37"/>
  <c r="X1554" i="37" s="1"/>
  <c r="Y1554" i="37" s="1"/>
  <c r="M1554" i="37"/>
  <c r="L1554" i="37" s="1"/>
  <c r="D1554" i="37"/>
  <c r="AD1554" i="37" s="1"/>
  <c r="AL1553" i="37"/>
  <c r="AF1553" i="37"/>
  <c r="AG1553" i="37" s="1"/>
  <c r="AE1553" i="37"/>
  <c r="AB1553" i="37"/>
  <c r="U1553" i="37"/>
  <c r="Q1553" i="37"/>
  <c r="R1553" i="37" s="1"/>
  <c r="M1553" i="37"/>
  <c r="L1553" i="37" s="1"/>
  <c r="D1553" i="37"/>
  <c r="AD1553" i="37" s="1"/>
  <c r="AL1552" i="37"/>
  <c r="AF1552" i="37"/>
  <c r="AG1552" i="37" s="1"/>
  <c r="AE1552" i="37"/>
  <c r="AB1552" i="37"/>
  <c r="U1552" i="37"/>
  <c r="Q1552" i="37"/>
  <c r="R1552" i="37" s="1"/>
  <c r="M1552" i="37"/>
  <c r="L1552" i="37" s="1"/>
  <c r="D1552" i="37"/>
  <c r="AD1552" i="37" s="1"/>
  <c r="AL1551" i="37"/>
  <c r="AF1551" i="37"/>
  <c r="AG1551" i="37" s="1"/>
  <c r="AE1551" i="37"/>
  <c r="AB1551" i="37"/>
  <c r="U1551" i="37"/>
  <c r="Q1551" i="37"/>
  <c r="X1551" i="37" s="1"/>
  <c r="Y1551" i="37" s="1"/>
  <c r="M1551" i="37"/>
  <c r="L1551" i="37" s="1"/>
  <c r="D1551" i="37"/>
  <c r="AD1551" i="37" s="1"/>
  <c r="AL1550" i="37"/>
  <c r="AF1550" i="37"/>
  <c r="AG1550" i="37" s="1"/>
  <c r="AE1550" i="37"/>
  <c r="AB1550" i="37"/>
  <c r="U1550" i="37"/>
  <c r="Q1550" i="37"/>
  <c r="R1550" i="37" s="1"/>
  <c r="M1550" i="37"/>
  <c r="L1550" i="37" s="1"/>
  <c r="D1550" i="37"/>
  <c r="AD1550" i="37" s="1"/>
  <c r="AL1549" i="37"/>
  <c r="AF1549" i="37"/>
  <c r="AG1549" i="37" s="1"/>
  <c r="AE1549" i="37"/>
  <c r="AB1549" i="37"/>
  <c r="U1549" i="37"/>
  <c r="Q1549" i="37"/>
  <c r="R1549" i="37" s="1"/>
  <c r="M1549" i="37"/>
  <c r="L1549" i="37" s="1"/>
  <c r="D1549" i="37"/>
  <c r="AD1549" i="37" s="1"/>
  <c r="AL1548" i="37"/>
  <c r="AF1548" i="37"/>
  <c r="AG1548" i="37" s="1"/>
  <c r="AE1548" i="37"/>
  <c r="AB1548" i="37"/>
  <c r="U1548" i="37"/>
  <c r="Q1548" i="37"/>
  <c r="X1548" i="37" s="1"/>
  <c r="Y1548" i="37" s="1"/>
  <c r="M1548" i="37"/>
  <c r="L1548" i="37" s="1"/>
  <c r="D1548" i="37"/>
  <c r="AD1548" i="37" s="1"/>
  <c r="AL1547" i="37"/>
  <c r="AF1547" i="37"/>
  <c r="AG1547" i="37" s="1"/>
  <c r="AE1547" i="37"/>
  <c r="AB1547" i="37"/>
  <c r="U1547" i="37"/>
  <c r="Q1547" i="37"/>
  <c r="X1547" i="37" s="1"/>
  <c r="Y1547" i="37" s="1"/>
  <c r="M1547" i="37"/>
  <c r="L1547" i="37" s="1"/>
  <c r="D1547" i="37"/>
  <c r="AD1547" i="37" s="1"/>
  <c r="AL1546" i="37"/>
  <c r="AF1546" i="37"/>
  <c r="AG1546" i="37" s="1"/>
  <c r="AE1546" i="37"/>
  <c r="AB1546" i="37"/>
  <c r="U1546" i="37"/>
  <c r="Q1546" i="37"/>
  <c r="X1546" i="37" s="1"/>
  <c r="Y1546" i="37" s="1"/>
  <c r="M1546" i="37"/>
  <c r="L1546" i="37" s="1"/>
  <c r="D1546" i="37"/>
  <c r="AD1546" i="37" s="1"/>
  <c r="AL1545" i="37"/>
  <c r="AF1545" i="37"/>
  <c r="AG1545" i="37" s="1"/>
  <c r="AE1545" i="37"/>
  <c r="AB1545" i="37"/>
  <c r="U1545" i="37"/>
  <c r="Q1545" i="37"/>
  <c r="X1545" i="37" s="1"/>
  <c r="Y1545" i="37" s="1"/>
  <c r="M1545" i="37"/>
  <c r="L1545" i="37" s="1"/>
  <c r="D1545" i="37"/>
  <c r="AD1545" i="37" s="1"/>
  <c r="AL1544" i="37"/>
  <c r="AF1544" i="37"/>
  <c r="AG1544" i="37" s="1"/>
  <c r="AE1544" i="37"/>
  <c r="AB1544" i="37"/>
  <c r="U1544" i="37"/>
  <c r="Q1544" i="37"/>
  <c r="X1544" i="37" s="1"/>
  <c r="Y1544" i="37" s="1"/>
  <c r="M1544" i="37"/>
  <c r="L1544" i="37" s="1"/>
  <c r="D1544" i="37"/>
  <c r="AD1544" i="37" s="1"/>
  <c r="AL1543" i="37"/>
  <c r="AF1543" i="37"/>
  <c r="AG1543" i="37" s="1"/>
  <c r="AE1543" i="37"/>
  <c r="AB1543" i="37"/>
  <c r="U1543" i="37"/>
  <c r="Q1543" i="37"/>
  <c r="R1543" i="37" s="1"/>
  <c r="M1543" i="37"/>
  <c r="L1543" i="37" s="1"/>
  <c r="D1543" i="37"/>
  <c r="AD1543" i="37" s="1"/>
  <c r="AL1542" i="37"/>
  <c r="AF1542" i="37"/>
  <c r="AG1542" i="37" s="1"/>
  <c r="AE1542" i="37"/>
  <c r="AB1542" i="37"/>
  <c r="U1542" i="37"/>
  <c r="Q1542" i="37"/>
  <c r="R1542" i="37" s="1"/>
  <c r="M1542" i="37"/>
  <c r="L1542" i="37" s="1"/>
  <c r="D1542" i="37"/>
  <c r="AD1542" i="37" s="1"/>
  <c r="AL1541" i="37"/>
  <c r="AF1541" i="37"/>
  <c r="AG1541" i="37" s="1"/>
  <c r="AE1541" i="37"/>
  <c r="AB1541" i="37"/>
  <c r="U1541" i="37"/>
  <c r="Q1541" i="37"/>
  <c r="X1541" i="37" s="1"/>
  <c r="Y1541" i="37" s="1"/>
  <c r="M1541" i="37"/>
  <c r="L1541" i="37" s="1"/>
  <c r="D1541" i="37"/>
  <c r="AD1541" i="37" s="1"/>
  <c r="AL1540" i="37"/>
  <c r="AF1540" i="37"/>
  <c r="AG1540" i="37" s="1"/>
  <c r="AE1540" i="37"/>
  <c r="AB1540" i="37"/>
  <c r="U1540" i="37"/>
  <c r="Q1540" i="37"/>
  <c r="R1540" i="37" s="1"/>
  <c r="M1540" i="37"/>
  <c r="L1540" i="37" s="1"/>
  <c r="D1540" i="37"/>
  <c r="AD1540" i="37" s="1"/>
  <c r="AL1539" i="37"/>
  <c r="AF1539" i="37"/>
  <c r="AG1539" i="37" s="1"/>
  <c r="AE1539" i="37"/>
  <c r="AB1539" i="37"/>
  <c r="U1539" i="37"/>
  <c r="Q1539" i="37"/>
  <c r="R1539" i="37" s="1"/>
  <c r="M1539" i="37"/>
  <c r="L1539" i="37" s="1"/>
  <c r="D1539" i="37"/>
  <c r="AD1539" i="37" s="1"/>
  <c r="AL1538" i="37"/>
  <c r="AF1538" i="37"/>
  <c r="AG1538" i="37" s="1"/>
  <c r="AE1538" i="37"/>
  <c r="AB1538" i="37"/>
  <c r="U1538" i="37"/>
  <c r="Q1538" i="37"/>
  <c r="X1538" i="37" s="1"/>
  <c r="Y1538" i="37" s="1"/>
  <c r="M1538" i="37"/>
  <c r="L1538" i="37" s="1"/>
  <c r="D1538" i="37"/>
  <c r="AD1538" i="37" s="1"/>
  <c r="AL1537" i="37"/>
  <c r="AF1537" i="37"/>
  <c r="AG1537" i="37" s="1"/>
  <c r="AE1537" i="37"/>
  <c r="AB1537" i="37"/>
  <c r="U1537" i="37"/>
  <c r="Q1537" i="37"/>
  <c r="X1537" i="37" s="1"/>
  <c r="Y1537" i="37" s="1"/>
  <c r="M1537" i="37"/>
  <c r="L1537" i="37" s="1"/>
  <c r="D1537" i="37"/>
  <c r="AD1537" i="37" s="1"/>
  <c r="AL1536" i="37"/>
  <c r="AF1536" i="37"/>
  <c r="AG1536" i="37" s="1"/>
  <c r="AE1536" i="37"/>
  <c r="AB1536" i="37"/>
  <c r="U1536" i="37"/>
  <c r="Q1536" i="37"/>
  <c r="X1536" i="37" s="1"/>
  <c r="Y1536" i="37" s="1"/>
  <c r="M1536" i="37"/>
  <c r="L1536" i="37" s="1"/>
  <c r="D1536" i="37"/>
  <c r="AD1536" i="37" s="1"/>
  <c r="AL1535" i="37"/>
  <c r="AF1535" i="37"/>
  <c r="AG1535" i="37" s="1"/>
  <c r="AE1535" i="37"/>
  <c r="AB1535" i="37"/>
  <c r="U1535" i="37"/>
  <c r="Q1535" i="37"/>
  <c r="R1535" i="37" s="1"/>
  <c r="M1535" i="37"/>
  <c r="L1535" i="37" s="1"/>
  <c r="D1535" i="37"/>
  <c r="AD1535" i="37" s="1"/>
  <c r="AL1534" i="37"/>
  <c r="AF1534" i="37"/>
  <c r="AG1534" i="37" s="1"/>
  <c r="AE1534" i="37"/>
  <c r="AB1534" i="37"/>
  <c r="U1534" i="37"/>
  <c r="Q1534" i="37"/>
  <c r="X1534" i="37" s="1"/>
  <c r="Y1534" i="37" s="1"/>
  <c r="M1534" i="37"/>
  <c r="L1534" i="37" s="1"/>
  <c r="D1534" i="37"/>
  <c r="AD1534" i="37" s="1"/>
  <c r="AL1533" i="37"/>
  <c r="AF1533" i="37"/>
  <c r="AG1533" i="37" s="1"/>
  <c r="AE1533" i="37"/>
  <c r="AB1533" i="37"/>
  <c r="U1533" i="37"/>
  <c r="Q1533" i="37"/>
  <c r="R1533" i="37" s="1"/>
  <c r="M1533" i="37"/>
  <c r="L1533" i="37" s="1"/>
  <c r="D1533" i="37"/>
  <c r="AD1533" i="37" s="1"/>
  <c r="AL1532" i="37"/>
  <c r="AF1532" i="37"/>
  <c r="AG1532" i="37" s="1"/>
  <c r="AE1532" i="37"/>
  <c r="AB1532" i="37"/>
  <c r="U1532" i="37"/>
  <c r="Q1532" i="37"/>
  <c r="R1532" i="37" s="1"/>
  <c r="M1532" i="37"/>
  <c r="L1532" i="37" s="1"/>
  <c r="D1532" i="37"/>
  <c r="AD1532" i="37" s="1"/>
  <c r="AL1531" i="37"/>
  <c r="AF1531" i="37"/>
  <c r="AG1531" i="37" s="1"/>
  <c r="AE1531" i="37"/>
  <c r="AB1531" i="37"/>
  <c r="U1531" i="37"/>
  <c r="Q1531" i="37"/>
  <c r="X1531" i="37" s="1"/>
  <c r="Y1531" i="37" s="1"/>
  <c r="M1531" i="37"/>
  <c r="L1531" i="37" s="1"/>
  <c r="D1531" i="37"/>
  <c r="AD1531" i="37" s="1"/>
  <c r="AL1530" i="37"/>
  <c r="AF1530" i="37"/>
  <c r="AG1530" i="37" s="1"/>
  <c r="AE1530" i="37"/>
  <c r="AB1530" i="37"/>
  <c r="U1530" i="37"/>
  <c r="Q1530" i="37"/>
  <c r="X1530" i="37" s="1"/>
  <c r="Y1530" i="37" s="1"/>
  <c r="M1530" i="37"/>
  <c r="L1530" i="37" s="1"/>
  <c r="D1530" i="37"/>
  <c r="AD1530" i="37" s="1"/>
  <c r="AL1529" i="37"/>
  <c r="AF1529" i="37"/>
  <c r="AG1529" i="37" s="1"/>
  <c r="AE1529" i="37"/>
  <c r="AB1529" i="37"/>
  <c r="U1529" i="37"/>
  <c r="Q1529" i="37"/>
  <c r="R1529" i="37" s="1"/>
  <c r="M1529" i="37"/>
  <c r="L1529" i="37" s="1"/>
  <c r="D1529" i="37"/>
  <c r="AD1529" i="37" s="1"/>
  <c r="AL1528" i="37"/>
  <c r="AF1528" i="37"/>
  <c r="AG1528" i="37" s="1"/>
  <c r="AE1528" i="37"/>
  <c r="AB1528" i="37"/>
  <c r="U1528" i="37"/>
  <c r="Q1528" i="37"/>
  <c r="R1528" i="37" s="1"/>
  <c r="M1528" i="37"/>
  <c r="L1528" i="37" s="1"/>
  <c r="D1528" i="37"/>
  <c r="AD1528" i="37" s="1"/>
  <c r="AL1527" i="37"/>
  <c r="AF1527" i="37"/>
  <c r="AG1527" i="37" s="1"/>
  <c r="AE1527" i="37"/>
  <c r="AB1527" i="37"/>
  <c r="U1527" i="37"/>
  <c r="Q1527" i="37"/>
  <c r="X1527" i="37" s="1"/>
  <c r="Y1527" i="37" s="1"/>
  <c r="M1527" i="37"/>
  <c r="L1527" i="37" s="1"/>
  <c r="D1527" i="37"/>
  <c r="AD1527" i="37" s="1"/>
  <c r="AL1526" i="37"/>
  <c r="AF1526" i="37"/>
  <c r="AG1526" i="37" s="1"/>
  <c r="AE1526" i="37"/>
  <c r="AB1526" i="37"/>
  <c r="U1526" i="37"/>
  <c r="Q1526" i="37"/>
  <c r="R1526" i="37" s="1"/>
  <c r="M1526" i="37"/>
  <c r="L1526" i="37" s="1"/>
  <c r="D1526" i="37"/>
  <c r="AD1526" i="37" s="1"/>
  <c r="AL1525" i="37"/>
  <c r="AF1525" i="37"/>
  <c r="AG1525" i="37" s="1"/>
  <c r="AE1525" i="37"/>
  <c r="AB1525" i="37"/>
  <c r="U1525" i="37"/>
  <c r="Q1525" i="37"/>
  <c r="X1525" i="37" s="1"/>
  <c r="Y1525" i="37" s="1"/>
  <c r="M1525" i="37"/>
  <c r="L1525" i="37" s="1"/>
  <c r="D1525" i="37"/>
  <c r="AD1525" i="37" s="1"/>
  <c r="AL1524" i="37"/>
  <c r="AF1524" i="37"/>
  <c r="AG1524" i="37" s="1"/>
  <c r="AE1524" i="37"/>
  <c r="AB1524" i="37"/>
  <c r="U1524" i="37"/>
  <c r="Q1524" i="37"/>
  <c r="R1524" i="37" s="1"/>
  <c r="M1524" i="37"/>
  <c r="L1524" i="37" s="1"/>
  <c r="D1524" i="37"/>
  <c r="AD1524" i="37" s="1"/>
  <c r="AL1523" i="37"/>
  <c r="AF1523" i="37"/>
  <c r="AG1523" i="37" s="1"/>
  <c r="AE1523" i="37"/>
  <c r="AB1523" i="37"/>
  <c r="U1523" i="37"/>
  <c r="Q1523" i="37"/>
  <c r="X1523" i="37" s="1"/>
  <c r="Y1523" i="37" s="1"/>
  <c r="M1523" i="37"/>
  <c r="L1523" i="37" s="1"/>
  <c r="D1523" i="37"/>
  <c r="AD1523" i="37" s="1"/>
  <c r="AL1522" i="37"/>
  <c r="AF1522" i="37"/>
  <c r="AG1522" i="37" s="1"/>
  <c r="AE1522" i="37"/>
  <c r="AB1522" i="37"/>
  <c r="U1522" i="37"/>
  <c r="Q1522" i="37"/>
  <c r="R1522" i="37" s="1"/>
  <c r="M1522" i="37"/>
  <c r="L1522" i="37" s="1"/>
  <c r="D1522" i="37"/>
  <c r="AD1522" i="37" s="1"/>
  <c r="AL1521" i="37"/>
  <c r="AF1521" i="37"/>
  <c r="AG1521" i="37" s="1"/>
  <c r="AE1521" i="37"/>
  <c r="AB1521" i="37"/>
  <c r="U1521" i="37"/>
  <c r="Q1521" i="37"/>
  <c r="X1521" i="37" s="1"/>
  <c r="Y1521" i="37" s="1"/>
  <c r="M1521" i="37"/>
  <c r="L1521" i="37" s="1"/>
  <c r="D1521" i="37"/>
  <c r="AD1521" i="37" s="1"/>
  <c r="AL1520" i="37"/>
  <c r="AF1520" i="37"/>
  <c r="AG1520" i="37" s="1"/>
  <c r="AE1520" i="37"/>
  <c r="AB1520" i="37"/>
  <c r="U1520" i="37"/>
  <c r="Q1520" i="37"/>
  <c r="X1520" i="37" s="1"/>
  <c r="Y1520" i="37" s="1"/>
  <c r="M1520" i="37"/>
  <c r="L1520" i="37" s="1"/>
  <c r="D1520" i="37"/>
  <c r="AD1520" i="37" s="1"/>
  <c r="AL1517" i="37"/>
  <c r="AF1517" i="37"/>
  <c r="AG1517" i="37" s="1"/>
  <c r="AE1517" i="37"/>
  <c r="AB1517" i="37"/>
  <c r="U1517" i="37"/>
  <c r="Q1517" i="37"/>
  <c r="R1517" i="37" s="1"/>
  <c r="M1517" i="37"/>
  <c r="L1517" i="37" s="1"/>
  <c r="D1517" i="37"/>
  <c r="AD1517" i="37" s="1"/>
  <c r="AL1515" i="37"/>
  <c r="AF1515" i="37"/>
  <c r="AG1515" i="37" s="1"/>
  <c r="AE1515" i="37"/>
  <c r="AB1515" i="37"/>
  <c r="U1515" i="37"/>
  <c r="Q1515" i="37"/>
  <c r="R1515" i="37" s="1"/>
  <c r="M1515" i="37"/>
  <c r="L1515" i="37" s="1"/>
  <c r="D1515" i="37"/>
  <c r="AD1515" i="37" s="1"/>
  <c r="AL1513" i="37"/>
  <c r="AF1513" i="37"/>
  <c r="AG1513" i="37" s="1"/>
  <c r="AE1513" i="37"/>
  <c r="AB1513" i="37"/>
  <c r="U1513" i="37"/>
  <c r="Q1513" i="37"/>
  <c r="R1513" i="37" s="1"/>
  <c r="M1513" i="37"/>
  <c r="L1513" i="37" s="1"/>
  <c r="D1513" i="37"/>
  <c r="AD1513" i="37" s="1"/>
  <c r="AL1512" i="37"/>
  <c r="AF1512" i="37"/>
  <c r="AG1512" i="37" s="1"/>
  <c r="AE1512" i="37"/>
  <c r="AB1512" i="37"/>
  <c r="U1512" i="37"/>
  <c r="Q1512" i="37"/>
  <c r="X1512" i="37" s="1"/>
  <c r="Y1512" i="37" s="1"/>
  <c r="M1512" i="37"/>
  <c r="L1512" i="37" s="1"/>
  <c r="D1512" i="37"/>
  <c r="AD1512" i="37" s="1"/>
  <c r="AL1511" i="37"/>
  <c r="AF1511" i="37"/>
  <c r="AG1511" i="37" s="1"/>
  <c r="AE1511" i="37"/>
  <c r="AB1511" i="37"/>
  <c r="U1511" i="37"/>
  <c r="Q1511" i="37"/>
  <c r="R1511" i="37" s="1"/>
  <c r="M1511" i="37"/>
  <c r="L1511" i="37" s="1"/>
  <c r="D1511" i="37"/>
  <c r="AD1511" i="37" s="1"/>
  <c r="AL1510" i="37"/>
  <c r="AF1510" i="37"/>
  <c r="AG1510" i="37" s="1"/>
  <c r="AE1510" i="37"/>
  <c r="AB1510" i="37"/>
  <c r="U1510" i="37"/>
  <c r="Q1510" i="37"/>
  <c r="R1510" i="37" s="1"/>
  <c r="M1510" i="37"/>
  <c r="L1510" i="37" s="1"/>
  <c r="D1510" i="37"/>
  <c r="AD1510" i="37" s="1"/>
  <c r="AL1509" i="37"/>
  <c r="AF1509" i="37"/>
  <c r="AG1509" i="37" s="1"/>
  <c r="AE1509" i="37"/>
  <c r="AB1509" i="37"/>
  <c r="U1509" i="37"/>
  <c r="Q1509" i="37"/>
  <c r="X1509" i="37" s="1"/>
  <c r="Y1509" i="37" s="1"/>
  <c r="M1509" i="37"/>
  <c r="L1509" i="37" s="1"/>
  <c r="D1509" i="37"/>
  <c r="AD1509" i="37" s="1"/>
  <c r="AL1508" i="37"/>
  <c r="AF1508" i="37"/>
  <c r="AG1508" i="37" s="1"/>
  <c r="AE1508" i="37"/>
  <c r="AB1508" i="37"/>
  <c r="U1508" i="37"/>
  <c r="Q1508" i="37"/>
  <c r="R1508" i="37" s="1"/>
  <c r="M1508" i="37"/>
  <c r="L1508" i="37" s="1"/>
  <c r="D1508" i="37"/>
  <c r="AD1508" i="37" s="1"/>
  <c r="AL1507" i="37"/>
  <c r="AF1507" i="37"/>
  <c r="AG1507" i="37" s="1"/>
  <c r="AE1507" i="37"/>
  <c r="AB1507" i="37"/>
  <c r="U1507" i="37"/>
  <c r="Q1507" i="37"/>
  <c r="X1507" i="37" s="1"/>
  <c r="Y1507" i="37" s="1"/>
  <c r="M1507" i="37"/>
  <c r="L1507" i="37" s="1"/>
  <c r="D1507" i="37"/>
  <c r="AD1507" i="37" s="1"/>
  <c r="AL1506" i="37"/>
  <c r="AF1506" i="37"/>
  <c r="AG1506" i="37" s="1"/>
  <c r="AE1506" i="37"/>
  <c r="AB1506" i="37"/>
  <c r="U1506" i="37"/>
  <c r="Q1506" i="37"/>
  <c r="X1506" i="37" s="1"/>
  <c r="Y1506" i="37" s="1"/>
  <c r="M1506" i="37"/>
  <c r="L1506" i="37" s="1"/>
  <c r="D1506" i="37"/>
  <c r="AD1506" i="37" s="1"/>
  <c r="AL1505" i="37"/>
  <c r="AF1505" i="37"/>
  <c r="AG1505" i="37" s="1"/>
  <c r="AE1505" i="37"/>
  <c r="AB1505" i="37"/>
  <c r="U1505" i="37"/>
  <c r="Q1505" i="37"/>
  <c r="R1505" i="37" s="1"/>
  <c r="M1505" i="37"/>
  <c r="L1505" i="37" s="1"/>
  <c r="D1505" i="37"/>
  <c r="AD1505" i="37" s="1"/>
  <c r="AL1504" i="37"/>
  <c r="AF1504" i="37"/>
  <c r="AG1504" i="37" s="1"/>
  <c r="AE1504" i="37"/>
  <c r="AB1504" i="37"/>
  <c r="U1504" i="37"/>
  <c r="Q1504" i="37"/>
  <c r="X1504" i="37" s="1"/>
  <c r="Y1504" i="37" s="1"/>
  <c r="M1504" i="37"/>
  <c r="L1504" i="37" s="1"/>
  <c r="D1504" i="37"/>
  <c r="AD1504" i="37" s="1"/>
  <c r="AL1503" i="37"/>
  <c r="AF1503" i="37"/>
  <c r="AG1503" i="37" s="1"/>
  <c r="AE1503" i="37"/>
  <c r="AB1503" i="37"/>
  <c r="U1503" i="37"/>
  <c r="Q1503" i="37"/>
  <c r="X1503" i="37" s="1"/>
  <c r="Y1503" i="37" s="1"/>
  <c r="M1503" i="37"/>
  <c r="L1503" i="37" s="1"/>
  <c r="D1503" i="37"/>
  <c r="AD1503" i="37" s="1"/>
  <c r="AL1502" i="37"/>
  <c r="AF1502" i="37"/>
  <c r="AG1502" i="37" s="1"/>
  <c r="AE1502" i="37"/>
  <c r="AB1502" i="37"/>
  <c r="U1502" i="37"/>
  <c r="Q1502" i="37"/>
  <c r="X1502" i="37" s="1"/>
  <c r="Y1502" i="37" s="1"/>
  <c r="M1502" i="37"/>
  <c r="L1502" i="37" s="1"/>
  <c r="D1502" i="37"/>
  <c r="AD1502" i="37" s="1"/>
  <c r="AL1501" i="37"/>
  <c r="AF1501" i="37"/>
  <c r="AG1501" i="37" s="1"/>
  <c r="AE1501" i="37"/>
  <c r="AB1501" i="37"/>
  <c r="U1501" i="37"/>
  <c r="Q1501" i="37"/>
  <c r="R1501" i="37" s="1"/>
  <c r="M1501" i="37"/>
  <c r="L1501" i="37" s="1"/>
  <c r="D1501" i="37"/>
  <c r="AD1501" i="37" s="1"/>
  <c r="AL1500" i="37"/>
  <c r="AF1500" i="37"/>
  <c r="AG1500" i="37" s="1"/>
  <c r="AE1500" i="37"/>
  <c r="AB1500" i="37"/>
  <c r="U1500" i="37"/>
  <c r="Q1500" i="37"/>
  <c r="R1500" i="37" s="1"/>
  <c r="M1500" i="37"/>
  <c r="L1500" i="37" s="1"/>
  <c r="D1500" i="37"/>
  <c r="AD1500" i="37" s="1"/>
  <c r="AL1499" i="37"/>
  <c r="AF1499" i="37"/>
  <c r="AG1499" i="37" s="1"/>
  <c r="AE1499" i="37"/>
  <c r="AB1499" i="37"/>
  <c r="U1499" i="37"/>
  <c r="Q1499" i="37"/>
  <c r="X1499" i="37" s="1"/>
  <c r="Y1499" i="37" s="1"/>
  <c r="M1499" i="37"/>
  <c r="L1499" i="37" s="1"/>
  <c r="D1499" i="37"/>
  <c r="AD1499" i="37" s="1"/>
  <c r="AL1368" i="37"/>
  <c r="AF1368" i="37"/>
  <c r="AG1368" i="37" s="1"/>
  <c r="AE1368" i="37"/>
  <c r="AB1368" i="37"/>
  <c r="U1368" i="37"/>
  <c r="Q1368" i="37"/>
  <c r="R1368" i="37" s="1"/>
  <c r="M1368" i="37"/>
  <c r="L1368" i="37" s="1"/>
  <c r="D1368" i="37"/>
  <c r="AD1368" i="37" s="1"/>
  <c r="AL1369" i="37"/>
  <c r="AF1369" i="37"/>
  <c r="AG1369" i="37" s="1"/>
  <c r="AE1369" i="37"/>
  <c r="AB1369" i="37"/>
  <c r="U1369" i="37"/>
  <c r="Q1369" i="37"/>
  <c r="R1369" i="37" s="1"/>
  <c r="M1369" i="37"/>
  <c r="L1369" i="37" s="1"/>
  <c r="D1369" i="37"/>
  <c r="AD1369" i="37" s="1"/>
  <c r="AL1367" i="37"/>
  <c r="AF1367" i="37"/>
  <c r="AG1367" i="37" s="1"/>
  <c r="AE1367" i="37"/>
  <c r="AB1367" i="37"/>
  <c r="U1367" i="37"/>
  <c r="Q1367" i="37"/>
  <c r="X1367" i="37" s="1"/>
  <c r="Y1367" i="37" s="1"/>
  <c r="M1367" i="37"/>
  <c r="L1367" i="37" s="1"/>
  <c r="D1367" i="37"/>
  <c r="AD1367" i="37" s="1"/>
  <c r="AL1366" i="37"/>
  <c r="AF1366" i="37"/>
  <c r="AG1366" i="37" s="1"/>
  <c r="AE1366" i="37"/>
  <c r="AB1366" i="37"/>
  <c r="U1366" i="37"/>
  <c r="Q1366" i="37"/>
  <c r="R1366" i="37" s="1"/>
  <c r="M1366" i="37"/>
  <c r="L1366" i="37" s="1"/>
  <c r="D1366" i="37"/>
  <c r="AD1366" i="37" s="1"/>
  <c r="AL1365" i="37"/>
  <c r="AF1365" i="37"/>
  <c r="AG1365" i="37" s="1"/>
  <c r="AE1365" i="37"/>
  <c r="AB1365" i="37"/>
  <c r="U1365" i="37"/>
  <c r="Q1365" i="37"/>
  <c r="X1365" i="37" s="1"/>
  <c r="Y1365" i="37" s="1"/>
  <c r="M1365" i="37"/>
  <c r="L1365" i="37" s="1"/>
  <c r="D1365" i="37"/>
  <c r="AD1365" i="37" s="1"/>
  <c r="AL1364" i="37"/>
  <c r="AF1364" i="37"/>
  <c r="AG1364" i="37" s="1"/>
  <c r="AE1364" i="37"/>
  <c r="AB1364" i="37"/>
  <c r="U1364" i="37"/>
  <c r="Q1364" i="37"/>
  <c r="X1364" i="37" s="1"/>
  <c r="Y1364" i="37" s="1"/>
  <c r="M1364" i="37"/>
  <c r="L1364" i="37" s="1"/>
  <c r="D1364" i="37"/>
  <c r="AD1364" i="37" s="1"/>
  <c r="G11" i="39"/>
  <c r="G12" i="39"/>
  <c r="G13" i="39"/>
  <c r="G14" i="39"/>
  <c r="G15" i="39"/>
  <c r="G16" i="39"/>
  <c r="G17" i="39"/>
  <c r="G18" i="39"/>
  <c r="G19" i="39"/>
  <c r="G20" i="39"/>
  <c r="G21" i="39"/>
  <c r="G10" i="39"/>
  <c r="B11" i="39"/>
  <c r="B12" i="39"/>
  <c r="B13" i="39"/>
  <c r="B14" i="39"/>
  <c r="B15" i="39"/>
  <c r="B16" i="39"/>
  <c r="B17" i="39"/>
  <c r="B18" i="39"/>
  <c r="B19" i="39"/>
  <c r="B20" i="39"/>
  <c r="B21" i="39"/>
  <c r="B10" i="39"/>
  <c r="D32" i="39" l="1"/>
  <c r="T1571" i="37"/>
  <c r="S1571" i="37"/>
  <c r="V1571" i="37" s="1"/>
  <c r="AH1571" i="37" s="1"/>
  <c r="AI1571" i="37" s="1"/>
  <c r="AJ1571" i="37" s="1"/>
  <c r="Z1571" i="37"/>
  <c r="R1567" i="37"/>
  <c r="T1567" i="37"/>
  <c r="R1568" i="37"/>
  <c r="T1568" i="37" s="1"/>
  <c r="T1564" i="37"/>
  <c r="T1561" i="37"/>
  <c r="R1563" i="37"/>
  <c r="R1566" i="37"/>
  <c r="R1565" i="37"/>
  <c r="X1533" i="37"/>
  <c r="Y1533" i="37" s="1"/>
  <c r="R1547" i="37"/>
  <c r="T1547" i="37" s="1"/>
  <c r="T1553" i="37"/>
  <c r="X1549" i="37"/>
  <c r="Y1549" i="37" s="1"/>
  <c r="X1553" i="37"/>
  <c r="Y1553" i="37" s="1"/>
  <c r="R1555" i="37"/>
  <c r="T1555" i="37" s="1"/>
  <c r="X1539" i="37"/>
  <c r="Y1539" i="37" s="1"/>
  <c r="X1556" i="37"/>
  <c r="Y1556" i="37" s="1"/>
  <c r="T1556" i="37"/>
  <c r="R1546" i="37"/>
  <c r="T1546" i="37" s="1"/>
  <c r="T1539" i="37"/>
  <c r="R1554" i="37"/>
  <c r="R1521" i="37"/>
  <c r="T1521" i="37" s="1"/>
  <c r="R1530" i="37"/>
  <c r="T1530" i="37" s="1"/>
  <c r="R1545" i="37"/>
  <c r="T1545" i="37" s="1"/>
  <c r="X1524" i="37"/>
  <c r="Y1524" i="37" s="1"/>
  <c r="R1527" i="37"/>
  <c r="T1527" i="37" s="1"/>
  <c r="X1550" i="37"/>
  <c r="Y1550" i="37" s="1"/>
  <c r="T1552" i="37"/>
  <c r="T1550" i="37"/>
  <c r="R1537" i="37"/>
  <c r="T1537" i="37" s="1"/>
  <c r="X1540" i="37"/>
  <c r="Y1540" i="37" s="1"/>
  <c r="T1549" i="37"/>
  <c r="R1520" i="37"/>
  <c r="T1520" i="37" s="1"/>
  <c r="R1523" i="37"/>
  <c r="T1523" i="37" s="1"/>
  <c r="R1531" i="37"/>
  <c r="T1531" i="37" s="1"/>
  <c r="R1548" i="37"/>
  <c r="R1536" i="37"/>
  <c r="T1536" i="37" s="1"/>
  <c r="R1551" i="37"/>
  <c r="X1552" i="37"/>
  <c r="Y1552" i="37" s="1"/>
  <c r="X1528" i="37"/>
  <c r="Y1528" i="37" s="1"/>
  <c r="R1544" i="37"/>
  <c r="X1543" i="37"/>
  <c r="Y1543" i="37" s="1"/>
  <c r="T1542" i="37"/>
  <c r="T1533" i="37"/>
  <c r="T1535" i="37"/>
  <c r="T1543" i="37"/>
  <c r="T1528" i="37"/>
  <c r="T1524" i="37"/>
  <c r="T1532" i="37"/>
  <c r="T1522" i="37"/>
  <c r="T1529" i="37"/>
  <c r="T1540" i="37"/>
  <c r="T1526" i="37"/>
  <c r="R1538" i="37"/>
  <c r="R1525" i="37"/>
  <c r="X1526" i="37"/>
  <c r="Y1526" i="37" s="1"/>
  <c r="R1541" i="37"/>
  <c r="X1542" i="37"/>
  <c r="Y1542" i="37" s="1"/>
  <c r="X1529" i="37"/>
  <c r="Y1529" i="37" s="1"/>
  <c r="X1517" i="37"/>
  <c r="Y1517" i="37" s="1"/>
  <c r="X1532" i="37"/>
  <c r="Y1532" i="37" s="1"/>
  <c r="R1534" i="37"/>
  <c r="X1535" i="37"/>
  <c r="Y1535" i="37" s="1"/>
  <c r="X1522" i="37"/>
  <c r="Y1522" i="37" s="1"/>
  <c r="T1517" i="37"/>
  <c r="X1515" i="37"/>
  <c r="Y1515" i="37" s="1"/>
  <c r="T1515" i="37"/>
  <c r="X1510" i="37"/>
  <c r="Y1510" i="37" s="1"/>
  <c r="T1510" i="37"/>
  <c r="R1503" i="37"/>
  <c r="T1503" i="37" s="1"/>
  <c r="X1511" i="37"/>
  <c r="Y1511" i="37" s="1"/>
  <c r="T1513" i="37"/>
  <c r="R1512" i="37"/>
  <c r="X1513" i="37"/>
  <c r="Y1513" i="37" s="1"/>
  <c r="X1500" i="37"/>
  <c r="Y1500" i="37" s="1"/>
  <c r="X1505" i="37"/>
  <c r="Y1505" i="37" s="1"/>
  <c r="X1508" i="37"/>
  <c r="Y1508" i="37" s="1"/>
  <c r="R1499" i="37"/>
  <c r="T1499" i="37" s="1"/>
  <c r="R1504" i="37"/>
  <c r="T1504" i="37" s="1"/>
  <c r="R1509" i="37"/>
  <c r="T1509" i="37" s="1"/>
  <c r="T1501" i="37"/>
  <c r="T1511" i="37"/>
  <c r="T1508" i="37"/>
  <c r="T1500" i="37"/>
  <c r="T1505" i="37"/>
  <c r="R1507" i="37"/>
  <c r="X1501" i="37"/>
  <c r="Y1501" i="37" s="1"/>
  <c r="R1506" i="37"/>
  <c r="R1502" i="37"/>
  <c r="R1364" i="37"/>
  <c r="T1364" i="37" s="1"/>
  <c r="X1368" i="37"/>
  <c r="Y1368" i="37" s="1"/>
  <c r="T1368" i="37"/>
  <c r="R1365" i="37"/>
  <c r="T1365" i="37" s="1"/>
  <c r="X1366" i="37"/>
  <c r="Y1366" i="37" s="1"/>
  <c r="T1366" i="37"/>
  <c r="T1369" i="37"/>
  <c r="R1367" i="37"/>
  <c r="X1369" i="37"/>
  <c r="Y1369" i="37" s="1"/>
  <c r="I5" i="39"/>
  <c r="AK1571" i="37" l="1"/>
  <c r="E1571" i="37"/>
  <c r="AM1571" i="37" s="1"/>
  <c r="AN1571" i="37" s="1"/>
  <c r="T1565" i="37"/>
  <c r="T1566" i="37"/>
  <c r="T1563" i="37"/>
  <c r="T1554" i="37"/>
  <c r="T1544" i="37"/>
  <c r="T1551" i="37"/>
  <c r="T1548" i="37"/>
  <c r="T1525" i="37"/>
  <c r="T1538" i="37"/>
  <c r="T1541" i="37"/>
  <c r="T1534" i="37"/>
  <c r="T1512" i="37"/>
  <c r="T1507" i="37"/>
  <c r="T1502" i="37"/>
  <c r="T1506" i="37"/>
  <c r="T1367" i="37"/>
  <c r="AL1485" i="37"/>
  <c r="AF1485" i="37"/>
  <c r="AG1485" i="37" s="1"/>
  <c r="AE1485" i="37"/>
  <c r="AB1485" i="37"/>
  <c r="U1485" i="37"/>
  <c r="Q1485" i="37"/>
  <c r="R1485" i="37" s="1"/>
  <c r="M1485" i="37"/>
  <c r="L1485" i="37" s="1"/>
  <c r="D1485" i="37"/>
  <c r="AD1485" i="37" s="1"/>
  <c r="AL1484" i="37"/>
  <c r="AF1484" i="37"/>
  <c r="AG1484" i="37" s="1"/>
  <c r="AE1484" i="37"/>
  <c r="AB1484" i="37"/>
  <c r="U1484" i="37"/>
  <c r="Q1484" i="37"/>
  <c r="X1484" i="37" s="1"/>
  <c r="Y1484" i="37" s="1"/>
  <c r="M1484" i="37"/>
  <c r="L1484" i="37" s="1"/>
  <c r="D1484" i="37"/>
  <c r="AD1484" i="37" s="1"/>
  <c r="AL1483" i="37"/>
  <c r="AF1483" i="37"/>
  <c r="AG1483" i="37" s="1"/>
  <c r="AE1483" i="37"/>
  <c r="AB1483" i="37"/>
  <c r="U1483" i="37"/>
  <c r="Q1483" i="37"/>
  <c r="X1483" i="37" s="1"/>
  <c r="Y1483" i="37" s="1"/>
  <c r="M1483" i="37"/>
  <c r="L1483" i="37" s="1"/>
  <c r="D1483" i="37"/>
  <c r="AD1483" i="37" s="1"/>
  <c r="D1337" i="37"/>
  <c r="AD1337" i="37" s="1"/>
  <c r="M1337" i="37"/>
  <c r="L1337" i="37" s="1"/>
  <c r="Q1337" i="37"/>
  <c r="R1337" i="37" s="1"/>
  <c r="U1337" i="37"/>
  <c r="AB1337" i="37"/>
  <c r="AE1337" i="37"/>
  <c r="AF1337" i="37"/>
  <c r="AG1337" i="37" s="1"/>
  <c r="AL1337" i="37"/>
  <c r="AL1480" i="37"/>
  <c r="AF1480" i="37"/>
  <c r="AG1480" i="37" s="1"/>
  <c r="AE1480" i="37"/>
  <c r="AB1480" i="37"/>
  <c r="U1480" i="37"/>
  <c r="Q1480" i="37"/>
  <c r="R1480" i="37" s="1"/>
  <c r="M1480" i="37"/>
  <c r="L1480" i="37" s="1"/>
  <c r="D1480" i="37"/>
  <c r="AD1480" i="37" s="1"/>
  <c r="AL1479" i="37"/>
  <c r="AF1479" i="37"/>
  <c r="AG1479" i="37" s="1"/>
  <c r="AE1479" i="37"/>
  <c r="AB1479" i="37"/>
  <c r="U1479" i="37"/>
  <c r="Q1479" i="37"/>
  <c r="X1479" i="37" s="1"/>
  <c r="Y1479" i="37" s="1"/>
  <c r="M1479" i="37"/>
  <c r="L1479" i="37" s="1"/>
  <c r="D1479" i="37"/>
  <c r="AD1479" i="37" s="1"/>
  <c r="AL1478" i="37"/>
  <c r="AF1478" i="37"/>
  <c r="AG1478" i="37" s="1"/>
  <c r="AE1478" i="37"/>
  <c r="AB1478" i="37"/>
  <c r="U1478" i="37"/>
  <c r="Q1478" i="37"/>
  <c r="X1478" i="37" s="1"/>
  <c r="Y1478" i="37" s="1"/>
  <c r="M1478" i="37"/>
  <c r="L1478" i="37" s="1"/>
  <c r="D1478" i="37"/>
  <c r="AD1478" i="37" s="1"/>
  <c r="AL1477" i="37"/>
  <c r="AF1477" i="37"/>
  <c r="AG1477" i="37" s="1"/>
  <c r="AE1477" i="37"/>
  <c r="AB1477" i="37"/>
  <c r="U1477" i="37"/>
  <c r="Q1477" i="37"/>
  <c r="R1477" i="37" s="1"/>
  <c r="M1477" i="37"/>
  <c r="L1477" i="37" s="1"/>
  <c r="D1477" i="37"/>
  <c r="AD1477" i="37" s="1"/>
  <c r="AL1497" i="37"/>
  <c r="AF1497" i="37"/>
  <c r="AG1497" i="37" s="1"/>
  <c r="AE1497" i="37"/>
  <c r="AB1497" i="37"/>
  <c r="U1497" i="37"/>
  <c r="Q1497" i="37"/>
  <c r="X1497" i="37" s="1"/>
  <c r="Y1497" i="37" s="1"/>
  <c r="M1497" i="37"/>
  <c r="L1497" i="37" s="1"/>
  <c r="D1497" i="37"/>
  <c r="AD1497" i="37" s="1"/>
  <c r="AL1496" i="37"/>
  <c r="AF1496" i="37"/>
  <c r="AG1496" i="37" s="1"/>
  <c r="AE1496" i="37"/>
  <c r="AB1496" i="37"/>
  <c r="U1496" i="37"/>
  <c r="Q1496" i="37"/>
  <c r="X1496" i="37" s="1"/>
  <c r="Y1496" i="37" s="1"/>
  <c r="M1496" i="37"/>
  <c r="L1496" i="37" s="1"/>
  <c r="D1496" i="37"/>
  <c r="AD1496" i="37" s="1"/>
  <c r="AL1495" i="37"/>
  <c r="AF1495" i="37"/>
  <c r="AG1495" i="37" s="1"/>
  <c r="AE1495" i="37"/>
  <c r="AB1495" i="37"/>
  <c r="U1495" i="37"/>
  <c r="Q1495" i="37"/>
  <c r="R1495" i="37" s="1"/>
  <c r="M1495" i="37"/>
  <c r="L1495" i="37" s="1"/>
  <c r="D1495" i="37"/>
  <c r="AD1495" i="37" s="1"/>
  <c r="AL1494" i="37"/>
  <c r="AF1494" i="37"/>
  <c r="AG1494" i="37" s="1"/>
  <c r="AE1494" i="37"/>
  <c r="AB1494" i="37"/>
  <c r="U1494" i="37"/>
  <c r="Q1494" i="37"/>
  <c r="X1494" i="37" s="1"/>
  <c r="Y1494" i="37" s="1"/>
  <c r="M1494" i="37"/>
  <c r="L1494" i="37" s="1"/>
  <c r="D1494" i="37"/>
  <c r="AD1494" i="37" s="1"/>
  <c r="AL1493" i="37"/>
  <c r="AF1493" i="37"/>
  <c r="AG1493" i="37" s="1"/>
  <c r="AE1493" i="37"/>
  <c r="AB1493" i="37"/>
  <c r="U1493" i="37"/>
  <c r="Q1493" i="37"/>
  <c r="X1493" i="37" s="1"/>
  <c r="Y1493" i="37" s="1"/>
  <c r="M1493" i="37"/>
  <c r="L1493" i="37" s="1"/>
  <c r="D1493" i="37"/>
  <c r="AD1493" i="37" s="1"/>
  <c r="AL1492" i="37"/>
  <c r="AF1492" i="37"/>
  <c r="AG1492" i="37" s="1"/>
  <c r="AE1492" i="37"/>
  <c r="AB1492" i="37"/>
  <c r="U1492" i="37"/>
  <c r="Q1492" i="37"/>
  <c r="R1492" i="37" s="1"/>
  <c r="M1492" i="37"/>
  <c r="L1492" i="37" s="1"/>
  <c r="D1492" i="37"/>
  <c r="AD1492" i="37" s="1"/>
  <c r="AL1491" i="37"/>
  <c r="AF1491" i="37"/>
  <c r="AG1491" i="37" s="1"/>
  <c r="AE1491" i="37"/>
  <c r="AB1491" i="37"/>
  <c r="U1491" i="37"/>
  <c r="Q1491" i="37"/>
  <c r="X1491" i="37" s="1"/>
  <c r="Y1491" i="37" s="1"/>
  <c r="M1491" i="37"/>
  <c r="L1491" i="37" s="1"/>
  <c r="D1491" i="37"/>
  <c r="AD1491" i="37" s="1"/>
  <c r="AL1490" i="37"/>
  <c r="AF1490" i="37"/>
  <c r="AG1490" i="37" s="1"/>
  <c r="AE1490" i="37"/>
  <c r="AB1490" i="37"/>
  <c r="U1490" i="37"/>
  <c r="Q1490" i="37"/>
  <c r="X1490" i="37" s="1"/>
  <c r="Y1490" i="37" s="1"/>
  <c r="M1490" i="37"/>
  <c r="L1490" i="37" s="1"/>
  <c r="D1490" i="37"/>
  <c r="AD1490" i="37" s="1"/>
  <c r="U1487" i="37"/>
  <c r="AL1488" i="37"/>
  <c r="AF1488" i="37"/>
  <c r="AG1488" i="37" s="1"/>
  <c r="AE1488" i="37"/>
  <c r="AB1488" i="37"/>
  <c r="U1488" i="37"/>
  <c r="Q1488" i="37"/>
  <c r="R1488" i="37" s="1"/>
  <c r="M1488" i="37"/>
  <c r="L1488" i="37" s="1"/>
  <c r="D1488" i="37"/>
  <c r="AD1488" i="37" s="1"/>
  <c r="AL1487" i="37"/>
  <c r="AF1487" i="37"/>
  <c r="AG1487" i="37" s="1"/>
  <c r="AE1487" i="37"/>
  <c r="AB1487" i="37"/>
  <c r="Q1487" i="37"/>
  <c r="X1487" i="37" s="1"/>
  <c r="M1487" i="37"/>
  <c r="L1487" i="37" s="1"/>
  <c r="D1487" i="37"/>
  <c r="AD1487" i="37" s="1"/>
  <c r="T1485" i="37" l="1"/>
  <c r="R1484" i="37"/>
  <c r="X1485" i="37"/>
  <c r="Y1485" i="37" s="1"/>
  <c r="R1483" i="37"/>
  <c r="T1337" i="37"/>
  <c r="X1337" i="37"/>
  <c r="Y1337" i="37" s="1"/>
  <c r="T1477" i="37"/>
  <c r="T1480" i="37"/>
  <c r="X1477" i="37"/>
  <c r="Y1477" i="37" s="1"/>
  <c r="R1479" i="37"/>
  <c r="X1480" i="37"/>
  <c r="Y1480" i="37" s="1"/>
  <c r="R1478" i="37"/>
  <c r="R1494" i="37"/>
  <c r="T1494" i="37" s="1"/>
  <c r="R1491" i="37"/>
  <c r="T1491" i="37" s="1"/>
  <c r="X1495" i="37"/>
  <c r="Y1495" i="37" s="1"/>
  <c r="X1492" i="37"/>
  <c r="Y1492" i="37" s="1"/>
  <c r="T1492" i="37"/>
  <c r="T1495" i="37"/>
  <c r="R1497" i="37"/>
  <c r="R1490" i="37"/>
  <c r="R1493" i="37"/>
  <c r="R1496" i="37"/>
  <c r="Y1487" i="37"/>
  <c r="X1488" i="37"/>
  <c r="Y1488" i="37" s="1"/>
  <c r="T1488" i="37"/>
  <c r="R1487" i="37"/>
  <c r="AL1472" i="37"/>
  <c r="AF1472" i="37"/>
  <c r="AG1472" i="37" s="1"/>
  <c r="AE1472" i="37"/>
  <c r="AB1472" i="37"/>
  <c r="U1472" i="37"/>
  <c r="Q1472" i="37"/>
  <c r="R1472" i="37" s="1"/>
  <c r="M1472" i="37"/>
  <c r="L1472" i="37" s="1"/>
  <c r="D1472" i="37"/>
  <c r="AD1472" i="37" s="1"/>
  <c r="AL1471" i="37"/>
  <c r="AF1471" i="37"/>
  <c r="AG1471" i="37" s="1"/>
  <c r="AE1471" i="37"/>
  <c r="AB1471" i="37"/>
  <c r="U1471" i="37"/>
  <c r="Q1471" i="37"/>
  <c r="R1471" i="37" s="1"/>
  <c r="M1471" i="37"/>
  <c r="L1471" i="37" s="1"/>
  <c r="D1471" i="37"/>
  <c r="AD1471" i="37" s="1"/>
  <c r="AL1470" i="37"/>
  <c r="AF1470" i="37"/>
  <c r="AG1470" i="37" s="1"/>
  <c r="AE1470" i="37"/>
  <c r="AB1470" i="37"/>
  <c r="U1470" i="37"/>
  <c r="Q1470" i="37"/>
  <c r="X1470" i="37" s="1"/>
  <c r="Y1470" i="37" s="1"/>
  <c r="M1470" i="37"/>
  <c r="L1470" i="37" s="1"/>
  <c r="D1470" i="37"/>
  <c r="AD1470" i="37" s="1"/>
  <c r="AL1469" i="37"/>
  <c r="AF1469" i="37"/>
  <c r="AG1469" i="37" s="1"/>
  <c r="AE1469" i="37"/>
  <c r="AB1469" i="37"/>
  <c r="U1469" i="37"/>
  <c r="Q1469" i="37"/>
  <c r="R1469" i="37" s="1"/>
  <c r="M1469" i="37"/>
  <c r="L1469" i="37" s="1"/>
  <c r="D1469" i="37"/>
  <c r="AD1469" i="37" s="1"/>
  <c r="AL1468" i="37"/>
  <c r="AF1468" i="37"/>
  <c r="AG1468" i="37" s="1"/>
  <c r="AE1468" i="37"/>
  <c r="AB1468" i="37"/>
  <c r="U1468" i="37"/>
  <c r="Q1468" i="37"/>
  <c r="X1468" i="37" s="1"/>
  <c r="Y1468" i="37" s="1"/>
  <c r="M1468" i="37"/>
  <c r="L1468" i="37" s="1"/>
  <c r="D1468" i="37"/>
  <c r="AD1468" i="37" s="1"/>
  <c r="AL1467" i="37"/>
  <c r="AF1467" i="37"/>
  <c r="AG1467" i="37" s="1"/>
  <c r="AE1467" i="37"/>
  <c r="AB1467" i="37"/>
  <c r="U1467" i="37"/>
  <c r="Q1467" i="37"/>
  <c r="X1467" i="37" s="1"/>
  <c r="Y1467" i="37" s="1"/>
  <c r="M1467" i="37"/>
  <c r="L1467" i="37" s="1"/>
  <c r="D1467" i="37"/>
  <c r="AD1467" i="37" s="1"/>
  <c r="AL1466" i="37"/>
  <c r="AF1466" i="37"/>
  <c r="AG1466" i="37" s="1"/>
  <c r="AE1466" i="37"/>
  <c r="AB1466" i="37"/>
  <c r="U1466" i="37"/>
  <c r="Q1466" i="37"/>
  <c r="R1466" i="37" s="1"/>
  <c r="M1466" i="37"/>
  <c r="L1466" i="37" s="1"/>
  <c r="D1466" i="37"/>
  <c r="AD1466" i="37" s="1"/>
  <c r="AL1465" i="37"/>
  <c r="AF1465" i="37"/>
  <c r="AG1465" i="37" s="1"/>
  <c r="AE1465" i="37"/>
  <c r="AB1465" i="37"/>
  <c r="U1465" i="37"/>
  <c r="Q1465" i="37"/>
  <c r="R1465" i="37" s="1"/>
  <c r="M1465" i="37"/>
  <c r="L1465" i="37" s="1"/>
  <c r="D1465" i="37"/>
  <c r="AD1465" i="37" s="1"/>
  <c r="AL1464" i="37"/>
  <c r="AF1464" i="37"/>
  <c r="AG1464" i="37" s="1"/>
  <c r="AE1464" i="37"/>
  <c r="AB1464" i="37"/>
  <c r="U1464" i="37"/>
  <c r="Q1464" i="37"/>
  <c r="R1464" i="37" s="1"/>
  <c r="M1464" i="37"/>
  <c r="L1464" i="37" s="1"/>
  <c r="D1464" i="37"/>
  <c r="AD1464" i="37" s="1"/>
  <c r="AL1463" i="37"/>
  <c r="AF1463" i="37"/>
  <c r="AG1463" i="37" s="1"/>
  <c r="AE1463" i="37"/>
  <c r="AB1463" i="37"/>
  <c r="U1463" i="37"/>
  <c r="Q1463" i="37"/>
  <c r="X1463" i="37" s="1"/>
  <c r="Y1463" i="37" s="1"/>
  <c r="M1463" i="37"/>
  <c r="L1463" i="37" s="1"/>
  <c r="D1463" i="37"/>
  <c r="AD1463" i="37" s="1"/>
  <c r="AL1462" i="37"/>
  <c r="AF1462" i="37"/>
  <c r="AG1462" i="37" s="1"/>
  <c r="AE1462" i="37"/>
  <c r="AB1462" i="37"/>
  <c r="U1462" i="37"/>
  <c r="Q1462" i="37"/>
  <c r="R1462" i="37" s="1"/>
  <c r="M1462" i="37"/>
  <c r="L1462" i="37" s="1"/>
  <c r="D1462" i="37"/>
  <c r="AD1462" i="37" s="1"/>
  <c r="AL1461" i="37"/>
  <c r="AF1461" i="37"/>
  <c r="AG1461" i="37" s="1"/>
  <c r="AE1461" i="37"/>
  <c r="AB1461" i="37"/>
  <c r="U1461" i="37"/>
  <c r="Q1461" i="37"/>
  <c r="X1461" i="37" s="1"/>
  <c r="Y1461" i="37" s="1"/>
  <c r="M1461" i="37"/>
  <c r="L1461" i="37" s="1"/>
  <c r="D1461" i="37"/>
  <c r="AD1461" i="37" s="1"/>
  <c r="AL1460" i="37"/>
  <c r="AF1460" i="37"/>
  <c r="AG1460" i="37" s="1"/>
  <c r="AE1460" i="37"/>
  <c r="AB1460" i="37"/>
  <c r="U1460" i="37"/>
  <c r="Q1460" i="37"/>
  <c r="X1460" i="37" s="1"/>
  <c r="Y1460" i="37" s="1"/>
  <c r="M1460" i="37"/>
  <c r="L1460" i="37" s="1"/>
  <c r="D1460" i="37"/>
  <c r="AD1460" i="37" s="1"/>
  <c r="AL1446" i="37"/>
  <c r="AF1446" i="37"/>
  <c r="AG1446" i="37" s="1"/>
  <c r="AE1446" i="37"/>
  <c r="AB1446" i="37"/>
  <c r="U1446" i="37"/>
  <c r="Q1446" i="37"/>
  <c r="R1446" i="37" s="1"/>
  <c r="M1446" i="37"/>
  <c r="L1446" i="37" s="1"/>
  <c r="D1446" i="37"/>
  <c r="AD1446" i="37" s="1"/>
  <c r="AL1445" i="37"/>
  <c r="AF1445" i="37"/>
  <c r="AG1445" i="37" s="1"/>
  <c r="AE1445" i="37"/>
  <c r="AB1445" i="37"/>
  <c r="U1445" i="37"/>
  <c r="Q1445" i="37"/>
  <c r="X1445" i="37" s="1"/>
  <c r="Y1445" i="37" s="1"/>
  <c r="M1445" i="37"/>
  <c r="L1445" i="37" s="1"/>
  <c r="D1445" i="37"/>
  <c r="AD1445" i="37" s="1"/>
  <c r="AL1444" i="37"/>
  <c r="AF1444" i="37"/>
  <c r="AG1444" i="37" s="1"/>
  <c r="AE1444" i="37"/>
  <c r="AB1444" i="37"/>
  <c r="U1444" i="37"/>
  <c r="Q1444" i="37"/>
  <c r="X1444" i="37" s="1"/>
  <c r="Y1444" i="37" s="1"/>
  <c r="M1444" i="37"/>
  <c r="L1444" i="37" s="1"/>
  <c r="D1444" i="37"/>
  <c r="AD1444" i="37" s="1"/>
  <c r="AL1443" i="37"/>
  <c r="AF1443" i="37"/>
  <c r="AG1443" i="37" s="1"/>
  <c r="AE1443" i="37"/>
  <c r="AB1443" i="37"/>
  <c r="U1443" i="37"/>
  <c r="Q1443" i="37"/>
  <c r="R1443" i="37" s="1"/>
  <c r="M1443" i="37"/>
  <c r="L1443" i="37" s="1"/>
  <c r="D1443" i="37"/>
  <c r="AD1443" i="37" s="1"/>
  <c r="AL1441" i="37"/>
  <c r="AF1441" i="37"/>
  <c r="AG1441" i="37" s="1"/>
  <c r="AE1441" i="37"/>
  <c r="AB1441" i="37"/>
  <c r="U1441" i="37"/>
  <c r="Q1441" i="37"/>
  <c r="X1441" i="37" s="1"/>
  <c r="Y1441" i="37" s="1"/>
  <c r="M1441" i="37"/>
  <c r="L1441" i="37" s="1"/>
  <c r="D1441" i="37"/>
  <c r="AD1441" i="37" s="1"/>
  <c r="AL1440" i="37"/>
  <c r="AF1440" i="37"/>
  <c r="AG1440" i="37" s="1"/>
  <c r="AE1440" i="37"/>
  <c r="AB1440" i="37"/>
  <c r="U1440" i="37"/>
  <c r="Q1440" i="37"/>
  <c r="X1440" i="37" s="1"/>
  <c r="Y1440" i="37" s="1"/>
  <c r="M1440" i="37"/>
  <c r="L1440" i="37" s="1"/>
  <c r="D1440" i="37"/>
  <c r="AD1440" i="37" s="1"/>
  <c r="AL1439" i="37"/>
  <c r="AF1439" i="37"/>
  <c r="AG1439" i="37" s="1"/>
  <c r="AE1439" i="37"/>
  <c r="AB1439" i="37"/>
  <c r="U1439" i="37"/>
  <c r="Q1439" i="37"/>
  <c r="R1439" i="37" s="1"/>
  <c r="M1439" i="37"/>
  <c r="L1439" i="37" s="1"/>
  <c r="D1439" i="37"/>
  <c r="AD1439" i="37" s="1"/>
  <c r="AL1438" i="37"/>
  <c r="AF1438" i="37"/>
  <c r="AG1438" i="37" s="1"/>
  <c r="AE1438" i="37"/>
  <c r="AB1438" i="37"/>
  <c r="U1438" i="37"/>
  <c r="Q1438" i="37"/>
  <c r="X1438" i="37" s="1"/>
  <c r="Y1438" i="37" s="1"/>
  <c r="M1438" i="37"/>
  <c r="L1438" i="37" s="1"/>
  <c r="D1438" i="37"/>
  <c r="AD1438" i="37" s="1"/>
  <c r="AL1437" i="37"/>
  <c r="AF1437" i="37"/>
  <c r="AG1437" i="37" s="1"/>
  <c r="AE1437" i="37"/>
  <c r="AB1437" i="37"/>
  <c r="U1437" i="37"/>
  <c r="Q1437" i="37"/>
  <c r="X1437" i="37" s="1"/>
  <c r="Y1437" i="37" s="1"/>
  <c r="M1437" i="37"/>
  <c r="L1437" i="37" s="1"/>
  <c r="D1437" i="37"/>
  <c r="AD1437" i="37" s="1"/>
  <c r="AL1436" i="37"/>
  <c r="AF1436" i="37"/>
  <c r="AG1436" i="37" s="1"/>
  <c r="AE1436" i="37"/>
  <c r="AB1436" i="37"/>
  <c r="U1436" i="37"/>
  <c r="Q1436" i="37"/>
  <c r="R1436" i="37" s="1"/>
  <c r="M1436" i="37"/>
  <c r="L1436" i="37" s="1"/>
  <c r="D1436" i="37"/>
  <c r="AD1436" i="37" s="1"/>
  <c r="AL1435" i="37"/>
  <c r="AF1435" i="37"/>
  <c r="AG1435" i="37" s="1"/>
  <c r="AE1435" i="37"/>
  <c r="AB1435" i="37"/>
  <c r="U1435" i="37"/>
  <c r="Q1435" i="37"/>
  <c r="X1435" i="37" s="1"/>
  <c r="Y1435" i="37" s="1"/>
  <c r="M1435" i="37"/>
  <c r="L1435" i="37" s="1"/>
  <c r="D1435" i="37"/>
  <c r="AD1435" i="37" s="1"/>
  <c r="AL1434" i="37"/>
  <c r="AF1434" i="37"/>
  <c r="AG1434" i="37" s="1"/>
  <c r="AE1434" i="37"/>
  <c r="AB1434" i="37"/>
  <c r="U1434" i="37"/>
  <c r="Q1434" i="37"/>
  <c r="X1434" i="37" s="1"/>
  <c r="Y1434" i="37" s="1"/>
  <c r="M1434" i="37"/>
  <c r="L1434" i="37" s="1"/>
  <c r="D1434" i="37"/>
  <c r="AD1434" i="37" s="1"/>
  <c r="AL1432" i="37"/>
  <c r="AF1432" i="37"/>
  <c r="AG1432" i="37" s="1"/>
  <c r="AE1432" i="37"/>
  <c r="AB1432" i="37"/>
  <c r="U1432" i="37"/>
  <c r="Q1432" i="37"/>
  <c r="R1432" i="37" s="1"/>
  <c r="M1432" i="37"/>
  <c r="L1432" i="37" s="1"/>
  <c r="D1432" i="37"/>
  <c r="AD1432" i="37" s="1"/>
  <c r="AL1431" i="37"/>
  <c r="AF1431" i="37"/>
  <c r="AG1431" i="37" s="1"/>
  <c r="AE1431" i="37"/>
  <c r="AB1431" i="37"/>
  <c r="U1431" i="37"/>
  <c r="Q1431" i="37"/>
  <c r="R1431" i="37" s="1"/>
  <c r="M1431" i="37"/>
  <c r="L1431" i="37" s="1"/>
  <c r="D1431" i="37"/>
  <c r="AD1431" i="37" s="1"/>
  <c r="AL1430" i="37"/>
  <c r="AF1430" i="37"/>
  <c r="AG1430" i="37" s="1"/>
  <c r="AE1430" i="37"/>
  <c r="AB1430" i="37"/>
  <c r="U1430" i="37"/>
  <c r="Q1430" i="37"/>
  <c r="X1430" i="37" s="1"/>
  <c r="Y1430" i="37" s="1"/>
  <c r="M1430" i="37"/>
  <c r="L1430" i="37" s="1"/>
  <c r="D1430" i="37"/>
  <c r="AD1430" i="37" s="1"/>
  <c r="AL1429" i="37"/>
  <c r="AF1429" i="37"/>
  <c r="AG1429" i="37" s="1"/>
  <c r="AE1429" i="37"/>
  <c r="AB1429" i="37"/>
  <c r="U1429" i="37"/>
  <c r="Q1429" i="37"/>
  <c r="X1429" i="37" s="1"/>
  <c r="Y1429" i="37" s="1"/>
  <c r="M1429" i="37"/>
  <c r="L1429" i="37" s="1"/>
  <c r="D1429" i="37"/>
  <c r="AD1429" i="37" s="1"/>
  <c r="AL1428" i="37"/>
  <c r="AF1428" i="37"/>
  <c r="AG1428" i="37" s="1"/>
  <c r="AE1428" i="37"/>
  <c r="AB1428" i="37"/>
  <c r="U1428" i="37"/>
  <c r="Q1428" i="37"/>
  <c r="R1428" i="37" s="1"/>
  <c r="M1428" i="37"/>
  <c r="L1428" i="37" s="1"/>
  <c r="D1428" i="37"/>
  <c r="AD1428" i="37" s="1"/>
  <c r="AL1427" i="37"/>
  <c r="AF1427" i="37"/>
  <c r="AG1427" i="37" s="1"/>
  <c r="AE1427" i="37"/>
  <c r="AB1427" i="37"/>
  <c r="U1427" i="37"/>
  <c r="Q1427" i="37"/>
  <c r="X1427" i="37" s="1"/>
  <c r="Y1427" i="37" s="1"/>
  <c r="M1427" i="37"/>
  <c r="L1427" i="37" s="1"/>
  <c r="D1427" i="37"/>
  <c r="AD1427" i="37" s="1"/>
  <c r="AL1426" i="37"/>
  <c r="AF1426" i="37"/>
  <c r="AG1426" i="37" s="1"/>
  <c r="AE1426" i="37"/>
  <c r="AB1426" i="37"/>
  <c r="U1426" i="37"/>
  <c r="R1426" i="37"/>
  <c r="Q1426" i="37"/>
  <c r="X1426" i="37" s="1"/>
  <c r="Y1426" i="37" s="1"/>
  <c r="M1426" i="37"/>
  <c r="L1426" i="37" s="1"/>
  <c r="D1426" i="37"/>
  <c r="AD1426" i="37" s="1"/>
  <c r="AL1425" i="37"/>
  <c r="AF1425" i="37"/>
  <c r="AG1425" i="37" s="1"/>
  <c r="AE1425" i="37"/>
  <c r="AB1425" i="37"/>
  <c r="U1425" i="37"/>
  <c r="Q1425" i="37"/>
  <c r="X1425" i="37" s="1"/>
  <c r="Y1425" i="37" s="1"/>
  <c r="M1425" i="37"/>
  <c r="L1425" i="37" s="1"/>
  <c r="D1425" i="37"/>
  <c r="AD1425" i="37" s="1"/>
  <c r="AL1424" i="37"/>
  <c r="AF1424" i="37"/>
  <c r="AG1424" i="37" s="1"/>
  <c r="AE1424" i="37"/>
  <c r="AB1424" i="37"/>
  <c r="U1424" i="37"/>
  <c r="Q1424" i="37"/>
  <c r="X1424" i="37" s="1"/>
  <c r="Y1424" i="37" s="1"/>
  <c r="M1424" i="37"/>
  <c r="L1424" i="37" s="1"/>
  <c r="D1424" i="37"/>
  <c r="AD1424" i="37" s="1"/>
  <c r="AL1422" i="37"/>
  <c r="AF1422" i="37"/>
  <c r="AG1422" i="37" s="1"/>
  <c r="AE1422" i="37"/>
  <c r="AB1422" i="37"/>
  <c r="U1422" i="37"/>
  <c r="Q1422" i="37"/>
  <c r="X1422" i="37" s="1"/>
  <c r="Y1422" i="37" s="1"/>
  <c r="M1422" i="37"/>
  <c r="L1422" i="37" s="1"/>
  <c r="D1422" i="37"/>
  <c r="AD1422" i="37" s="1"/>
  <c r="AL1421" i="37"/>
  <c r="AF1421" i="37"/>
  <c r="AG1421" i="37" s="1"/>
  <c r="AE1421" i="37"/>
  <c r="AB1421" i="37"/>
  <c r="U1421" i="37"/>
  <c r="Q1421" i="37"/>
  <c r="X1421" i="37" s="1"/>
  <c r="Y1421" i="37" s="1"/>
  <c r="M1421" i="37"/>
  <c r="L1421" i="37" s="1"/>
  <c r="D1421" i="37"/>
  <c r="AD1421" i="37" s="1"/>
  <c r="AL1420" i="37"/>
  <c r="AF1420" i="37"/>
  <c r="AG1420" i="37" s="1"/>
  <c r="AE1420" i="37"/>
  <c r="AB1420" i="37"/>
  <c r="U1420" i="37"/>
  <c r="Q1420" i="37"/>
  <c r="R1420" i="37" s="1"/>
  <c r="M1420" i="37"/>
  <c r="L1420" i="37" s="1"/>
  <c r="D1420" i="37"/>
  <c r="AD1420" i="37" s="1"/>
  <c r="AL1419" i="37"/>
  <c r="AF1419" i="37"/>
  <c r="AG1419" i="37" s="1"/>
  <c r="AE1419" i="37"/>
  <c r="AB1419" i="37"/>
  <c r="U1419" i="37"/>
  <c r="Q1419" i="37"/>
  <c r="R1419" i="37" s="1"/>
  <c r="M1419" i="37"/>
  <c r="L1419" i="37" s="1"/>
  <c r="D1419" i="37"/>
  <c r="AD1419" i="37" s="1"/>
  <c r="AL1418" i="37"/>
  <c r="AF1418" i="37"/>
  <c r="AG1418" i="37" s="1"/>
  <c r="AE1418" i="37"/>
  <c r="AB1418" i="37"/>
  <c r="U1418" i="37"/>
  <c r="Q1418" i="37"/>
  <c r="X1418" i="37" s="1"/>
  <c r="Y1418" i="37" s="1"/>
  <c r="M1418" i="37"/>
  <c r="L1418" i="37" s="1"/>
  <c r="D1418" i="37"/>
  <c r="AD1418" i="37" s="1"/>
  <c r="AL1417" i="37"/>
  <c r="AF1417" i="37"/>
  <c r="AG1417" i="37" s="1"/>
  <c r="AE1417" i="37"/>
  <c r="AB1417" i="37"/>
  <c r="U1417" i="37"/>
  <c r="Q1417" i="37"/>
  <c r="X1417" i="37" s="1"/>
  <c r="Y1417" i="37" s="1"/>
  <c r="M1417" i="37"/>
  <c r="L1417" i="37" s="1"/>
  <c r="D1417" i="37"/>
  <c r="AD1417" i="37" s="1"/>
  <c r="AL1416" i="37"/>
  <c r="AF1416" i="37"/>
  <c r="AG1416" i="37" s="1"/>
  <c r="AE1416" i="37"/>
  <c r="AB1416" i="37"/>
  <c r="U1416" i="37"/>
  <c r="Q1416" i="37"/>
  <c r="R1416" i="37" s="1"/>
  <c r="M1416" i="37"/>
  <c r="L1416" i="37" s="1"/>
  <c r="D1416" i="37"/>
  <c r="AD1416" i="37" s="1"/>
  <c r="AL1415" i="37"/>
  <c r="AF1415" i="37"/>
  <c r="AG1415" i="37" s="1"/>
  <c r="AE1415" i="37"/>
  <c r="AB1415" i="37"/>
  <c r="U1415" i="37"/>
  <c r="Q1415" i="37"/>
  <c r="X1415" i="37" s="1"/>
  <c r="Y1415" i="37" s="1"/>
  <c r="M1415" i="37"/>
  <c r="L1415" i="37" s="1"/>
  <c r="D1415" i="37"/>
  <c r="AD1415" i="37" s="1"/>
  <c r="AL1413" i="37"/>
  <c r="AF1413" i="37"/>
  <c r="AG1413" i="37" s="1"/>
  <c r="AE1413" i="37"/>
  <c r="AB1413" i="37"/>
  <c r="U1413" i="37"/>
  <c r="Q1413" i="37"/>
  <c r="X1413" i="37" s="1"/>
  <c r="Y1413" i="37" s="1"/>
  <c r="M1413" i="37"/>
  <c r="L1413" i="37" s="1"/>
  <c r="D1413" i="37"/>
  <c r="AD1413" i="37" s="1"/>
  <c r="AL1412" i="37"/>
  <c r="AF1412" i="37"/>
  <c r="AG1412" i="37" s="1"/>
  <c r="AE1412" i="37"/>
  <c r="AB1412" i="37"/>
  <c r="U1412" i="37"/>
  <c r="Q1412" i="37"/>
  <c r="R1412" i="37" s="1"/>
  <c r="M1412" i="37"/>
  <c r="L1412" i="37" s="1"/>
  <c r="D1412" i="37"/>
  <c r="AD1412" i="37" s="1"/>
  <c r="AL1411" i="37"/>
  <c r="AF1411" i="37"/>
  <c r="AG1411" i="37" s="1"/>
  <c r="AE1411" i="37"/>
  <c r="AB1411" i="37"/>
  <c r="U1411" i="37"/>
  <c r="Q1411" i="37"/>
  <c r="X1411" i="37" s="1"/>
  <c r="Y1411" i="37" s="1"/>
  <c r="M1411" i="37"/>
  <c r="L1411" i="37" s="1"/>
  <c r="D1411" i="37"/>
  <c r="AD1411" i="37" s="1"/>
  <c r="AL1410" i="37"/>
  <c r="AF1410" i="37"/>
  <c r="AG1410" i="37" s="1"/>
  <c r="AE1410" i="37"/>
  <c r="AB1410" i="37"/>
  <c r="U1410" i="37"/>
  <c r="Q1410" i="37"/>
  <c r="R1410" i="37" s="1"/>
  <c r="M1410" i="37"/>
  <c r="L1410" i="37" s="1"/>
  <c r="D1410" i="37"/>
  <c r="AD1410" i="37" s="1"/>
  <c r="AL1409" i="37"/>
  <c r="AF1409" i="37"/>
  <c r="AG1409" i="37" s="1"/>
  <c r="AE1409" i="37"/>
  <c r="AB1409" i="37"/>
  <c r="U1409" i="37"/>
  <c r="Q1409" i="37"/>
  <c r="X1409" i="37" s="1"/>
  <c r="Y1409" i="37" s="1"/>
  <c r="M1409" i="37"/>
  <c r="L1409" i="37" s="1"/>
  <c r="D1409" i="37"/>
  <c r="AD1409" i="37" s="1"/>
  <c r="AL1408" i="37"/>
  <c r="AF1408" i="37"/>
  <c r="AG1408" i="37" s="1"/>
  <c r="AE1408" i="37"/>
  <c r="AB1408" i="37"/>
  <c r="U1408" i="37"/>
  <c r="Q1408" i="37"/>
  <c r="X1408" i="37" s="1"/>
  <c r="Y1408" i="37" s="1"/>
  <c r="M1408" i="37"/>
  <c r="L1408" i="37" s="1"/>
  <c r="D1408" i="37"/>
  <c r="AD1408" i="37" s="1"/>
  <c r="AL1407" i="37"/>
  <c r="AF1407" i="37"/>
  <c r="AG1407" i="37" s="1"/>
  <c r="AE1407" i="37"/>
  <c r="AB1407" i="37"/>
  <c r="U1407" i="37"/>
  <c r="Q1407" i="37"/>
  <c r="R1407" i="37" s="1"/>
  <c r="M1407" i="37"/>
  <c r="L1407" i="37" s="1"/>
  <c r="D1407" i="37"/>
  <c r="AD1407" i="37" s="1"/>
  <c r="AL1406" i="37"/>
  <c r="AF1406" i="37"/>
  <c r="AG1406" i="37" s="1"/>
  <c r="AE1406" i="37"/>
  <c r="AB1406" i="37"/>
  <c r="U1406" i="37"/>
  <c r="Q1406" i="37"/>
  <c r="X1406" i="37" s="1"/>
  <c r="Y1406" i="37" s="1"/>
  <c r="M1406" i="37"/>
  <c r="L1406" i="37" s="1"/>
  <c r="D1406" i="37"/>
  <c r="AD1406" i="37" s="1"/>
  <c r="AL1405" i="37"/>
  <c r="AF1405" i="37"/>
  <c r="AG1405" i="37" s="1"/>
  <c r="AE1405" i="37"/>
  <c r="AB1405" i="37"/>
  <c r="U1405" i="37"/>
  <c r="Q1405" i="37"/>
  <c r="X1405" i="37" s="1"/>
  <c r="Y1405" i="37" s="1"/>
  <c r="M1405" i="37"/>
  <c r="L1405" i="37" s="1"/>
  <c r="D1405" i="37"/>
  <c r="AD1405" i="37" s="1"/>
  <c r="AL1403" i="37"/>
  <c r="AF1403" i="37"/>
  <c r="AG1403" i="37" s="1"/>
  <c r="AE1403" i="37"/>
  <c r="AB1403" i="37"/>
  <c r="U1403" i="37"/>
  <c r="Q1403" i="37"/>
  <c r="R1403" i="37" s="1"/>
  <c r="M1403" i="37"/>
  <c r="L1403" i="37" s="1"/>
  <c r="D1403" i="37"/>
  <c r="AD1403" i="37" s="1"/>
  <c r="AL1402" i="37"/>
  <c r="AF1402" i="37"/>
  <c r="AG1402" i="37" s="1"/>
  <c r="AE1402" i="37"/>
  <c r="AB1402" i="37"/>
  <c r="U1402" i="37"/>
  <c r="Q1402" i="37"/>
  <c r="R1402" i="37" s="1"/>
  <c r="M1402" i="37"/>
  <c r="L1402" i="37" s="1"/>
  <c r="D1402" i="37"/>
  <c r="AD1402" i="37" s="1"/>
  <c r="AL1401" i="37"/>
  <c r="AF1401" i="37"/>
  <c r="AG1401" i="37" s="1"/>
  <c r="AE1401" i="37"/>
  <c r="AB1401" i="37"/>
  <c r="U1401" i="37"/>
  <c r="Q1401" i="37"/>
  <c r="X1401" i="37" s="1"/>
  <c r="Y1401" i="37" s="1"/>
  <c r="M1401" i="37"/>
  <c r="L1401" i="37" s="1"/>
  <c r="D1401" i="37"/>
  <c r="AD1401" i="37" s="1"/>
  <c r="AL1400" i="37"/>
  <c r="AF1400" i="37"/>
  <c r="AG1400" i="37" s="1"/>
  <c r="AE1400" i="37"/>
  <c r="AB1400" i="37"/>
  <c r="U1400" i="37"/>
  <c r="Q1400" i="37"/>
  <c r="X1400" i="37" s="1"/>
  <c r="Y1400" i="37" s="1"/>
  <c r="M1400" i="37"/>
  <c r="L1400" i="37" s="1"/>
  <c r="D1400" i="37"/>
  <c r="AD1400" i="37" s="1"/>
  <c r="AL1399" i="37"/>
  <c r="AF1399" i="37"/>
  <c r="AG1399" i="37" s="1"/>
  <c r="AE1399" i="37"/>
  <c r="AB1399" i="37"/>
  <c r="U1399" i="37"/>
  <c r="Q1399" i="37"/>
  <c r="R1399" i="37" s="1"/>
  <c r="M1399" i="37"/>
  <c r="L1399" i="37" s="1"/>
  <c r="D1399" i="37"/>
  <c r="AD1399" i="37" s="1"/>
  <c r="AL1398" i="37"/>
  <c r="AF1398" i="37"/>
  <c r="AG1398" i="37" s="1"/>
  <c r="AE1398" i="37"/>
  <c r="AB1398" i="37"/>
  <c r="U1398" i="37"/>
  <c r="Q1398" i="37"/>
  <c r="R1398" i="37" s="1"/>
  <c r="M1398" i="37"/>
  <c r="L1398" i="37" s="1"/>
  <c r="D1398" i="37"/>
  <c r="AD1398" i="37" s="1"/>
  <c r="AL1397" i="37"/>
  <c r="AF1397" i="37"/>
  <c r="AG1397" i="37" s="1"/>
  <c r="AE1397" i="37"/>
  <c r="AB1397" i="37"/>
  <c r="U1397" i="37"/>
  <c r="Q1397" i="37"/>
  <c r="X1397" i="37" s="1"/>
  <c r="Y1397" i="37" s="1"/>
  <c r="M1397" i="37"/>
  <c r="L1397" i="37" s="1"/>
  <c r="D1397" i="37"/>
  <c r="AD1397" i="37" s="1"/>
  <c r="AL1396" i="37"/>
  <c r="AF1396" i="37"/>
  <c r="AG1396" i="37" s="1"/>
  <c r="AE1396" i="37"/>
  <c r="AB1396" i="37"/>
  <c r="U1396" i="37"/>
  <c r="Q1396" i="37"/>
  <c r="R1396" i="37" s="1"/>
  <c r="M1396" i="37"/>
  <c r="L1396" i="37" s="1"/>
  <c r="D1396" i="37"/>
  <c r="AD1396" i="37" s="1"/>
  <c r="AL1395" i="37"/>
  <c r="AF1395" i="37"/>
  <c r="AG1395" i="37" s="1"/>
  <c r="AE1395" i="37"/>
  <c r="AB1395" i="37"/>
  <c r="U1395" i="37"/>
  <c r="Q1395" i="37"/>
  <c r="X1395" i="37" s="1"/>
  <c r="Y1395" i="37" s="1"/>
  <c r="M1395" i="37"/>
  <c r="L1395" i="37" s="1"/>
  <c r="D1395" i="37"/>
  <c r="AD1395" i="37" s="1"/>
  <c r="AL1394" i="37"/>
  <c r="AF1394" i="37"/>
  <c r="AG1394" i="37" s="1"/>
  <c r="AE1394" i="37"/>
  <c r="AB1394" i="37"/>
  <c r="U1394" i="37"/>
  <c r="Q1394" i="37"/>
  <c r="X1394" i="37" s="1"/>
  <c r="Y1394" i="37" s="1"/>
  <c r="M1394" i="37"/>
  <c r="L1394" i="37" s="1"/>
  <c r="D1394" i="37"/>
  <c r="AD1394" i="37" s="1"/>
  <c r="AL1393" i="37"/>
  <c r="AF1393" i="37"/>
  <c r="AG1393" i="37" s="1"/>
  <c r="AE1393" i="37"/>
  <c r="AB1393" i="37"/>
  <c r="U1393" i="37"/>
  <c r="Q1393" i="37"/>
  <c r="X1393" i="37" s="1"/>
  <c r="Y1393" i="37" s="1"/>
  <c r="M1393" i="37"/>
  <c r="L1393" i="37" s="1"/>
  <c r="D1393" i="37"/>
  <c r="AD1393" i="37" s="1"/>
  <c r="AL1392" i="37"/>
  <c r="AF1392" i="37"/>
  <c r="AG1392" i="37" s="1"/>
  <c r="AE1392" i="37"/>
  <c r="AB1392" i="37"/>
  <c r="U1392" i="37"/>
  <c r="Q1392" i="37"/>
  <c r="X1392" i="37" s="1"/>
  <c r="Y1392" i="37" s="1"/>
  <c r="M1392" i="37"/>
  <c r="L1392" i="37" s="1"/>
  <c r="D1392" i="37"/>
  <c r="AD1392" i="37" s="1"/>
  <c r="AL1391" i="37"/>
  <c r="AF1391" i="37"/>
  <c r="AG1391" i="37" s="1"/>
  <c r="AE1391" i="37"/>
  <c r="AB1391" i="37"/>
  <c r="U1391" i="37"/>
  <c r="Q1391" i="37"/>
  <c r="X1391" i="37" s="1"/>
  <c r="Y1391" i="37" s="1"/>
  <c r="M1391" i="37"/>
  <c r="L1391" i="37" s="1"/>
  <c r="D1391" i="37"/>
  <c r="AD1391" i="37" s="1"/>
  <c r="AL1390" i="37"/>
  <c r="AF1390" i="37"/>
  <c r="AG1390" i="37" s="1"/>
  <c r="AE1390" i="37"/>
  <c r="AB1390" i="37"/>
  <c r="U1390" i="37"/>
  <c r="Q1390" i="37"/>
  <c r="X1390" i="37" s="1"/>
  <c r="Y1390" i="37" s="1"/>
  <c r="M1390" i="37"/>
  <c r="L1390" i="37" s="1"/>
  <c r="D1390" i="37"/>
  <c r="AD1390" i="37" s="1"/>
  <c r="AL1389" i="37"/>
  <c r="AF1389" i="37"/>
  <c r="AG1389" i="37" s="1"/>
  <c r="AE1389" i="37"/>
  <c r="AB1389" i="37"/>
  <c r="U1389" i="37"/>
  <c r="Q1389" i="37"/>
  <c r="R1389" i="37" s="1"/>
  <c r="M1389" i="37"/>
  <c r="L1389" i="37" s="1"/>
  <c r="D1389" i="37"/>
  <c r="AD1389" i="37" s="1"/>
  <c r="AL1388" i="37"/>
  <c r="AF1388" i="37"/>
  <c r="AG1388" i="37" s="1"/>
  <c r="AE1388" i="37"/>
  <c r="AB1388" i="37"/>
  <c r="U1388" i="37"/>
  <c r="Q1388" i="37"/>
  <c r="R1388" i="37" s="1"/>
  <c r="M1388" i="37"/>
  <c r="L1388" i="37" s="1"/>
  <c r="D1388" i="37"/>
  <c r="AD1388" i="37" s="1"/>
  <c r="AL1387" i="37"/>
  <c r="AF1387" i="37"/>
  <c r="AG1387" i="37" s="1"/>
  <c r="AE1387" i="37"/>
  <c r="AB1387" i="37"/>
  <c r="U1387" i="37"/>
  <c r="Q1387" i="37"/>
  <c r="R1387" i="37" s="1"/>
  <c r="M1387" i="37"/>
  <c r="L1387" i="37" s="1"/>
  <c r="D1387" i="37"/>
  <c r="AD1387" i="37" s="1"/>
  <c r="AL1386" i="37"/>
  <c r="AF1386" i="37"/>
  <c r="AG1386" i="37" s="1"/>
  <c r="AE1386" i="37"/>
  <c r="AB1386" i="37"/>
  <c r="U1386" i="37"/>
  <c r="Q1386" i="37"/>
  <c r="R1386" i="37" s="1"/>
  <c r="M1386" i="37"/>
  <c r="L1386" i="37" s="1"/>
  <c r="D1386" i="37"/>
  <c r="AD1386" i="37" s="1"/>
  <c r="AL1385" i="37"/>
  <c r="AF1385" i="37"/>
  <c r="AG1385" i="37" s="1"/>
  <c r="AE1385" i="37"/>
  <c r="AB1385" i="37"/>
  <c r="U1385" i="37"/>
  <c r="Q1385" i="37"/>
  <c r="X1385" i="37" s="1"/>
  <c r="Y1385" i="37" s="1"/>
  <c r="M1385" i="37"/>
  <c r="L1385" i="37" s="1"/>
  <c r="D1385" i="37"/>
  <c r="AD1385" i="37" s="1"/>
  <c r="AL1384" i="37"/>
  <c r="AF1384" i="37"/>
  <c r="AG1384" i="37" s="1"/>
  <c r="AE1384" i="37"/>
  <c r="AB1384" i="37"/>
  <c r="U1384" i="37"/>
  <c r="Q1384" i="37"/>
  <c r="R1384" i="37" s="1"/>
  <c r="M1384" i="37"/>
  <c r="L1384" i="37" s="1"/>
  <c r="D1384" i="37"/>
  <c r="AD1384" i="37" s="1"/>
  <c r="AL1383" i="37"/>
  <c r="AF1383" i="37"/>
  <c r="AG1383" i="37" s="1"/>
  <c r="AE1383" i="37"/>
  <c r="AB1383" i="37"/>
  <c r="U1383" i="37"/>
  <c r="Q1383" i="37"/>
  <c r="X1383" i="37" s="1"/>
  <c r="Y1383" i="37" s="1"/>
  <c r="M1383" i="37"/>
  <c r="L1383" i="37" s="1"/>
  <c r="D1383" i="37"/>
  <c r="AD1383" i="37" s="1"/>
  <c r="I1381" i="37"/>
  <c r="I1380" i="37"/>
  <c r="I1379" i="37"/>
  <c r="I1378" i="37"/>
  <c r="I1377" i="37"/>
  <c r="H1381" i="37"/>
  <c r="H1380" i="37"/>
  <c r="H1379" i="37"/>
  <c r="H1378" i="37"/>
  <c r="H1377" i="37"/>
  <c r="AL1381" i="37"/>
  <c r="AE1381" i="37"/>
  <c r="AB1381" i="37"/>
  <c r="Q1381" i="37"/>
  <c r="R1381" i="37" s="1"/>
  <c r="D1381" i="37"/>
  <c r="AD1381" i="37" s="1"/>
  <c r="AL1380" i="37"/>
  <c r="AE1380" i="37"/>
  <c r="AB1380" i="37"/>
  <c r="Q1380" i="37"/>
  <c r="X1380" i="37" s="1"/>
  <c r="Y1380" i="37" s="1"/>
  <c r="D1380" i="37"/>
  <c r="AD1380" i="37" s="1"/>
  <c r="AL1379" i="37"/>
  <c r="AE1379" i="37"/>
  <c r="AB1379" i="37"/>
  <c r="Q1379" i="37"/>
  <c r="X1379" i="37" s="1"/>
  <c r="Y1379" i="37" s="1"/>
  <c r="D1379" i="37"/>
  <c r="AD1379" i="37" s="1"/>
  <c r="AL1378" i="37"/>
  <c r="AE1378" i="37"/>
  <c r="AB1378" i="37"/>
  <c r="Q1378" i="37"/>
  <c r="R1378" i="37" s="1"/>
  <c r="D1378" i="37"/>
  <c r="AD1378" i="37" s="1"/>
  <c r="AL1376" i="37"/>
  <c r="AF1376" i="37"/>
  <c r="AG1376" i="37" s="1"/>
  <c r="AE1376" i="37"/>
  <c r="AB1376" i="37"/>
  <c r="U1376" i="37"/>
  <c r="Q1376" i="37"/>
  <c r="R1376" i="37" s="1"/>
  <c r="M1376" i="37"/>
  <c r="L1376" i="37" s="1"/>
  <c r="D1376" i="37"/>
  <c r="AD1376" i="37" s="1"/>
  <c r="AL1375" i="37"/>
  <c r="AF1375" i="37"/>
  <c r="AG1375" i="37" s="1"/>
  <c r="AE1375" i="37"/>
  <c r="AB1375" i="37"/>
  <c r="U1375" i="37"/>
  <c r="Q1375" i="37"/>
  <c r="X1375" i="37" s="1"/>
  <c r="Y1375" i="37" s="1"/>
  <c r="M1375" i="37"/>
  <c r="L1375" i="37" s="1"/>
  <c r="D1375" i="37"/>
  <c r="AD1375" i="37" s="1"/>
  <c r="AL1374" i="37"/>
  <c r="AF1374" i="37"/>
  <c r="AG1374" i="37" s="1"/>
  <c r="AE1374" i="37"/>
  <c r="AB1374" i="37"/>
  <c r="U1374" i="37"/>
  <c r="Q1374" i="37"/>
  <c r="R1374" i="37" s="1"/>
  <c r="M1374" i="37"/>
  <c r="L1374" i="37" s="1"/>
  <c r="D1374" i="37"/>
  <c r="AD1374" i="37" s="1"/>
  <c r="AL1372" i="37"/>
  <c r="AF1372" i="37"/>
  <c r="AG1372" i="37" s="1"/>
  <c r="AE1372" i="37"/>
  <c r="AB1372" i="37"/>
  <c r="U1372" i="37"/>
  <c r="Q1372" i="37"/>
  <c r="R1372" i="37" s="1"/>
  <c r="M1372" i="37"/>
  <c r="L1372" i="37" s="1"/>
  <c r="D1372" i="37"/>
  <c r="AD1372" i="37" s="1"/>
  <c r="AL1371" i="37"/>
  <c r="AF1371" i="37"/>
  <c r="AG1371" i="37" s="1"/>
  <c r="AE1371" i="37"/>
  <c r="AB1371" i="37"/>
  <c r="U1371" i="37"/>
  <c r="Q1371" i="37"/>
  <c r="X1371" i="37" s="1"/>
  <c r="Y1371" i="37" s="1"/>
  <c r="M1371" i="37"/>
  <c r="L1371" i="37" s="1"/>
  <c r="D1371" i="37"/>
  <c r="AD1371" i="37" s="1"/>
  <c r="AL1353" i="37"/>
  <c r="AF1353" i="37"/>
  <c r="AG1353" i="37" s="1"/>
  <c r="AE1353" i="37"/>
  <c r="AB1353" i="37"/>
  <c r="U1353" i="37"/>
  <c r="Q1353" i="37"/>
  <c r="X1353" i="37" s="1"/>
  <c r="Y1353" i="37" s="1"/>
  <c r="M1353" i="37"/>
  <c r="L1353" i="37" s="1"/>
  <c r="D1353" i="37"/>
  <c r="AD1353" i="37" s="1"/>
  <c r="AL1352" i="37"/>
  <c r="AF1352" i="37"/>
  <c r="AG1352" i="37" s="1"/>
  <c r="AE1352" i="37"/>
  <c r="AB1352" i="37"/>
  <c r="U1352" i="37"/>
  <c r="Q1352" i="37"/>
  <c r="X1352" i="37" s="1"/>
  <c r="Y1352" i="37" s="1"/>
  <c r="M1352" i="37"/>
  <c r="L1352" i="37" s="1"/>
  <c r="D1352" i="37"/>
  <c r="AD1352" i="37" s="1"/>
  <c r="AL1351" i="37"/>
  <c r="AF1351" i="37"/>
  <c r="AG1351" i="37" s="1"/>
  <c r="AE1351" i="37"/>
  <c r="AB1351" i="37"/>
  <c r="U1351" i="37"/>
  <c r="Q1351" i="37"/>
  <c r="X1351" i="37" s="1"/>
  <c r="Y1351" i="37" s="1"/>
  <c r="M1351" i="37"/>
  <c r="L1351" i="37" s="1"/>
  <c r="D1351" i="37"/>
  <c r="AD1351" i="37" s="1"/>
  <c r="AL1350" i="37"/>
  <c r="AF1350" i="37"/>
  <c r="AG1350" i="37" s="1"/>
  <c r="AE1350" i="37"/>
  <c r="AB1350" i="37"/>
  <c r="U1350" i="37"/>
  <c r="Q1350" i="37"/>
  <c r="X1350" i="37" s="1"/>
  <c r="Y1350" i="37" s="1"/>
  <c r="M1350" i="37"/>
  <c r="L1350" i="37" s="1"/>
  <c r="D1350" i="37"/>
  <c r="AD1350" i="37" s="1"/>
  <c r="AL1349" i="37"/>
  <c r="AF1349" i="37"/>
  <c r="AG1349" i="37" s="1"/>
  <c r="AE1349" i="37"/>
  <c r="AB1349" i="37"/>
  <c r="U1349" i="37"/>
  <c r="Q1349" i="37"/>
  <c r="X1349" i="37" s="1"/>
  <c r="Y1349" i="37" s="1"/>
  <c r="M1349" i="37"/>
  <c r="L1349" i="37" s="1"/>
  <c r="D1349" i="37"/>
  <c r="AD1349" i="37" s="1"/>
  <c r="AL1348" i="37"/>
  <c r="AF1348" i="37"/>
  <c r="AG1348" i="37" s="1"/>
  <c r="AE1348" i="37"/>
  <c r="AB1348" i="37"/>
  <c r="U1348" i="37"/>
  <c r="Q1348" i="37"/>
  <c r="X1348" i="37" s="1"/>
  <c r="Y1348" i="37" s="1"/>
  <c r="M1348" i="37"/>
  <c r="L1348" i="37" s="1"/>
  <c r="D1348" i="37"/>
  <c r="AD1348" i="37" s="1"/>
  <c r="AL1347" i="37"/>
  <c r="AF1347" i="37"/>
  <c r="AG1347" i="37" s="1"/>
  <c r="AE1347" i="37"/>
  <c r="AB1347" i="37"/>
  <c r="U1347" i="37"/>
  <c r="Q1347" i="37"/>
  <c r="X1347" i="37" s="1"/>
  <c r="Y1347" i="37" s="1"/>
  <c r="M1347" i="37"/>
  <c r="L1347" i="37" s="1"/>
  <c r="D1347" i="37"/>
  <c r="AD1347" i="37" s="1"/>
  <c r="AL1346" i="37"/>
  <c r="AF1346" i="37"/>
  <c r="AG1346" i="37" s="1"/>
  <c r="AE1346" i="37"/>
  <c r="AB1346" i="37"/>
  <c r="U1346" i="37"/>
  <c r="Q1346" i="37"/>
  <c r="R1346" i="37" s="1"/>
  <c r="M1346" i="37"/>
  <c r="L1346" i="37" s="1"/>
  <c r="D1346" i="37"/>
  <c r="AD1346" i="37" s="1"/>
  <c r="D2" i="37"/>
  <c r="AD2" i="37" s="1"/>
  <c r="M2" i="37"/>
  <c r="L2" i="37" s="1"/>
  <c r="N2" i="37"/>
  <c r="N3" i="37" s="1"/>
  <c r="Q2" i="37"/>
  <c r="R2" i="37" s="1"/>
  <c r="U2" i="37"/>
  <c r="AB2" i="37"/>
  <c r="AE2" i="37"/>
  <c r="AF2" i="37"/>
  <c r="AG2" i="37" s="1"/>
  <c r="D3" i="37"/>
  <c r="AD3" i="37" s="1"/>
  <c r="M3" i="37"/>
  <c r="L3" i="37" s="1"/>
  <c r="Q3" i="37"/>
  <c r="R3" i="37" s="1"/>
  <c r="U3" i="37"/>
  <c r="AB3" i="37"/>
  <c r="AE3" i="37"/>
  <c r="AF3" i="37"/>
  <c r="AG3" i="37" s="1"/>
  <c r="D4" i="37"/>
  <c r="AD4" i="37" s="1"/>
  <c r="M4" i="37"/>
  <c r="L4" i="37" s="1"/>
  <c r="Q4" i="37"/>
  <c r="R4" i="37" s="1"/>
  <c r="U4" i="37"/>
  <c r="AB4" i="37"/>
  <c r="AE4" i="37"/>
  <c r="AF4" i="37"/>
  <c r="AG4" i="37" s="1"/>
  <c r="D5" i="37"/>
  <c r="AD5" i="37" s="1"/>
  <c r="M5" i="37"/>
  <c r="L5" i="37" s="1"/>
  <c r="Q5" i="37"/>
  <c r="R5" i="37" s="1"/>
  <c r="U5" i="37"/>
  <c r="AB5" i="37"/>
  <c r="AE5" i="37"/>
  <c r="AF5" i="37"/>
  <c r="AG5" i="37" s="1"/>
  <c r="D6" i="37"/>
  <c r="AD6" i="37" s="1"/>
  <c r="M6" i="37"/>
  <c r="L6" i="37" s="1"/>
  <c r="Q6" i="37"/>
  <c r="X6" i="37" s="1"/>
  <c r="Y6" i="37" s="1"/>
  <c r="U6" i="37"/>
  <c r="AB6" i="37"/>
  <c r="AE6" i="37"/>
  <c r="AF6" i="37"/>
  <c r="AG6" i="37" s="1"/>
  <c r="D7" i="37"/>
  <c r="AD7" i="37" s="1"/>
  <c r="M7" i="37"/>
  <c r="L7" i="37" s="1"/>
  <c r="Q7" i="37"/>
  <c r="X7" i="37" s="1"/>
  <c r="Y7" i="37" s="1"/>
  <c r="U7" i="37"/>
  <c r="AB7" i="37"/>
  <c r="AE7" i="37"/>
  <c r="AF7" i="37"/>
  <c r="AG7" i="37" s="1"/>
  <c r="D8" i="37"/>
  <c r="AD8" i="37" s="1"/>
  <c r="M8" i="37"/>
  <c r="L8" i="37" s="1"/>
  <c r="Q8" i="37"/>
  <c r="R8" i="37" s="1"/>
  <c r="U8" i="37"/>
  <c r="AB8" i="37"/>
  <c r="AE8" i="37"/>
  <c r="AF8" i="37"/>
  <c r="AG8" i="37" s="1"/>
  <c r="D9" i="37"/>
  <c r="AD9" i="37" s="1"/>
  <c r="M9" i="37"/>
  <c r="L9" i="37" s="1"/>
  <c r="Q9" i="37"/>
  <c r="R9" i="37" s="1"/>
  <c r="U9" i="37"/>
  <c r="AB9" i="37"/>
  <c r="AE9" i="37"/>
  <c r="AF9" i="37"/>
  <c r="AG9" i="37" s="1"/>
  <c r="D10" i="37"/>
  <c r="AD10" i="37" s="1"/>
  <c r="M10" i="37"/>
  <c r="L10" i="37" s="1"/>
  <c r="Q10" i="37"/>
  <c r="R10" i="37" s="1"/>
  <c r="U10" i="37"/>
  <c r="AB10" i="37"/>
  <c r="AE10" i="37"/>
  <c r="AF10" i="37"/>
  <c r="AG10" i="37" s="1"/>
  <c r="D11" i="37"/>
  <c r="AD11" i="37" s="1"/>
  <c r="M11" i="37"/>
  <c r="L11" i="37" s="1"/>
  <c r="Q11" i="37"/>
  <c r="R11" i="37" s="1"/>
  <c r="U11" i="37"/>
  <c r="AB11" i="37"/>
  <c r="AE11" i="37"/>
  <c r="AF11" i="37"/>
  <c r="AG11" i="37" s="1"/>
  <c r="D12" i="37"/>
  <c r="AD12" i="37" s="1"/>
  <c r="M12" i="37"/>
  <c r="L12" i="37" s="1"/>
  <c r="Q12" i="37"/>
  <c r="X12" i="37" s="1"/>
  <c r="Y12" i="37" s="1"/>
  <c r="U12" i="37"/>
  <c r="AB12" i="37"/>
  <c r="AE12" i="37"/>
  <c r="AF12" i="37"/>
  <c r="AG12" i="37" s="1"/>
  <c r="D13" i="37"/>
  <c r="AD13" i="37" s="1"/>
  <c r="M13" i="37"/>
  <c r="L13" i="37" s="1"/>
  <c r="Q13" i="37"/>
  <c r="R13" i="37" s="1"/>
  <c r="U13" i="37"/>
  <c r="AB13" i="37"/>
  <c r="AE13" i="37"/>
  <c r="AF13" i="37"/>
  <c r="AG13" i="37" s="1"/>
  <c r="D14" i="37"/>
  <c r="AD14" i="37" s="1"/>
  <c r="M14" i="37"/>
  <c r="L14" i="37" s="1"/>
  <c r="Q14" i="37"/>
  <c r="X14" i="37" s="1"/>
  <c r="Y14" i="37" s="1"/>
  <c r="U14" i="37"/>
  <c r="AB14" i="37"/>
  <c r="AE14" i="37"/>
  <c r="AF14" i="37"/>
  <c r="AG14" i="37" s="1"/>
  <c r="D15" i="37"/>
  <c r="AD15" i="37" s="1"/>
  <c r="M15" i="37"/>
  <c r="L15" i="37" s="1"/>
  <c r="Q15" i="37"/>
  <c r="X15" i="37" s="1"/>
  <c r="Y15" i="37" s="1"/>
  <c r="U15" i="37"/>
  <c r="AB15" i="37"/>
  <c r="AE15" i="37"/>
  <c r="AF15" i="37"/>
  <c r="AG15" i="37" s="1"/>
  <c r="D16" i="37"/>
  <c r="AD16" i="37" s="1"/>
  <c r="M16" i="37"/>
  <c r="L16" i="37" s="1"/>
  <c r="Q16" i="37"/>
  <c r="R16" i="37" s="1"/>
  <c r="U16" i="37"/>
  <c r="AB16" i="37"/>
  <c r="AE16" i="37"/>
  <c r="AF16" i="37"/>
  <c r="AG16" i="37" s="1"/>
  <c r="D17" i="37"/>
  <c r="AD17" i="37" s="1"/>
  <c r="M17" i="37"/>
  <c r="L17" i="37" s="1"/>
  <c r="Q17" i="37"/>
  <c r="R17" i="37" s="1"/>
  <c r="U17" i="37"/>
  <c r="AB17" i="37"/>
  <c r="AE17" i="37"/>
  <c r="AF17" i="37"/>
  <c r="AG17" i="37" s="1"/>
  <c r="D18" i="37"/>
  <c r="AD18" i="37" s="1"/>
  <c r="M18" i="37"/>
  <c r="L18" i="37" s="1"/>
  <c r="Q18" i="37"/>
  <c r="R18" i="37" s="1"/>
  <c r="U18" i="37"/>
  <c r="AB18" i="37"/>
  <c r="AE18" i="37"/>
  <c r="AF18" i="37"/>
  <c r="AG18" i="37" s="1"/>
  <c r="D19" i="37"/>
  <c r="AD19" i="37" s="1"/>
  <c r="M19" i="37"/>
  <c r="L19" i="37" s="1"/>
  <c r="Q19" i="37"/>
  <c r="X19" i="37" s="1"/>
  <c r="Y19" i="37" s="1"/>
  <c r="U19" i="37"/>
  <c r="AB19" i="37"/>
  <c r="AE19" i="37"/>
  <c r="AF19" i="37"/>
  <c r="AG19" i="37" s="1"/>
  <c r="D20" i="37"/>
  <c r="AD20" i="37" s="1"/>
  <c r="M20" i="37"/>
  <c r="L20" i="37" s="1"/>
  <c r="Q20" i="37"/>
  <c r="X20" i="37" s="1"/>
  <c r="Y20" i="37" s="1"/>
  <c r="U20" i="37"/>
  <c r="AB20" i="37"/>
  <c r="AE20" i="37"/>
  <c r="AF20" i="37"/>
  <c r="AG20" i="37" s="1"/>
  <c r="D21" i="37"/>
  <c r="AD21" i="37" s="1"/>
  <c r="M21" i="37"/>
  <c r="L21" i="37" s="1"/>
  <c r="Q21" i="37"/>
  <c r="R21" i="37" s="1"/>
  <c r="U21" i="37"/>
  <c r="AB21" i="37"/>
  <c r="AE21" i="37"/>
  <c r="AF21" i="37"/>
  <c r="AG21" i="37" s="1"/>
  <c r="D22" i="37"/>
  <c r="AD22" i="37" s="1"/>
  <c r="M22" i="37"/>
  <c r="L22" i="37" s="1"/>
  <c r="Q22" i="37"/>
  <c r="X22" i="37" s="1"/>
  <c r="Y22" i="37" s="1"/>
  <c r="U22" i="37"/>
  <c r="AB22" i="37"/>
  <c r="AE22" i="37"/>
  <c r="AF22" i="37"/>
  <c r="AG22" i="37" s="1"/>
  <c r="D23" i="37"/>
  <c r="AD23" i="37" s="1"/>
  <c r="M23" i="37"/>
  <c r="L23" i="37" s="1"/>
  <c r="Q23" i="37"/>
  <c r="R23" i="37" s="1"/>
  <c r="U23" i="37"/>
  <c r="AB23" i="37"/>
  <c r="AE23" i="37"/>
  <c r="AF23" i="37"/>
  <c r="AG23" i="37" s="1"/>
  <c r="D24" i="37"/>
  <c r="AD24" i="37" s="1"/>
  <c r="M24" i="37"/>
  <c r="L24" i="37" s="1"/>
  <c r="Q24" i="37"/>
  <c r="X24" i="37" s="1"/>
  <c r="Y24" i="37" s="1"/>
  <c r="U24" i="37"/>
  <c r="AB24" i="37"/>
  <c r="AE24" i="37"/>
  <c r="AF24" i="37"/>
  <c r="AG24" i="37" s="1"/>
  <c r="D25" i="37"/>
  <c r="AD25" i="37" s="1"/>
  <c r="M25" i="37"/>
  <c r="L25" i="37" s="1"/>
  <c r="Q25" i="37"/>
  <c r="X25" i="37" s="1"/>
  <c r="Y25" i="37" s="1"/>
  <c r="U25" i="37"/>
  <c r="AB25" i="37"/>
  <c r="AE25" i="37"/>
  <c r="AF25" i="37"/>
  <c r="AG25" i="37" s="1"/>
  <c r="D26" i="37"/>
  <c r="AD26" i="37" s="1"/>
  <c r="M26" i="37"/>
  <c r="L26" i="37" s="1"/>
  <c r="Q26" i="37"/>
  <c r="R26" i="37" s="1"/>
  <c r="U26" i="37"/>
  <c r="AB26" i="37"/>
  <c r="AE26" i="37"/>
  <c r="AF26" i="37"/>
  <c r="AG26" i="37" s="1"/>
  <c r="D27" i="37"/>
  <c r="AD27" i="37" s="1"/>
  <c r="M27" i="37"/>
  <c r="L27" i="37" s="1"/>
  <c r="Q27" i="37"/>
  <c r="X27" i="37" s="1"/>
  <c r="Y27" i="37" s="1"/>
  <c r="U27" i="37"/>
  <c r="AB27" i="37"/>
  <c r="AE27" i="37"/>
  <c r="AF27" i="37"/>
  <c r="AG27" i="37" s="1"/>
  <c r="D28" i="37"/>
  <c r="AD28" i="37" s="1"/>
  <c r="M28" i="37"/>
  <c r="L28" i="37" s="1"/>
  <c r="Q28" i="37"/>
  <c r="R28" i="37" s="1"/>
  <c r="U28" i="37"/>
  <c r="AB28" i="37"/>
  <c r="AE28" i="37"/>
  <c r="AF28" i="37"/>
  <c r="AG28" i="37" s="1"/>
  <c r="D29" i="37"/>
  <c r="AD29" i="37" s="1"/>
  <c r="M29" i="37"/>
  <c r="L29" i="37" s="1"/>
  <c r="Q29" i="37"/>
  <c r="R29" i="37" s="1"/>
  <c r="U29" i="37"/>
  <c r="AB29" i="37"/>
  <c r="AE29" i="37"/>
  <c r="AF29" i="37"/>
  <c r="AG29" i="37" s="1"/>
  <c r="D30" i="37"/>
  <c r="AD30" i="37" s="1"/>
  <c r="M30" i="37"/>
  <c r="L30" i="37" s="1"/>
  <c r="Q30" i="37"/>
  <c r="X30" i="37" s="1"/>
  <c r="Y30" i="37" s="1"/>
  <c r="U30" i="37"/>
  <c r="AB30" i="37"/>
  <c r="AE30" i="37"/>
  <c r="AF30" i="37"/>
  <c r="AG30" i="37" s="1"/>
  <c r="D31" i="37"/>
  <c r="AD31" i="37" s="1"/>
  <c r="M31" i="37"/>
  <c r="L31" i="37" s="1"/>
  <c r="Q31" i="37"/>
  <c r="R31" i="37" s="1"/>
  <c r="U31" i="37"/>
  <c r="AB31" i="37"/>
  <c r="AE31" i="37"/>
  <c r="AF31" i="37"/>
  <c r="AG31" i="37" s="1"/>
  <c r="D32" i="37"/>
  <c r="AD32" i="37" s="1"/>
  <c r="M32" i="37"/>
  <c r="L32" i="37" s="1"/>
  <c r="Q32" i="37"/>
  <c r="X32" i="37" s="1"/>
  <c r="Y32" i="37" s="1"/>
  <c r="U32" i="37"/>
  <c r="AB32" i="37"/>
  <c r="AE32" i="37"/>
  <c r="AF32" i="37"/>
  <c r="AG32" i="37" s="1"/>
  <c r="D33" i="37"/>
  <c r="AD33" i="37" s="1"/>
  <c r="M33" i="37"/>
  <c r="L33" i="37" s="1"/>
  <c r="Q33" i="37"/>
  <c r="R33" i="37" s="1"/>
  <c r="U33" i="37"/>
  <c r="AB33" i="37"/>
  <c r="AE33" i="37"/>
  <c r="AF33" i="37"/>
  <c r="AG33" i="37" s="1"/>
  <c r="D34" i="37"/>
  <c r="AD34" i="37" s="1"/>
  <c r="M34" i="37"/>
  <c r="L34" i="37" s="1"/>
  <c r="Q34" i="37"/>
  <c r="R34" i="37" s="1"/>
  <c r="U34" i="37"/>
  <c r="AB34" i="37"/>
  <c r="AE34" i="37"/>
  <c r="AF34" i="37"/>
  <c r="AG34" i="37" s="1"/>
  <c r="D35" i="37"/>
  <c r="AD35" i="37" s="1"/>
  <c r="M35" i="37"/>
  <c r="L35" i="37" s="1"/>
  <c r="Q35" i="37"/>
  <c r="X35" i="37" s="1"/>
  <c r="Y35" i="37" s="1"/>
  <c r="U35" i="37"/>
  <c r="AB35" i="37"/>
  <c r="AE35" i="37"/>
  <c r="AF35" i="37"/>
  <c r="AG35" i="37" s="1"/>
  <c r="D36" i="37"/>
  <c r="AD36" i="37" s="1"/>
  <c r="M36" i="37"/>
  <c r="L36" i="37" s="1"/>
  <c r="Q36" i="37"/>
  <c r="U36" i="37"/>
  <c r="AB36" i="37"/>
  <c r="AE36" i="37"/>
  <c r="AF36" i="37"/>
  <c r="AG36" i="37" s="1"/>
  <c r="D37" i="37"/>
  <c r="AD37" i="37" s="1"/>
  <c r="M37" i="37"/>
  <c r="L37" i="37" s="1"/>
  <c r="Q37" i="37"/>
  <c r="R37" i="37" s="1"/>
  <c r="U37" i="37"/>
  <c r="AB37" i="37"/>
  <c r="AE37" i="37"/>
  <c r="AF37" i="37"/>
  <c r="AG37" i="37" s="1"/>
  <c r="D38" i="37"/>
  <c r="AD38" i="37" s="1"/>
  <c r="M38" i="37"/>
  <c r="L38" i="37" s="1"/>
  <c r="Q38" i="37"/>
  <c r="X38" i="37" s="1"/>
  <c r="Y38" i="37" s="1"/>
  <c r="U38" i="37"/>
  <c r="AB38" i="37"/>
  <c r="AE38" i="37"/>
  <c r="AF38" i="37"/>
  <c r="AG38" i="37" s="1"/>
  <c r="D39" i="37"/>
  <c r="AD39" i="37" s="1"/>
  <c r="M39" i="37"/>
  <c r="L39" i="37" s="1"/>
  <c r="Q39" i="37"/>
  <c r="R39" i="37" s="1"/>
  <c r="U39" i="37"/>
  <c r="AB39" i="37"/>
  <c r="AE39" i="37"/>
  <c r="AF39" i="37"/>
  <c r="AG39" i="37" s="1"/>
  <c r="D40" i="37"/>
  <c r="AD40" i="37" s="1"/>
  <c r="M40" i="37"/>
  <c r="L40" i="37" s="1"/>
  <c r="Q40" i="37"/>
  <c r="U40" i="37"/>
  <c r="AB40" i="37"/>
  <c r="AE40" i="37"/>
  <c r="AF40" i="37"/>
  <c r="AG40" i="37" s="1"/>
  <c r="D41" i="37"/>
  <c r="AD41" i="37" s="1"/>
  <c r="M41" i="37"/>
  <c r="L41" i="37" s="1"/>
  <c r="Q41" i="37"/>
  <c r="R41" i="37" s="1"/>
  <c r="U41" i="37"/>
  <c r="AB41" i="37"/>
  <c r="AE41" i="37"/>
  <c r="AF41" i="37"/>
  <c r="AG41" i="37" s="1"/>
  <c r="D42" i="37"/>
  <c r="AD42" i="37" s="1"/>
  <c r="M42" i="37"/>
  <c r="L42" i="37" s="1"/>
  <c r="Q42" i="37"/>
  <c r="R42" i="37" s="1"/>
  <c r="U42" i="37"/>
  <c r="AB42" i="37"/>
  <c r="AE42" i="37"/>
  <c r="AF42" i="37"/>
  <c r="AG42" i="37" s="1"/>
  <c r="D43" i="37"/>
  <c r="AD43" i="37" s="1"/>
  <c r="M43" i="37"/>
  <c r="L43" i="37" s="1"/>
  <c r="Q43" i="37"/>
  <c r="R43" i="37" s="1"/>
  <c r="U43" i="37"/>
  <c r="AB43" i="37"/>
  <c r="AE43" i="37"/>
  <c r="AF43" i="37"/>
  <c r="AG43" i="37" s="1"/>
  <c r="D44" i="37"/>
  <c r="AD44" i="37" s="1"/>
  <c r="M44" i="37"/>
  <c r="L44" i="37" s="1"/>
  <c r="Q44" i="37"/>
  <c r="R44" i="37" s="1"/>
  <c r="U44" i="37"/>
  <c r="AB44" i="37"/>
  <c r="AE44" i="37"/>
  <c r="AF44" i="37"/>
  <c r="AG44" i="37" s="1"/>
  <c r="D45" i="37"/>
  <c r="AD45" i="37" s="1"/>
  <c r="M45" i="37"/>
  <c r="L45" i="37" s="1"/>
  <c r="Q45" i="37"/>
  <c r="R45" i="37" s="1"/>
  <c r="U45" i="37"/>
  <c r="AB45" i="37"/>
  <c r="AE45" i="37"/>
  <c r="AF45" i="37"/>
  <c r="AG45" i="37" s="1"/>
  <c r="D46" i="37"/>
  <c r="AD46" i="37" s="1"/>
  <c r="M46" i="37"/>
  <c r="L46" i="37" s="1"/>
  <c r="Q46" i="37"/>
  <c r="X46" i="37" s="1"/>
  <c r="Y46" i="37" s="1"/>
  <c r="U46" i="37"/>
  <c r="AB46" i="37"/>
  <c r="AE46" i="37"/>
  <c r="AF46" i="37"/>
  <c r="AG46" i="37" s="1"/>
  <c r="D47" i="37"/>
  <c r="AD47" i="37" s="1"/>
  <c r="M47" i="37"/>
  <c r="L47" i="37" s="1"/>
  <c r="Q47" i="37"/>
  <c r="R47" i="37" s="1"/>
  <c r="U47" i="37"/>
  <c r="AB47" i="37"/>
  <c r="AE47" i="37"/>
  <c r="AF47" i="37"/>
  <c r="AG47" i="37" s="1"/>
  <c r="D48" i="37"/>
  <c r="AD48" i="37" s="1"/>
  <c r="M48" i="37"/>
  <c r="L48" i="37" s="1"/>
  <c r="Q48" i="37"/>
  <c r="R48" i="37" s="1"/>
  <c r="U48" i="37"/>
  <c r="AB48" i="37"/>
  <c r="AE48" i="37"/>
  <c r="AF48" i="37"/>
  <c r="AG48" i="37" s="1"/>
  <c r="D49" i="37"/>
  <c r="AD49" i="37" s="1"/>
  <c r="M49" i="37"/>
  <c r="L49" i="37" s="1"/>
  <c r="Q49" i="37"/>
  <c r="R49" i="37" s="1"/>
  <c r="U49" i="37"/>
  <c r="AB49" i="37"/>
  <c r="AE49" i="37"/>
  <c r="AF49" i="37"/>
  <c r="AG49" i="37" s="1"/>
  <c r="D50" i="37"/>
  <c r="AD50" i="37" s="1"/>
  <c r="M50" i="37"/>
  <c r="L50" i="37" s="1"/>
  <c r="Q50" i="37"/>
  <c r="R50" i="37" s="1"/>
  <c r="U50" i="37"/>
  <c r="AB50" i="37"/>
  <c r="AE50" i="37"/>
  <c r="AF50" i="37"/>
  <c r="AG50" i="37" s="1"/>
  <c r="D51" i="37"/>
  <c r="AD51" i="37" s="1"/>
  <c r="M51" i="37"/>
  <c r="L51" i="37" s="1"/>
  <c r="Q51" i="37"/>
  <c r="X51" i="37" s="1"/>
  <c r="Y51" i="37" s="1"/>
  <c r="U51" i="37"/>
  <c r="AB51" i="37"/>
  <c r="AE51" i="37"/>
  <c r="AF51" i="37"/>
  <c r="AG51" i="37" s="1"/>
  <c r="D52" i="37"/>
  <c r="AD52" i="37" s="1"/>
  <c r="M52" i="37"/>
  <c r="L52" i="37" s="1"/>
  <c r="Q52" i="37"/>
  <c r="R52" i="37" s="1"/>
  <c r="U52" i="37"/>
  <c r="AB52" i="37"/>
  <c r="AE52" i="37"/>
  <c r="AF52" i="37"/>
  <c r="AG52" i="37" s="1"/>
  <c r="D53" i="37"/>
  <c r="AD53" i="37" s="1"/>
  <c r="M53" i="37"/>
  <c r="L53" i="37" s="1"/>
  <c r="Q53" i="37"/>
  <c r="R53" i="37" s="1"/>
  <c r="U53" i="37"/>
  <c r="AB53" i="37"/>
  <c r="AE53" i="37"/>
  <c r="AF53" i="37"/>
  <c r="AG53" i="37" s="1"/>
  <c r="D54" i="37"/>
  <c r="AD54" i="37" s="1"/>
  <c r="M54" i="37"/>
  <c r="L54" i="37" s="1"/>
  <c r="Q54" i="37"/>
  <c r="R54" i="37" s="1"/>
  <c r="U54" i="37"/>
  <c r="AB54" i="37"/>
  <c r="AE54" i="37"/>
  <c r="AF54" i="37"/>
  <c r="AG54" i="37" s="1"/>
  <c r="D55" i="37"/>
  <c r="AD55" i="37" s="1"/>
  <c r="M55" i="37"/>
  <c r="L55" i="37" s="1"/>
  <c r="Q55" i="37"/>
  <c r="X55" i="37" s="1"/>
  <c r="Y55" i="37" s="1"/>
  <c r="U55" i="37"/>
  <c r="AB55" i="37"/>
  <c r="AE55" i="37"/>
  <c r="AF55" i="37"/>
  <c r="AG55" i="37" s="1"/>
  <c r="D56" i="37"/>
  <c r="AD56" i="37" s="1"/>
  <c r="M56" i="37"/>
  <c r="L56" i="37" s="1"/>
  <c r="Q56" i="37"/>
  <c r="R56" i="37" s="1"/>
  <c r="U56" i="37"/>
  <c r="AB56" i="37"/>
  <c r="AE56" i="37"/>
  <c r="AF56" i="37"/>
  <c r="AG56" i="37" s="1"/>
  <c r="D57" i="37"/>
  <c r="AD57" i="37" s="1"/>
  <c r="M57" i="37"/>
  <c r="L57" i="37" s="1"/>
  <c r="Q57" i="37"/>
  <c r="R57" i="37" s="1"/>
  <c r="U57" i="37"/>
  <c r="AB57" i="37"/>
  <c r="AE57" i="37"/>
  <c r="AF57" i="37"/>
  <c r="AG57" i="37" s="1"/>
  <c r="D58" i="37"/>
  <c r="AD58" i="37" s="1"/>
  <c r="M58" i="37"/>
  <c r="L58" i="37" s="1"/>
  <c r="Q58" i="37"/>
  <c r="R58" i="37" s="1"/>
  <c r="U58" i="37"/>
  <c r="AB58" i="37"/>
  <c r="AE58" i="37"/>
  <c r="AF58" i="37"/>
  <c r="AG58" i="37" s="1"/>
  <c r="D59" i="37"/>
  <c r="AD59" i="37" s="1"/>
  <c r="M59" i="37"/>
  <c r="L59" i="37" s="1"/>
  <c r="Q59" i="37"/>
  <c r="X59" i="37" s="1"/>
  <c r="Y59" i="37" s="1"/>
  <c r="U59" i="37"/>
  <c r="AB59" i="37"/>
  <c r="AE59" i="37"/>
  <c r="AF59" i="37"/>
  <c r="AG59" i="37" s="1"/>
  <c r="D60" i="37"/>
  <c r="AD60" i="37" s="1"/>
  <c r="M60" i="37"/>
  <c r="L60" i="37" s="1"/>
  <c r="Q60" i="37"/>
  <c r="U60" i="37"/>
  <c r="AB60" i="37"/>
  <c r="AE60" i="37"/>
  <c r="AF60" i="37"/>
  <c r="AG60" i="37" s="1"/>
  <c r="D61" i="37"/>
  <c r="AD61" i="37" s="1"/>
  <c r="M61" i="37"/>
  <c r="L61" i="37" s="1"/>
  <c r="Q61" i="37"/>
  <c r="U61" i="37"/>
  <c r="AB61" i="37"/>
  <c r="AE61" i="37"/>
  <c r="AF61" i="37"/>
  <c r="AG61" i="37" s="1"/>
  <c r="D62" i="37"/>
  <c r="AD62" i="37" s="1"/>
  <c r="M62" i="37"/>
  <c r="L62" i="37" s="1"/>
  <c r="Q62" i="37"/>
  <c r="R62" i="37" s="1"/>
  <c r="U62" i="37"/>
  <c r="AB62" i="37"/>
  <c r="AE62" i="37"/>
  <c r="AF62" i="37"/>
  <c r="AG62" i="37" s="1"/>
  <c r="D63" i="37"/>
  <c r="AD63" i="37" s="1"/>
  <c r="M63" i="37"/>
  <c r="L63" i="37" s="1"/>
  <c r="Q63" i="37"/>
  <c r="X63" i="37" s="1"/>
  <c r="Y63" i="37" s="1"/>
  <c r="U63" i="37"/>
  <c r="AB63" i="37"/>
  <c r="AE63" i="37"/>
  <c r="AF63" i="37"/>
  <c r="AG63" i="37" s="1"/>
  <c r="D64" i="37"/>
  <c r="AD64" i="37" s="1"/>
  <c r="M64" i="37"/>
  <c r="L64" i="37" s="1"/>
  <c r="Q64" i="37"/>
  <c r="R64" i="37" s="1"/>
  <c r="U64" i="37"/>
  <c r="AB64" i="37"/>
  <c r="AE64" i="37"/>
  <c r="AF64" i="37"/>
  <c r="AG64" i="37" s="1"/>
  <c r="D65" i="37"/>
  <c r="AD65" i="37" s="1"/>
  <c r="M65" i="37"/>
  <c r="L65" i="37" s="1"/>
  <c r="Q65" i="37"/>
  <c r="R65" i="37" s="1"/>
  <c r="U65" i="37"/>
  <c r="AB65" i="37"/>
  <c r="AE65" i="37"/>
  <c r="AF65" i="37"/>
  <c r="AG65" i="37" s="1"/>
  <c r="D66" i="37"/>
  <c r="AD66" i="37" s="1"/>
  <c r="M66" i="37"/>
  <c r="L66" i="37" s="1"/>
  <c r="Q66" i="37"/>
  <c r="R66" i="37" s="1"/>
  <c r="U66" i="37"/>
  <c r="AB66" i="37"/>
  <c r="AE66" i="37"/>
  <c r="AF66" i="37"/>
  <c r="AG66" i="37" s="1"/>
  <c r="D67" i="37"/>
  <c r="AD67" i="37" s="1"/>
  <c r="M67" i="37"/>
  <c r="L67" i="37" s="1"/>
  <c r="Q67" i="37"/>
  <c r="X67" i="37" s="1"/>
  <c r="Y67" i="37" s="1"/>
  <c r="U67" i="37"/>
  <c r="AB67" i="37"/>
  <c r="AE67" i="37"/>
  <c r="AF67" i="37"/>
  <c r="AG67" i="37" s="1"/>
  <c r="D68" i="37"/>
  <c r="AD68" i="37" s="1"/>
  <c r="M68" i="37"/>
  <c r="L68" i="37" s="1"/>
  <c r="Q68" i="37"/>
  <c r="R68" i="37" s="1"/>
  <c r="U68" i="37"/>
  <c r="AB68" i="37"/>
  <c r="AE68" i="37"/>
  <c r="AF68" i="37"/>
  <c r="AG68" i="37" s="1"/>
  <c r="D69" i="37"/>
  <c r="AD69" i="37" s="1"/>
  <c r="M69" i="37"/>
  <c r="L69" i="37" s="1"/>
  <c r="Q69" i="37"/>
  <c r="R69" i="37" s="1"/>
  <c r="U69" i="37"/>
  <c r="AB69" i="37"/>
  <c r="AE69" i="37"/>
  <c r="AF69" i="37"/>
  <c r="AG69" i="37" s="1"/>
  <c r="D70" i="37"/>
  <c r="AD70" i="37" s="1"/>
  <c r="M70" i="37"/>
  <c r="L70" i="37" s="1"/>
  <c r="Q70" i="37"/>
  <c r="R70" i="37" s="1"/>
  <c r="U70" i="37"/>
  <c r="AB70" i="37"/>
  <c r="AE70" i="37"/>
  <c r="AF70" i="37"/>
  <c r="AG70" i="37" s="1"/>
  <c r="D71" i="37"/>
  <c r="AD71" i="37" s="1"/>
  <c r="M71" i="37"/>
  <c r="L71" i="37" s="1"/>
  <c r="Q71" i="37"/>
  <c r="X71" i="37" s="1"/>
  <c r="Y71" i="37" s="1"/>
  <c r="U71" i="37"/>
  <c r="AB71" i="37"/>
  <c r="AE71" i="37"/>
  <c r="AF71" i="37"/>
  <c r="AG71" i="37" s="1"/>
  <c r="D72" i="37"/>
  <c r="AD72" i="37" s="1"/>
  <c r="M72" i="37"/>
  <c r="L72" i="37" s="1"/>
  <c r="Q72" i="37"/>
  <c r="R72" i="37" s="1"/>
  <c r="U72" i="37"/>
  <c r="AB72" i="37"/>
  <c r="AE72" i="37"/>
  <c r="AF72" i="37"/>
  <c r="AG72" i="37" s="1"/>
  <c r="D73" i="37"/>
  <c r="AD73" i="37" s="1"/>
  <c r="M73" i="37"/>
  <c r="L73" i="37" s="1"/>
  <c r="Q73" i="37"/>
  <c r="U73" i="37"/>
  <c r="AB73" i="37"/>
  <c r="AE73" i="37"/>
  <c r="AF73" i="37"/>
  <c r="AG73" i="37" s="1"/>
  <c r="D74" i="37"/>
  <c r="AD74" i="37" s="1"/>
  <c r="M74" i="37"/>
  <c r="L74" i="37" s="1"/>
  <c r="Q74" i="37"/>
  <c r="R74" i="37" s="1"/>
  <c r="U74" i="37"/>
  <c r="AB74" i="37"/>
  <c r="AE74" i="37"/>
  <c r="AF74" i="37"/>
  <c r="AG74" i="37" s="1"/>
  <c r="D75" i="37"/>
  <c r="AD75" i="37" s="1"/>
  <c r="M75" i="37"/>
  <c r="L75" i="37" s="1"/>
  <c r="Q75" i="37"/>
  <c r="X75" i="37" s="1"/>
  <c r="Y75" i="37" s="1"/>
  <c r="U75" i="37"/>
  <c r="AB75" i="37"/>
  <c r="AE75" i="37"/>
  <c r="AF75" i="37"/>
  <c r="AG75" i="37" s="1"/>
  <c r="D76" i="37"/>
  <c r="AD76" i="37" s="1"/>
  <c r="M76" i="37"/>
  <c r="L76" i="37" s="1"/>
  <c r="Q76" i="37"/>
  <c r="U76" i="37"/>
  <c r="AB76" i="37"/>
  <c r="AE76" i="37"/>
  <c r="AF76" i="37"/>
  <c r="AG76" i="37" s="1"/>
  <c r="D77" i="37"/>
  <c r="AD77" i="37" s="1"/>
  <c r="M77" i="37"/>
  <c r="L77" i="37" s="1"/>
  <c r="Q77" i="37"/>
  <c r="U77" i="37"/>
  <c r="AB77" i="37"/>
  <c r="AE77" i="37"/>
  <c r="AF77" i="37"/>
  <c r="AG77" i="37" s="1"/>
  <c r="D78" i="37"/>
  <c r="AD78" i="37" s="1"/>
  <c r="M78" i="37"/>
  <c r="L78" i="37" s="1"/>
  <c r="Q78" i="37"/>
  <c r="U78" i="37"/>
  <c r="AB78" i="37"/>
  <c r="AE78" i="37"/>
  <c r="AF78" i="37"/>
  <c r="AG78" i="37" s="1"/>
  <c r="D79" i="37"/>
  <c r="AD79" i="37" s="1"/>
  <c r="M79" i="37"/>
  <c r="L79" i="37" s="1"/>
  <c r="Q79" i="37"/>
  <c r="R79" i="37" s="1"/>
  <c r="U79" i="37"/>
  <c r="AB79" i="37"/>
  <c r="AE79" i="37"/>
  <c r="AF79" i="37"/>
  <c r="AG79" i="37" s="1"/>
  <c r="D80" i="37"/>
  <c r="AD80" i="37" s="1"/>
  <c r="M80" i="37"/>
  <c r="L80" i="37" s="1"/>
  <c r="Q80" i="37"/>
  <c r="R80" i="37" s="1"/>
  <c r="U80" i="37"/>
  <c r="AB80" i="37"/>
  <c r="AE80" i="37"/>
  <c r="AF80" i="37"/>
  <c r="AG80" i="37" s="1"/>
  <c r="D81" i="37"/>
  <c r="AD81" i="37" s="1"/>
  <c r="M81" i="37"/>
  <c r="L81" i="37" s="1"/>
  <c r="Q81" i="37"/>
  <c r="R81" i="37" s="1"/>
  <c r="U81" i="37"/>
  <c r="AB81" i="37"/>
  <c r="AE81" i="37"/>
  <c r="AF81" i="37"/>
  <c r="AG81" i="37" s="1"/>
  <c r="D82" i="37"/>
  <c r="AD82" i="37" s="1"/>
  <c r="M82" i="37"/>
  <c r="L82" i="37" s="1"/>
  <c r="Q82" i="37"/>
  <c r="R82" i="37" s="1"/>
  <c r="U82" i="37"/>
  <c r="AB82" i="37"/>
  <c r="AE82" i="37"/>
  <c r="AF82" i="37"/>
  <c r="AG82" i="37" s="1"/>
  <c r="D83" i="37"/>
  <c r="AD83" i="37" s="1"/>
  <c r="M83" i="37"/>
  <c r="L83" i="37" s="1"/>
  <c r="Q83" i="37"/>
  <c r="R83" i="37" s="1"/>
  <c r="U83" i="37"/>
  <c r="AB83" i="37"/>
  <c r="AE83" i="37"/>
  <c r="AF83" i="37"/>
  <c r="AG83" i="37" s="1"/>
  <c r="D84" i="37"/>
  <c r="AD84" i="37" s="1"/>
  <c r="M84" i="37"/>
  <c r="L84" i="37" s="1"/>
  <c r="Q84" i="37"/>
  <c r="R84" i="37" s="1"/>
  <c r="U84" i="37"/>
  <c r="AB84" i="37"/>
  <c r="AE84" i="37"/>
  <c r="AF84" i="37"/>
  <c r="AG84" i="37" s="1"/>
  <c r="D85" i="37"/>
  <c r="AD85" i="37" s="1"/>
  <c r="M85" i="37"/>
  <c r="L85" i="37" s="1"/>
  <c r="Q85" i="37"/>
  <c r="R85" i="37" s="1"/>
  <c r="U85" i="37"/>
  <c r="AB85" i="37"/>
  <c r="AE85" i="37"/>
  <c r="AF85" i="37"/>
  <c r="AG85" i="37" s="1"/>
  <c r="D86" i="37"/>
  <c r="AD86" i="37" s="1"/>
  <c r="M86" i="37"/>
  <c r="L86" i="37" s="1"/>
  <c r="Q86" i="37"/>
  <c r="R86" i="37" s="1"/>
  <c r="U86" i="37"/>
  <c r="AB86" i="37"/>
  <c r="AE86" i="37"/>
  <c r="AF86" i="37"/>
  <c r="AG86" i="37" s="1"/>
  <c r="D87" i="37"/>
  <c r="AD87" i="37" s="1"/>
  <c r="M87" i="37"/>
  <c r="L87" i="37" s="1"/>
  <c r="Q87" i="37"/>
  <c r="X87" i="37" s="1"/>
  <c r="Y87" i="37" s="1"/>
  <c r="U87" i="37"/>
  <c r="AB87" i="37"/>
  <c r="AE87" i="37"/>
  <c r="AF87" i="37"/>
  <c r="AG87" i="37" s="1"/>
  <c r="D88" i="37"/>
  <c r="AD88" i="37" s="1"/>
  <c r="M88" i="37"/>
  <c r="L88" i="37" s="1"/>
  <c r="Q88" i="37"/>
  <c r="R88" i="37" s="1"/>
  <c r="U88" i="37"/>
  <c r="AB88" i="37"/>
  <c r="AE88" i="37"/>
  <c r="AF88" i="37"/>
  <c r="AG88" i="37" s="1"/>
  <c r="D89" i="37"/>
  <c r="AD89" i="37" s="1"/>
  <c r="M89" i="37"/>
  <c r="L89" i="37" s="1"/>
  <c r="Q89" i="37"/>
  <c r="R89" i="37" s="1"/>
  <c r="U89" i="37"/>
  <c r="AB89" i="37"/>
  <c r="AE89" i="37"/>
  <c r="AF89" i="37"/>
  <c r="AG89" i="37" s="1"/>
  <c r="D90" i="37"/>
  <c r="AD90" i="37" s="1"/>
  <c r="M90" i="37"/>
  <c r="L90" i="37" s="1"/>
  <c r="Q90" i="37"/>
  <c r="U90" i="37"/>
  <c r="AB90" i="37"/>
  <c r="AE90" i="37"/>
  <c r="AF90" i="37"/>
  <c r="AG90" i="37" s="1"/>
  <c r="D91" i="37"/>
  <c r="AD91" i="37" s="1"/>
  <c r="M91" i="37"/>
  <c r="L91" i="37" s="1"/>
  <c r="Q91" i="37"/>
  <c r="R91" i="37" s="1"/>
  <c r="U91" i="37"/>
  <c r="AB91" i="37"/>
  <c r="AE91" i="37"/>
  <c r="AF91" i="37"/>
  <c r="AG91" i="37" s="1"/>
  <c r="D92" i="37"/>
  <c r="AD92" i="37" s="1"/>
  <c r="M92" i="37"/>
  <c r="L92" i="37" s="1"/>
  <c r="Q92" i="37"/>
  <c r="R92" i="37" s="1"/>
  <c r="U92" i="37"/>
  <c r="AB92" i="37"/>
  <c r="AE92" i="37"/>
  <c r="AF92" i="37"/>
  <c r="AG92" i="37" s="1"/>
  <c r="D93" i="37"/>
  <c r="AD93" i="37" s="1"/>
  <c r="M93" i="37"/>
  <c r="L93" i="37" s="1"/>
  <c r="Q93" i="37"/>
  <c r="X93" i="37" s="1"/>
  <c r="Y93" i="37" s="1"/>
  <c r="U93" i="37"/>
  <c r="AB93" i="37"/>
  <c r="AE93" i="37"/>
  <c r="AF93" i="37"/>
  <c r="AG93" i="37" s="1"/>
  <c r="D94" i="37"/>
  <c r="AD94" i="37" s="1"/>
  <c r="M94" i="37"/>
  <c r="L94" i="37" s="1"/>
  <c r="Q94" i="37"/>
  <c r="X94" i="37" s="1"/>
  <c r="Y94" i="37" s="1"/>
  <c r="U94" i="37"/>
  <c r="AB94" i="37"/>
  <c r="AE94" i="37"/>
  <c r="AF94" i="37"/>
  <c r="AG94" i="37" s="1"/>
  <c r="D95" i="37"/>
  <c r="AD95" i="37" s="1"/>
  <c r="M95" i="37"/>
  <c r="L95" i="37" s="1"/>
  <c r="Q95" i="37"/>
  <c r="R95" i="37" s="1"/>
  <c r="U95" i="37"/>
  <c r="AB95" i="37"/>
  <c r="AE95" i="37"/>
  <c r="AF95" i="37"/>
  <c r="AG95" i="37" s="1"/>
  <c r="D96" i="37"/>
  <c r="AD96" i="37" s="1"/>
  <c r="M96" i="37"/>
  <c r="L96" i="37" s="1"/>
  <c r="Q96" i="37"/>
  <c r="R96" i="37" s="1"/>
  <c r="U96" i="37"/>
  <c r="AB96" i="37"/>
  <c r="AE96" i="37"/>
  <c r="AF96" i="37"/>
  <c r="AG96" i="37" s="1"/>
  <c r="D97" i="37"/>
  <c r="AD97" i="37" s="1"/>
  <c r="M97" i="37"/>
  <c r="L97" i="37" s="1"/>
  <c r="Q97" i="37"/>
  <c r="X97" i="37" s="1"/>
  <c r="Y97" i="37" s="1"/>
  <c r="U97" i="37"/>
  <c r="AB97" i="37"/>
  <c r="AE97" i="37"/>
  <c r="AF97" i="37"/>
  <c r="AG97" i="37" s="1"/>
  <c r="D98" i="37"/>
  <c r="AD98" i="37" s="1"/>
  <c r="M98" i="37"/>
  <c r="L98" i="37" s="1"/>
  <c r="Q98" i="37"/>
  <c r="X98" i="37" s="1"/>
  <c r="Y98" i="37" s="1"/>
  <c r="U98" i="37"/>
  <c r="AB98" i="37"/>
  <c r="AE98" i="37"/>
  <c r="AF98" i="37"/>
  <c r="AG98" i="37" s="1"/>
  <c r="D99" i="37"/>
  <c r="AD99" i="37" s="1"/>
  <c r="M99" i="37"/>
  <c r="L99" i="37" s="1"/>
  <c r="Q99" i="37"/>
  <c r="R99" i="37" s="1"/>
  <c r="U99" i="37"/>
  <c r="AB99" i="37"/>
  <c r="AE99" i="37"/>
  <c r="AF99" i="37"/>
  <c r="AG99" i="37" s="1"/>
  <c r="D100" i="37"/>
  <c r="AD100" i="37" s="1"/>
  <c r="M100" i="37"/>
  <c r="L100" i="37" s="1"/>
  <c r="Q100" i="37"/>
  <c r="U100" i="37"/>
  <c r="AB100" i="37"/>
  <c r="AE100" i="37"/>
  <c r="AF100" i="37"/>
  <c r="AG100" i="37" s="1"/>
  <c r="D101" i="37"/>
  <c r="AD101" i="37" s="1"/>
  <c r="M101" i="37"/>
  <c r="L101" i="37" s="1"/>
  <c r="Q101" i="37"/>
  <c r="X101" i="37" s="1"/>
  <c r="Y101" i="37" s="1"/>
  <c r="U101" i="37"/>
  <c r="AB101" i="37"/>
  <c r="AE101" i="37"/>
  <c r="AF101" i="37"/>
  <c r="AG101" i="37" s="1"/>
  <c r="D102" i="37"/>
  <c r="AD102" i="37" s="1"/>
  <c r="M102" i="37"/>
  <c r="L102" i="37" s="1"/>
  <c r="Q102" i="37"/>
  <c r="R102" i="37" s="1"/>
  <c r="U102" i="37"/>
  <c r="AB102" i="37"/>
  <c r="AE102" i="37"/>
  <c r="AF102" i="37"/>
  <c r="AG102" i="37" s="1"/>
  <c r="D103" i="37"/>
  <c r="AD103" i="37" s="1"/>
  <c r="M103" i="37"/>
  <c r="L103" i="37" s="1"/>
  <c r="Q103" i="37"/>
  <c r="R103" i="37" s="1"/>
  <c r="U103" i="37"/>
  <c r="AB103" i="37"/>
  <c r="AE103" i="37"/>
  <c r="AF103" i="37"/>
  <c r="AG103" i="37" s="1"/>
  <c r="D104" i="37"/>
  <c r="AD104" i="37" s="1"/>
  <c r="M104" i="37"/>
  <c r="L104" i="37" s="1"/>
  <c r="Q104" i="37"/>
  <c r="R104" i="37" s="1"/>
  <c r="U104" i="37"/>
  <c r="AB104" i="37"/>
  <c r="AE104" i="37"/>
  <c r="AF104" i="37"/>
  <c r="AG104" i="37" s="1"/>
  <c r="D105" i="37"/>
  <c r="AD105" i="37" s="1"/>
  <c r="M105" i="37"/>
  <c r="L105" i="37" s="1"/>
  <c r="Q105" i="37"/>
  <c r="U105" i="37"/>
  <c r="AB105" i="37"/>
  <c r="AE105" i="37"/>
  <c r="AF105" i="37"/>
  <c r="AG105" i="37" s="1"/>
  <c r="D106" i="37"/>
  <c r="AD106" i="37" s="1"/>
  <c r="M106" i="37"/>
  <c r="L106" i="37" s="1"/>
  <c r="Q106" i="37"/>
  <c r="X106" i="37" s="1"/>
  <c r="Y106" i="37" s="1"/>
  <c r="U106" i="37"/>
  <c r="AB106" i="37"/>
  <c r="AE106" i="37"/>
  <c r="AF106" i="37"/>
  <c r="AG106" i="37" s="1"/>
  <c r="D107" i="37"/>
  <c r="AD107" i="37" s="1"/>
  <c r="M107" i="37"/>
  <c r="L107" i="37" s="1"/>
  <c r="Q107" i="37"/>
  <c r="R107" i="37" s="1"/>
  <c r="U107" i="37"/>
  <c r="AB107" i="37"/>
  <c r="AE107" i="37"/>
  <c r="AF107" i="37"/>
  <c r="AG107" i="37" s="1"/>
  <c r="D108" i="37"/>
  <c r="AD108" i="37" s="1"/>
  <c r="M108" i="37"/>
  <c r="L108" i="37" s="1"/>
  <c r="Q108" i="37"/>
  <c r="U108" i="37"/>
  <c r="AB108" i="37"/>
  <c r="AE108" i="37"/>
  <c r="AF108" i="37"/>
  <c r="AG108" i="37" s="1"/>
  <c r="D109" i="37"/>
  <c r="AD109" i="37" s="1"/>
  <c r="M109" i="37"/>
  <c r="L109" i="37" s="1"/>
  <c r="Q109" i="37"/>
  <c r="X109" i="37" s="1"/>
  <c r="Y109" i="37" s="1"/>
  <c r="U109" i="37"/>
  <c r="AB109" i="37"/>
  <c r="AE109" i="37"/>
  <c r="AF109" i="37"/>
  <c r="AG109" i="37" s="1"/>
  <c r="D110" i="37"/>
  <c r="AD110" i="37" s="1"/>
  <c r="M110" i="37"/>
  <c r="L110" i="37" s="1"/>
  <c r="Q110" i="37"/>
  <c r="X110" i="37" s="1"/>
  <c r="Y110" i="37" s="1"/>
  <c r="U110" i="37"/>
  <c r="AB110" i="37"/>
  <c r="AE110" i="37"/>
  <c r="AF110" i="37"/>
  <c r="AG110" i="37" s="1"/>
  <c r="D111" i="37"/>
  <c r="AD111" i="37" s="1"/>
  <c r="M111" i="37"/>
  <c r="L111" i="37" s="1"/>
  <c r="Q111" i="37"/>
  <c r="R111" i="37" s="1"/>
  <c r="U111" i="37"/>
  <c r="AB111" i="37"/>
  <c r="AE111" i="37"/>
  <c r="AF111" i="37"/>
  <c r="AG111" i="37" s="1"/>
  <c r="D112" i="37"/>
  <c r="AD112" i="37" s="1"/>
  <c r="M112" i="37"/>
  <c r="L112" i="37" s="1"/>
  <c r="Q112" i="37"/>
  <c r="X112" i="37" s="1"/>
  <c r="Y112" i="37" s="1"/>
  <c r="U112" i="37"/>
  <c r="AB112" i="37"/>
  <c r="AE112" i="37"/>
  <c r="AF112" i="37"/>
  <c r="AG112" i="37" s="1"/>
  <c r="D113" i="37"/>
  <c r="AD113" i="37" s="1"/>
  <c r="M113" i="37"/>
  <c r="L113" i="37" s="1"/>
  <c r="Q113" i="37"/>
  <c r="R113" i="37" s="1"/>
  <c r="U113" i="37"/>
  <c r="AB113" i="37"/>
  <c r="AE113" i="37"/>
  <c r="AF113" i="37"/>
  <c r="AG113" i="37" s="1"/>
  <c r="D114" i="37"/>
  <c r="AD114" i="37" s="1"/>
  <c r="M114" i="37"/>
  <c r="L114" i="37" s="1"/>
  <c r="Q114" i="37"/>
  <c r="R114" i="37" s="1"/>
  <c r="U114" i="37"/>
  <c r="AB114" i="37"/>
  <c r="AE114" i="37"/>
  <c r="AF114" i="37"/>
  <c r="AG114" i="37" s="1"/>
  <c r="D115" i="37"/>
  <c r="AD115" i="37" s="1"/>
  <c r="M115" i="37"/>
  <c r="L115" i="37" s="1"/>
  <c r="Q115" i="37"/>
  <c r="X115" i="37" s="1"/>
  <c r="Y115" i="37" s="1"/>
  <c r="U115" i="37"/>
  <c r="AB115" i="37"/>
  <c r="AE115" i="37"/>
  <c r="AF115" i="37"/>
  <c r="AG115" i="37" s="1"/>
  <c r="D116" i="37"/>
  <c r="AD116" i="37" s="1"/>
  <c r="M116" i="37"/>
  <c r="L116" i="37" s="1"/>
  <c r="Q116" i="37"/>
  <c r="R116" i="37" s="1"/>
  <c r="U116" i="37"/>
  <c r="AB116" i="37"/>
  <c r="AE116" i="37"/>
  <c r="AF116" i="37"/>
  <c r="AG116" i="37" s="1"/>
  <c r="D117" i="37"/>
  <c r="AD117" i="37" s="1"/>
  <c r="M117" i="37"/>
  <c r="L117" i="37" s="1"/>
  <c r="Q117" i="37"/>
  <c r="X117" i="37" s="1"/>
  <c r="Y117" i="37" s="1"/>
  <c r="U117" i="37"/>
  <c r="AB117" i="37"/>
  <c r="AE117" i="37"/>
  <c r="AF117" i="37"/>
  <c r="AG117" i="37" s="1"/>
  <c r="D118" i="37"/>
  <c r="AD118" i="37" s="1"/>
  <c r="M118" i="37"/>
  <c r="L118" i="37" s="1"/>
  <c r="Q118" i="37"/>
  <c r="X118" i="37" s="1"/>
  <c r="Y118" i="37" s="1"/>
  <c r="U118" i="37"/>
  <c r="AB118" i="37"/>
  <c r="AE118" i="37"/>
  <c r="AF118" i="37"/>
  <c r="AG118" i="37" s="1"/>
  <c r="D119" i="37"/>
  <c r="AD119" i="37" s="1"/>
  <c r="M119" i="37"/>
  <c r="L119" i="37" s="1"/>
  <c r="Q119" i="37"/>
  <c r="X119" i="37" s="1"/>
  <c r="Y119" i="37" s="1"/>
  <c r="U119" i="37"/>
  <c r="AB119" i="37"/>
  <c r="AE119" i="37"/>
  <c r="AF119" i="37"/>
  <c r="AG119" i="37" s="1"/>
  <c r="D120" i="37"/>
  <c r="AD120" i="37" s="1"/>
  <c r="M120" i="37"/>
  <c r="L120" i="37" s="1"/>
  <c r="Q120" i="37"/>
  <c r="R120" i="37" s="1"/>
  <c r="U120" i="37"/>
  <c r="AB120" i="37"/>
  <c r="AE120" i="37"/>
  <c r="AF120" i="37"/>
  <c r="AG120" i="37" s="1"/>
  <c r="D121" i="37"/>
  <c r="AD121" i="37" s="1"/>
  <c r="M121" i="37"/>
  <c r="L121" i="37" s="1"/>
  <c r="Q121" i="37"/>
  <c r="R121" i="37" s="1"/>
  <c r="U121" i="37"/>
  <c r="AB121" i="37"/>
  <c r="AE121" i="37"/>
  <c r="AF121" i="37"/>
  <c r="AG121" i="37" s="1"/>
  <c r="D122" i="37"/>
  <c r="AD122" i="37" s="1"/>
  <c r="M122" i="37"/>
  <c r="L122" i="37" s="1"/>
  <c r="Q122" i="37"/>
  <c r="U122" i="37"/>
  <c r="AB122" i="37"/>
  <c r="AE122" i="37"/>
  <c r="AF122" i="37"/>
  <c r="AG122" i="37" s="1"/>
  <c r="D123" i="37"/>
  <c r="AD123" i="37" s="1"/>
  <c r="M123" i="37"/>
  <c r="L123" i="37" s="1"/>
  <c r="Q123" i="37"/>
  <c r="R123" i="37" s="1"/>
  <c r="U123" i="37"/>
  <c r="AB123" i="37"/>
  <c r="AE123" i="37"/>
  <c r="AF123" i="37"/>
  <c r="AG123" i="37" s="1"/>
  <c r="D124" i="37"/>
  <c r="AD124" i="37" s="1"/>
  <c r="M124" i="37"/>
  <c r="L124" i="37" s="1"/>
  <c r="Q124" i="37"/>
  <c r="R124" i="37" s="1"/>
  <c r="U124" i="37"/>
  <c r="AB124" i="37"/>
  <c r="AE124" i="37"/>
  <c r="AF124" i="37"/>
  <c r="AG124" i="37" s="1"/>
  <c r="D125" i="37"/>
  <c r="AD125" i="37" s="1"/>
  <c r="M125" i="37"/>
  <c r="L125" i="37" s="1"/>
  <c r="Q125" i="37"/>
  <c r="R125" i="37" s="1"/>
  <c r="U125" i="37"/>
  <c r="AB125" i="37"/>
  <c r="AE125" i="37"/>
  <c r="AF125" i="37"/>
  <c r="AG125" i="37" s="1"/>
  <c r="D126" i="37"/>
  <c r="AD126" i="37" s="1"/>
  <c r="M126" i="37"/>
  <c r="L126" i="37" s="1"/>
  <c r="Q126" i="37"/>
  <c r="R126" i="37" s="1"/>
  <c r="U126" i="37"/>
  <c r="AB126" i="37"/>
  <c r="AE126" i="37"/>
  <c r="AF126" i="37"/>
  <c r="AG126" i="37" s="1"/>
  <c r="D127" i="37"/>
  <c r="AD127" i="37" s="1"/>
  <c r="M127" i="37"/>
  <c r="L127" i="37" s="1"/>
  <c r="Q127" i="37"/>
  <c r="X127" i="37" s="1"/>
  <c r="Y127" i="37" s="1"/>
  <c r="U127" i="37"/>
  <c r="AB127" i="37"/>
  <c r="AE127" i="37"/>
  <c r="AF127" i="37"/>
  <c r="AG127" i="37" s="1"/>
  <c r="D128" i="37"/>
  <c r="AD128" i="37" s="1"/>
  <c r="M128" i="37"/>
  <c r="L128" i="37" s="1"/>
  <c r="Q128" i="37"/>
  <c r="X128" i="37" s="1"/>
  <c r="Y128" i="37" s="1"/>
  <c r="U128" i="37"/>
  <c r="AB128" i="37"/>
  <c r="AE128" i="37"/>
  <c r="AF128" i="37"/>
  <c r="AG128" i="37" s="1"/>
  <c r="D129" i="37"/>
  <c r="AD129" i="37" s="1"/>
  <c r="M129" i="37"/>
  <c r="L129" i="37" s="1"/>
  <c r="Q129" i="37"/>
  <c r="R129" i="37" s="1"/>
  <c r="U129" i="37"/>
  <c r="AB129" i="37"/>
  <c r="AE129" i="37"/>
  <c r="AF129" i="37"/>
  <c r="AG129" i="37" s="1"/>
  <c r="D130" i="37"/>
  <c r="AD130" i="37" s="1"/>
  <c r="M130" i="37"/>
  <c r="L130" i="37" s="1"/>
  <c r="Q130" i="37"/>
  <c r="R130" i="37" s="1"/>
  <c r="U130" i="37"/>
  <c r="AB130" i="37"/>
  <c r="AE130" i="37"/>
  <c r="AF130" i="37"/>
  <c r="AG130" i="37" s="1"/>
  <c r="D131" i="37"/>
  <c r="AD131" i="37" s="1"/>
  <c r="M131" i="37"/>
  <c r="L131" i="37" s="1"/>
  <c r="Q131" i="37"/>
  <c r="X131" i="37" s="1"/>
  <c r="Y131" i="37" s="1"/>
  <c r="U131" i="37"/>
  <c r="AB131" i="37"/>
  <c r="AE131" i="37"/>
  <c r="AF131" i="37"/>
  <c r="AG131" i="37" s="1"/>
  <c r="D132" i="37"/>
  <c r="AD132" i="37" s="1"/>
  <c r="M132" i="37"/>
  <c r="L132" i="37" s="1"/>
  <c r="Q132" i="37"/>
  <c r="R132" i="37" s="1"/>
  <c r="U132" i="37"/>
  <c r="AB132" i="37"/>
  <c r="AE132" i="37"/>
  <c r="AF132" i="37"/>
  <c r="AG132" i="37" s="1"/>
  <c r="D133" i="37"/>
  <c r="AD133" i="37" s="1"/>
  <c r="M133" i="37"/>
  <c r="L133" i="37" s="1"/>
  <c r="Q133" i="37"/>
  <c r="U133" i="37"/>
  <c r="AB133" i="37"/>
  <c r="AE133" i="37"/>
  <c r="AF133" i="37"/>
  <c r="AG133" i="37" s="1"/>
  <c r="D134" i="37"/>
  <c r="AD134" i="37" s="1"/>
  <c r="M134" i="37"/>
  <c r="L134" i="37" s="1"/>
  <c r="Q134" i="37"/>
  <c r="X134" i="37" s="1"/>
  <c r="Y134" i="37" s="1"/>
  <c r="U134" i="37"/>
  <c r="AB134" i="37"/>
  <c r="AE134" i="37"/>
  <c r="AF134" i="37"/>
  <c r="AG134" i="37" s="1"/>
  <c r="D135" i="37"/>
  <c r="AD135" i="37" s="1"/>
  <c r="M135" i="37"/>
  <c r="L135" i="37" s="1"/>
  <c r="Q135" i="37"/>
  <c r="U135" i="37"/>
  <c r="AB135" i="37"/>
  <c r="AE135" i="37"/>
  <c r="AF135" i="37"/>
  <c r="AG135" i="37" s="1"/>
  <c r="D136" i="37"/>
  <c r="AD136" i="37" s="1"/>
  <c r="M136" i="37"/>
  <c r="L136" i="37" s="1"/>
  <c r="Q136" i="37"/>
  <c r="R136" i="37" s="1"/>
  <c r="U136" i="37"/>
  <c r="AB136" i="37"/>
  <c r="AE136" i="37"/>
  <c r="AF136" i="37"/>
  <c r="AG136" i="37" s="1"/>
  <c r="D137" i="37"/>
  <c r="AD137" i="37" s="1"/>
  <c r="M137" i="37"/>
  <c r="L137" i="37" s="1"/>
  <c r="Q137" i="37"/>
  <c r="U137" i="37"/>
  <c r="AB137" i="37"/>
  <c r="AE137" i="37"/>
  <c r="AF137" i="37"/>
  <c r="AG137" i="37" s="1"/>
  <c r="D138" i="37"/>
  <c r="AD138" i="37" s="1"/>
  <c r="M138" i="37"/>
  <c r="L138" i="37" s="1"/>
  <c r="Q138" i="37"/>
  <c r="R138" i="37" s="1"/>
  <c r="U138" i="37"/>
  <c r="AB138" i="37"/>
  <c r="AE138" i="37"/>
  <c r="AF138" i="37"/>
  <c r="AG138" i="37" s="1"/>
  <c r="D139" i="37"/>
  <c r="AD139" i="37" s="1"/>
  <c r="M139" i="37"/>
  <c r="L139" i="37" s="1"/>
  <c r="Q139" i="37"/>
  <c r="R139" i="37" s="1"/>
  <c r="U139" i="37"/>
  <c r="AB139" i="37"/>
  <c r="AE139" i="37"/>
  <c r="AF139" i="37"/>
  <c r="AG139" i="37" s="1"/>
  <c r="D140" i="37"/>
  <c r="AD140" i="37" s="1"/>
  <c r="M140" i="37"/>
  <c r="L140" i="37" s="1"/>
  <c r="Q140" i="37"/>
  <c r="X140" i="37" s="1"/>
  <c r="Y140" i="37" s="1"/>
  <c r="U140" i="37"/>
  <c r="AB140" i="37"/>
  <c r="AE140" i="37"/>
  <c r="AF140" i="37"/>
  <c r="AG140" i="37" s="1"/>
  <c r="D141" i="37"/>
  <c r="AD141" i="37" s="1"/>
  <c r="M141" i="37"/>
  <c r="L141" i="37" s="1"/>
  <c r="Q141" i="37"/>
  <c r="X141" i="37" s="1"/>
  <c r="Y141" i="37" s="1"/>
  <c r="U141" i="37"/>
  <c r="AB141" i="37"/>
  <c r="AE141" i="37"/>
  <c r="AF141" i="37"/>
  <c r="AG141" i="37" s="1"/>
  <c r="D142" i="37"/>
  <c r="AD142" i="37" s="1"/>
  <c r="M142" i="37"/>
  <c r="L142" i="37" s="1"/>
  <c r="Q142" i="37"/>
  <c r="R142" i="37" s="1"/>
  <c r="U142" i="37"/>
  <c r="AB142" i="37"/>
  <c r="AE142" i="37"/>
  <c r="AF142" i="37"/>
  <c r="AG142" i="37" s="1"/>
  <c r="D143" i="37"/>
  <c r="AD143" i="37" s="1"/>
  <c r="M143" i="37"/>
  <c r="L143" i="37" s="1"/>
  <c r="Q143" i="37"/>
  <c r="U143" i="37"/>
  <c r="AB143" i="37"/>
  <c r="AE143" i="37"/>
  <c r="AF143" i="37"/>
  <c r="AG143" i="37" s="1"/>
  <c r="D144" i="37"/>
  <c r="AD144" i="37" s="1"/>
  <c r="M144" i="37"/>
  <c r="L144" i="37" s="1"/>
  <c r="Q144" i="37"/>
  <c r="R144" i="37" s="1"/>
  <c r="U144" i="37"/>
  <c r="AB144" i="37"/>
  <c r="AE144" i="37"/>
  <c r="AF144" i="37"/>
  <c r="AG144" i="37" s="1"/>
  <c r="D145" i="37"/>
  <c r="AD145" i="37" s="1"/>
  <c r="M145" i="37"/>
  <c r="L145" i="37" s="1"/>
  <c r="Q145" i="37"/>
  <c r="U145" i="37"/>
  <c r="AB145" i="37"/>
  <c r="AE145" i="37"/>
  <c r="AF145" i="37"/>
  <c r="AG145" i="37" s="1"/>
  <c r="D146" i="37"/>
  <c r="AD146" i="37" s="1"/>
  <c r="M146" i="37"/>
  <c r="L146" i="37" s="1"/>
  <c r="Q146" i="37"/>
  <c r="R146" i="37" s="1"/>
  <c r="U146" i="37"/>
  <c r="AB146" i="37"/>
  <c r="AE146" i="37"/>
  <c r="AF146" i="37"/>
  <c r="AG146" i="37" s="1"/>
  <c r="D147" i="37"/>
  <c r="AD147" i="37" s="1"/>
  <c r="M147" i="37"/>
  <c r="L147" i="37" s="1"/>
  <c r="Q147" i="37"/>
  <c r="R147" i="37" s="1"/>
  <c r="U147" i="37"/>
  <c r="AB147" i="37"/>
  <c r="AE147" i="37"/>
  <c r="AF147" i="37"/>
  <c r="AG147" i="37" s="1"/>
  <c r="D148" i="37"/>
  <c r="AD148" i="37" s="1"/>
  <c r="M148" i="37"/>
  <c r="L148" i="37" s="1"/>
  <c r="Q148" i="37"/>
  <c r="X148" i="37" s="1"/>
  <c r="Y148" i="37" s="1"/>
  <c r="U148" i="37"/>
  <c r="AB148" i="37"/>
  <c r="AE148" i="37"/>
  <c r="AF148" i="37"/>
  <c r="AG148" i="37" s="1"/>
  <c r="D149" i="37"/>
  <c r="AD149" i="37" s="1"/>
  <c r="M149" i="37"/>
  <c r="L149" i="37" s="1"/>
  <c r="Q149" i="37"/>
  <c r="X149" i="37" s="1"/>
  <c r="Y149" i="37" s="1"/>
  <c r="U149" i="37"/>
  <c r="AB149" i="37"/>
  <c r="AE149" i="37"/>
  <c r="AF149" i="37"/>
  <c r="AG149" i="37" s="1"/>
  <c r="D150" i="37"/>
  <c r="AD150" i="37" s="1"/>
  <c r="M150" i="37"/>
  <c r="L150" i="37" s="1"/>
  <c r="Q150" i="37"/>
  <c r="X150" i="37" s="1"/>
  <c r="Y150" i="37" s="1"/>
  <c r="U150" i="37"/>
  <c r="AB150" i="37"/>
  <c r="AE150" i="37"/>
  <c r="AF150" i="37"/>
  <c r="AG150" i="37" s="1"/>
  <c r="D151" i="37"/>
  <c r="AD151" i="37" s="1"/>
  <c r="M151" i="37"/>
  <c r="L151" i="37" s="1"/>
  <c r="Q151" i="37"/>
  <c r="U151" i="37"/>
  <c r="AB151" i="37"/>
  <c r="AE151" i="37"/>
  <c r="AF151" i="37"/>
  <c r="AG151" i="37" s="1"/>
  <c r="D152" i="37"/>
  <c r="AD152" i="37" s="1"/>
  <c r="M152" i="37"/>
  <c r="L152" i="37" s="1"/>
  <c r="Q152" i="37"/>
  <c r="X152" i="37" s="1"/>
  <c r="Y152" i="37" s="1"/>
  <c r="U152" i="37"/>
  <c r="AB152" i="37"/>
  <c r="AE152" i="37"/>
  <c r="AF152" i="37"/>
  <c r="AG152" i="37" s="1"/>
  <c r="D153" i="37"/>
  <c r="AD153" i="37" s="1"/>
  <c r="M153" i="37"/>
  <c r="L153" i="37" s="1"/>
  <c r="Q153" i="37"/>
  <c r="U153" i="37"/>
  <c r="AB153" i="37"/>
  <c r="AE153" i="37"/>
  <c r="AF153" i="37"/>
  <c r="AG153" i="37" s="1"/>
  <c r="D154" i="37"/>
  <c r="AD154" i="37" s="1"/>
  <c r="M154" i="37"/>
  <c r="L154" i="37" s="1"/>
  <c r="Q154" i="37"/>
  <c r="R154" i="37" s="1"/>
  <c r="U154" i="37"/>
  <c r="AB154" i="37"/>
  <c r="AE154" i="37"/>
  <c r="AF154" i="37"/>
  <c r="AG154" i="37" s="1"/>
  <c r="D155" i="37"/>
  <c r="AD155" i="37" s="1"/>
  <c r="M155" i="37"/>
  <c r="L155" i="37" s="1"/>
  <c r="Q155" i="37"/>
  <c r="R155" i="37" s="1"/>
  <c r="U155" i="37"/>
  <c r="AB155" i="37"/>
  <c r="AE155" i="37"/>
  <c r="AF155" i="37"/>
  <c r="AG155" i="37" s="1"/>
  <c r="D156" i="37"/>
  <c r="AD156" i="37" s="1"/>
  <c r="M156" i="37"/>
  <c r="L156" i="37" s="1"/>
  <c r="Q156" i="37"/>
  <c r="X156" i="37" s="1"/>
  <c r="Y156" i="37" s="1"/>
  <c r="U156" i="37"/>
  <c r="AB156" i="37"/>
  <c r="AE156" i="37"/>
  <c r="AF156" i="37"/>
  <c r="AG156" i="37" s="1"/>
  <c r="D157" i="37"/>
  <c r="AD157" i="37" s="1"/>
  <c r="M157" i="37"/>
  <c r="L157" i="37" s="1"/>
  <c r="Q157" i="37"/>
  <c r="X157" i="37" s="1"/>
  <c r="Y157" i="37" s="1"/>
  <c r="U157" i="37"/>
  <c r="AB157" i="37"/>
  <c r="AE157" i="37"/>
  <c r="AF157" i="37"/>
  <c r="AG157" i="37" s="1"/>
  <c r="D158" i="37"/>
  <c r="AD158" i="37" s="1"/>
  <c r="M158" i="37"/>
  <c r="L158" i="37" s="1"/>
  <c r="Q158" i="37"/>
  <c r="X158" i="37" s="1"/>
  <c r="Y158" i="37" s="1"/>
  <c r="U158" i="37"/>
  <c r="AB158" i="37"/>
  <c r="AE158" i="37"/>
  <c r="AF158" i="37"/>
  <c r="AG158" i="37" s="1"/>
  <c r="D159" i="37"/>
  <c r="AD159" i="37" s="1"/>
  <c r="M159" i="37"/>
  <c r="L159" i="37" s="1"/>
  <c r="Q159" i="37"/>
  <c r="R159" i="37" s="1"/>
  <c r="U159" i="37"/>
  <c r="AB159" i="37"/>
  <c r="AE159" i="37"/>
  <c r="AF159" i="37"/>
  <c r="AG159" i="37" s="1"/>
  <c r="D160" i="37"/>
  <c r="AD160" i="37" s="1"/>
  <c r="M160" i="37"/>
  <c r="L160" i="37" s="1"/>
  <c r="Q160" i="37"/>
  <c r="R160" i="37" s="1"/>
  <c r="U160" i="37"/>
  <c r="AB160" i="37"/>
  <c r="AE160" i="37"/>
  <c r="AF160" i="37"/>
  <c r="AG160" i="37" s="1"/>
  <c r="D161" i="37"/>
  <c r="AD161" i="37" s="1"/>
  <c r="M161" i="37"/>
  <c r="L161" i="37" s="1"/>
  <c r="Q161" i="37"/>
  <c r="R161" i="37" s="1"/>
  <c r="U161" i="37"/>
  <c r="AB161" i="37"/>
  <c r="AE161" i="37"/>
  <c r="AF161" i="37"/>
  <c r="AG161" i="37" s="1"/>
  <c r="D162" i="37"/>
  <c r="AD162" i="37" s="1"/>
  <c r="M162" i="37"/>
  <c r="L162" i="37" s="1"/>
  <c r="Q162" i="37"/>
  <c r="R162" i="37" s="1"/>
  <c r="U162" i="37"/>
  <c r="AB162" i="37"/>
  <c r="AE162" i="37"/>
  <c r="AF162" i="37"/>
  <c r="AG162" i="37" s="1"/>
  <c r="D163" i="37"/>
  <c r="AD163" i="37" s="1"/>
  <c r="M163" i="37"/>
  <c r="L163" i="37" s="1"/>
  <c r="Q163" i="37"/>
  <c r="R163" i="37" s="1"/>
  <c r="U163" i="37"/>
  <c r="AB163" i="37"/>
  <c r="AE163" i="37"/>
  <c r="AF163" i="37"/>
  <c r="AG163" i="37" s="1"/>
  <c r="D164" i="37"/>
  <c r="AD164" i="37" s="1"/>
  <c r="M164" i="37"/>
  <c r="L164" i="37" s="1"/>
  <c r="Q164" i="37"/>
  <c r="X164" i="37" s="1"/>
  <c r="Y164" i="37" s="1"/>
  <c r="U164" i="37"/>
  <c r="AB164" i="37"/>
  <c r="AE164" i="37"/>
  <c r="AF164" i="37"/>
  <c r="AG164" i="37" s="1"/>
  <c r="D165" i="37"/>
  <c r="AD165" i="37" s="1"/>
  <c r="M165" i="37"/>
  <c r="L165" i="37" s="1"/>
  <c r="Q165" i="37"/>
  <c r="R165" i="37" s="1"/>
  <c r="U165" i="37"/>
  <c r="AB165" i="37"/>
  <c r="AE165" i="37"/>
  <c r="AF165" i="37"/>
  <c r="AG165" i="37" s="1"/>
  <c r="D166" i="37"/>
  <c r="AD166" i="37" s="1"/>
  <c r="M166" i="37"/>
  <c r="L166" i="37" s="1"/>
  <c r="Q166" i="37"/>
  <c r="X166" i="37" s="1"/>
  <c r="Y166" i="37" s="1"/>
  <c r="U166" i="37"/>
  <c r="AB166" i="37"/>
  <c r="AE166" i="37"/>
  <c r="AF166" i="37"/>
  <c r="AG166" i="37" s="1"/>
  <c r="D167" i="37"/>
  <c r="AD167" i="37" s="1"/>
  <c r="M167" i="37"/>
  <c r="L167" i="37" s="1"/>
  <c r="Q167" i="37"/>
  <c r="X167" i="37" s="1"/>
  <c r="Y167" i="37" s="1"/>
  <c r="U167" i="37"/>
  <c r="AB167" i="37"/>
  <c r="AE167" i="37"/>
  <c r="AF167" i="37"/>
  <c r="AG167" i="37" s="1"/>
  <c r="D168" i="37"/>
  <c r="AD168" i="37" s="1"/>
  <c r="M168" i="37"/>
  <c r="L168" i="37" s="1"/>
  <c r="Q168" i="37"/>
  <c r="R168" i="37" s="1"/>
  <c r="U168" i="37"/>
  <c r="AB168" i="37"/>
  <c r="AE168" i="37"/>
  <c r="AF168" i="37"/>
  <c r="AG168" i="37" s="1"/>
  <c r="D169" i="37"/>
  <c r="AD169" i="37" s="1"/>
  <c r="M169" i="37"/>
  <c r="L169" i="37" s="1"/>
  <c r="Q169" i="37"/>
  <c r="U169" i="37"/>
  <c r="AB169" i="37"/>
  <c r="AE169" i="37"/>
  <c r="AF169" i="37"/>
  <c r="AG169" i="37" s="1"/>
  <c r="D170" i="37"/>
  <c r="AD170" i="37" s="1"/>
  <c r="M170" i="37"/>
  <c r="L170" i="37" s="1"/>
  <c r="Q170" i="37"/>
  <c r="R170" i="37" s="1"/>
  <c r="U170" i="37"/>
  <c r="AB170" i="37"/>
  <c r="AE170" i="37"/>
  <c r="AF170" i="37"/>
  <c r="AG170" i="37" s="1"/>
  <c r="D171" i="37"/>
  <c r="AD171" i="37" s="1"/>
  <c r="M171" i="37"/>
  <c r="L171" i="37" s="1"/>
  <c r="Q171" i="37"/>
  <c r="R171" i="37" s="1"/>
  <c r="U171" i="37"/>
  <c r="AB171" i="37"/>
  <c r="AE171" i="37"/>
  <c r="AF171" i="37"/>
  <c r="AG171" i="37" s="1"/>
  <c r="D172" i="37"/>
  <c r="AD172" i="37" s="1"/>
  <c r="M172" i="37"/>
  <c r="L172" i="37" s="1"/>
  <c r="Q172" i="37"/>
  <c r="R172" i="37" s="1"/>
  <c r="U172" i="37"/>
  <c r="AB172" i="37"/>
  <c r="AE172" i="37"/>
  <c r="AF172" i="37"/>
  <c r="AG172" i="37" s="1"/>
  <c r="D173" i="37"/>
  <c r="AD173" i="37" s="1"/>
  <c r="M173" i="37"/>
  <c r="L173" i="37" s="1"/>
  <c r="Q173" i="37"/>
  <c r="R173" i="37" s="1"/>
  <c r="U173" i="37"/>
  <c r="AB173" i="37"/>
  <c r="AE173" i="37"/>
  <c r="AF173" i="37"/>
  <c r="AG173" i="37" s="1"/>
  <c r="D174" i="37"/>
  <c r="AD174" i="37" s="1"/>
  <c r="M174" i="37"/>
  <c r="L174" i="37" s="1"/>
  <c r="Q174" i="37"/>
  <c r="X174" i="37" s="1"/>
  <c r="Y174" i="37" s="1"/>
  <c r="U174" i="37"/>
  <c r="AB174" i="37"/>
  <c r="AE174" i="37"/>
  <c r="AF174" i="37"/>
  <c r="AG174" i="37" s="1"/>
  <c r="D175" i="37"/>
  <c r="AD175" i="37" s="1"/>
  <c r="M175" i="37"/>
  <c r="L175" i="37" s="1"/>
  <c r="Q175" i="37"/>
  <c r="X175" i="37" s="1"/>
  <c r="Y175" i="37" s="1"/>
  <c r="U175" i="37"/>
  <c r="AB175" i="37"/>
  <c r="AE175" i="37"/>
  <c r="AF175" i="37"/>
  <c r="AG175" i="37" s="1"/>
  <c r="D176" i="37"/>
  <c r="AD176" i="37" s="1"/>
  <c r="M176" i="37"/>
  <c r="L176" i="37" s="1"/>
  <c r="Q176" i="37"/>
  <c r="R176" i="37" s="1"/>
  <c r="U176" i="37"/>
  <c r="AB176" i="37"/>
  <c r="AE176" i="37"/>
  <c r="AF176" i="37"/>
  <c r="AG176" i="37" s="1"/>
  <c r="D177" i="37"/>
  <c r="AD177" i="37" s="1"/>
  <c r="M177" i="37"/>
  <c r="L177" i="37" s="1"/>
  <c r="Q177" i="37"/>
  <c r="U177" i="37"/>
  <c r="AB177" i="37"/>
  <c r="AE177" i="37"/>
  <c r="AF177" i="37"/>
  <c r="AG177" i="37" s="1"/>
  <c r="D178" i="37"/>
  <c r="AD178" i="37" s="1"/>
  <c r="M178" i="37"/>
  <c r="L178" i="37" s="1"/>
  <c r="Q178" i="37"/>
  <c r="R178" i="37" s="1"/>
  <c r="U178" i="37"/>
  <c r="AB178" i="37"/>
  <c r="AE178" i="37"/>
  <c r="AF178" i="37"/>
  <c r="AG178" i="37" s="1"/>
  <c r="D179" i="37"/>
  <c r="AD179" i="37" s="1"/>
  <c r="M179" i="37"/>
  <c r="L179" i="37" s="1"/>
  <c r="Q179" i="37"/>
  <c r="X179" i="37" s="1"/>
  <c r="Y179" i="37" s="1"/>
  <c r="U179" i="37"/>
  <c r="AB179" i="37"/>
  <c r="AE179" i="37"/>
  <c r="AF179" i="37"/>
  <c r="AG179" i="37" s="1"/>
  <c r="D180" i="37"/>
  <c r="AD180" i="37" s="1"/>
  <c r="M180" i="37"/>
  <c r="L180" i="37" s="1"/>
  <c r="Q180" i="37"/>
  <c r="R180" i="37" s="1"/>
  <c r="U180" i="37"/>
  <c r="AB180" i="37"/>
  <c r="AE180" i="37"/>
  <c r="AF180" i="37"/>
  <c r="AG180" i="37" s="1"/>
  <c r="D181" i="37"/>
  <c r="AD181" i="37" s="1"/>
  <c r="M181" i="37"/>
  <c r="L181" i="37" s="1"/>
  <c r="Q181" i="37"/>
  <c r="X181" i="37" s="1"/>
  <c r="Y181" i="37" s="1"/>
  <c r="U181" i="37"/>
  <c r="AB181" i="37"/>
  <c r="AE181" i="37"/>
  <c r="AF181" i="37"/>
  <c r="AG181" i="37" s="1"/>
  <c r="D182" i="37"/>
  <c r="AD182" i="37" s="1"/>
  <c r="M182" i="37"/>
  <c r="L182" i="37" s="1"/>
  <c r="Q182" i="37"/>
  <c r="R182" i="37" s="1"/>
  <c r="U182" i="37"/>
  <c r="AB182" i="37"/>
  <c r="AE182" i="37"/>
  <c r="AF182" i="37"/>
  <c r="AG182" i="37" s="1"/>
  <c r="D183" i="37"/>
  <c r="AD183" i="37" s="1"/>
  <c r="M183" i="37"/>
  <c r="L183" i="37" s="1"/>
  <c r="Q183" i="37"/>
  <c r="R183" i="37" s="1"/>
  <c r="U183" i="37"/>
  <c r="AB183" i="37"/>
  <c r="AE183" i="37"/>
  <c r="AF183" i="37"/>
  <c r="AG183" i="37" s="1"/>
  <c r="D184" i="37"/>
  <c r="AD184" i="37" s="1"/>
  <c r="M184" i="37"/>
  <c r="L184" i="37" s="1"/>
  <c r="Q184" i="37"/>
  <c r="X184" i="37" s="1"/>
  <c r="Y184" i="37" s="1"/>
  <c r="U184" i="37"/>
  <c r="AB184" i="37"/>
  <c r="AE184" i="37"/>
  <c r="AF184" i="37"/>
  <c r="AG184" i="37" s="1"/>
  <c r="D185" i="37"/>
  <c r="AD185" i="37" s="1"/>
  <c r="M185" i="37"/>
  <c r="L185" i="37" s="1"/>
  <c r="Q185" i="37"/>
  <c r="R185" i="37" s="1"/>
  <c r="U185" i="37"/>
  <c r="AB185" i="37"/>
  <c r="AE185" i="37"/>
  <c r="AF185" i="37"/>
  <c r="AG185" i="37" s="1"/>
  <c r="D186" i="37"/>
  <c r="AD186" i="37" s="1"/>
  <c r="M186" i="37"/>
  <c r="L186" i="37" s="1"/>
  <c r="Q186" i="37"/>
  <c r="R186" i="37" s="1"/>
  <c r="U186" i="37"/>
  <c r="AB186" i="37"/>
  <c r="AE186" i="37"/>
  <c r="AF186" i="37"/>
  <c r="AG186" i="37" s="1"/>
  <c r="D187" i="37"/>
  <c r="AD187" i="37" s="1"/>
  <c r="M187" i="37"/>
  <c r="L187" i="37" s="1"/>
  <c r="Q187" i="37"/>
  <c r="X187" i="37" s="1"/>
  <c r="Y187" i="37" s="1"/>
  <c r="U187" i="37"/>
  <c r="AB187" i="37"/>
  <c r="AE187" i="37"/>
  <c r="AF187" i="37"/>
  <c r="AG187" i="37" s="1"/>
  <c r="D188" i="37"/>
  <c r="AD188" i="37" s="1"/>
  <c r="M188" i="37"/>
  <c r="L188" i="37" s="1"/>
  <c r="Q188" i="37"/>
  <c r="X188" i="37" s="1"/>
  <c r="Y188" i="37" s="1"/>
  <c r="U188" i="37"/>
  <c r="AB188" i="37"/>
  <c r="AE188" i="37"/>
  <c r="AF188" i="37"/>
  <c r="AG188" i="37" s="1"/>
  <c r="D189" i="37"/>
  <c r="AD189" i="37" s="1"/>
  <c r="M189" i="37"/>
  <c r="L189" i="37" s="1"/>
  <c r="Q189" i="37"/>
  <c r="R189" i="37" s="1"/>
  <c r="U189" i="37"/>
  <c r="AB189" i="37"/>
  <c r="AE189" i="37"/>
  <c r="AF189" i="37"/>
  <c r="AG189" i="37" s="1"/>
  <c r="D190" i="37"/>
  <c r="AD190" i="37" s="1"/>
  <c r="M190" i="37"/>
  <c r="L190" i="37" s="1"/>
  <c r="Q190" i="37"/>
  <c r="R190" i="37" s="1"/>
  <c r="U190" i="37"/>
  <c r="AB190" i="37"/>
  <c r="AE190" i="37"/>
  <c r="AF190" i="37"/>
  <c r="AG190" i="37" s="1"/>
  <c r="D191" i="37"/>
  <c r="AD191" i="37" s="1"/>
  <c r="M191" i="37"/>
  <c r="L191" i="37" s="1"/>
  <c r="Q191" i="37"/>
  <c r="R191" i="37" s="1"/>
  <c r="U191" i="37"/>
  <c r="AB191" i="37"/>
  <c r="AE191" i="37"/>
  <c r="AF191" i="37"/>
  <c r="AG191" i="37" s="1"/>
  <c r="D192" i="37"/>
  <c r="AD192" i="37" s="1"/>
  <c r="M192" i="37"/>
  <c r="L192" i="37" s="1"/>
  <c r="Q192" i="37"/>
  <c r="R192" i="37" s="1"/>
  <c r="U192" i="37"/>
  <c r="AB192" i="37"/>
  <c r="AE192" i="37"/>
  <c r="AF192" i="37"/>
  <c r="AG192" i="37" s="1"/>
  <c r="D193" i="37"/>
  <c r="AD193" i="37" s="1"/>
  <c r="M193" i="37"/>
  <c r="L193" i="37" s="1"/>
  <c r="Q193" i="37"/>
  <c r="R193" i="37" s="1"/>
  <c r="U193" i="37"/>
  <c r="AB193" i="37"/>
  <c r="AE193" i="37"/>
  <c r="AF193" i="37"/>
  <c r="AG193" i="37" s="1"/>
  <c r="D194" i="37"/>
  <c r="AD194" i="37" s="1"/>
  <c r="M194" i="37"/>
  <c r="L194" i="37" s="1"/>
  <c r="Q194" i="37"/>
  <c r="U194" i="37"/>
  <c r="AB194" i="37"/>
  <c r="AE194" i="37"/>
  <c r="AF194" i="37"/>
  <c r="AG194" i="37" s="1"/>
  <c r="D195" i="37"/>
  <c r="AD195" i="37" s="1"/>
  <c r="M195" i="37"/>
  <c r="L195" i="37" s="1"/>
  <c r="Q195" i="37"/>
  <c r="X195" i="37" s="1"/>
  <c r="Y195" i="37" s="1"/>
  <c r="U195" i="37"/>
  <c r="AB195" i="37"/>
  <c r="AE195" i="37"/>
  <c r="AF195" i="37"/>
  <c r="AG195" i="37" s="1"/>
  <c r="D196" i="37"/>
  <c r="AD196" i="37" s="1"/>
  <c r="M196" i="37"/>
  <c r="L196" i="37" s="1"/>
  <c r="Q196" i="37"/>
  <c r="X196" i="37" s="1"/>
  <c r="Y196" i="37" s="1"/>
  <c r="U196" i="37"/>
  <c r="AB196" i="37"/>
  <c r="AE196" i="37"/>
  <c r="AF196" i="37"/>
  <c r="AG196" i="37" s="1"/>
  <c r="D197" i="37"/>
  <c r="AD197" i="37" s="1"/>
  <c r="M197" i="37"/>
  <c r="L197" i="37" s="1"/>
  <c r="Q197" i="37"/>
  <c r="X197" i="37" s="1"/>
  <c r="Y197" i="37" s="1"/>
  <c r="U197" i="37"/>
  <c r="AB197" i="37"/>
  <c r="AE197" i="37"/>
  <c r="AF197" i="37"/>
  <c r="AG197" i="37" s="1"/>
  <c r="D198" i="37"/>
  <c r="AD198" i="37" s="1"/>
  <c r="M198" i="37"/>
  <c r="L198" i="37" s="1"/>
  <c r="Q198" i="37"/>
  <c r="R198" i="37" s="1"/>
  <c r="U198" i="37"/>
  <c r="AB198" i="37"/>
  <c r="AE198" i="37"/>
  <c r="AF198" i="37"/>
  <c r="AG198" i="37" s="1"/>
  <c r="D199" i="37"/>
  <c r="AD199" i="37" s="1"/>
  <c r="M199" i="37"/>
  <c r="L199" i="37" s="1"/>
  <c r="Q199" i="37"/>
  <c r="R199" i="37" s="1"/>
  <c r="U199" i="37"/>
  <c r="AB199" i="37"/>
  <c r="AE199" i="37"/>
  <c r="AF199" i="37"/>
  <c r="AG199" i="37" s="1"/>
  <c r="D200" i="37"/>
  <c r="AD200" i="37" s="1"/>
  <c r="M200" i="37"/>
  <c r="L200" i="37" s="1"/>
  <c r="Q200" i="37"/>
  <c r="U200" i="37"/>
  <c r="AB200" i="37"/>
  <c r="AE200" i="37"/>
  <c r="AF200" i="37"/>
  <c r="AG200" i="37" s="1"/>
  <c r="D201" i="37"/>
  <c r="AD201" i="37" s="1"/>
  <c r="M201" i="37"/>
  <c r="L201" i="37" s="1"/>
  <c r="Q201" i="37"/>
  <c r="R201" i="37" s="1"/>
  <c r="U201" i="37"/>
  <c r="AB201" i="37"/>
  <c r="AE201" i="37"/>
  <c r="AF201" i="37"/>
  <c r="AG201" i="37" s="1"/>
  <c r="D202" i="37"/>
  <c r="AD202" i="37" s="1"/>
  <c r="M202" i="37"/>
  <c r="L202" i="37" s="1"/>
  <c r="Q202" i="37"/>
  <c r="R202" i="37" s="1"/>
  <c r="U202" i="37"/>
  <c r="AB202" i="37"/>
  <c r="AE202" i="37"/>
  <c r="AF202" i="37"/>
  <c r="AG202" i="37" s="1"/>
  <c r="D203" i="37"/>
  <c r="AD203" i="37" s="1"/>
  <c r="M203" i="37"/>
  <c r="L203" i="37" s="1"/>
  <c r="Q203" i="37"/>
  <c r="R203" i="37" s="1"/>
  <c r="U203" i="37"/>
  <c r="AB203" i="37"/>
  <c r="AE203" i="37"/>
  <c r="AF203" i="37"/>
  <c r="AG203" i="37" s="1"/>
  <c r="D204" i="37"/>
  <c r="AD204" i="37" s="1"/>
  <c r="M204" i="37"/>
  <c r="L204" i="37" s="1"/>
  <c r="Q204" i="37"/>
  <c r="X204" i="37" s="1"/>
  <c r="Y204" i="37" s="1"/>
  <c r="U204" i="37"/>
  <c r="AB204" i="37"/>
  <c r="AE204" i="37"/>
  <c r="AF204" i="37"/>
  <c r="AG204" i="37" s="1"/>
  <c r="D205" i="37"/>
  <c r="AD205" i="37" s="1"/>
  <c r="M205" i="37"/>
  <c r="L205" i="37" s="1"/>
  <c r="Q205" i="37"/>
  <c r="U205" i="37"/>
  <c r="AB205" i="37"/>
  <c r="AE205" i="37"/>
  <c r="AF205" i="37"/>
  <c r="AG205" i="37" s="1"/>
  <c r="D206" i="37"/>
  <c r="AD206" i="37" s="1"/>
  <c r="M206" i="37"/>
  <c r="L206" i="37" s="1"/>
  <c r="Q206" i="37"/>
  <c r="R206" i="37" s="1"/>
  <c r="U206" i="37"/>
  <c r="AB206" i="37"/>
  <c r="AE206" i="37"/>
  <c r="AF206" i="37"/>
  <c r="AG206" i="37" s="1"/>
  <c r="D207" i="37"/>
  <c r="AD207" i="37" s="1"/>
  <c r="M207" i="37"/>
  <c r="L207" i="37" s="1"/>
  <c r="Q207" i="37"/>
  <c r="R207" i="37" s="1"/>
  <c r="U207" i="37"/>
  <c r="AB207" i="37"/>
  <c r="AE207" i="37"/>
  <c r="AF207" i="37"/>
  <c r="AG207" i="37" s="1"/>
  <c r="D208" i="37"/>
  <c r="AD208" i="37" s="1"/>
  <c r="M208" i="37"/>
  <c r="L208" i="37" s="1"/>
  <c r="Q208" i="37"/>
  <c r="X208" i="37" s="1"/>
  <c r="Y208" i="37" s="1"/>
  <c r="U208" i="37"/>
  <c r="AB208" i="37"/>
  <c r="AE208" i="37"/>
  <c r="AF208" i="37"/>
  <c r="AG208" i="37" s="1"/>
  <c r="D209" i="37"/>
  <c r="AD209" i="37" s="1"/>
  <c r="M209" i="37"/>
  <c r="L209" i="37" s="1"/>
  <c r="Q209" i="37"/>
  <c r="X209" i="37" s="1"/>
  <c r="Y209" i="37" s="1"/>
  <c r="U209" i="37"/>
  <c r="AB209" i="37"/>
  <c r="AE209" i="37"/>
  <c r="AF209" i="37"/>
  <c r="AG209" i="37" s="1"/>
  <c r="D210" i="37"/>
  <c r="AD210" i="37" s="1"/>
  <c r="M210" i="37"/>
  <c r="L210" i="37" s="1"/>
  <c r="Q210" i="37"/>
  <c r="R210" i="37" s="1"/>
  <c r="U210" i="37"/>
  <c r="AB210" i="37"/>
  <c r="AE210" i="37"/>
  <c r="AF210" i="37"/>
  <c r="AG210" i="37" s="1"/>
  <c r="D211" i="37"/>
  <c r="AD211" i="37" s="1"/>
  <c r="M211" i="37"/>
  <c r="L211" i="37" s="1"/>
  <c r="Q211" i="37"/>
  <c r="R211" i="37" s="1"/>
  <c r="U211" i="37"/>
  <c r="AB211" i="37"/>
  <c r="AE211" i="37"/>
  <c r="AF211" i="37"/>
  <c r="AG211" i="37" s="1"/>
  <c r="D212" i="37"/>
  <c r="AD212" i="37" s="1"/>
  <c r="M212" i="37"/>
  <c r="L212" i="37" s="1"/>
  <c r="Q212" i="37"/>
  <c r="X212" i="37" s="1"/>
  <c r="Y212" i="37" s="1"/>
  <c r="U212" i="37"/>
  <c r="AB212" i="37"/>
  <c r="AE212" i="37"/>
  <c r="AF212" i="37"/>
  <c r="AG212" i="37" s="1"/>
  <c r="D213" i="37"/>
  <c r="AD213" i="37" s="1"/>
  <c r="M213" i="37"/>
  <c r="L213" i="37" s="1"/>
  <c r="Q213" i="37"/>
  <c r="R213" i="37" s="1"/>
  <c r="U213" i="37"/>
  <c r="AB213" i="37"/>
  <c r="AE213" i="37"/>
  <c r="AF213" i="37"/>
  <c r="AG213" i="37" s="1"/>
  <c r="D214" i="37"/>
  <c r="AD214" i="37" s="1"/>
  <c r="M214" i="37"/>
  <c r="L214" i="37" s="1"/>
  <c r="Q214" i="37"/>
  <c r="R214" i="37" s="1"/>
  <c r="U214" i="37"/>
  <c r="AB214" i="37"/>
  <c r="AE214" i="37"/>
  <c r="AF214" i="37"/>
  <c r="AG214" i="37" s="1"/>
  <c r="D215" i="37"/>
  <c r="AD215" i="37" s="1"/>
  <c r="M215" i="37"/>
  <c r="L215" i="37" s="1"/>
  <c r="Q215" i="37"/>
  <c r="R215" i="37" s="1"/>
  <c r="U215" i="37"/>
  <c r="AB215" i="37"/>
  <c r="AE215" i="37"/>
  <c r="AF215" i="37"/>
  <c r="AG215" i="37" s="1"/>
  <c r="D216" i="37"/>
  <c r="AD216" i="37" s="1"/>
  <c r="M216" i="37"/>
  <c r="L216" i="37" s="1"/>
  <c r="Q216" i="37"/>
  <c r="U216" i="37"/>
  <c r="AB216" i="37"/>
  <c r="AE216" i="37"/>
  <c r="AF216" i="37"/>
  <c r="AG216" i="37" s="1"/>
  <c r="D217" i="37"/>
  <c r="AD217" i="37" s="1"/>
  <c r="M217" i="37"/>
  <c r="L217" i="37" s="1"/>
  <c r="Q217" i="37"/>
  <c r="X217" i="37" s="1"/>
  <c r="Y217" i="37" s="1"/>
  <c r="U217" i="37"/>
  <c r="AB217" i="37"/>
  <c r="AE217" i="37"/>
  <c r="AF217" i="37"/>
  <c r="AG217" i="37" s="1"/>
  <c r="D218" i="37"/>
  <c r="AD218" i="37" s="1"/>
  <c r="M218" i="37"/>
  <c r="L218" i="37" s="1"/>
  <c r="Q218" i="37"/>
  <c r="U218" i="37"/>
  <c r="AB218" i="37"/>
  <c r="AE218" i="37"/>
  <c r="AF218" i="37"/>
  <c r="AG218" i="37" s="1"/>
  <c r="D219" i="37"/>
  <c r="AD219" i="37" s="1"/>
  <c r="M219" i="37"/>
  <c r="L219" i="37" s="1"/>
  <c r="Q219" i="37"/>
  <c r="X219" i="37" s="1"/>
  <c r="Y219" i="37" s="1"/>
  <c r="U219" i="37"/>
  <c r="AB219" i="37"/>
  <c r="AE219" i="37"/>
  <c r="AF219" i="37"/>
  <c r="AG219" i="37" s="1"/>
  <c r="D220" i="37"/>
  <c r="AD220" i="37" s="1"/>
  <c r="M220" i="37"/>
  <c r="L220" i="37" s="1"/>
  <c r="Q220" i="37"/>
  <c r="R220" i="37" s="1"/>
  <c r="U220" i="37"/>
  <c r="AB220" i="37"/>
  <c r="AE220" i="37"/>
  <c r="AF220" i="37"/>
  <c r="AG220" i="37" s="1"/>
  <c r="D221" i="37"/>
  <c r="AD221" i="37" s="1"/>
  <c r="M221" i="37"/>
  <c r="L221" i="37" s="1"/>
  <c r="Q221" i="37"/>
  <c r="U221" i="37"/>
  <c r="AB221" i="37"/>
  <c r="AE221" i="37"/>
  <c r="AF221" i="37"/>
  <c r="AG221" i="37" s="1"/>
  <c r="D222" i="37"/>
  <c r="AD222" i="37" s="1"/>
  <c r="M222" i="37"/>
  <c r="L222" i="37" s="1"/>
  <c r="Q222" i="37"/>
  <c r="R222" i="37" s="1"/>
  <c r="U222" i="37"/>
  <c r="AB222" i="37"/>
  <c r="AE222" i="37"/>
  <c r="AF222" i="37"/>
  <c r="AG222" i="37" s="1"/>
  <c r="D223" i="37"/>
  <c r="AD223" i="37" s="1"/>
  <c r="M223" i="37"/>
  <c r="L223" i="37" s="1"/>
  <c r="Q223" i="37"/>
  <c r="U223" i="37"/>
  <c r="AB223" i="37"/>
  <c r="AE223" i="37"/>
  <c r="AF223" i="37"/>
  <c r="AG223" i="37" s="1"/>
  <c r="D224" i="37"/>
  <c r="AD224" i="37" s="1"/>
  <c r="M224" i="37"/>
  <c r="L224" i="37" s="1"/>
  <c r="Q224" i="37"/>
  <c r="X224" i="37" s="1"/>
  <c r="Y224" i="37" s="1"/>
  <c r="U224" i="37"/>
  <c r="AB224" i="37"/>
  <c r="AE224" i="37"/>
  <c r="AF224" i="37"/>
  <c r="AG224" i="37" s="1"/>
  <c r="D225" i="37"/>
  <c r="AD225" i="37" s="1"/>
  <c r="M225" i="37"/>
  <c r="L225" i="37" s="1"/>
  <c r="Q225" i="37"/>
  <c r="R225" i="37" s="1"/>
  <c r="U225" i="37"/>
  <c r="AB225" i="37"/>
  <c r="AE225" i="37"/>
  <c r="AF225" i="37"/>
  <c r="AG225" i="37" s="1"/>
  <c r="D226" i="37"/>
  <c r="AD226" i="37" s="1"/>
  <c r="M226" i="37"/>
  <c r="L226" i="37" s="1"/>
  <c r="Q226" i="37"/>
  <c r="X226" i="37" s="1"/>
  <c r="Y226" i="37" s="1"/>
  <c r="U226" i="37"/>
  <c r="AB226" i="37"/>
  <c r="AE226" i="37"/>
  <c r="AF226" i="37"/>
  <c r="AG226" i="37" s="1"/>
  <c r="D227" i="37"/>
  <c r="AD227" i="37" s="1"/>
  <c r="M227" i="37"/>
  <c r="L227" i="37" s="1"/>
  <c r="Q227" i="37"/>
  <c r="U227" i="37"/>
  <c r="AB227" i="37"/>
  <c r="AE227" i="37"/>
  <c r="AF227" i="37"/>
  <c r="AG227" i="37" s="1"/>
  <c r="D228" i="37"/>
  <c r="AD228" i="37" s="1"/>
  <c r="M228" i="37"/>
  <c r="L228" i="37" s="1"/>
  <c r="Q228" i="37"/>
  <c r="R228" i="37" s="1"/>
  <c r="U228" i="37"/>
  <c r="AB228" i="37"/>
  <c r="AE228" i="37"/>
  <c r="AF228" i="37"/>
  <c r="AG228" i="37" s="1"/>
  <c r="D229" i="37"/>
  <c r="AD229" i="37" s="1"/>
  <c r="M229" i="37"/>
  <c r="L229" i="37" s="1"/>
  <c r="Q229" i="37"/>
  <c r="X229" i="37" s="1"/>
  <c r="Y229" i="37" s="1"/>
  <c r="U229" i="37"/>
  <c r="AB229" i="37"/>
  <c r="AE229" i="37"/>
  <c r="AF229" i="37"/>
  <c r="AG229" i="37" s="1"/>
  <c r="D230" i="37"/>
  <c r="AD230" i="37" s="1"/>
  <c r="M230" i="37"/>
  <c r="L230" i="37" s="1"/>
  <c r="Q230" i="37"/>
  <c r="U230" i="37"/>
  <c r="AB230" i="37"/>
  <c r="AE230" i="37"/>
  <c r="AF230" i="37"/>
  <c r="AG230" i="37" s="1"/>
  <c r="D231" i="37"/>
  <c r="AD231" i="37" s="1"/>
  <c r="M231" i="37"/>
  <c r="L231" i="37" s="1"/>
  <c r="Q231" i="37"/>
  <c r="U231" i="37"/>
  <c r="AB231" i="37"/>
  <c r="AE231" i="37"/>
  <c r="AF231" i="37"/>
  <c r="AG231" i="37" s="1"/>
  <c r="D232" i="37"/>
  <c r="AD232" i="37" s="1"/>
  <c r="M232" i="37"/>
  <c r="L232" i="37" s="1"/>
  <c r="Q232" i="37"/>
  <c r="R232" i="37" s="1"/>
  <c r="U232" i="37"/>
  <c r="AB232" i="37"/>
  <c r="AE232" i="37"/>
  <c r="AF232" i="37"/>
  <c r="AG232" i="37" s="1"/>
  <c r="D233" i="37"/>
  <c r="AD233" i="37" s="1"/>
  <c r="M233" i="37"/>
  <c r="L233" i="37" s="1"/>
  <c r="Q233" i="37"/>
  <c r="R233" i="37" s="1"/>
  <c r="U233" i="37"/>
  <c r="AB233" i="37"/>
  <c r="AE233" i="37"/>
  <c r="AF233" i="37"/>
  <c r="AG233" i="37" s="1"/>
  <c r="D234" i="37"/>
  <c r="AD234" i="37" s="1"/>
  <c r="M234" i="37"/>
  <c r="L234" i="37" s="1"/>
  <c r="Q234" i="37"/>
  <c r="X234" i="37" s="1"/>
  <c r="Y234" i="37" s="1"/>
  <c r="AB234" i="37"/>
  <c r="AE234" i="37"/>
  <c r="AF234" i="37"/>
  <c r="AG234" i="37" s="1"/>
  <c r="D235" i="37"/>
  <c r="AD235" i="37" s="1"/>
  <c r="M235" i="37"/>
  <c r="L235" i="37" s="1"/>
  <c r="Q235" i="37"/>
  <c r="X235" i="37" s="1"/>
  <c r="Y235" i="37" s="1"/>
  <c r="U235" i="37"/>
  <c r="AB235" i="37"/>
  <c r="AE235" i="37"/>
  <c r="AF235" i="37"/>
  <c r="AG235" i="37" s="1"/>
  <c r="D236" i="37"/>
  <c r="AD236" i="37" s="1"/>
  <c r="M236" i="37"/>
  <c r="L236" i="37" s="1"/>
  <c r="Q236" i="37"/>
  <c r="X236" i="37" s="1"/>
  <c r="Y236" i="37" s="1"/>
  <c r="U236" i="37"/>
  <c r="AB236" i="37"/>
  <c r="AE236" i="37"/>
  <c r="AF236" i="37"/>
  <c r="AG236" i="37" s="1"/>
  <c r="D237" i="37"/>
  <c r="AD237" i="37" s="1"/>
  <c r="M237" i="37"/>
  <c r="L237" i="37" s="1"/>
  <c r="Q237" i="37"/>
  <c r="R237" i="37" s="1"/>
  <c r="U237" i="37"/>
  <c r="AB237" i="37"/>
  <c r="AE237" i="37"/>
  <c r="AF237" i="37"/>
  <c r="AG237" i="37" s="1"/>
  <c r="D238" i="37"/>
  <c r="AD238" i="37" s="1"/>
  <c r="M238" i="37"/>
  <c r="L238" i="37" s="1"/>
  <c r="Q238" i="37"/>
  <c r="R238" i="37" s="1"/>
  <c r="U238" i="37"/>
  <c r="AB238" i="37"/>
  <c r="AE238" i="37"/>
  <c r="AF238" i="37"/>
  <c r="AG238" i="37" s="1"/>
  <c r="D239" i="37"/>
  <c r="AD239" i="37" s="1"/>
  <c r="M239" i="37"/>
  <c r="L239" i="37" s="1"/>
  <c r="Q239" i="37"/>
  <c r="R239" i="37" s="1"/>
  <c r="U239" i="37"/>
  <c r="AB239" i="37"/>
  <c r="AE239" i="37"/>
  <c r="AF239" i="37"/>
  <c r="AG239" i="37" s="1"/>
  <c r="D240" i="37"/>
  <c r="AD240" i="37" s="1"/>
  <c r="M240" i="37"/>
  <c r="L240" i="37" s="1"/>
  <c r="Q240" i="37"/>
  <c r="R240" i="37" s="1"/>
  <c r="U240" i="37"/>
  <c r="AB240" i="37"/>
  <c r="AE240" i="37"/>
  <c r="AF240" i="37"/>
  <c r="AG240" i="37" s="1"/>
  <c r="D241" i="37"/>
  <c r="AD241" i="37" s="1"/>
  <c r="M241" i="37"/>
  <c r="L241" i="37" s="1"/>
  <c r="Q241" i="37"/>
  <c r="U241" i="37"/>
  <c r="AB241" i="37"/>
  <c r="AE241" i="37"/>
  <c r="AF241" i="37"/>
  <c r="AG241" i="37" s="1"/>
  <c r="D242" i="37"/>
  <c r="AD242" i="37" s="1"/>
  <c r="M242" i="37"/>
  <c r="L242" i="37" s="1"/>
  <c r="Q242" i="37"/>
  <c r="X242" i="37" s="1"/>
  <c r="Y242" i="37" s="1"/>
  <c r="AB242" i="37"/>
  <c r="AE242" i="37"/>
  <c r="AF242" i="37"/>
  <c r="AG242" i="37" s="1"/>
  <c r="D243" i="37"/>
  <c r="AD243" i="37" s="1"/>
  <c r="M243" i="37"/>
  <c r="L243" i="37" s="1"/>
  <c r="Q243" i="37"/>
  <c r="R243" i="37" s="1"/>
  <c r="T243" i="37" s="1"/>
  <c r="AB243" i="37"/>
  <c r="AE243" i="37"/>
  <c r="AF243" i="37"/>
  <c r="AG243" i="37" s="1"/>
  <c r="D244" i="37"/>
  <c r="AD244" i="37" s="1"/>
  <c r="M244" i="37"/>
  <c r="L244" i="37" s="1"/>
  <c r="Q244" i="37"/>
  <c r="AB244" i="37"/>
  <c r="AE244" i="37"/>
  <c r="AF244" i="37"/>
  <c r="AG244" i="37" s="1"/>
  <c r="D245" i="37"/>
  <c r="AD245" i="37" s="1"/>
  <c r="M245" i="37"/>
  <c r="L245" i="37" s="1"/>
  <c r="Q245" i="37"/>
  <c r="R245" i="37" s="1"/>
  <c r="T245" i="37" s="1"/>
  <c r="AB245" i="37"/>
  <c r="AE245" i="37"/>
  <c r="AF245" i="37"/>
  <c r="AG245" i="37" s="1"/>
  <c r="D246" i="37"/>
  <c r="AD246" i="37" s="1"/>
  <c r="M246" i="37"/>
  <c r="L246" i="37" s="1"/>
  <c r="Q246" i="37"/>
  <c r="AB246" i="37"/>
  <c r="AE246" i="37"/>
  <c r="AF246" i="37"/>
  <c r="AG246" i="37" s="1"/>
  <c r="D247" i="37"/>
  <c r="AD247" i="37" s="1"/>
  <c r="M247" i="37"/>
  <c r="L247" i="37" s="1"/>
  <c r="Q247" i="37"/>
  <c r="X247" i="37" s="1"/>
  <c r="Y247" i="37" s="1"/>
  <c r="AB247" i="37"/>
  <c r="AE247" i="37"/>
  <c r="AF247" i="37"/>
  <c r="AG247" i="37" s="1"/>
  <c r="D248" i="37"/>
  <c r="AD248" i="37" s="1"/>
  <c r="M248" i="37"/>
  <c r="L248" i="37" s="1"/>
  <c r="Q248" i="37"/>
  <c r="R248" i="37" s="1"/>
  <c r="AB248" i="37"/>
  <c r="AE248" i="37"/>
  <c r="AF248" i="37"/>
  <c r="AG248" i="37" s="1"/>
  <c r="D249" i="37"/>
  <c r="AD249" i="37" s="1"/>
  <c r="M249" i="37"/>
  <c r="L249" i="37" s="1"/>
  <c r="Q249" i="37"/>
  <c r="R249" i="37" s="1"/>
  <c r="AB249" i="37"/>
  <c r="AE249" i="37"/>
  <c r="AF249" i="37"/>
  <c r="AG249" i="37" s="1"/>
  <c r="D250" i="37"/>
  <c r="AD250" i="37" s="1"/>
  <c r="M250" i="37"/>
  <c r="L250" i="37" s="1"/>
  <c r="Q250" i="37"/>
  <c r="AB250" i="37"/>
  <c r="AE250" i="37"/>
  <c r="AF250" i="37"/>
  <c r="AG250" i="37" s="1"/>
  <c r="D251" i="37"/>
  <c r="AD251" i="37" s="1"/>
  <c r="M251" i="37"/>
  <c r="L251" i="37" s="1"/>
  <c r="Q251" i="37"/>
  <c r="AB251" i="37"/>
  <c r="AE251" i="37"/>
  <c r="AF251" i="37"/>
  <c r="AG251" i="37" s="1"/>
  <c r="D252" i="37"/>
  <c r="AD252" i="37" s="1"/>
  <c r="M252" i="37"/>
  <c r="L252" i="37" s="1"/>
  <c r="Q252" i="37"/>
  <c r="X252" i="37" s="1"/>
  <c r="Y252" i="37" s="1"/>
  <c r="AB252" i="37"/>
  <c r="AE252" i="37"/>
  <c r="AF252" i="37"/>
  <c r="AG252" i="37" s="1"/>
  <c r="D253" i="37"/>
  <c r="AD253" i="37" s="1"/>
  <c r="M253" i="37"/>
  <c r="L253" i="37" s="1"/>
  <c r="Q253" i="37"/>
  <c r="X253" i="37" s="1"/>
  <c r="Y253" i="37" s="1"/>
  <c r="AB253" i="37"/>
  <c r="AE253" i="37"/>
  <c r="AF253" i="37"/>
  <c r="AG253" i="37" s="1"/>
  <c r="D254" i="37"/>
  <c r="AD254" i="37" s="1"/>
  <c r="M254" i="37"/>
  <c r="L254" i="37" s="1"/>
  <c r="Q254" i="37"/>
  <c r="X254" i="37" s="1"/>
  <c r="Y254" i="37" s="1"/>
  <c r="U254" i="37"/>
  <c r="AB254" i="37"/>
  <c r="AE254" i="37"/>
  <c r="AF254" i="37"/>
  <c r="AG254" i="37" s="1"/>
  <c r="D255" i="37"/>
  <c r="AD255" i="37" s="1"/>
  <c r="M255" i="37"/>
  <c r="L255" i="37" s="1"/>
  <c r="Q255" i="37"/>
  <c r="R255" i="37" s="1"/>
  <c r="U255" i="37"/>
  <c r="AB255" i="37"/>
  <c r="AE255" i="37"/>
  <c r="AF255" i="37"/>
  <c r="AG255" i="37" s="1"/>
  <c r="D256" i="37"/>
  <c r="AD256" i="37" s="1"/>
  <c r="M256" i="37"/>
  <c r="L256" i="37" s="1"/>
  <c r="Q256" i="37"/>
  <c r="R256" i="37" s="1"/>
  <c r="U256" i="37"/>
  <c r="AB256" i="37"/>
  <c r="AE256" i="37"/>
  <c r="AF256" i="37"/>
  <c r="AG256" i="37" s="1"/>
  <c r="D257" i="37"/>
  <c r="AD257" i="37" s="1"/>
  <c r="M257" i="37"/>
  <c r="L257" i="37" s="1"/>
  <c r="Q257" i="37"/>
  <c r="R257" i="37" s="1"/>
  <c r="U257" i="37"/>
  <c r="AB257" i="37"/>
  <c r="AE257" i="37"/>
  <c r="AF257" i="37"/>
  <c r="AG257" i="37" s="1"/>
  <c r="D258" i="37"/>
  <c r="AD258" i="37" s="1"/>
  <c r="M258" i="37"/>
  <c r="L258" i="37" s="1"/>
  <c r="Q258" i="37"/>
  <c r="R258" i="37" s="1"/>
  <c r="U258" i="37"/>
  <c r="AB258" i="37"/>
  <c r="AE258" i="37"/>
  <c r="AF258" i="37"/>
  <c r="AG258" i="37" s="1"/>
  <c r="D259" i="37"/>
  <c r="AD259" i="37" s="1"/>
  <c r="M259" i="37"/>
  <c r="L259" i="37" s="1"/>
  <c r="Q259" i="37"/>
  <c r="U259" i="37"/>
  <c r="AB259" i="37"/>
  <c r="AE259" i="37"/>
  <c r="AF259" i="37"/>
  <c r="AG259" i="37" s="1"/>
  <c r="D260" i="37"/>
  <c r="AD260" i="37" s="1"/>
  <c r="M260" i="37"/>
  <c r="L260" i="37" s="1"/>
  <c r="Q260" i="37"/>
  <c r="U260" i="37"/>
  <c r="AB260" i="37"/>
  <c r="AE260" i="37"/>
  <c r="AF260" i="37"/>
  <c r="AG260" i="37" s="1"/>
  <c r="D261" i="37"/>
  <c r="AD261" i="37" s="1"/>
  <c r="M261" i="37"/>
  <c r="L261" i="37" s="1"/>
  <c r="Q261" i="37"/>
  <c r="U261" i="37"/>
  <c r="AB261" i="37"/>
  <c r="AE261" i="37"/>
  <c r="AF261" i="37"/>
  <c r="AG261" i="37" s="1"/>
  <c r="D262" i="37"/>
  <c r="AD262" i="37" s="1"/>
  <c r="M262" i="37"/>
  <c r="L262" i="37" s="1"/>
  <c r="Q262" i="37"/>
  <c r="R262" i="37" s="1"/>
  <c r="U262" i="37"/>
  <c r="AB262" i="37"/>
  <c r="AE262" i="37"/>
  <c r="AF262" i="37"/>
  <c r="AG262" i="37" s="1"/>
  <c r="D263" i="37"/>
  <c r="AD263" i="37" s="1"/>
  <c r="M263" i="37"/>
  <c r="L263" i="37" s="1"/>
  <c r="Q263" i="37"/>
  <c r="R263" i="37" s="1"/>
  <c r="U263" i="37"/>
  <c r="AB263" i="37"/>
  <c r="AE263" i="37"/>
  <c r="AF263" i="37"/>
  <c r="AG263" i="37" s="1"/>
  <c r="D264" i="37"/>
  <c r="AD264" i="37" s="1"/>
  <c r="M264" i="37"/>
  <c r="L264" i="37" s="1"/>
  <c r="Q264" i="37"/>
  <c r="U264" i="37"/>
  <c r="AB264" i="37"/>
  <c r="AE264" i="37"/>
  <c r="AF264" i="37"/>
  <c r="AG264" i="37" s="1"/>
  <c r="D265" i="37"/>
  <c r="AD265" i="37" s="1"/>
  <c r="M265" i="37"/>
  <c r="L265" i="37" s="1"/>
  <c r="Q265" i="37"/>
  <c r="R265" i="37" s="1"/>
  <c r="U265" i="37"/>
  <c r="AB265" i="37"/>
  <c r="AE265" i="37"/>
  <c r="AF265" i="37"/>
  <c r="AG265" i="37" s="1"/>
  <c r="D266" i="37"/>
  <c r="AD266" i="37" s="1"/>
  <c r="M266" i="37"/>
  <c r="L266" i="37" s="1"/>
  <c r="Q266" i="37"/>
  <c r="AB266" i="37"/>
  <c r="AE266" i="37"/>
  <c r="AF266" i="37"/>
  <c r="AG266" i="37" s="1"/>
  <c r="D267" i="37"/>
  <c r="AD267" i="37" s="1"/>
  <c r="M267" i="37"/>
  <c r="L267" i="37" s="1"/>
  <c r="Q267" i="37"/>
  <c r="X267" i="37" s="1"/>
  <c r="Y267" i="37" s="1"/>
  <c r="U267" i="37"/>
  <c r="AB267" i="37"/>
  <c r="AE267" i="37"/>
  <c r="AF267" i="37"/>
  <c r="AG267" i="37" s="1"/>
  <c r="D268" i="37"/>
  <c r="AD268" i="37" s="1"/>
  <c r="M268" i="37"/>
  <c r="L268" i="37" s="1"/>
  <c r="Q268" i="37"/>
  <c r="X268" i="37" s="1"/>
  <c r="Y268" i="37" s="1"/>
  <c r="U268" i="37"/>
  <c r="AB268" i="37"/>
  <c r="AE268" i="37"/>
  <c r="AF268" i="37"/>
  <c r="AG268" i="37" s="1"/>
  <c r="D269" i="37"/>
  <c r="AD269" i="37" s="1"/>
  <c r="M269" i="37"/>
  <c r="L269" i="37" s="1"/>
  <c r="Q269" i="37"/>
  <c r="X269" i="37" s="1"/>
  <c r="Y269" i="37" s="1"/>
  <c r="U269" i="37"/>
  <c r="AB269" i="37"/>
  <c r="AE269" i="37"/>
  <c r="AF269" i="37"/>
  <c r="AG269" i="37" s="1"/>
  <c r="D270" i="37"/>
  <c r="AD270" i="37" s="1"/>
  <c r="M270" i="37"/>
  <c r="L270" i="37" s="1"/>
  <c r="Q270" i="37"/>
  <c r="U270" i="37"/>
  <c r="AB270" i="37"/>
  <c r="AE270" i="37"/>
  <c r="AF270" i="37"/>
  <c r="AG270" i="37" s="1"/>
  <c r="D271" i="37"/>
  <c r="AD271" i="37" s="1"/>
  <c r="M271" i="37"/>
  <c r="L271" i="37" s="1"/>
  <c r="Q271" i="37"/>
  <c r="R271" i="37" s="1"/>
  <c r="U271" i="37"/>
  <c r="AB271" i="37"/>
  <c r="AE271" i="37"/>
  <c r="AF271" i="37"/>
  <c r="AG271" i="37" s="1"/>
  <c r="D272" i="37"/>
  <c r="AD272" i="37" s="1"/>
  <c r="M272" i="37"/>
  <c r="L272" i="37" s="1"/>
  <c r="Q272" i="37"/>
  <c r="X272" i="37" s="1"/>
  <c r="Y272" i="37" s="1"/>
  <c r="U272" i="37"/>
  <c r="AB272" i="37"/>
  <c r="AE272" i="37"/>
  <c r="AF272" i="37"/>
  <c r="AG272" i="37" s="1"/>
  <c r="D273" i="37"/>
  <c r="AD273" i="37" s="1"/>
  <c r="M273" i="37"/>
  <c r="L273" i="37" s="1"/>
  <c r="Q273" i="37"/>
  <c r="U273" i="37"/>
  <c r="AB273" i="37"/>
  <c r="AE273" i="37"/>
  <c r="AF273" i="37"/>
  <c r="AG273" i="37" s="1"/>
  <c r="D274" i="37"/>
  <c r="AD274" i="37" s="1"/>
  <c r="M274" i="37"/>
  <c r="L274" i="37" s="1"/>
  <c r="Q274" i="37"/>
  <c r="X274" i="37" s="1"/>
  <c r="Y274" i="37" s="1"/>
  <c r="U274" i="37"/>
  <c r="AB274" i="37"/>
  <c r="AE274" i="37"/>
  <c r="AF274" i="37"/>
  <c r="AG274" i="37" s="1"/>
  <c r="D275" i="37"/>
  <c r="AD275" i="37" s="1"/>
  <c r="M275" i="37"/>
  <c r="L275" i="37" s="1"/>
  <c r="Q275" i="37"/>
  <c r="R275" i="37" s="1"/>
  <c r="U275" i="37"/>
  <c r="AB275" i="37"/>
  <c r="AE275" i="37"/>
  <c r="AF275" i="37"/>
  <c r="AG275" i="37" s="1"/>
  <c r="D276" i="37"/>
  <c r="AD276" i="37" s="1"/>
  <c r="M276" i="37"/>
  <c r="L276" i="37" s="1"/>
  <c r="Q276" i="37"/>
  <c r="U276" i="37"/>
  <c r="AB276" i="37"/>
  <c r="AE276" i="37"/>
  <c r="AF276" i="37"/>
  <c r="AG276" i="37" s="1"/>
  <c r="D277" i="37"/>
  <c r="AD277" i="37" s="1"/>
  <c r="M277" i="37"/>
  <c r="L277" i="37" s="1"/>
  <c r="Q277" i="37"/>
  <c r="X277" i="37" s="1"/>
  <c r="Y277" i="37" s="1"/>
  <c r="U277" i="37"/>
  <c r="AB277" i="37"/>
  <c r="AE277" i="37"/>
  <c r="AF277" i="37"/>
  <c r="AG277" i="37" s="1"/>
  <c r="D278" i="37"/>
  <c r="AD278" i="37" s="1"/>
  <c r="M278" i="37"/>
  <c r="L278" i="37" s="1"/>
  <c r="Q278" i="37"/>
  <c r="R278" i="37" s="1"/>
  <c r="U278" i="37"/>
  <c r="AB278" i="37"/>
  <c r="AE278" i="37"/>
  <c r="AF278" i="37"/>
  <c r="AG278" i="37" s="1"/>
  <c r="D279" i="37"/>
  <c r="AD279" i="37" s="1"/>
  <c r="M279" i="37"/>
  <c r="L279" i="37" s="1"/>
  <c r="Q279" i="37"/>
  <c r="U279" i="37"/>
  <c r="AB279" i="37"/>
  <c r="AE279" i="37"/>
  <c r="AF279" i="37"/>
  <c r="AG279" i="37" s="1"/>
  <c r="D280" i="37"/>
  <c r="AD280" i="37" s="1"/>
  <c r="M280" i="37"/>
  <c r="L280" i="37" s="1"/>
  <c r="Q280" i="37"/>
  <c r="U280" i="37"/>
  <c r="AB280" i="37"/>
  <c r="AE280" i="37"/>
  <c r="AF280" i="37"/>
  <c r="AG280" i="37" s="1"/>
  <c r="D281" i="37"/>
  <c r="AD281" i="37" s="1"/>
  <c r="M281" i="37"/>
  <c r="L281" i="37" s="1"/>
  <c r="Q281" i="37"/>
  <c r="X281" i="37" s="1"/>
  <c r="Y281" i="37" s="1"/>
  <c r="U281" i="37"/>
  <c r="AB281" i="37"/>
  <c r="AE281" i="37"/>
  <c r="AF281" i="37"/>
  <c r="AG281" i="37" s="1"/>
  <c r="D282" i="37"/>
  <c r="AD282" i="37" s="1"/>
  <c r="M282" i="37"/>
  <c r="L282" i="37" s="1"/>
  <c r="Q282" i="37"/>
  <c r="X282" i="37" s="1"/>
  <c r="Y282" i="37" s="1"/>
  <c r="U282" i="37"/>
  <c r="AB282" i="37"/>
  <c r="AE282" i="37"/>
  <c r="AF282" i="37"/>
  <c r="AG282" i="37" s="1"/>
  <c r="D283" i="37"/>
  <c r="AD283" i="37" s="1"/>
  <c r="M283" i="37"/>
  <c r="L283" i="37" s="1"/>
  <c r="Q283" i="37"/>
  <c r="U283" i="37"/>
  <c r="AB283" i="37"/>
  <c r="AE283" i="37"/>
  <c r="AF283" i="37"/>
  <c r="AG283" i="37" s="1"/>
  <c r="D284" i="37"/>
  <c r="AD284" i="37" s="1"/>
  <c r="M284" i="37"/>
  <c r="L284" i="37" s="1"/>
  <c r="Q284" i="37"/>
  <c r="R284" i="37" s="1"/>
  <c r="U284" i="37"/>
  <c r="AB284" i="37"/>
  <c r="AE284" i="37"/>
  <c r="AF284" i="37"/>
  <c r="AG284" i="37" s="1"/>
  <c r="D285" i="37"/>
  <c r="AD285" i="37" s="1"/>
  <c r="M285" i="37"/>
  <c r="L285" i="37" s="1"/>
  <c r="Q285" i="37"/>
  <c r="U285" i="37"/>
  <c r="AB285" i="37"/>
  <c r="AE285" i="37"/>
  <c r="AF285" i="37"/>
  <c r="AG285" i="37" s="1"/>
  <c r="D286" i="37"/>
  <c r="AD286" i="37" s="1"/>
  <c r="M286" i="37"/>
  <c r="L286" i="37" s="1"/>
  <c r="Q286" i="37"/>
  <c r="X286" i="37" s="1"/>
  <c r="Y286" i="37" s="1"/>
  <c r="U286" i="37"/>
  <c r="AB286" i="37"/>
  <c r="AE286" i="37"/>
  <c r="AF286" i="37"/>
  <c r="AG286" i="37" s="1"/>
  <c r="D287" i="37"/>
  <c r="AD287" i="37" s="1"/>
  <c r="M287" i="37"/>
  <c r="L287" i="37" s="1"/>
  <c r="Q287" i="37"/>
  <c r="R287" i="37" s="1"/>
  <c r="U287" i="37"/>
  <c r="AB287" i="37"/>
  <c r="AE287" i="37"/>
  <c r="AF287" i="37"/>
  <c r="AG287" i="37" s="1"/>
  <c r="D288" i="37"/>
  <c r="AD288" i="37" s="1"/>
  <c r="M288" i="37"/>
  <c r="L288" i="37" s="1"/>
  <c r="Q288" i="37"/>
  <c r="X288" i="37" s="1"/>
  <c r="Y288" i="37" s="1"/>
  <c r="U288" i="37"/>
  <c r="AB288" i="37"/>
  <c r="AE288" i="37"/>
  <c r="AF288" i="37"/>
  <c r="AG288" i="37" s="1"/>
  <c r="D289" i="37"/>
  <c r="AD289" i="37" s="1"/>
  <c r="M289" i="37"/>
  <c r="L289" i="37" s="1"/>
  <c r="Q289" i="37"/>
  <c r="R289" i="37" s="1"/>
  <c r="U289" i="37"/>
  <c r="AB289" i="37"/>
  <c r="AE289" i="37"/>
  <c r="AF289" i="37"/>
  <c r="AG289" i="37" s="1"/>
  <c r="D290" i="37"/>
  <c r="AD290" i="37" s="1"/>
  <c r="M290" i="37"/>
  <c r="L290" i="37" s="1"/>
  <c r="Q290" i="37"/>
  <c r="X290" i="37" s="1"/>
  <c r="Y290" i="37" s="1"/>
  <c r="U290" i="37"/>
  <c r="AB290" i="37"/>
  <c r="AE290" i="37"/>
  <c r="AF290" i="37"/>
  <c r="AG290" i="37" s="1"/>
  <c r="D291" i="37"/>
  <c r="AD291" i="37" s="1"/>
  <c r="M291" i="37"/>
  <c r="L291" i="37" s="1"/>
  <c r="Q291" i="37"/>
  <c r="X291" i="37" s="1"/>
  <c r="Y291" i="37" s="1"/>
  <c r="U291" i="37"/>
  <c r="AB291" i="37"/>
  <c r="AE291" i="37"/>
  <c r="AF291" i="37"/>
  <c r="AG291" i="37" s="1"/>
  <c r="D292" i="37"/>
  <c r="AD292" i="37" s="1"/>
  <c r="M292" i="37"/>
  <c r="L292" i="37" s="1"/>
  <c r="Q292" i="37"/>
  <c r="X292" i="37" s="1"/>
  <c r="Y292" i="37" s="1"/>
  <c r="U292" i="37"/>
  <c r="AB292" i="37"/>
  <c r="AE292" i="37"/>
  <c r="AF292" i="37"/>
  <c r="AG292" i="37" s="1"/>
  <c r="D293" i="37"/>
  <c r="AD293" i="37" s="1"/>
  <c r="M293" i="37"/>
  <c r="L293" i="37" s="1"/>
  <c r="Q293" i="37"/>
  <c r="X293" i="37" s="1"/>
  <c r="Y293" i="37" s="1"/>
  <c r="U293" i="37"/>
  <c r="AB293" i="37"/>
  <c r="AE293" i="37"/>
  <c r="AF293" i="37"/>
  <c r="AG293" i="37" s="1"/>
  <c r="D294" i="37"/>
  <c r="AD294" i="37" s="1"/>
  <c r="M294" i="37"/>
  <c r="L294" i="37" s="1"/>
  <c r="Q294" i="37"/>
  <c r="R294" i="37" s="1"/>
  <c r="U294" i="37"/>
  <c r="AB294" i="37"/>
  <c r="AE294" i="37"/>
  <c r="AF294" i="37"/>
  <c r="AG294" i="37" s="1"/>
  <c r="D295" i="37"/>
  <c r="AD295" i="37" s="1"/>
  <c r="M295" i="37"/>
  <c r="L295" i="37" s="1"/>
  <c r="Q295" i="37"/>
  <c r="R295" i="37" s="1"/>
  <c r="U295" i="37"/>
  <c r="AB295" i="37"/>
  <c r="AE295" i="37"/>
  <c r="AF295" i="37"/>
  <c r="AG295" i="37" s="1"/>
  <c r="D296" i="37"/>
  <c r="AD296" i="37" s="1"/>
  <c r="M296" i="37"/>
  <c r="L296" i="37" s="1"/>
  <c r="Q296" i="37"/>
  <c r="X296" i="37" s="1"/>
  <c r="Y296" i="37" s="1"/>
  <c r="U296" i="37"/>
  <c r="AB296" i="37"/>
  <c r="AE296" i="37"/>
  <c r="AF296" i="37"/>
  <c r="AG296" i="37" s="1"/>
  <c r="D297" i="37"/>
  <c r="AD297" i="37" s="1"/>
  <c r="M297" i="37"/>
  <c r="L297" i="37" s="1"/>
  <c r="Q297" i="37"/>
  <c r="R297" i="37" s="1"/>
  <c r="U297" i="37"/>
  <c r="AB297" i="37"/>
  <c r="AE297" i="37"/>
  <c r="AF297" i="37"/>
  <c r="AG297" i="37" s="1"/>
  <c r="D298" i="37"/>
  <c r="AD298" i="37" s="1"/>
  <c r="M298" i="37"/>
  <c r="L298" i="37" s="1"/>
  <c r="Q298" i="37"/>
  <c r="U298" i="37"/>
  <c r="AB298" i="37"/>
  <c r="AE298" i="37"/>
  <c r="AF298" i="37"/>
  <c r="AG298" i="37" s="1"/>
  <c r="D299" i="37"/>
  <c r="AD299" i="37" s="1"/>
  <c r="M299" i="37"/>
  <c r="L299" i="37" s="1"/>
  <c r="Q299" i="37"/>
  <c r="U299" i="37"/>
  <c r="AB299" i="37"/>
  <c r="AE299" i="37"/>
  <c r="AF299" i="37"/>
  <c r="AG299" i="37" s="1"/>
  <c r="D300" i="37"/>
  <c r="AD300" i="37" s="1"/>
  <c r="M300" i="37"/>
  <c r="L300" i="37" s="1"/>
  <c r="Q300" i="37"/>
  <c r="X300" i="37" s="1"/>
  <c r="Y300" i="37" s="1"/>
  <c r="U300" i="37"/>
  <c r="AB300" i="37"/>
  <c r="AE300" i="37"/>
  <c r="AF300" i="37"/>
  <c r="AG300" i="37" s="1"/>
  <c r="D301" i="37"/>
  <c r="AD301" i="37" s="1"/>
  <c r="M301" i="37"/>
  <c r="L301" i="37" s="1"/>
  <c r="Q301" i="37"/>
  <c r="X301" i="37" s="1"/>
  <c r="Y301" i="37" s="1"/>
  <c r="U301" i="37"/>
  <c r="AB301" i="37"/>
  <c r="AE301" i="37"/>
  <c r="AF301" i="37"/>
  <c r="AG301" i="37" s="1"/>
  <c r="D302" i="37"/>
  <c r="AD302" i="37" s="1"/>
  <c r="M302" i="37"/>
  <c r="L302" i="37" s="1"/>
  <c r="Q302" i="37"/>
  <c r="R302" i="37" s="1"/>
  <c r="U302" i="37"/>
  <c r="AB302" i="37"/>
  <c r="AE302" i="37"/>
  <c r="AF302" i="37"/>
  <c r="AG302" i="37" s="1"/>
  <c r="D303" i="37"/>
  <c r="AD303" i="37" s="1"/>
  <c r="M303" i="37"/>
  <c r="L303" i="37" s="1"/>
  <c r="Q303" i="37"/>
  <c r="U303" i="37"/>
  <c r="AB303" i="37"/>
  <c r="AE303" i="37"/>
  <c r="AF303" i="37"/>
  <c r="AG303" i="37" s="1"/>
  <c r="D304" i="37"/>
  <c r="AD304" i="37" s="1"/>
  <c r="M304" i="37"/>
  <c r="L304" i="37" s="1"/>
  <c r="Q304" i="37"/>
  <c r="R304" i="37" s="1"/>
  <c r="U304" i="37"/>
  <c r="AB304" i="37"/>
  <c r="AE304" i="37"/>
  <c r="AF304" i="37"/>
  <c r="AG304" i="37" s="1"/>
  <c r="D305" i="37"/>
  <c r="AD305" i="37" s="1"/>
  <c r="M305" i="37"/>
  <c r="L305" i="37" s="1"/>
  <c r="Q305" i="37"/>
  <c r="R305" i="37" s="1"/>
  <c r="U305" i="37"/>
  <c r="AB305" i="37"/>
  <c r="AE305" i="37"/>
  <c r="AF305" i="37"/>
  <c r="AG305" i="37" s="1"/>
  <c r="D306" i="37"/>
  <c r="AD306" i="37" s="1"/>
  <c r="M306" i="37"/>
  <c r="L306" i="37" s="1"/>
  <c r="Q306" i="37"/>
  <c r="R306" i="37" s="1"/>
  <c r="U306" i="37"/>
  <c r="AB306" i="37"/>
  <c r="AE306" i="37"/>
  <c r="AF306" i="37"/>
  <c r="AG306" i="37" s="1"/>
  <c r="D307" i="37"/>
  <c r="AD307" i="37" s="1"/>
  <c r="M307" i="37"/>
  <c r="L307" i="37" s="1"/>
  <c r="Q307" i="37"/>
  <c r="U307" i="37"/>
  <c r="AB307" i="37"/>
  <c r="AE307" i="37"/>
  <c r="AF307" i="37"/>
  <c r="AG307" i="37" s="1"/>
  <c r="D308" i="37"/>
  <c r="AD308" i="37" s="1"/>
  <c r="M308" i="37"/>
  <c r="L308" i="37" s="1"/>
  <c r="Q308" i="37"/>
  <c r="X308" i="37" s="1"/>
  <c r="Y308" i="37" s="1"/>
  <c r="U308" i="37"/>
  <c r="AB308" i="37"/>
  <c r="AE308" i="37"/>
  <c r="AF308" i="37"/>
  <c r="AG308" i="37" s="1"/>
  <c r="D309" i="37"/>
  <c r="AD309" i="37" s="1"/>
  <c r="M309" i="37"/>
  <c r="L309" i="37" s="1"/>
  <c r="Q309" i="37"/>
  <c r="X309" i="37" s="1"/>
  <c r="Y309" i="37" s="1"/>
  <c r="U309" i="37"/>
  <c r="AB309" i="37"/>
  <c r="AE309" i="37"/>
  <c r="AF309" i="37"/>
  <c r="AG309" i="37" s="1"/>
  <c r="D310" i="37"/>
  <c r="AD310" i="37" s="1"/>
  <c r="M310" i="37"/>
  <c r="L310" i="37" s="1"/>
  <c r="Q310" i="37"/>
  <c r="X310" i="37" s="1"/>
  <c r="Y310" i="37" s="1"/>
  <c r="U310" i="37"/>
  <c r="AB310" i="37"/>
  <c r="AE310" i="37"/>
  <c r="AF310" i="37"/>
  <c r="AG310" i="37" s="1"/>
  <c r="D311" i="37"/>
  <c r="AD311" i="37" s="1"/>
  <c r="M311" i="37"/>
  <c r="L311" i="37" s="1"/>
  <c r="Q311" i="37"/>
  <c r="R311" i="37" s="1"/>
  <c r="U311" i="37"/>
  <c r="AB311" i="37"/>
  <c r="AE311" i="37"/>
  <c r="AF311" i="37"/>
  <c r="AG311" i="37" s="1"/>
  <c r="D312" i="37"/>
  <c r="AD312" i="37" s="1"/>
  <c r="M312" i="37"/>
  <c r="L312" i="37" s="1"/>
  <c r="Q312" i="37"/>
  <c r="U312" i="37"/>
  <c r="AB312" i="37"/>
  <c r="AE312" i="37"/>
  <c r="AF312" i="37"/>
  <c r="AG312" i="37" s="1"/>
  <c r="D313" i="37"/>
  <c r="AD313" i="37" s="1"/>
  <c r="M313" i="37"/>
  <c r="L313" i="37" s="1"/>
  <c r="Q313" i="37"/>
  <c r="R313" i="37" s="1"/>
  <c r="U313" i="37"/>
  <c r="AB313" i="37"/>
  <c r="AE313" i="37"/>
  <c r="AF313" i="37"/>
  <c r="AG313" i="37" s="1"/>
  <c r="D314" i="37"/>
  <c r="AD314" i="37" s="1"/>
  <c r="M314" i="37"/>
  <c r="L314" i="37" s="1"/>
  <c r="Q314" i="37"/>
  <c r="U314" i="37"/>
  <c r="AB314" i="37"/>
  <c r="AE314" i="37"/>
  <c r="AF314" i="37"/>
  <c r="AG314" i="37" s="1"/>
  <c r="D315" i="37"/>
  <c r="AD315" i="37" s="1"/>
  <c r="M315" i="37"/>
  <c r="L315" i="37" s="1"/>
  <c r="Q315" i="37"/>
  <c r="X315" i="37" s="1"/>
  <c r="Y315" i="37" s="1"/>
  <c r="U315" i="37"/>
  <c r="AB315" i="37"/>
  <c r="AE315" i="37"/>
  <c r="AF315" i="37"/>
  <c r="AG315" i="37" s="1"/>
  <c r="D316" i="37"/>
  <c r="AD316" i="37" s="1"/>
  <c r="M316" i="37"/>
  <c r="L316" i="37" s="1"/>
  <c r="Q316" i="37"/>
  <c r="X316" i="37" s="1"/>
  <c r="Y316" i="37" s="1"/>
  <c r="U316" i="37"/>
  <c r="AB316" i="37"/>
  <c r="AE316" i="37"/>
  <c r="AF316" i="37"/>
  <c r="AG316" i="37" s="1"/>
  <c r="D317" i="37"/>
  <c r="AD317" i="37" s="1"/>
  <c r="M317" i="37"/>
  <c r="L317" i="37" s="1"/>
  <c r="Q317" i="37"/>
  <c r="R317" i="37" s="1"/>
  <c r="U317" i="37"/>
  <c r="AB317" i="37"/>
  <c r="AE317" i="37"/>
  <c r="AF317" i="37"/>
  <c r="AG317" i="37" s="1"/>
  <c r="D318" i="37"/>
  <c r="AD318" i="37" s="1"/>
  <c r="M318" i="37"/>
  <c r="L318" i="37" s="1"/>
  <c r="Q318" i="37"/>
  <c r="R318" i="37" s="1"/>
  <c r="U318" i="37"/>
  <c r="AB318" i="37"/>
  <c r="AE318" i="37"/>
  <c r="AF318" i="37"/>
  <c r="AG318" i="37" s="1"/>
  <c r="D319" i="37"/>
  <c r="AD319" i="37" s="1"/>
  <c r="M319" i="37"/>
  <c r="L319" i="37" s="1"/>
  <c r="Q319" i="37"/>
  <c r="X319" i="37" s="1"/>
  <c r="Y319" i="37" s="1"/>
  <c r="U319" i="37"/>
  <c r="AB319" i="37"/>
  <c r="AE319" i="37"/>
  <c r="AF319" i="37"/>
  <c r="AG319" i="37" s="1"/>
  <c r="D320" i="37"/>
  <c r="AD320" i="37" s="1"/>
  <c r="M320" i="37"/>
  <c r="L320" i="37" s="1"/>
  <c r="Q320" i="37"/>
  <c r="R320" i="37" s="1"/>
  <c r="U320" i="37"/>
  <c r="AB320" i="37"/>
  <c r="AE320" i="37"/>
  <c r="AF320" i="37"/>
  <c r="AG320" i="37" s="1"/>
  <c r="D321" i="37"/>
  <c r="AD321" i="37" s="1"/>
  <c r="M321" i="37"/>
  <c r="L321" i="37" s="1"/>
  <c r="Q321" i="37"/>
  <c r="U321" i="37"/>
  <c r="AB321" i="37"/>
  <c r="AE321" i="37"/>
  <c r="AF321" i="37"/>
  <c r="AG321" i="37" s="1"/>
  <c r="D322" i="37"/>
  <c r="AD322" i="37" s="1"/>
  <c r="M322" i="37"/>
  <c r="L322" i="37" s="1"/>
  <c r="Q322" i="37"/>
  <c r="R322" i="37" s="1"/>
  <c r="U322" i="37"/>
  <c r="AB322" i="37"/>
  <c r="AE322" i="37"/>
  <c r="AF322" i="37"/>
  <c r="AG322" i="37" s="1"/>
  <c r="D323" i="37"/>
  <c r="AD323" i="37" s="1"/>
  <c r="M323" i="37"/>
  <c r="L323" i="37" s="1"/>
  <c r="Q323" i="37"/>
  <c r="U323" i="37"/>
  <c r="AB323" i="37"/>
  <c r="AE323" i="37"/>
  <c r="AF323" i="37"/>
  <c r="AG323" i="37" s="1"/>
  <c r="D324" i="37"/>
  <c r="AD324" i="37" s="1"/>
  <c r="M324" i="37"/>
  <c r="L324" i="37" s="1"/>
  <c r="Q324" i="37"/>
  <c r="U324" i="37"/>
  <c r="AB324" i="37"/>
  <c r="AE324" i="37"/>
  <c r="AF324" i="37"/>
  <c r="AG324" i="37" s="1"/>
  <c r="D325" i="37"/>
  <c r="AD325" i="37" s="1"/>
  <c r="M325" i="37"/>
  <c r="L325" i="37" s="1"/>
  <c r="Q325" i="37"/>
  <c r="R325" i="37" s="1"/>
  <c r="U325" i="37"/>
  <c r="AB325" i="37"/>
  <c r="AE325" i="37"/>
  <c r="AF325" i="37"/>
  <c r="AG325" i="37" s="1"/>
  <c r="D326" i="37"/>
  <c r="AD326" i="37" s="1"/>
  <c r="M326" i="37"/>
  <c r="L326" i="37" s="1"/>
  <c r="Q326" i="37"/>
  <c r="R326" i="37" s="1"/>
  <c r="U326" i="37"/>
  <c r="AB326" i="37"/>
  <c r="AE326" i="37"/>
  <c r="AF326" i="37"/>
  <c r="AG326" i="37" s="1"/>
  <c r="D327" i="37"/>
  <c r="AD327" i="37" s="1"/>
  <c r="M327" i="37"/>
  <c r="L327" i="37" s="1"/>
  <c r="Q327" i="37"/>
  <c r="U327" i="37"/>
  <c r="AB327" i="37"/>
  <c r="AE327" i="37"/>
  <c r="AF327" i="37"/>
  <c r="AG327" i="37" s="1"/>
  <c r="D328" i="37"/>
  <c r="AD328" i="37" s="1"/>
  <c r="M328" i="37"/>
  <c r="L328" i="37" s="1"/>
  <c r="Q328" i="37"/>
  <c r="X328" i="37" s="1"/>
  <c r="Y328" i="37" s="1"/>
  <c r="U328" i="37"/>
  <c r="AB328" i="37"/>
  <c r="AE328" i="37"/>
  <c r="AF328" i="37"/>
  <c r="AG328" i="37" s="1"/>
  <c r="D329" i="37"/>
  <c r="AD329" i="37" s="1"/>
  <c r="M329" i="37"/>
  <c r="L329" i="37" s="1"/>
  <c r="Q329" i="37"/>
  <c r="X329" i="37" s="1"/>
  <c r="Y329" i="37" s="1"/>
  <c r="U329" i="37"/>
  <c r="AB329" i="37"/>
  <c r="AE329" i="37"/>
  <c r="AF329" i="37"/>
  <c r="AG329" i="37" s="1"/>
  <c r="D330" i="37"/>
  <c r="AD330" i="37" s="1"/>
  <c r="M330" i="37"/>
  <c r="L330" i="37" s="1"/>
  <c r="Q330" i="37"/>
  <c r="R330" i="37" s="1"/>
  <c r="U330" i="37"/>
  <c r="AB330" i="37"/>
  <c r="AE330" i="37"/>
  <c r="AF330" i="37"/>
  <c r="AG330" i="37" s="1"/>
  <c r="D331" i="37"/>
  <c r="AD331" i="37" s="1"/>
  <c r="M331" i="37"/>
  <c r="L331" i="37" s="1"/>
  <c r="Q331" i="37"/>
  <c r="X331" i="37" s="1"/>
  <c r="Y331" i="37" s="1"/>
  <c r="U331" i="37"/>
  <c r="AB331" i="37"/>
  <c r="AE331" i="37"/>
  <c r="AF331" i="37"/>
  <c r="AG331" i="37" s="1"/>
  <c r="D332" i="37"/>
  <c r="AD332" i="37" s="1"/>
  <c r="M332" i="37"/>
  <c r="L332" i="37" s="1"/>
  <c r="Q332" i="37"/>
  <c r="X332" i="37" s="1"/>
  <c r="Y332" i="37" s="1"/>
  <c r="U332" i="37"/>
  <c r="AB332" i="37"/>
  <c r="AE332" i="37"/>
  <c r="AF332" i="37"/>
  <c r="AG332" i="37" s="1"/>
  <c r="D333" i="37"/>
  <c r="AD333" i="37" s="1"/>
  <c r="M333" i="37"/>
  <c r="L333" i="37" s="1"/>
  <c r="Q333" i="37"/>
  <c r="X333" i="37" s="1"/>
  <c r="Y333" i="37" s="1"/>
  <c r="U333" i="37"/>
  <c r="AB333" i="37"/>
  <c r="AE333" i="37"/>
  <c r="AF333" i="37"/>
  <c r="AG333" i="37" s="1"/>
  <c r="D334" i="37"/>
  <c r="AD334" i="37" s="1"/>
  <c r="M334" i="37"/>
  <c r="L334" i="37" s="1"/>
  <c r="Q334" i="37"/>
  <c r="X334" i="37" s="1"/>
  <c r="Y334" i="37" s="1"/>
  <c r="U334" i="37"/>
  <c r="AB334" i="37"/>
  <c r="AE334" i="37"/>
  <c r="AF334" i="37"/>
  <c r="AG334" i="37" s="1"/>
  <c r="D335" i="37"/>
  <c r="AD335" i="37" s="1"/>
  <c r="M335" i="37"/>
  <c r="L335" i="37" s="1"/>
  <c r="Q335" i="37"/>
  <c r="R335" i="37" s="1"/>
  <c r="U335" i="37"/>
  <c r="AB335" i="37"/>
  <c r="AE335" i="37"/>
  <c r="AF335" i="37"/>
  <c r="AG335" i="37" s="1"/>
  <c r="D336" i="37"/>
  <c r="AD336" i="37" s="1"/>
  <c r="M336" i="37"/>
  <c r="L336" i="37" s="1"/>
  <c r="Q336" i="37"/>
  <c r="X336" i="37" s="1"/>
  <c r="Y336" i="37" s="1"/>
  <c r="U336" i="37"/>
  <c r="AB336" i="37"/>
  <c r="AE336" i="37"/>
  <c r="AF336" i="37"/>
  <c r="AG336" i="37" s="1"/>
  <c r="D337" i="37"/>
  <c r="AD337" i="37" s="1"/>
  <c r="M337" i="37"/>
  <c r="L337" i="37" s="1"/>
  <c r="Q337" i="37"/>
  <c r="X337" i="37" s="1"/>
  <c r="Y337" i="37" s="1"/>
  <c r="U337" i="37"/>
  <c r="AB337" i="37"/>
  <c r="AE337" i="37"/>
  <c r="AF337" i="37"/>
  <c r="AG337" i="37" s="1"/>
  <c r="D338" i="37"/>
  <c r="AD338" i="37" s="1"/>
  <c r="M338" i="37"/>
  <c r="L338" i="37" s="1"/>
  <c r="Q338" i="37"/>
  <c r="R338" i="37" s="1"/>
  <c r="U338" i="37"/>
  <c r="AB338" i="37"/>
  <c r="AE338" i="37"/>
  <c r="AF338" i="37"/>
  <c r="AG338" i="37" s="1"/>
  <c r="D339" i="37"/>
  <c r="AD339" i="37" s="1"/>
  <c r="M339" i="37"/>
  <c r="L339" i="37" s="1"/>
  <c r="Q339" i="37"/>
  <c r="X339" i="37" s="1"/>
  <c r="Y339" i="37" s="1"/>
  <c r="U339" i="37"/>
  <c r="AB339" i="37"/>
  <c r="AE339" i="37"/>
  <c r="AF339" i="37"/>
  <c r="AG339" i="37" s="1"/>
  <c r="D340" i="37"/>
  <c r="AD340" i="37" s="1"/>
  <c r="M340" i="37"/>
  <c r="L340" i="37" s="1"/>
  <c r="Q340" i="37"/>
  <c r="X340" i="37" s="1"/>
  <c r="Y340" i="37" s="1"/>
  <c r="U340" i="37"/>
  <c r="AB340" i="37"/>
  <c r="AE340" i="37"/>
  <c r="AF340" i="37"/>
  <c r="AG340" i="37" s="1"/>
  <c r="D341" i="37"/>
  <c r="AD341" i="37" s="1"/>
  <c r="M341" i="37"/>
  <c r="L341" i="37" s="1"/>
  <c r="Q341" i="37"/>
  <c r="X341" i="37" s="1"/>
  <c r="Y341" i="37" s="1"/>
  <c r="U341" i="37"/>
  <c r="AB341" i="37"/>
  <c r="AE341" i="37"/>
  <c r="AF341" i="37"/>
  <c r="AG341" i="37" s="1"/>
  <c r="D342" i="37"/>
  <c r="AD342" i="37" s="1"/>
  <c r="M342" i="37"/>
  <c r="L342" i="37" s="1"/>
  <c r="Q342" i="37"/>
  <c r="X342" i="37" s="1"/>
  <c r="Y342" i="37" s="1"/>
  <c r="U342" i="37"/>
  <c r="AB342" i="37"/>
  <c r="AE342" i="37"/>
  <c r="AF342" i="37"/>
  <c r="AG342" i="37" s="1"/>
  <c r="D343" i="37"/>
  <c r="AD343" i="37" s="1"/>
  <c r="M343" i="37"/>
  <c r="L343" i="37" s="1"/>
  <c r="Q343" i="37"/>
  <c r="R343" i="37" s="1"/>
  <c r="U343" i="37"/>
  <c r="AB343" i="37"/>
  <c r="AE343" i="37"/>
  <c r="AF343" i="37"/>
  <c r="AG343" i="37" s="1"/>
  <c r="D344" i="37"/>
  <c r="AD344" i="37" s="1"/>
  <c r="M344" i="37"/>
  <c r="L344" i="37" s="1"/>
  <c r="Q344" i="37"/>
  <c r="U344" i="37"/>
  <c r="AB344" i="37"/>
  <c r="AE344" i="37"/>
  <c r="AF344" i="37"/>
  <c r="AG344" i="37" s="1"/>
  <c r="D345" i="37"/>
  <c r="AD345" i="37" s="1"/>
  <c r="M345" i="37"/>
  <c r="L345" i="37" s="1"/>
  <c r="Q345" i="37"/>
  <c r="R345" i="37" s="1"/>
  <c r="U345" i="37"/>
  <c r="AB345" i="37"/>
  <c r="AE345" i="37"/>
  <c r="AF345" i="37"/>
  <c r="AG345" i="37" s="1"/>
  <c r="D346" i="37"/>
  <c r="AD346" i="37" s="1"/>
  <c r="M346" i="37"/>
  <c r="L346" i="37" s="1"/>
  <c r="Q346" i="37"/>
  <c r="R346" i="37" s="1"/>
  <c r="U346" i="37"/>
  <c r="AB346" i="37"/>
  <c r="AE346" i="37"/>
  <c r="AF346" i="37"/>
  <c r="AG346" i="37" s="1"/>
  <c r="D347" i="37"/>
  <c r="AD347" i="37" s="1"/>
  <c r="M347" i="37"/>
  <c r="L347" i="37" s="1"/>
  <c r="Q347" i="37"/>
  <c r="X347" i="37" s="1"/>
  <c r="Y347" i="37" s="1"/>
  <c r="U347" i="37"/>
  <c r="AB347" i="37"/>
  <c r="AE347" i="37"/>
  <c r="AF347" i="37"/>
  <c r="AG347" i="37" s="1"/>
  <c r="D348" i="37"/>
  <c r="AD348" i="37" s="1"/>
  <c r="M348" i="37"/>
  <c r="L348" i="37" s="1"/>
  <c r="Q348" i="37"/>
  <c r="X348" i="37" s="1"/>
  <c r="Y348" i="37" s="1"/>
  <c r="U348" i="37"/>
  <c r="AB348" i="37"/>
  <c r="AE348" i="37"/>
  <c r="AF348" i="37"/>
  <c r="AG348" i="37" s="1"/>
  <c r="D349" i="37"/>
  <c r="AD349" i="37" s="1"/>
  <c r="M349" i="37"/>
  <c r="L349" i="37" s="1"/>
  <c r="Q349" i="37"/>
  <c r="X349" i="37" s="1"/>
  <c r="Y349" i="37" s="1"/>
  <c r="U349" i="37"/>
  <c r="AB349" i="37"/>
  <c r="AE349" i="37"/>
  <c r="AF349" i="37"/>
  <c r="AG349" i="37" s="1"/>
  <c r="D350" i="37"/>
  <c r="AD350" i="37" s="1"/>
  <c r="M350" i="37"/>
  <c r="L350" i="37" s="1"/>
  <c r="Q350" i="37"/>
  <c r="R350" i="37" s="1"/>
  <c r="U350" i="37"/>
  <c r="AB350" i="37"/>
  <c r="AE350" i="37"/>
  <c r="AF350" i="37"/>
  <c r="AG350" i="37" s="1"/>
  <c r="D351" i="37"/>
  <c r="AD351" i="37" s="1"/>
  <c r="M351" i="37"/>
  <c r="L351" i="37" s="1"/>
  <c r="Q351" i="37"/>
  <c r="R351" i="37" s="1"/>
  <c r="U351" i="37"/>
  <c r="AB351" i="37"/>
  <c r="AE351" i="37"/>
  <c r="AF351" i="37"/>
  <c r="AG351" i="37" s="1"/>
  <c r="D352" i="37"/>
  <c r="AD352" i="37" s="1"/>
  <c r="M352" i="37"/>
  <c r="L352" i="37" s="1"/>
  <c r="Q352" i="37"/>
  <c r="U352" i="37"/>
  <c r="AB352" i="37"/>
  <c r="AE352" i="37"/>
  <c r="AF352" i="37"/>
  <c r="AG352" i="37" s="1"/>
  <c r="D353" i="37"/>
  <c r="AD353" i="37" s="1"/>
  <c r="M353" i="37"/>
  <c r="L353" i="37" s="1"/>
  <c r="Q353" i="37"/>
  <c r="U353" i="37"/>
  <c r="AB353" i="37"/>
  <c r="AE353" i="37"/>
  <c r="AF353" i="37"/>
  <c r="AG353" i="37" s="1"/>
  <c r="D354" i="37"/>
  <c r="AD354" i="37" s="1"/>
  <c r="M354" i="37"/>
  <c r="L354" i="37" s="1"/>
  <c r="Q354" i="37"/>
  <c r="R354" i="37" s="1"/>
  <c r="U354" i="37"/>
  <c r="AB354" i="37"/>
  <c r="AE354" i="37"/>
  <c r="AF354" i="37"/>
  <c r="AG354" i="37" s="1"/>
  <c r="D355" i="37"/>
  <c r="AD355" i="37" s="1"/>
  <c r="M355" i="37"/>
  <c r="L355" i="37" s="1"/>
  <c r="Q355" i="37"/>
  <c r="X355" i="37" s="1"/>
  <c r="Y355" i="37" s="1"/>
  <c r="U355" i="37"/>
  <c r="AB355" i="37"/>
  <c r="AE355" i="37"/>
  <c r="AF355" i="37"/>
  <c r="AG355" i="37" s="1"/>
  <c r="D356" i="37"/>
  <c r="AD356" i="37" s="1"/>
  <c r="M356" i="37"/>
  <c r="L356" i="37" s="1"/>
  <c r="Q356" i="37"/>
  <c r="X356" i="37" s="1"/>
  <c r="Y356" i="37" s="1"/>
  <c r="U356" i="37"/>
  <c r="AB356" i="37"/>
  <c r="AE356" i="37"/>
  <c r="AF356" i="37"/>
  <c r="AG356" i="37" s="1"/>
  <c r="D357" i="37"/>
  <c r="AD357" i="37" s="1"/>
  <c r="M357" i="37"/>
  <c r="L357" i="37" s="1"/>
  <c r="Q357" i="37"/>
  <c r="U357" i="37"/>
  <c r="AB357" i="37"/>
  <c r="AE357" i="37"/>
  <c r="AF357" i="37"/>
  <c r="AG357" i="37" s="1"/>
  <c r="D358" i="37"/>
  <c r="AD358" i="37" s="1"/>
  <c r="M358" i="37"/>
  <c r="L358" i="37" s="1"/>
  <c r="Q358" i="37"/>
  <c r="X358" i="37" s="1"/>
  <c r="Y358" i="37" s="1"/>
  <c r="U358" i="37"/>
  <c r="AB358" i="37"/>
  <c r="AE358" i="37"/>
  <c r="AF358" i="37"/>
  <c r="AG358" i="37" s="1"/>
  <c r="D359" i="37"/>
  <c r="AD359" i="37" s="1"/>
  <c r="M359" i="37"/>
  <c r="L359" i="37" s="1"/>
  <c r="Q359" i="37"/>
  <c r="U359" i="37"/>
  <c r="AB359" i="37"/>
  <c r="AE359" i="37"/>
  <c r="AF359" i="37"/>
  <c r="AG359" i="37" s="1"/>
  <c r="D360" i="37"/>
  <c r="AD360" i="37" s="1"/>
  <c r="M360" i="37"/>
  <c r="L360" i="37" s="1"/>
  <c r="Q360" i="37"/>
  <c r="X360" i="37" s="1"/>
  <c r="Y360" i="37" s="1"/>
  <c r="U360" i="37"/>
  <c r="AB360" i="37"/>
  <c r="AE360" i="37"/>
  <c r="AF360" i="37"/>
  <c r="AG360" i="37" s="1"/>
  <c r="D361" i="37"/>
  <c r="AD361" i="37" s="1"/>
  <c r="M361" i="37"/>
  <c r="L361" i="37" s="1"/>
  <c r="Q361" i="37"/>
  <c r="R361" i="37" s="1"/>
  <c r="U361" i="37"/>
  <c r="AB361" i="37"/>
  <c r="AE361" i="37"/>
  <c r="AF361" i="37"/>
  <c r="AG361" i="37" s="1"/>
  <c r="D362" i="37"/>
  <c r="AD362" i="37" s="1"/>
  <c r="M362" i="37"/>
  <c r="L362" i="37" s="1"/>
  <c r="Q362" i="37"/>
  <c r="R362" i="37" s="1"/>
  <c r="U362" i="37"/>
  <c r="AB362" i="37"/>
  <c r="AE362" i="37"/>
  <c r="AF362" i="37"/>
  <c r="AG362" i="37" s="1"/>
  <c r="D363" i="37"/>
  <c r="AD363" i="37" s="1"/>
  <c r="M363" i="37"/>
  <c r="L363" i="37" s="1"/>
  <c r="Q363" i="37"/>
  <c r="R363" i="37" s="1"/>
  <c r="U363" i="37"/>
  <c r="AB363" i="37"/>
  <c r="AE363" i="37"/>
  <c r="AF363" i="37"/>
  <c r="AG363" i="37" s="1"/>
  <c r="D364" i="37"/>
  <c r="AD364" i="37" s="1"/>
  <c r="M364" i="37"/>
  <c r="L364" i="37" s="1"/>
  <c r="Q364" i="37"/>
  <c r="U364" i="37"/>
  <c r="AB364" i="37"/>
  <c r="AE364" i="37"/>
  <c r="AF364" i="37"/>
  <c r="AG364" i="37" s="1"/>
  <c r="D365" i="37"/>
  <c r="AD365" i="37" s="1"/>
  <c r="M365" i="37"/>
  <c r="L365" i="37" s="1"/>
  <c r="Q365" i="37"/>
  <c r="X365" i="37" s="1"/>
  <c r="Y365" i="37" s="1"/>
  <c r="U365" i="37"/>
  <c r="AB365" i="37"/>
  <c r="AE365" i="37"/>
  <c r="AF365" i="37"/>
  <c r="AG365" i="37" s="1"/>
  <c r="D366" i="37"/>
  <c r="AD366" i="37" s="1"/>
  <c r="M366" i="37"/>
  <c r="L366" i="37" s="1"/>
  <c r="Q366" i="37"/>
  <c r="R366" i="37" s="1"/>
  <c r="U366" i="37"/>
  <c r="AB366" i="37"/>
  <c r="AE366" i="37"/>
  <c r="AF366" i="37"/>
  <c r="AG366" i="37" s="1"/>
  <c r="D367" i="37"/>
  <c r="AD367" i="37" s="1"/>
  <c r="M367" i="37"/>
  <c r="L367" i="37" s="1"/>
  <c r="Q367" i="37"/>
  <c r="R367" i="37" s="1"/>
  <c r="U367" i="37"/>
  <c r="AB367" i="37"/>
  <c r="AE367" i="37"/>
  <c r="AF367" i="37"/>
  <c r="AG367" i="37" s="1"/>
  <c r="D368" i="37"/>
  <c r="AD368" i="37" s="1"/>
  <c r="M368" i="37"/>
  <c r="L368" i="37" s="1"/>
  <c r="Q368" i="37"/>
  <c r="X368" i="37" s="1"/>
  <c r="Y368" i="37" s="1"/>
  <c r="U368" i="37"/>
  <c r="AB368" i="37"/>
  <c r="AE368" i="37"/>
  <c r="AF368" i="37"/>
  <c r="AG368" i="37" s="1"/>
  <c r="D369" i="37"/>
  <c r="AD369" i="37" s="1"/>
  <c r="M369" i="37"/>
  <c r="L369" i="37" s="1"/>
  <c r="Q369" i="37"/>
  <c r="X369" i="37" s="1"/>
  <c r="Y369" i="37" s="1"/>
  <c r="U369" i="37"/>
  <c r="AB369" i="37"/>
  <c r="AE369" i="37"/>
  <c r="AF369" i="37"/>
  <c r="AG369" i="37" s="1"/>
  <c r="D370" i="37"/>
  <c r="AD370" i="37" s="1"/>
  <c r="M370" i="37"/>
  <c r="L370" i="37" s="1"/>
  <c r="Q370" i="37"/>
  <c r="U370" i="37"/>
  <c r="AB370" i="37"/>
  <c r="AE370" i="37"/>
  <c r="AF370" i="37"/>
  <c r="AG370" i="37" s="1"/>
  <c r="D371" i="37"/>
  <c r="AD371" i="37" s="1"/>
  <c r="M371" i="37"/>
  <c r="L371" i="37" s="1"/>
  <c r="Q371" i="37"/>
  <c r="X371" i="37" s="1"/>
  <c r="Y371" i="37" s="1"/>
  <c r="U371" i="37"/>
  <c r="AB371" i="37"/>
  <c r="AE371" i="37"/>
  <c r="AF371" i="37"/>
  <c r="AG371" i="37" s="1"/>
  <c r="D372" i="37"/>
  <c r="AD372" i="37" s="1"/>
  <c r="M372" i="37"/>
  <c r="L372" i="37" s="1"/>
  <c r="Q372" i="37"/>
  <c r="R372" i="37" s="1"/>
  <c r="U372" i="37"/>
  <c r="AB372" i="37"/>
  <c r="AE372" i="37"/>
  <c r="AF372" i="37"/>
  <c r="AG372" i="37" s="1"/>
  <c r="D373" i="37"/>
  <c r="AD373" i="37" s="1"/>
  <c r="M373" i="37"/>
  <c r="L373" i="37" s="1"/>
  <c r="Q373" i="37"/>
  <c r="X373" i="37" s="1"/>
  <c r="Y373" i="37" s="1"/>
  <c r="U373" i="37"/>
  <c r="AB373" i="37"/>
  <c r="AE373" i="37"/>
  <c r="AF373" i="37"/>
  <c r="AG373" i="37" s="1"/>
  <c r="D374" i="37"/>
  <c r="AD374" i="37" s="1"/>
  <c r="M374" i="37"/>
  <c r="L374" i="37" s="1"/>
  <c r="Q374" i="37"/>
  <c r="X374" i="37" s="1"/>
  <c r="Y374" i="37" s="1"/>
  <c r="U374" i="37"/>
  <c r="AB374" i="37"/>
  <c r="AE374" i="37"/>
  <c r="AF374" i="37"/>
  <c r="AG374" i="37" s="1"/>
  <c r="D375" i="37"/>
  <c r="AD375" i="37" s="1"/>
  <c r="M375" i="37"/>
  <c r="L375" i="37" s="1"/>
  <c r="Q375" i="37"/>
  <c r="R375" i="37" s="1"/>
  <c r="U375" i="37"/>
  <c r="AB375" i="37"/>
  <c r="AE375" i="37"/>
  <c r="AF375" i="37"/>
  <c r="AG375" i="37" s="1"/>
  <c r="D376" i="37"/>
  <c r="AD376" i="37" s="1"/>
  <c r="M376" i="37"/>
  <c r="L376" i="37" s="1"/>
  <c r="Q376" i="37"/>
  <c r="X376" i="37" s="1"/>
  <c r="Y376" i="37" s="1"/>
  <c r="U376" i="37"/>
  <c r="AB376" i="37"/>
  <c r="AE376" i="37"/>
  <c r="AF376" i="37"/>
  <c r="AG376" i="37" s="1"/>
  <c r="D377" i="37"/>
  <c r="AD377" i="37" s="1"/>
  <c r="M377" i="37"/>
  <c r="L377" i="37" s="1"/>
  <c r="Q377" i="37"/>
  <c r="X377" i="37" s="1"/>
  <c r="Y377" i="37" s="1"/>
  <c r="U377" i="37"/>
  <c r="AB377" i="37"/>
  <c r="AE377" i="37"/>
  <c r="AF377" i="37"/>
  <c r="AG377" i="37" s="1"/>
  <c r="D378" i="37"/>
  <c r="AD378" i="37" s="1"/>
  <c r="M378" i="37"/>
  <c r="L378" i="37" s="1"/>
  <c r="Q378" i="37"/>
  <c r="R378" i="37" s="1"/>
  <c r="U378" i="37"/>
  <c r="AB378" i="37"/>
  <c r="AE378" i="37"/>
  <c r="AF378" i="37"/>
  <c r="AG378" i="37" s="1"/>
  <c r="D379" i="37"/>
  <c r="AD379" i="37" s="1"/>
  <c r="M379" i="37"/>
  <c r="L379" i="37" s="1"/>
  <c r="Q379" i="37"/>
  <c r="R379" i="37" s="1"/>
  <c r="U379" i="37"/>
  <c r="AB379" i="37"/>
  <c r="AE379" i="37"/>
  <c r="AF379" i="37"/>
  <c r="AG379" i="37" s="1"/>
  <c r="D380" i="37"/>
  <c r="AD380" i="37" s="1"/>
  <c r="M380" i="37"/>
  <c r="L380" i="37" s="1"/>
  <c r="Q380" i="37"/>
  <c r="R380" i="37" s="1"/>
  <c r="U380" i="37"/>
  <c r="AB380" i="37"/>
  <c r="AE380" i="37"/>
  <c r="AF380" i="37"/>
  <c r="AG380" i="37" s="1"/>
  <c r="D381" i="37"/>
  <c r="AD381" i="37" s="1"/>
  <c r="M381" i="37"/>
  <c r="L381" i="37" s="1"/>
  <c r="Q381" i="37"/>
  <c r="X381" i="37" s="1"/>
  <c r="Y381" i="37" s="1"/>
  <c r="U381" i="37"/>
  <c r="AB381" i="37"/>
  <c r="AE381" i="37"/>
  <c r="AF381" i="37"/>
  <c r="AG381" i="37" s="1"/>
  <c r="D382" i="37"/>
  <c r="AD382" i="37" s="1"/>
  <c r="M382" i="37"/>
  <c r="L382" i="37" s="1"/>
  <c r="Q382" i="37"/>
  <c r="R382" i="37" s="1"/>
  <c r="U382" i="37"/>
  <c r="AB382" i="37"/>
  <c r="AE382" i="37"/>
  <c r="AF382" i="37"/>
  <c r="AG382" i="37" s="1"/>
  <c r="D383" i="37"/>
  <c r="AD383" i="37" s="1"/>
  <c r="M383" i="37"/>
  <c r="L383" i="37" s="1"/>
  <c r="Q383" i="37"/>
  <c r="R383" i="37" s="1"/>
  <c r="U383" i="37"/>
  <c r="AB383" i="37"/>
  <c r="AE383" i="37"/>
  <c r="AF383" i="37"/>
  <c r="AG383" i="37" s="1"/>
  <c r="D384" i="37"/>
  <c r="AD384" i="37" s="1"/>
  <c r="M384" i="37"/>
  <c r="L384" i="37" s="1"/>
  <c r="Q384" i="37"/>
  <c r="R384" i="37" s="1"/>
  <c r="U384" i="37"/>
  <c r="AB384" i="37"/>
  <c r="AE384" i="37"/>
  <c r="AF384" i="37"/>
  <c r="AG384" i="37" s="1"/>
  <c r="D385" i="37"/>
  <c r="AD385" i="37" s="1"/>
  <c r="M385" i="37"/>
  <c r="L385" i="37" s="1"/>
  <c r="Q385" i="37"/>
  <c r="X385" i="37" s="1"/>
  <c r="Y385" i="37" s="1"/>
  <c r="U385" i="37"/>
  <c r="AB385" i="37"/>
  <c r="AE385" i="37"/>
  <c r="AF385" i="37"/>
  <c r="AG385" i="37" s="1"/>
  <c r="D386" i="37"/>
  <c r="AD386" i="37" s="1"/>
  <c r="M386" i="37"/>
  <c r="L386" i="37" s="1"/>
  <c r="Q386" i="37"/>
  <c r="U386" i="37"/>
  <c r="AB386" i="37"/>
  <c r="AE386" i="37"/>
  <c r="AF386" i="37"/>
  <c r="AG386" i="37" s="1"/>
  <c r="D387" i="37"/>
  <c r="AD387" i="37" s="1"/>
  <c r="M387" i="37"/>
  <c r="L387" i="37" s="1"/>
  <c r="Q387" i="37"/>
  <c r="R387" i="37" s="1"/>
  <c r="U387" i="37"/>
  <c r="AB387" i="37"/>
  <c r="AE387" i="37"/>
  <c r="AF387" i="37"/>
  <c r="AG387" i="37" s="1"/>
  <c r="D388" i="37"/>
  <c r="AD388" i="37" s="1"/>
  <c r="M388" i="37"/>
  <c r="L388" i="37" s="1"/>
  <c r="Q388" i="37"/>
  <c r="U388" i="37"/>
  <c r="AB388" i="37"/>
  <c r="AE388" i="37"/>
  <c r="AF388" i="37"/>
  <c r="AG388" i="37" s="1"/>
  <c r="D389" i="37"/>
  <c r="AD389" i="37" s="1"/>
  <c r="M389" i="37"/>
  <c r="L389" i="37" s="1"/>
  <c r="Q389" i="37"/>
  <c r="X389" i="37" s="1"/>
  <c r="Y389" i="37" s="1"/>
  <c r="U389" i="37"/>
  <c r="AB389" i="37"/>
  <c r="AE389" i="37"/>
  <c r="AF389" i="37"/>
  <c r="AG389" i="37" s="1"/>
  <c r="D390" i="37"/>
  <c r="AD390" i="37" s="1"/>
  <c r="M390" i="37"/>
  <c r="L390" i="37" s="1"/>
  <c r="Q390" i="37"/>
  <c r="X390" i="37" s="1"/>
  <c r="Y390" i="37" s="1"/>
  <c r="U390" i="37"/>
  <c r="AB390" i="37"/>
  <c r="AE390" i="37"/>
  <c r="AF390" i="37"/>
  <c r="AG390" i="37" s="1"/>
  <c r="D391" i="37"/>
  <c r="AD391" i="37" s="1"/>
  <c r="M391" i="37"/>
  <c r="L391" i="37" s="1"/>
  <c r="Q391" i="37"/>
  <c r="R391" i="37" s="1"/>
  <c r="U391" i="37"/>
  <c r="AB391" i="37"/>
  <c r="AE391" i="37"/>
  <c r="AF391" i="37"/>
  <c r="AG391" i="37" s="1"/>
  <c r="D392" i="37"/>
  <c r="AD392" i="37" s="1"/>
  <c r="M392" i="37"/>
  <c r="L392" i="37" s="1"/>
  <c r="Q392" i="37"/>
  <c r="U392" i="37"/>
  <c r="AB392" i="37"/>
  <c r="AE392" i="37"/>
  <c r="AF392" i="37"/>
  <c r="AG392" i="37" s="1"/>
  <c r="D393" i="37"/>
  <c r="AD393" i="37" s="1"/>
  <c r="M393" i="37"/>
  <c r="L393" i="37" s="1"/>
  <c r="Q393" i="37"/>
  <c r="R393" i="37" s="1"/>
  <c r="U393" i="37"/>
  <c r="AB393" i="37"/>
  <c r="AE393" i="37"/>
  <c r="AF393" i="37"/>
  <c r="AG393" i="37" s="1"/>
  <c r="D394" i="37"/>
  <c r="AD394" i="37" s="1"/>
  <c r="M394" i="37"/>
  <c r="L394" i="37" s="1"/>
  <c r="Q394" i="37"/>
  <c r="U394" i="37"/>
  <c r="AB394" i="37"/>
  <c r="AE394" i="37"/>
  <c r="AF394" i="37"/>
  <c r="AG394" i="37" s="1"/>
  <c r="D395" i="37"/>
  <c r="AD395" i="37" s="1"/>
  <c r="M395" i="37"/>
  <c r="L395" i="37" s="1"/>
  <c r="Q395" i="37"/>
  <c r="U395" i="37"/>
  <c r="AB395" i="37"/>
  <c r="AE395" i="37"/>
  <c r="AF395" i="37"/>
  <c r="AG395" i="37" s="1"/>
  <c r="D396" i="37"/>
  <c r="AD396" i="37" s="1"/>
  <c r="M396" i="37"/>
  <c r="L396" i="37" s="1"/>
  <c r="Q396" i="37"/>
  <c r="R396" i="37" s="1"/>
  <c r="U396" i="37"/>
  <c r="AB396" i="37"/>
  <c r="AE396" i="37"/>
  <c r="AF396" i="37"/>
  <c r="AG396" i="37" s="1"/>
  <c r="D397" i="37"/>
  <c r="AD397" i="37" s="1"/>
  <c r="M397" i="37"/>
  <c r="L397" i="37" s="1"/>
  <c r="Q397" i="37"/>
  <c r="U397" i="37"/>
  <c r="AB397" i="37"/>
  <c r="AE397" i="37"/>
  <c r="AF397" i="37"/>
  <c r="AG397" i="37" s="1"/>
  <c r="D398" i="37"/>
  <c r="AD398" i="37" s="1"/>
  <c r="M398" i="37"/>
  <c r="L398" i="37" s="1"/>
  <c r="Q398" i="37"/>
  <c r="R398" i="37" s="1"/>
  <c r="U398" i="37"/>
  <c r="AB398" i="37"/>
  <c r="AE398" i="37"/>
  <c r="AF398" i="37"/>
  <c r="AG398" i="37" s="1"/>
  <c r="D399" i="37"/>
  <c r="AD399" i="37" s="1"/>
  <c r="M399" i="37"/>
  <c r="L399" i="37" s="1"/>
  <c r="Q399" i="37"/>
  <c r="R399" i="37" s="1"/>
  <c r="U399" i="37"/>
  <c r="AB399" i="37"/>
  <c r="AE399" i="37"/>
  <c r="AF399" i="37"/>
  <c r="AG399" i="37" s="1"/>
  <c r="D400" i="37"/>
  <c r="AD400" i="37" s="1"/>
  <c r="M400" i="37"/>
  <c r="L400" i="37" s="1"/>
  <c r="Q400" i="37"/>
  <c r="R400" i="37" s="1"/>
  <c r="U400" i="37"/>
  <c r="AB400" i="37"/>
  <c r="AE400" i="37"/>
  <c r="AF400" i="37"/>
  <c r="AG400" i="37" s="1"/>
  <c r="D401" i="37"/>
  <c r="AD401" i="37" s="1"/>
  <c r="M401" i="37"/>
  <c r="L401" i="37" s="1"/>
  <c r="Q401" i="37"/>
  <c r="R401" i="37" s="1"/>
  <c r="U401" i="37"/>
  <c r="AB401" i="37"/>
  <c r="AE401" i="37"/>
  <c r="AF401" i="37"/>
  <c r="AG401" i="37" s="1"/>
  <c r="D402" i="37"/>
  <c r="AD402" i="37" s="1"/>
  <c r="M402" i="37"/>
  <c r="L402" i="37" s="1"/>
  <c r="Q402" i="37"/>
  <c r="X402" i="37" s="1"/>
  <c r="Y402" i="37" s="1"/>
  <c r="U402" i="37"/>
  <c r="AB402" i="37"/>
  <c r="AE402" i="37"/>
  <c r="AF402" i="37"/>
  <c r="AG402" i="37" s="1"/>
  <c r="D403" i="37"/>
  <c r="AD403" i="37" s="1"/>
  <c r="M403" i="37"/>
  <c r="L403" i="37" s="1"/>
  <c r="Q403" i="37"/>
  <c r="U403" i="37"/>
  <c r="AB403" i="37"/>
  <c r="AE403" i="37"/>
  <c r="AF403" i="37"/>
  <c r="AG403" i="37" s="1"/>
  <c r="D404" i="37"/>
  <c r="AD404" i="37" s="1"/>
  <c r="M404" i="37"/>
  <c r="L404" i="37" s="1"/>
  <c r="Q404" i="37"/>
  <c r="U404" i="37"/>
  <c r="AB404" i="37"/>
  <c r="AE404" i="37"/>
  <c r="AF404" i="37"/>
  <c r="AG404" i="37" s="1"/>
  <c r="D405" i="37"/>
  <c r="AD405" i="37" s="1"/>
  <c r="M405" i="37"/>
  <c r="L405" i="37" s="1"/>
  <c r="Q405" i="37"/>
  <c r="U405" i="37"/>
  <c r="AB405" i="37"/>
  <c r="AE405" i="37"/>
  <c r="AF405" i="37"/>
  <c r="AG405" i="37" s="1"/>
  <c r="D406" i="37"/>
  <c r="AD406" i="37" s="1"/>
  <c r="M406" i="37"/>
  <c r="L406" i="37" s="1"/>
  <c r="Q406" i="37"/>
  <c r="U406" i="37"/>
  <c r="AB406" i="37"/>
  <c r="AE406" i="37"/>
  <c r="AF406" i="37"/>
  <c r="AG406" i="37" s="1"/>
  <c r="D407" i="37"/>
  <c r="AD407" i="37" s="1"/>
  <c r="M407" i="37"/>
  <c r="L407" i="37" s="1"/>
  <c r="Q407" i="37"/>
  <c r="X407" i="37" s="1"/>
  <c r="Y407" i="37" s="1"/>
  <c r="U407" i="37"/>
  <c r="AB407" i="37"/>
  <c r="AE407" i="37"/>
  <c r="AF407" i="37"/>
  <c r="AG407" i="37" s="1"/>
  <c r="D408" i="37"/>
  <c r="AD408" i="37" s="1"/>
  <c r="M408" i="37"/>
  <c r="L408" i="37" s="1"/>
  <c r="Q408" i="37"/>
  <c r="X408" i="37" s="1"/>
  <c r="Y408" i="37" s="1"/>
  <c r="U408" i="37"/>
  <c r="AB408" i="37"/>
  <c r="AE408" i="37"/>
  <c r="AF408" i="37"/>
  <c r="AG408" i="37" s="1"/>
  <c r="D409" i="37"/>
  <c r="AD409" i="37" s="1"/>
  <c r="M409" i="37"/>
  <c r="L409" i="37" s="1"/>
  <c r="Q409" i="37"/>
  <c r="U409" i="37"/>
  <c r="AB409" i="37"/>
  <c r="AE409" i="37"/>
  <c r="AF409" i="37"/>
  <c r="AG409" i="37" s="1"/>
  <c r="D410" i="37"/>
  <c r="AD410" i="37" s="1"/>
  <c r="M410" i="37"/>
  <c r="L410" i="37" s="1"/>
  <c r="Q410" i="37"/>
  <c r="X410" i="37" s="1"/>
  <c r="Y410" i="37" s="1"/>
  <c r="U410" i="37"/>
  <c r="AB410" i="37"/>
  <c r="AE410" i="37"/>
  <c r="AF410" i="37"/>
  <c r="AG410" i="37" s="1"/>
  <c r="D411" i="37"/>
  <c r="AD411" i="37" s="1"/>
  <c r="M411" i="37"/>
  <c r="L411" i="37" s="1"/>
  <c r="Q411" i="37"/>
  <c r="U411" i="37"/>
  <c r="AB411" i="37"/>
  <c r="AE411" i="37"/>
  <c r="AF411" i="37"/>
  <c r="AG411" i="37" s="1"/>
  <c r="D412" i="37"/>
  <c r="AD412" i="37" s="1"/>
  <c r="M412" i="37"/>
  <c r="L412" i="37" s="1"/>
  <c r="Q412" i="37"/>
  <c r="X412" i="37" s="1"/>
  <c r="Y412" i="37" s="1"/>
  <c r="U412" i="37"/>
  <c r="AB412" i="37"/>
  <c r="AE412" i="37"/>
  <c r="AF412" i="37"/>
  <c r="AG412" i="37" s="1"/>
  <c r="D413" i="37"/>
  <c r="AD413" i="37" s="1"/>
  <c r="M413" i="37"/>
  <c r="L413" i="37" s="1"/>
  <c r="Q413" i="37"/>
  <c r="X413" i="37" s="1"/>
  <c r="Y413" i="37" s="1"/>
  <c r="U413" i="37"/>
  <c r="AB413" i="37"/>
  <c r="AE413" i="37"/>
  <c r="AF413" i="37"/>
  <c r="AG413" i="37" s="1"/>
  <c r="D414" i="37"/>
  <c r="AD414" i="37" s="1"/>
  <c r="M414" i="37"/>
  <c r="L414" i="37" s="1"/>
  <c r="Q414" i="37"/>
  <c r="R414" i="37" s="1"/>
  <c r="U414" i="37"/>
  <c r="AB414" i="37"/>
  <c r="AE414" i="37"/>
  <c r="AF414" i="37"/>
  <c r="AG414" i="37" s="1"/>
  <c r="D415" i="37"/>
  <c r="AD415" i="37" s="1"/>
  <c r="M415" i="37"/>
  <c r="L415" i="37" s="1"/>
  <c r="Q415" i="37"/>
  <c r="U415" i="37"/>
  <c r="AB415" i="37"/>
  <c r="AE415" i="37"/>
  <c r="AF415" i="37"/>
  <c r="AG415" i="37" s="1"/>
  <c r="D416" i="37"/>
  <c r="AD416" i="37" s="1"/>
  <c r="M416" i="37"/>
  <c r="L416" i="37" s="1"/>
  <c r="Q416" i="37"/>
  <c r="X416" i="37" s="1"/>
  <c r="Y416" i="37" s="1"/>
  <c r="U416" i="37"/>
  <c r="AB416" i="37"/>
  <c r="AE416" i="37"/>
  <c r="AF416" i="37"/>
  <c r="AG416" i="37" s="1"/>
  <c r="D417" i="37"/>
  <c r="AD417" i="37" s="1"/>
  <c r="M417" i="37"/>
  <c r="L417" i="37" s="1"/>
  <c r="Q417" i="37"/>
  <c r="X417" i="37" s="1"/>
  <c r="Y417" i="37" s="1"/>
  <c r="U417" i="37"/>
  <c r="AB417" i="37"/>
  <c r="AE417" i="37"/>
  <c r="AF417" i="37"/>
  <c r="AG417" i="37" s="1"/>
  <c r="D418" i="37"/>
  <c r="AD418" i="37" s="1"/>
  <c r="M418" i="37"/>
  <c r="L418" i="37" s="1"/>
  <c r="Q418" i="37"/>
  <c r="R418" i="37" s="1"/>
  <c r="U418" i="37"/>
  <c r="AB418" i="37"/>
  <c r="AE418" i="37"/>
  <c r="AF418" i="37"/>
  <c r="AG418" i="37" s="1"/>
  <c r="D419" i="37"/>
  <c r="AD419" i="37" s="1"/>
  <c r="M419" i="37"/>
  <c r="L419" i="37" s="1"/>
  <c r="Q419" i="37"/>
  <c r="U419" i="37"/>
  <c r="AB419" i="37"/>
  <c r="AE419" i="37"/>
  <c r="AF419" i="37"/>
  <c r="AG419" i="37" s="1"/>
  <c r="D420" i="37"/>
  <c r="AD420" i="37" s="1"/>
  <c r="M420" i="37"/>
  <c r="L420" i="37" s="1"/>
  <c r="Q420" i="37"/>
  <c r="U420" i="37"/>
  <c r="AB420" i="37"/>
  <c r="AE420" i="37"/>
  <c r="AF420" i="37"/>
  <c r="AG420" i="37" s="1"/>
  <c r="D421" i="37"/>
  <c r="AD421" i="37" s="1"/>
  <c r="M421" i="37"/>
  <c r="L421" i="37" s="1"/>
  <c r="Q421" i="37"/>
  <c r="X421" i="37" s="1"/>
  <c r="Y421" i="37" s="1"/>
  <c r="U421" i="37"/>
  <c r="AB421" i="37"/>
  <c r="AE421" i="37"/>
  <c r="AF421" i="37"/>
  <c r="AG421" i="37" s="1"/>
  <c r="D422" i="37"/>
  <c r="AD422" i="37" s="1"/>
  <c r="M422" i="37"/>
  <c r="L422" i="37" s="1"/>
  <c r="Q422" i="37"/>
  <c r="X422" i="37" s="1"/>
  <c r="Y422" i="37" s="1"/>
  <c r="U422" i="37"/>
  <c r="AB422" i="37"/>
  <c r="AE422" i="37"/>
  <c r="AF422" i="37"/>
  <c r="AG422" i="37" s="1"/>
  <c r="D423" i="37"/>
  <c r="AD423" i="37" s="1"/>
  <c r="M423" i="37"/>
  <c r="L423" i="37" s="1"/>
  <c r="Q423" i="37"/>
  <c r="R423" i="37" s="1"/>
  <c r="U423" i="37"/>
  <c r="AB423" i="37"/>
  <c r="AE423" i="37"/>
  <c r="AF423" i="37"/>
  <c r="AG423" i="37" s="1"/>
  <c r="D424" i="37"/>
  <c r="AD424" i="37" s="1"/>
  <c r="M424" i="37"/>
  <c r="L424" i="37" s="1"/>
  <c r="Q424" i="37"/>
  <c r="U424" i="37"/>
  <c r="AB424" i="37"/>
  <c r="AE424" i="37"/>
  <c r="AF424" i="37"/>
  <c r="AG424" i="37" s="1"/>
  <c r="D425" i="37"/>
  <c r="AD425" i="37" s="1"/>
  <c r="M425" i="37"/>
  <c r="L425" i="37" s="1"/>
  <c r="Q425" i="37"/>
  <c r="X425" i="37" s="1"/>
  <c r="Y425" i="37" s="1"/>
  <c r="U425" i="37"/>
  <c r="AB425" i="37"/>
  <c r="AE425" i="37"/>
  <c r="AF425" i="37"/>
  <c r="AG425" i="37" s="1"/>
  <c r="D426" i="37"/>
  <c r="AD426" i="37" s="1"/>
  <c r="M426" i="37"/>
  <c r="L426" i="37" s="1"/>
  <c r="Q426" i="37"/>
  <c r="R426" i="37" s="1"/>
  <c r="U426" i="37"/>
  <c r="AB426" i="37"/>
  <c r="AE426" i="37"/>
  <c r="AF426" i="37"/>
  <c r="AG426" i="37" s="1"/>
  <c r="D427" i="37"/>
  <c r="AD427" i="37" s="1"/>
  <c r="M427" i="37"/>
  <c r="L427" i="37" s="1"/>
  <c r="Q427" i="37"/>
  <c r="X427" i="37" s="1"/>
  <c r="Y427" i="37" s="1"/>
  <c r="U427" i="37"/>
  <c r="AB427" i="37"/>
  <c r="AE427" i="37"/>
  <c r="AF427" i="37"/>
  <c r="AG427" i="37" s="1"/>
  <c r="D428" i="37"/>
  <c r="AD428" i="37" s="1"/>
  <c r="M428" i="37"/>
  <c r="L428" i="37" s="1"/>
  <c r="Q428" i="37"/>
  <c r="X428" i="37" s="1"/>
  <c r="Y428" i="37" s="1"/>
  <c r="U428" i="37"/>
  <c r="AB428" i="37"/>
  <c r="AE428" i="37"/>
  <c r="AF428" i="37"/>
  <c r="AG428" i="37" s="1"/>
  <c r="D429" i="37"/>
  <c r="AD429" i="37" s="1"/>
  <c r="M429" i="37"/>
  <c r="L429" i="37" s="1"/>
  <c r="Q429" i="37"/>
  <c r="X429" i="37" s="1"/>
  <c r="Y429" i="37" s="1"/>
  <c r="U429" i="37"/>
  <c r="AB429" i="37"/>
  <c r="AE429" i="37"/>
  <c r="AF429" i="37"/>
  <c r="AG429" i="37" s="1"/>
  <c r="D430" i="37"/>
  <c r="AD430" i="37" s="1"/>
  <c r="M430" i="37"/>
  <c r="L430" i="37" s="1"/>
  <c r="Q430" i="37"/>
  <c r="X430" i="37" s="1"/>
  <c r="Y430" i="37" s="1"/>
  <c r="U430" i="37"/>
  <c r="AB430" i="37"/>
  <c r="AE430" i="37"/>
  <c r="AF430" i="37"/>
  <c r="AG430" i="37" s="1"/>
  <c r="D431" i="37"/>
  <c r="AD431" i="37" s="1"/>
  <c r="M431" i="37"/>
  <c r="L431" i="37" s="1"/>
  <c r="Q431" i="37"/>
  <c r="R431" i="37" s="1"/>
  <c r="U431" i="37"/>
  <c r="AB431" i="37"/>
  <c r="AE431" i="37"/>
  <c r="AF431" i="37"/>
  <c r="AG431" i="37" s="1"/>
  <c r="D432" i="37"/>
  <c r="AD432" i="37" s="1"/>
  <c r="M432" i="37"/>
  <c r="L432" i="37" s="1"/>
  <c r="Q432" i="37"/>
  <c r="U432" i="37"/>
  <c r="AB432" i="37"/>
  <c r="AE432" i="37"/>
  <c r="AF432" i="37"/>
  <c r="AG432" i="37" s="1"/>
  <c r="D433" i="37"/>
  <c r="AD433" i="37" s="1"/>
  <c r="M433" i="37"/>
  <c r="L433" i="37" s="1"/>
  <c r="Q433" i="37"/>
  <c r="R433" i="37" s="1"/>
  <c r="U433" i="37"/>
  <c r="AB433" i="37"/>
  <c r="AE433" i="37"/>
  <c r="AF433" i="37"/>
  <c r="AG433" i="37" s="1"/>
  <c r="D434" i="37"/>
  <c r="AD434" i="37" s="1"/>
  <c r="M434" i="37"/>
  <c r="L434" i="37" s="1"/>
  <c r="Q434" i="37"/>
  <c r="U434" i="37"/>
  <c r="AB434" i="37"/>
  <c r="AE434" i="37"/>
  <c r="AF434" i="37"/>
  <c r="AG434" i="37" s="1"/>
  <c r="D435" i="37"/>
  <c r="AD435" i="37" s="1"/>
  <c r="M435" i="37"/>
  <c r="L435" i="37" s="1"/>
  <c r="Q435" i="37"/>
  <c r="X435" i="37" s="1"/>
  <c r="Y435" i="37" s="1"/>
  <c r="U435" i="37"/>
  <c r="AB435" i="37"/>
  <c r="AE435" i="37"/>
  <c r="AF435" i="37"/>
  <c r="AG435" i="37" s="1"/>
  <c r="D436" i="37"/>
  <c r="AD436" i="37" s="1"/>
  <c r="M436" i="37"/>
  <c r="L436" i="37" s="1"/>
  <c r="Q436" i="37"/>
  <c r="X436" i="37" s="1"/>
  <c r="Y436" i="37" s="1"/>
  <c r="U436" i="37"/>
  <c r="AB436" i="37"/>
  <c r="AE436" i="37"/>
  <c r="AF436" i="37"/>
  <c r="AG436" i="37" s="1"/>
  <c r="D437" i="37"/>
  <c r="AD437" i="37" s="1"/>
  <c r="M437" i="37"/>
  <c r="L437" i="37" s="1"/>
  <c r="Q437" i="37"/>
  <c r="U437" i="37"/>
  <c r="AB437" i="37"/>
  <c r="AE437" i="37"/>
  <c r="AF437" i="37"/>
  <c r="AG437" i="37" s="1"/>
  <c r="D438" i="37"/>
  <c r="AD438" i="37" s="1"/>
  <c r="M438" i="37"/>
  <c r="L438" i="37" s="1"/>
  <c r="Q438" i="37"/>
  <c r="R438" i="37" s="1"/>
  <c r="U438" i="37"/>
  <c r="AB438" i="37"/>
  <c r="AE438" i="37"/>
  <c r="AF438" i="37"/>
  <c r="AG438" i="37" s="1"/>
  <c r="D439" i="37"/>
  <c r="AD439" i="37" s="1"/>
  <c r="M439" i="37"/>
  <c r="L439" i="37" s="1"/>
  <c r="Q439" i="37"/>
  <c r="X439" i="37" s="1"/>
  <c r="Y439" i="37" s="1"/>
  <c r="U439" i="37"/>
  <c r="AB439" i="37"/>
  <c r="AE439" i="37"/>
  <c r="AF439" i="37"/>
  <c r="AG439" i="37" s="1"/>
  <c r="D440" i="37"/>
  <c r="AD440" i="37" s="1"/>
  <c r="M440" i="37"/>
  <c r="L440" i="37" s="1"/>
  <c r="Q440" i="37"/>
  <c r="U440" i="37"/>
  <c r="AB440" i="37"/>
  <c r="AE440" i="37"/>
  <c r="AF440" i="37"/>
  <c r="AG440" i="37" s="1"/>
  <c r="D441" i="37"/>
  <c r="AD441" i="37" s="1"/>
  <c r="M441" i="37"/>
  <c r="L441" i="37" s="1"/>
  <c r="Q441" i="37"/>
  <c r="X441" i="37" s="1"/>
  <c r="Y441" i="37" s="1"/>
  <c r="U441" i="37"/>
  <c r="AB441" i="37"/>
  <c r="AE441" i="37"/>
  <c r="AF441" i="37"/>
  <c r="AG441" i="37" s="1"/>
  <c r="D442" i="37"/>
  <c r="AD442" i="37" s="1"/>
  <c r="M442" i="37"/>
  <c r="L442" i="37" s="1"/>
  <c r="Q442" i="37"/>
  <c r="R442" i="37" s="1"/>
  <c r="U442" i="37"/>
  <c r="AB442" i="37"/>
  <c r="AE442" i="37"/>
  <c r="AF442" i="37"/>
  <c r="AG442" i="37" s="1"/>
  <c r="D443" i="37"/>
  <c r="AD443" i="37" s="1"/>
  <c r="M443" i="37"/>
  <c r="L443" i="37" s="1"/>
  <c r="Q443" i="37"/>
  <c r="X443" i="37" s="1"/>
  <c r="Y443" i="37" s="1"/>
  <c r="U443" i="37"/>
  <c r="AB443" i="37"/>
  <c r="AE443" i="37"/>
  <c r="AF443" i="37"/>
  <c r="AG443" i="37" s="1"/>
  <c r="D444" i="37"/>
  <c r="AD444" i="37" s="1"/>
  <c r="M444" i="37"/>
  <c r="L444" i="37" s="1"/>
  <c r="Q444" i="37"/>
  <c r="X444" i="37" s="1"/>
  <c r="Y444" i="37" s="1"/>
  <c r="U444" i="37"/>
  <c r="AB444" i="37"/>
  <c r="AE444" i="37"/>
  <c r="AF444" i="37"/>
  <c r="AG444" i="37" s="1"/>
  <c r="D445" i="37"/>
  <c r="AD445" i="37" s="1"/>
  <c r="M445" i="37"/>
  <c r="L445" i="37" s="1"/>
  <c r="Q445" i="37"/>
  <c r="X445" i="37" s="1"/>
  <c r="Y445" i="37" s="1"/>
  <c r="U445" i="37"/>
  <c r="AB445" i="37"/>
  <c r="AE445" i="37"/>
  <c r="AF445" i="37"/>
  <c r="AG445" i="37" s="1"/>
  <c r="D446" i="37"/>
  <c r="AD446" i="37" s="1"/>
  <c r="M446" i="37"/>
  <c r="L446" i="37" s="1"/>
  <c r="Q446" i="37"/>
  <c r="X446" i="37" s="1"/>
  <c r="Y446" i="37" s="1"/>
  <c r="U446" i="37"/>
  <c r="AB446" i="37"/>
  <c r="AE446" i="37"/>
  <c r="AF446" i="37"/>
  <c r="AG446" i="37" s="1"/>
  <c r="D447" i="37"/>
  <c r="AD447" i="37" s="1"/>
  <c r="M447" i="37"/>
  <c r="L447" i="37" s="1"/>
  <c r="Q447" i="37"/>
  <c r="R447" i="37" s="1"/>
  <c r="U447" i="37"/>
  <c r="AB447" i="37"/>
  <c r="AE447" i="37"/>
  <c r="AF447" i="37"/>
  <c r="AG447" i="37" s="1"/>
  <c r="D448" i="37"/>
  <c r="AD448" i="37" s="1"/>
  <c r="M448" i="37"/>
  <c r="L448" i="37" s="1"/>
  <c r="Q448" i="37"/>
  <c r="U448" i="37"/>
  <c r="AB448" i="37"/>
  <c r="AE448" i="37"/>
  <c r="AF448" i="37"/>
  <c r="AG448" i="37" s="1"/>
  <c r="D449" i="37"/>
  <c r="AD449" i="37" s="1"/>
  <c r="M449" i="37"/>
  <c r="L449" i="37" s="1"/>
  <c r="Q449" i="37"/>
  <c r="R449" i="37" s="1"/>
  <c r="U449" i="37"/>
  <c r="AB449" i="37"/>
  <c r="AE449" i="37"/>
  <c r="AF449" i="37"/>
  <c r="AG449" i="37" s="1"/>
  <c r="D450" i="37"/>
  <c r="AD450" i="37" s="1"/>
  <c r="M450" i="37"/>
  <c r="L450" i="37" s="1"/>
  <c r="Q450" i="37"/>
  <c r="R450" i="37" s="1"/>
  <c r="U450" i="37"/>
  <c r="AB450" i="37"/>
  <c r="AE450" i="37"/>
  <c r="AF450" i="37"/>
  <c r="AG450" i="37" s="1"/>
  <c r="D451" i="37"/>
  <c r="AD451" i="37" s="1"/>
  <c r="M451" i="37"/>
  <c r="L451" i="37" s="1"/>
  <c r="Q451" i="37"/>
  <c r="U451" i="37"/>
  <c r="AB451" i="37"/>
  <c r="AE451" i="37"/>
  <c r="AF451" i="37"/>
  <c r="AG451" i="37" s="1"/>
  <c r="D452" i="37"/>
  <c r="AD452" i="37" s="1"/>
  <c r="M452" i="37"/>
  <c r="L452" i="37" s="1"/>
  <c r="Q452" i="37"/>
  <c r="R452" i="37" s="1"/>
  <c r="U452" i="37"/>
  <c r="AB452" i="37"/>
  <c r="AE452" i="37"/>
  <c r="AF452" i="37"/>
  <c r="AG452" i="37" s="1"/>
  <c r="D453" i="37"/>
  <c r="AD453" i="37" s="1"/>
  <c r="M453" i="37"/>
  <c r="L453" i="37" s="1"/>
  <c r="Q453" i="37"/>
  <c r="U453" i="37"/>
  <c r="AB453" i="37"/>
  <c r="AE453" i="37"/>
  <c r="AF453" i="37"/>
  <c r="AG453" i="37" s="1"/>
  <c r="D454" i="37"/>
  <c r="AD454" i="37" s="1"/>
  <c r="M454" i="37"/>
  <c r="L454" i="37" s="1"/>
  <c r="Q454" i="37"/>
  <c r="U454" i="37"/>
  <c r="AB454" i="37"/>
  <c r="AE454" i="37"/>
  <c r="AF454" i="37"/>
  <c r="AG454" i="37" s="1"/>
  <c r="D455" i="37"/>
  <c r="AD455" i="37" s="1"/>
  <c r="M455" i="37"/>
  <c r="L455" i="37" s="1"/>
  <c r="Q455" i="37"/>
  <c r="U455" i="37"/>
  <c r="AB455" i="37"/>
  <c r="AE455" i="37"/>
  <c r="AF455" i="37"/>
  <c r="AG455" i="37" s="1"/>
  <c r="D456" i="37"/>
  <c r="AD456" i="37" s="1"/>
  <c r="M456" i="37"/>
  <c r="L456" i="37" s="1"/>
  <c r="Q456" i="37"/>
  <c r="R456" i="37" s="1"/>
  <c r="U456" i="37"/>
  <c r="AB456" i="37"/>
  <c r="AE456" i="37"/>
  <c r="AF456" i="37"/>
  <c r="AG456" i="37" s="1"/>
  <c r="D457" i="37"/>
  <c r="AD457" i="37" s="1"/>
  <c r="M457" i="37"/>
  <c r="L457" i="37" s="1"/>
  <c r="Q457" i="37"/>
  <c r="X457" i="37" s="1"/>
  <c r="Y457" i="37" s="1"/>
  <c r="U457" i="37"/>
  <c r="AB457" i="37"/>
  <c r="AE457" i="37"/>
  <c r="AF457" i="37"/>
  <c r="AG457" i="37" s="1"/>
  <c r="D458" i="37"/>
  <c r="AD458" i="37" s="1"/>
  <c r="M458" i="37"/>
  <c r="L458" i="37" s="1"/>
  <c r="Q458" i="37"/>
  <c r="R458" i="37" s="1"/>
  <c r="U458" i="37"/>
  <c r="AB458" i="37"/>
  <c r="AE458" i="37"/>
  <c r="AF458" i="37"/>
  <c r="AG458" i="37" s="1"/>
  <c r="D459" i="37"/>
  <c r="AD459" i="37" s="1"/>
  <c r="M459" i="37"/>
  <c r="L459" i="37" s="1"/>
  <c r="Q459" i="37"/>
  <c r="R459" i="37" s="1"/>
  <c r="U459" i="37"/>
  <c r="AB459" i="37"/>
  <c r="AE459" i="37"/>
  <c r="AF459" i="37"/>
  <c r="AG459" i="37" s="1"/>
  <c r="D460" i="37"/>
  <c r="AD460" i="37" s="1"/>
  <c r="M460" i="37"/>
  <c r="L460" i="37" s="1"/>
  <c r="Q460" i="37"/>
  <c r="R460" i="37" s="1"/>
  <c r="U460" i="37"/>
  <c r="AB460" i="37"/>
  <c r="AE460" i="37"/>
  <c r="AF460" i="37"/>
  <c r="AG460" i="37" s="1"/>
  <c r="D461" i="37"/>
  <c r="AD461" i="37" s="1"/>
  <c r="M461" i="37"/>
  <c r="L461" i="37" s="1"/>
  <c r="Q461" i="37"/>
  <c r="X461" i="37" s="1"/>
  <c r="Y461" i="37" s="1"/>
  <c r="U461" i="37"/>
  <c r="AB461" i="37"/>
  <c r="AE461" i="37"/>
  <c r="AF461" i="37"/>
  <c r="AG461" i="37" s="1"/>
  <c r="D462" i="37"/>
  <c r="AD462" i="37" s="1"/>
  <c r="M462" i="37"/>
  <c r="L462" i="37" s="1"/>
  <c r="Q462" i="37"/>
  <c r="X462" i="37" s="1"/>
  <c r="Y462" i="37" s="1"/>
  <c r="U462" i="37"/>
  <c r="AB462" i="37"/>
  <c r="AE462" i="37"/>
  <c r="AF462" i="37"/>
  <c r="AG462" i="37" s="1"/>
  <c r="D463" i="37"/>
  <c r="AD463" i="37" s="1"/>
  <c r="M463" i="37"/>
  <c r="L463" i="37" s="1"/>
  <c r="Q463" i="37"/>
  <c r="U463" i="37"/>
  <c r="AB463" i="37"/>
  <c r="AE463" i="37"/>
  <c r="AF463" i="37"/>
  <c r="AG463" i="37" s="1"/>
  <c r="D464" i="37"/>
  <c r="AD464" i="37" s="1"/>
  <c r="M464" i="37"/>
  <c r="L464" i="37" s="1"/>
  <c r="Q464" i="37"/>
  <c r="R464" i="37" s="1"/>
  <c r="U464" i="37"/>
  <c r="AB464" i="37"/>
  <c r="AE464" i="37"/>
  <c r="AF464" i="37"/>
  <c r="AG464" i="37" s="1"/>
  <c r="D465" i="37"/>
  <c r="AD465" i="37" s="1"/>
  <c r="M465" i="37"/>
  <c r="L465" i="37" s="1"/>
  <c r="Q465" i="37"/>
  <c r="X465" i="37" s="1"/>
  <c r="Y465" i="37" s="1"/>
  <c r="U465" i="37"/>
  <c r="AB465" i="37"/>
  <c r="AE465" i="37"/>
  <c r="AF465" i="37"/>
  <c r="AG465" i="37" s="1"/>
  <c r="D466" i="37"/>
  <c r="AD466" i="37" s="1"/>
  <c r="M466" i="37"/>
  <c r="L466" i="37" s="1"/>
  <c r="Q466" i="37"/>
  <c r="U466" i="37"/>
  <c r="AB466" i="37"/>
  <c r="AE466" i="37"/>
  <c r="AF466" i="37"/>
  <c r="AG466" i="37" s="1"/>
  <c r="D467" i="37"/>
  <c r="AD467" i="37" s="1"/>
  <c r="M467" i="37"/>
  <c r="L467" i="37" s="1"/>
  <c r="Q467" i="37"/>
  <c r="U467" i="37"/>
  <c r="AB467" i="37"/>
  <c r="AE467" i="37"/>
  <c r="AF467" i="37"/>
  <c r="AG467" i="37" s="1"/>
  <c r="D468" i="37"/>
  <c r="AD468" i="37" s="1"/>
  <c r="M468" i="37"/>
  <c r="L468" i="37" s="1"/>
  <c r="Q468" i="37"/>
  <c r="X468" i="37" s="1"/>
  <c r="Y468" i="37" s="1"/>
  <c r="U468" i="37"/>
  <c r="AB468" i="37"/>
  <c r="AE468" i="37"/>
  <c r="AF468" i="37"/>
  <c r="AG468" i="37" s="1"/>
  <c r="D469" i="37"/>
  <c r="AD469" i="37" s="1"/>
  <c r="M469" i="37"/>
  <c r="L469" i="37" s="1"/>
  <c r="Q469" i="37"/>
  <c r="U469" i="37"/>
  <c r="AB469" i="37"/>
  <c r="AE469" i="37"/>
  <c r="AF469" i="37"/>
  <c r="AG469" i="37" s="1"/>
  <c r="D470" i="37"/>
  <c r="AD470" i="37" s="1"/>
  <c r="M470" i="37"/>
  <c r="L470" i="37" s="1"/>
  <c r="Q470" i="37"/>
  <c r="U470" i="37"/>
  <c r="AB470" i="37"/>
  <c r="AE470" i="37"/>
  <c r="AF470" i="37"/>
  <c r="AG470" i="37" s="1"/>
  <c r="D471" i="37"/>
  <c r="AD471" i="37" s="1"/>
  <c r="M471" i="37"/>
  <c r="L471" i="37" s="1"/>
  <c r="Q471" i="37"/>
  <c r="R471" i="37" s="1"/>
  <c r="U471" i="37"/>
  <c r="AB471" i="37"/>
  <c r="AE471" i="37"/>
  <c r="AF471" i="37"/>
  <c r="AG471" i="37" s="1"/>
  <c r="D472" i="37"/>
  <c r="AD472" i="37" s="1"/>
  <c r="M472" i="37"/>
  <c r="L472" i="37" s="1"/>
  <c r="Q472" i="37"/>
  <c r="R472" i="37" s="1"/>
  <c r="U472" i="37"/>
  <c r="AB472" i="37"/>
  <c r="AE472" i="37"/>
  <c r="AF472" i="37"/>
  <c r="AG472" i="37" s="1"/>
  <c r="D473" i="37"/>
  <c r="AD473" i="37" s="1"/>
  <c r="M473" i="37"/>
  <c r="L473" i="37" s="1"/>
  <c r="Q473" i="37"/>
  <c r="U473" i="37"/>
  <c r="AB473" i="37"/>
  <c r="AE473" i="37"/>
  <c r="AF473" i="37"/>
  <c r="AG473" i="37" s="1"/>
  <c r="D474" i="37"/>
  <c r="AD474" i="37" s="1"/>
  <c r="M474" i="37"/>
  <c r="L474" i="37" s="1"/>
  <c r="Q474" i="37"/>
  <c r="R474" i="37" s="1"/>
  <c r="U474" i="37"/>
  <c r="AB474" i="37"/>
  <c r="AE474" i="37"/>
  <c r="AF474" i="37"/>
  <c r="AG474" i="37" s="1"/>
  <c r="D475" i="37"/>
  <c r="AD475" i="37" s="1"/>
  <c r="M475" i="37"/>
  <c r="L475" i="37" s="1"/>
  <c r="Q475" i="37"/>
  <c r="X475" i="37" s="1"/>
  <c r="Y475" i="37" s="1"/>
  <c r="U475" i="37"/>
  <c r="AB475" i="37"/>
  <c r="AE475" i="37"/>
  <c r="AF475" i="37"/>
  <c r="AG475" i="37" s="1"/>
  <c r="D476" i="37"/>
  <c r="AD476" i="37" s="1"/>
  <c r="M476" i="37"/>
  <c r="L476" i="37" s="1"/>
  <c r="Q476" i="37"/>
  <c r="U476" i="37"/>
  <c r="AB476" i="37"/>
  <c r="AE476" i="37"/>
  <c r="AF476" i="37"/>
  <c r="AG476" i="37" s="1"/>
  <c r="D477" i="37"/>
  <c r="AD477" i="37" s="1"/>
  <c r="M477" i="37"/>
  <c r="L477" i="37" s="1"/>
  <c r="Q477" i="37"/>
  <c r="R477" i="37" s="1"/>
  <c r="U477" i="37"/>
  <c r="AB477" i="37"/>
  <c r="AE477" i="37"/>
  <c r="AF477" i="37"/>
  <c r="AG477" i="37" s="1"/>
  <c r="D478" i="37"/>
  <c r="AD478" i="37" s="1"/>
  <c r="M478" i="37"/>
  <c r="L478" i="37" s="1"/>
  <c r="Q478" i="37"/>
  <c r="X478" i="37" s="1"/>
  <c r="Y478" i="37" s="1"/>
  <c r="U478" i="37"/>
  <c r="AB478" i="37"/>
  <c r="AE478" i="37"/>
  <c r="AF478" i="37"/>
  <c r="AG478" i="37" s="1"/>
  <c r="D479" i="37"/>
  <c r="AD479" i="37" s="1"/>
  <c r="M479" i="37"/>
  <c r="L479" i="37" s="1"/>
  <c r="Q479" i="37"/>
  <c r="X479" i="37" s="1"/>
  <c r="Y479" i="37" s="1"/>
  <c r="U479" i="37"/>
  <c r="AB479" i="37"/>
  <c r="AE479" i="37"/>
  <c r="AF479" i="37"/>
  <c r="AG479" i="37" s="1"/>
  <c r="D480" i="37"/>
  <c r="AD480" i="37" s="1"/>
  <c r="M480" i="37"/>
  <c r="L480" i="37" s="1"/>
  <c r="Q480" i="37"/>
  <c r="R480" i="37" s="1"/>
  <c r="U480" i="37"/>
  <c r="AB480" i="37"/>
  <c r="AE480" i="37"/>
  <c r="AF480" i="37"/>
  <c r="AG480" i="37" s="1"/>
  <c r="D481" i="37"/>
  <c r="AD481" i="37" s="1"/>
  <c r="M481" i="37"/>
  <c r="L481" i="37" s="1"/>
  <c r="Q481" i="37"/>
  <c r="X481" i="37" s="1"/>
  <c r="Y481" i="37" s="1"/>
  <c r="U481" i="37"/>
  <c r="AB481" i="37"/>
  <c r="AE481" i="37"/>
  <c r="AF481" i="37"/>
  <c r="AG481" i="37" s="1"/>
  <c r="D482" i="37"/>
  <c r="AD482" i="37" s="1"/>
  <c r="M482" i="37"/>
  <c r="L482" i="37" s="1"/>
  <c r="Q482" i="37"/>
  <c r="U482" i="37"/>
  <c r="AB482" i="37"/>
  <c r="AE482" i="37"/>
  <c r="AF482" i="37"/>
  <c r="AG482" i="37" s="1"/>
  <c r="D483" i="37"/>
  <c r="AD483" i="37" s="1"/>
  <c r="M483" i="37"/>
  <c r="L483" i="37" s="1"/>
  <c r="Q483" i="37"/>
  <c r="X483" i="37" s="1"/>
  <c r="Y483" i="37" s="1"/>
  <c r="U483" i="37"/>
  <c r="AB483" i="37"/>
  <c r="AE483" i="37"/>
  <c r="AF483" i="37"/>
  <c r="AG483" i="37" s="1"/>
  <c r="D484" i="37"/>
  <c r="AD484" i="37" s="1"/>
  <c r="M484" i="37"/>
  <c r="L484" i="37" s="1"/>
  <c r="Q484" i="37"/>
  <c r="U484" i="37"/>
  <c r="AB484" i="37"/>
  <c r="AE484" i="37"/>
  <c r="AF484" i="37"/>
  <c r="AG484" i="37" s="1"/>
  <c r="D485" i="37"/>
  <c r="AD485" i="37" s="1"/>
  <c r="M485" i="37"/>
  <c r="L485" i="37" s="1"/>
  <c r="Q485" i="37"/>
  <c r="R485" i="37" s="1"/>
  <c r="U485" i="37"/>
  <c r="AB485" i="37"/>
  <c r="AE485" i="37"/>
  <c r="AF485" i="37"/>
  <c r="AG485" i="37" s="1"/>
  <c r="D486" i="37"/>
  <c r="AD486" i="37" s="1"/>
  <c r="M486" i="37"/>
  <c r="L486" i="37" s="1"/>
  <c r="Q486" i="37"/>
  <c r="U486" i="37"/>
  <c r="AB486" i="37"/>
  <c r="AE486" i="37"/>
  <c r="AF486" i="37"/>
  <c r="AG486" i="37" s="1"/>
  <c r="D487" i="37"/>
  <c r="AD487" i="37" s="1"/>
  <c r="M487" i="37"/>
  <c r="L487" i="37" s="1"/>
  <c r="Q487" i="37"/>
  <c r="R487" i="37" s="1"/>
  <c r="U487" i="37"/>
  <c r="AB487" i="37"/>
  <c r="AE487" i="37"/>
  <c r="AF487" i="37"/>
  <c r="AG487" i="37" s="1"/>
  <c r="D488" i="37"/>
  <c r="AD488" i="37" s="1"/>
  <c r="M488" i="37"/>
  <c r="L488" i="37" s="1"/>
  <c r="Q488" i="37"/>
  <c r="R488" i="37" s="1"/>
  <c r="U488" i="37"/>
  <c r="AB488" i="37"/>
  <c r="AE488" i="37"/>
  <c r="AF488" i="37"/>
  <c r="AG488" i="37" s="1"/>
  <c r="D489" i="37"/>
  <c r="AD489" i="37" s="1"/>
  <c r="M489" i="37"/>
  <c r="L489" i="37" s="1"/>
  <c r="Q489" i="37"/>
  <c r="R489" i="37" s="1"/>
  <c r="U489" i="37"/>
  <c r="AB489" i="37"/>
  <c r="AE489" i="37"/>
  <c r="AF489" i="37"/>
  <c r="AG489" i="37" s="1"/>
  <c r="D490" i="37"/>
  <c r="AD490" i="37" s="1"/>
  <c r="M490" i="37"/>
  <c r="L490" i="37" s="1"/>
  <c r="Q490" i="37"/>
  <c r="R490" i="37" s="1"/>
  <c r="U490" i="37"/>
  <c r="AB490" i="37"/>
  <c r="AE490" i="37"/>
  <c r="AF490" i="37"/>
  <c r="AG490" i="37" s="1"/>
  <c r="D491" i="37"/>
  <c r="AD491" i="37" s="1"/>
  <c r="M491" i="37"/>
  <c r="L491" i="37" s="1"/>
  <c r="Q491" i="37"/>
  <c r="X491" i="37" s="1"/>
  <c r="Y491" i="37" s="1"/>
  <c r="U491" i="37"/>
  <c r="AB491" i="37"/>
  <c r="AE491" i="37"/>
  <c r="AF491" i="37"/>
  <c r="AG491" i="37" s="1"/>
  <c r="D492" i="37"/>
  <c r="AD492" i="37" s="1"/>
  <c r="M492" i="37"/>
  <c r="L492" i="37" s="1"/>
  <c r="Q492" i="37"/>
  <c r="R492" i="37" s="1"/>
  <c r="U492" i="37"/>
  <c r="AB492" i="37"/>
  <c r="AE492" i="37"/>
  <c r="AF492" i="37"/>
  <c r="AG492" i="37" s="1"/>
  <c r="D493" i="37"/>
  <c r="AD493" i="37" s="1"/>
  <c r="M493" i="37"/>
  <c r="L493" i="37" s="1"/>
  <c r="Q493" i="37"/>
  <c r="R493" i="37" s="1"/>
  <c r="U493" i="37"/>
  <c r="AB493" i="37"/>
  <c r="AE493" i="37"/>
  <c r="AF493" i="37"/>
  <c r="AG493" i="37" s="1"/>
  <c r="D494" i="37"/>
  <c r="AD494" i="37" s="1"/>
  <c r="M494" i="37"/>
  <c r="L494" i="37" s="1"/>
  <c r="Q494" i="37"/>
  <c r="X494" i="37" s="1"/>
  <c r="Y494" i="37" s="1"/>
  <c r="U494" i="37"/>
  <c r="AB494" i="37"/>
  <c r="AE494" i="37"/>
  <c r="AF494" i="37"/>
  <c r="AG494" i="37" s="1"/>
  <c r="D495" i="37"/>
  <c r="AD495" i="37" s="1"/>
  <c r="M495" i="37"/>
  <c r="L495" i="37" s="1"/>
  <c r="Q495" i="37"/>
  <c r="U495" i="37"/>
  <c r="AB495" i="37"/>
  <c r="AE495" i="37"/>
  <c r="AF495" i="37"/>
  <c r="AG495" i="37" s="1"/>
  <c r="D496" i="37"/>
  <c r="AD496" i="37" s="1"/>
  <c r="M496" i="37"/>
  <c r="L496" i="37" s="1"/>
  <c r="Q496" i="37"/>
  <c r="R496" i="37" s="1"/>
  <c r="U496" i="37"/>
  <c r="AB496" i="37"/>
  <c r="AE496" i="37"/>
  <c r="AF496" i="37"/>
  <c r="AG496" i="37" s="1"/>
  <c r="D497" i="37"/>
  <c r="AD497" i="37" s="1"/>
  <c r="M497" i="37"/>
  <c r="L497" i="37" s="1"/>
  <c r="Q497" i="37"/>
  <c r="R497" i="37" s="1"/>
  <c r="U497" i="37"/>
  <c r="AB497" i="37"/>
  <c r="AE497" i="37"/>
  <c r="AF497" i="37"/>
  <c r="AG497" i="37" s="1"/>
  <c r="D498" i="37"/>
  <c r="AD498" i="37" s="1"/>
  <c r="M498" i="37"/>
  <c r="L498" i="37" s="1"/>
  <c r="Q498" i="37"/>
  <c r="U498" i="37"/>
  <c r="AB498" i="37"/>
  <c r="AE498" i="37"/>
  <c r="AF498" i="37"/>
  <c r="AG498" i="37" s="1"/>
  <c r="D499" i="37"/>
  <c r="AD499" i="37" s="1"/>
  <c r="M499" i="37"/>
  <c r="L499" i="37" s="1"/>
  <c r="Q499" i="37"/>
  <c r="X499" i="37" s="1"/>
  <c r="Y499" i="37" s="1"/>
  <c r="U499" i="37"/>
  <c r="AB499" i="37"/>
  <c r="AE499" i="37"/>
  <c r="AF499" i="37"/>
  <c r="AG499" i="37" s="1"/>
  <c r="D500" i="37"/>
  <c r="AD500" i="37" s="1"/>
  <c r="M500" i="37"/>
  <c r="L500" i="37" s="1"/>
  <c r="Q500" i="37"/>
  <c r="R500" i="37" s="1"/>
  <c r="U500" i="37"/>
  <c r="AB500" i="37"/>
  <c r="AE500" i="37"/>
  <c r="AF500" i="37"/>
  <c r="AG500" i="37" s="1"/>
  <c r="D501" i="37"/>
  <c r="AD501" i="37" s="1"/>
  <c r="M501" i="37"/>
  <c r="L501" i="37" s="1"/>
  <c r="Q501" i="37"/>
  <c r="R501" i="37" s="1"/>
  <c r="U501" i="37"/>
  <c r="AB501" i="37"/>
  <c r="AE501" i="37"/>
  <c r="AF501" i="37"/>
  <c r="AG501" i="37" s="1"/>
  <c r="D502" i="37"/>
  <c r="AD502" i="37" s="1"/>
  <c r="M502" i="37"/>
  <c r="L502" i="37" s="1"/>
  <c r="Q502" i="37"/>
  <c r="U502" i="37"/>
  <c r="AB502" i="37"/>
  <c r="AE502" i="37"/>
  <c r="AF502" i="37"/>
  <c r="AG502" i="37" s="1"/>
  <c r="D503" i="37"/>
  <c r="AD503" i="37" s="1"/>
  <c r="M503" i="37"/>
  <c r="L503" i="37" s="1"/>
  <c r="Q503" i="37"/>
  <c r="X503" i="37" s="1"/>
  <c r="Y503" i="37" s="1"/>
  <c r="U503" i="37"/>
  <c r="AB503" i="37"/>
  <c r="AE503" i="37"/>
  <c r="AF503" i="37"/>
  <c r="AG503" i="37" s="1"/>
  <c r="D504" i="37"/>
  <c r="AD504" i="37" s="1"/>
  <c r="M504" i="37"/>
  <c r="L504" i="37" s="1"/>
  <c r="Q504" i="37"/>
  <c r="U504" i="37"/>
  <c r="AB504" i="37"/>
  <c r="AE504" i="37"/>
  <c r="AF504" i="37"/>
  <c r="AG504" i="37" s="1"/>
  <c r="D505" i="37"/>
  <c r="AD505" i="37" s="1"/>
  <c r="M505" i="37"/>
  <c r="L505" i="37" s="1"/>
  <c r="Q505" i="37"/>
  <c r="U505" i="37"/>
  <c r="AB505" i="37"/>
  <c r="AE505" i="37"/>
  <c r="AF505" i="37"/>
  <c r="AG505" i="37" s="1"/>
  <c r="D506" i="37"/>
  <c r="AD506" i="37" s="1"/>
  <c r="M506" i="37"/>
  <c r="L506" i="37" s="1"/>
  <c r="Q506" i="37"/>
  <c r="R506" i="37" s="1"/>
  <c r="U506" i="37"/>
  <c r="AB506" i="37"/>
  <c r="AE506" i="37"/>
  <c r="AF506" i="37"/>
  <c r="AG506" i="37" s="1"/>
  <c r="D507" i="37"/>
  <c r="AD507" i="37" s="1"/>
  <c r="M507" i="37"/>
  <c r="L507" i="37" s="1"/>
  <c r="Q507" i="37"/>
  <c r="U507" i="37"/>
  <c r="AB507" i="37"/>
  <c r="AE507" i="37"/>
  <c r="AF507" i="37"/>
  <c r="AG507" i="37" s="1"/>
  <c r="D508" i="37"/>
  <c r="AD508" i="37" s="1"/>
  <c r="M508" i="37"/>
  <c r="L508" i="37" s="1"/>
  <c r="Q508" i="37"/>
  <c r="R508" i="37" s="1"/>
  <c r="U508" i="37"/>
  <c r="AB508" i="37"/>
  <c r="AE508" i="37"/>
  <c r="AF508" i="37"/>
  <c r="AG508" i="37" s="1"/>
  <c r="D509" i="37"/>
  <c r="AD509" i="37" s="1"/>
  <c r="M509" i="37"/>
  <c r="L509" i="37" s="1"/>
  <c r="Q509" i="37"/>
  <c r="R509" i="37" s="1"/>
  <c r="U509" i="37"/>
  <c r="AB509" i="37"/>
  <c r="AE509" i="37"/>
  <c r="AF509" i="37"/>
  <c r="AG509" i="37" s="1"/>
  <c r="D510" i="37"/>
  <c r="AD510" i="37" s="1"/>
  <c r="M510" i="37"/>
  <c r="L510" i="37" s="1"/>
  <c r="Q510" i="37"/>
  <c r="X510" i="37" s="1"/>
  <c r="Y510" i="37" s="1"/>
  <c r="U510" i="37"/>
  <c r="AB510" i="37"/>
  <c r="AE510" i="37"/>
  <c r="AF510" i="37"/>
  <c r="AG510" i="37" s="1"/>
  <c r="D511" i="37"/>
  <c r="AD511" i="37" s="1"/>
  <c r="M511" i="37"/>
  <c r="L511" i="37" s="1"/>
  <c r="Q511" i="37"/>
  <c r="U511" i="37"/>
  <c r="AB511" i="37"/>
  <c r="AE511" i="37"/>
  <c r="AF511" i="37"/>
  <c r="AG511" i="37" s="1"/>
  <c r="D512" i="37"/>
  <c r="AD512" i="37" s="1"/>
  <c r="M512" i="37"/>
  <c r="L512" i="37" s="1"/>
  <c r="Q512" i="37"/>
  <c r="R512" i="37" s="1"/>
  <c r="U512" i="37"/>
  <c r="AB512" i="37"/>
  <c r="AE512" i="37"/>
  <c r="AF512" i="37"/>
  <c r="AG512" i="37" s="1"/>
  <c r="D513" i="37"/>
  <c r="AD513" i="37" s="1"/>
  <c r="M513" i="37"/>
  <c r="L513" i="37" s="1"/>
  <c r="Q513" i="37"/>
  <c r="U513" i="37"/>
  <c r="AB513" i="37"/>
  <c r="AE513" i="37"/>
  <c r="AF513" i="37"/>
  <c r="AG513" i="37" s="1"/>
  <c r="D514" i="37"/>
  <c r="AD514" i="37" s="1"/>
  <c r="M514" i="37"/>
  <c r="L514" i="37" s="1"/>
  <c r="Q514" i="37"/>
  <c r="U514" i="37"/>
  <c r="AB514" i="37"/>
  <c r="AE514" i="37"/>
  <c r="AF514" i="37"/>
  <c r="AG514" i="37" s="1"/>
  <c r="D515" i="37"/>
  <c r="AD515" i="37" s="1"/>
  <c r="M515" i="37"/>
  <c r="L515" i="37" s="1"/>
  <c r="Q515" i="37"/>
  <c r="U515" i="37"/>
  <c r="AB515" i="37"/>
  <c r="AE515" i="37"/>
  <c r="AF515" i="37"/>
  <c r="AG515" i="37" s="1"/>
  <c r="D516" i="37"/>
  <c r="AD516" i="37" s="1"/>
  <c r="M516" i="37"/>
  <c r="L516" i="37" s="1"/>
  <c r="Q516" i="37"/>
  <c r="X516" i="37" s="1"/>
  <c r="Y516" i="37" s="1"/>
  <c r="U516" i="37"/>
  <c r="AB516" i="37"/>
  <c r="AE516" i="37"/>
  <c r="AF516" i="37"/>
  <c r="AG516" i="37" s="1"/>
  <c r="D517" i="37"/>
  <c r="AD517" i="37" s="1"/>
  <c r="M517" i="37"/>
  <c r="L517" i="37" s="1"/>
  <c r="Q517" i="37"/>
  <c r="R517" i="37" s="1"/>
  <c r="U517" i="37"/>
  <c r="AB517" i="37"/>
  <c r="AE517" i="37"/>
  <c r="AF517" i="37"/>
  <c r="AG517" i="37" s="1"/>
  <c r="D518" i="37"/>
  <c r="AD518" i="37" s="1"/>
  <c r="M518" i="37"/>
  <c r="L518" i="37" s="1"/>
  <c r="Q518" i="37"/>
  <c r="X518" i="37" s="1"/>
  <c r="Y518" i="37" s="1"/>
  <c r="U518" i="37"/>
  <c r="AB518" i="37"/>
  <c r="AE518" i="37"/>
  <c r="AF518" i="37"/>
  <c r="AG518" i="37" s="1"/>
  <c r="D519" i="37"/>
  <c r="AD519" i="37" s="1"/>
  <c r="M519" i="37"/>
  <c r="L519" i="37" s="1"/>
  <c r="Q519" i="37"/>
  <c r="R519" i="37" s="1"/>
  <c r="U519" i="37"/>
  <c r="AB519" i="37"/>
  <c r="AE519" i="37"/>
  <c r="AF519" i="37"/>
  <c r="AG519" i="37" s="1"/>
  <c r="D520" i="37"/>
  <c r="AD520" i="37" s="1"/>
  <c r="M520" i="37"/>
  <c r="L520" i="37" s="1"/>
  <c r="Q520" i="37"/>
  <c r="U520" i="37"/>
  <c r="AB520" i="37"/>
  <c r="AE520" i="37"/>
  <c r="AF520" i="37"/>
  <c r="AG520" i="37" s="1"/>
  <c r="D521" i="37"/>
  <c r="AD521" i="37" s="1"/>
  <c r="M521" i="37"/>
  <c r="L521" i="37" s="1"/>
  <c r="Q521" i="37"/>
  <c r="U521" i="37"/>
  <c r="AB521" i="37"/>
  <c r="AE521" i="37"/>
  <c r="AF521" i="37"/>
  <c r="AG521" i="37" s="1"/>
  <c r="D522" i="37"/>
  <c r="AD522" i="37" s="1"/>
  <c r="M522" i="37"/>
  <c r="L522" i="37" s="1"/>
  <c r="Q522" i="37"/>
  <c r="X522" i="37" s="1"/>
  <c r="Y522" i="37" s="1"/>
  <c r="U522" i="37"/>
  <c r="AB522" i="37"/>
  <c r="AE522" i="37"/>
  <c r="AF522" i="37"/>
  <c r="AG522" i="37" s="1"/>
  <c r="D523" i="37"/>
  <c r="AD523" i="37" s="1"/>
  <c r="M523" i="37"/>
  <c r="L523" i="37" s="1"/>
  <c r="Q523" i="37"/>
  <c r="R523" i="37" s="1"/>
  <c r="U523" i="37"/>
  <c r="AB523" i="37"/>
  <c r="AE523" i="37"/>
  <c r="AF523" i="37"/>
  <c r="AG523" i="37" s="1"/>
  <c r="D524" i="37"/>
  <c r="AD524" i="37" s="1"/>
  <c r="M524" i="37"/>
  <c r="L524" i="37" s="1"/>
  <c r="Q524" i="37"/>
  <c r="R524" i="37" s="1"/>
  <c r="U524" i="37"/>
  <c r="AB524" i="37"/>
  <c r="AE524" i="37"/>
  <c r="AF524" i="37"/>
  <c r="AG524" i="37" s="1"/>
  <c r="D525" i="37"/>
  <c r="AD525" i="37" s="1"/>
  <c r="M525" i="37"/>
  <c r="L525" i="37" s="1"/>
  <c r="Q525" i="37"/>
  <c r="R525" i="37" s="1"/>
  <c r="U525" i="37"/>
  <c r="AB525" i="37"/>
  <c r="AE525" i="37"/>
  <c r="AF525" i="37"/>
  <c r="AG525" i="37" s="1"/>
  <c r="D526" i="37"/>
  <c r="AD526" i="37" s="1"/>
  <c r="M526" i="37"/>
  <c r="L526" i="37" s="1"/>
  <c r="Q526" i="37"/>
  <c r="X526" i="37" s="1"/>
  <c r="Y526" i="37" s="1"/>
  <c r="U526" i="37"/>
  <c r="AB526" i="37"/>
  <c r="AE526" i="37"/>
  <c r="AF526" i="37"/>
  <c r="AG526" i="37" s="1"/>
  <c r="D527" i="37"/>
  <c r="AD527" i="37" s="1"/>
  <c r="M527" i="37"/>
  <c r="L527" i="37" s="1"/>
  <c r="Q527" i="37"/>
  <c r="R527" i="37" s="1"/>
  <c r="U527" i="37"/>
  <c r="AB527" i="37"/>
  <c r="AE527" i="37"/>
  <c r="AF527" i="37"/>
  <c r="AG527" i="37" s="1"/>
  <c r="D528" i="37"/>
  <c r="AD528" i="37" s="1"/>
  <c r="M528" i="37"/>
  <c r="L528" i="37" s="1"/>
  <c r="Q528" i="37"/>
  <c r="R528" i="37" s="1"/>
  <c r="U528" i="37"/>
  <c r="AB528" i="37"/>
  <c r="AE528" i="37"/>
  <c r="AF528" i="37"/>
  <c r="AG528" i="37" s="1"/>
  <c r="D529" i="37"/>
  <c r="AD529" i="37" s="1"/>
  <c r="M529" i="37"/>
  <c r="L529" i="37" s="1"/>
  <c r="Q529" i="37"/>
  <c r="X529" i="37" s="1"/>
  <c r="Y529" i="37" s="1"/>
  <c r="U529" i="37"/>
  <c r="AB529" i="37"/>
  <c r="AE529" i="37"/>
  <c r="AF529" i="37"/>
  <c r="AG529" i="37" s="1"/>
  <c r="D530" i="37"/>
  <c r="AD530" i="37" s="1"/>
  <c r="M530" i="37"/>
  <c r="L530" i="37" s="1"/>
  <c r="Q530" i="37"/>
  <c r="R530" i="37" s="1"/>
  <c r="U530" i="37"/>
  <c r="AB530" i="37"/>
  <c r="AE530" i="37"/>
  <c r="AF530" i="37"/>
  <c r="AG530" i="37" s="1"/>
  <c r="D531" i="37"/>
  <c r="AD531" i="37" s="1"/>
  <c r="M531" i="37"/>
  <c r="L531" i="37" s="1"/>
  <c r="Q531" i="37"/>
  <c r="U531" i="37"/>
  <c r="AB531" i="37"/>
  <c r="AE531" i="37"/>
  <c r="AF531" i="37"/>
  <c r="AG531" i="37" s="1"/>
  <c r="D532" i="37"/>
  <c r="AD532" i="37" s="1"/>
  <c r="M532" i="37"/>
  <c r="L532" i="37" s="1"/>
  <c r="Q532" i="37"/>
  <c r="U532" i="37"/>
  <c r="AB532" i="37"/>
  <c r="AE532" i="37"/>
  <c r="AF532" i="37"/>
  <c r="AG532" i="37" s="1"/>
  <c r="D533" i="37"/>
  <c r="AD533" i="37" s="1"/>
  <c r="M533" i="37"/>
  <c r="L533" i="37" s="1"/>
  <c r="Q533" i="37"/>
  <c r="U533" i="37"/>
  <c r="AB533" i="37"/>
  <c r="AE533" i="37"/>
  <c r="AF533" i="37"/>
  <c r="AG533" i="37" s="1"/>
  <c r="D534" i="37"/>
  <c r="AD534" i="37" s="1"/>
  <c r="M534" i="37"/>
  <c r="L534" i="37" s="1"/>
  <c r="Q534" i="37"/>
  <c r="X534" i="37" s="1"/>
  <c r="Y534" i="37" s="1"/>
  <c r="U534" i="37"/>
  <c r="AB534" i="37"/>
  <c r="AE534" i="37"/>
  <c r="AF534" i="37"/>
  <c r="AG534" i="37" s="1"/>
  <c r="D535" i="37"/>
  <c r="AD535" i="37" s="1"/>
  <c r="M535" i="37"/>
  <c r="L535" i="37" s="1"/>
  <c r="Q535" i="37"/>
  <c r="R535" i="37" s="1"/>
  <c r="U535" i="37"/>
  <c r="AB535" i="37"/>
  <c r="AE535" i="37"/>
  <c r="AF535" i="37"/>
  <c r="AG535" i="37" s="1"/>
  <c r="D536" i="37"/>
  <c r="AD536" i="37" s="1"/>
  <c r="M536" i="37"/>
  <c r="L536" i="37" s="1"/>
  <c r="Q536" i="37"/>
  <c r="R536" i="37" s="1"/>
  <c r="U536" i="37"/>
  <c r="AB536" i="37"/>
  <c r="AE536" i="37"/>
  <c r="AF536" i="37"/>
  <c r="AG536" i="37" s="1"/>
  <c r="D537" i="37"/>
  <c r="AD537" i="37" s="1"/>
  <c r="M537" i="37"/>
  <c r="L537" i="37" s="1"/>
  <c r="Q537" i="37"/>
  <c r="X537" i="37" s="1"/>
  <c r="Y537" i="37" s="1"/>
  <c r="U537" i="37"/>
  <c r="AB537" i="37"/>
  <c r="AE537" i="37"/>
  <c r="AF537" i="37"/>
  <c r="AG537" i="37" s="1"/>
  <c r="D538" i="37"/>
  <c r="AD538" i="37" s="1"/>
  <c r="M538" i="37"/>
  <c r="L538" i="37" s="1"/>
  <c r="Q538" i="37"/>
  <c r="R538" i="37" s="1"/>
  <c r="U538" i="37"/>
  <c r="AB538" i="37"/>
  <c r="AE538" i="37"/>
  <c r="AF538" i="37"/>
  <c r="AG538" i="37" s="1"/>
  <c r="D539" i="37"/>
  <c r="AD539" i="37" s="1"/>
  <c r="M539" i="37"/>
  <c r="L539" i="37" s="1"/>
  <c r="Q539" i="37"/>
  <c r="U539" i="37"/>
  <c r="AB539" i="37"/>
  <c r="AE539" i="37"/>
  <c r="AF539" i="37"/>
  <c r="AG539" i="37" s="1"/>
  <c r="D540" i="37"/>
  <c r="AD540" i="37" s="1"/>
  <c r="M540" i="37"/>
  <c r="L540" i="37" s="1"/>
  <c r="Q540" i="37"/>
  <c r="R540" i="37" s="1"/>
  <c r="U540" i="37"/>
  <c r="AB540" i="37"/>
  <c r="AE540" i="37"/>
  <c r="AF540" i="37"/>
  <c r="AG540" i="37" s="1"/>
  <c r="D541" i="37"/>
  <c r="AD541" i="37" s="1"/>
  <c r="M541" i="37"/>
  <c r="L541" i="37" s="1"/>
  <c r="Q541" i="37"/>
  <c r="U541" i="37"/>
  <c r="AB541" i="37"/>
  <c r="AE541" i="37"/>
  <c r="AF541" i="37"/>
  <c r="AG541" i="37" s="1"/>
  <c r="D542" i="37"/>
  <c r="AD542" i="37" s="1"/>
  <c r="M542" i="37"/>
  <c r="L542" i="37" s="1"/>
  <c r="Q542" i="37"/>
  <c r="X542" i="37" s="1"/>
  <c r="Y542" i="37" s="1"/>
  <c r="U542" i="37"/>
  <c r="AB542" i="37"/>
  <c r="AE542" i="37"/>
  <c r="AF542" i="37"/>
  <c r="AG542" i="37" s="1"/>
  <c r="D543" i="37"/>
  <c r="AD543" i="37" s="1"/>
  <c r="M543" i="37"/>
  <c r="L543" i="37" s="1"/>
  <c r="Q543" i="37"/>
  <c r="R543" i="37" s="1"/>
  <c r="U543" i="37"/>
  <c r="AB543" i="37"/>
  <c r="AE543" i="37"/>
  <c r="AF543" i="37"/>
  <c r="AG543" i="37" s="1"/>
  <c r="D544" i="37"/>
  <c r="AD544" i="37" s="1"/>
  <c r="M544" i="37"/>
  <c r="L544" i="37" s="1"/>
  <c r="Q544" i="37"/>
  <c r="R544" i="37" s="1"/>
  <c r="U544" i="37"/>
  <c r="AB544" i="37"/>
  <c r="AE544" i="37"/>
  <c r="AF544" i="37"/>
  <c r="AG544" i="37" s="1"/>
  <c r="D545" i="37"/>
  <c r="AD545" i="37" s="1"/>
  <c r="M545" i="37"/>
  <c r="L545" i="37" s="1"/>
  <c r="Q545" i="37"/>
  <c r="X545" i="37" s="1"/>
  <c r="Y545" i="37" s="1"/>
  <c r="U545" i="37"/>
  <c r="AB545" i="37"/>
  <c r="AE545" i="37"/>
  <c r="AF545" i="37"/>
  <c r="AG545" i="37" s="1"/>
  <c r="D546" i="37"/>
  <c r="AD546" i="37" s="1"/>
  <c r="M546" i="37"/>
  <c r="L546" i="37" s="1"/>
  <c r="Q546" i="37"/>
  <c r="X546" i="37" s="1"/>
  <c r="Y546" i="37" s="1"/>
  <c r="U546" i="37"/>
  <c r="AB546" i="37"/>
  <c r="AE546" i="37"/>
  <c r="AF546" i="37"/>
  <c r="AG546" i="37" s="1"/>
  <c r="D547" i="37"/>
  <c r="AD547" i="37" s="1"/>
  <c r="M547" i="37"/>
  <c r="L547" i="37" s="1"/>
  <c r="Q547" i="37"/>
  <c r="U547" i="37"/>
  <c r="AB547" i="37"/>
  <c r="AE547" i="37"/>
  <c r="AF547" i="37"/>
  <c r="AG547" i="37" s="1"/>
  <c r="D548" i="37"/>
  <c r="AD548" i="37" s="1"/>
  <c r="M548" i="37"/>
  <c r="L548" i="37" s="1"/>
  <c r="Q548" i="37"/>
  <c r="R548" i="37" s="1"/>
  <c r="U548" i="37"/>
  <c r="AB548" i="37"/>
  <c r="AE548" i="37"/>
  <c r="AF548" i="37"/>
  <c r="AG548" i="37" s="1"/>
  <c r="D549" i="37"/>
  <c r="AD549" i="37" s="1"/>
  <c r="M549" i="37"/>
  <c r="L549" i="37" s="1"/>
  <c r="Q549" i="37"/>
  <c r="R549" i="37" s="1"/>
  <c r="U549" i="37"/>
  <c r="AB549" i="37"/>
  <c r="AE549" i="37"/>
  <c r="AF549" i="37"/>
  <c r="AG549" i="37" s="1"/>
  <c r="D550" i="37"/>
  <c r="AD550" i="37" s="1"/>
  <c r="M550" i="37"/>
  <c r="L550" i="37" s="1"/>
  <c r="Q550" i="37"/>
  <c r="X550" i="37" s="1"/>
  <c r="Y550" i="37" s="1"/>
  <c r="U550" i="37"/>
  <c r="AB550" i="37"/>
  <c r="AE550" i="37"/>
  <c r="AF550" i="37"/>
  <c r="AG550" i="37" s="1"/>
  <c r="D551" i="37"/>
  <c r="AD551" i="37" s="1"/>
  <c r="M551" i="37"/>
  <c r="L551" i="37" s="1"/>
  <c r="Q551" i="37"/>
  <c r="R551" i="37" s="1"/>
  <c r="U551" i="37"/>
  <c r="AB551" i="37"/>
  <c r="AE551" i="37"/>
  <c r="AF551" i="37"/>
  <c r="AG551" i="37" s="1"/>
  <c r="D552" i="37"/>
  <c r="AD552" i="37" s="1"/>
  <c r="M552" i="37"/>
  <c r="L552" i="37" s="1"/>
  <c r="Q552" i="37"/>
  <c r="R552" i="37" s="1"/>
  <c r="U552" i="37"/>
  <c r="AB552" i="37"/>
  <c r="AE552" i="37"/>
  <c r="AF552" i="37"/>
  <c r="AG552" i="37" s="1"/>
  <c r="D553" i="37"/>
  <c r="AD553" i="37" s="1"/>
  <c r="M553" i="37"/>
  <c r="L553" i="37" s="1"/>
  <c r="Q553" i="37"/>
  <c r="U553" i="37"/>
  <c r="AB553" i="37"/>
  <c r="AE553" i="37"/>
  <c r="AF553" i="37"/>
  <c r="AG553" i="37" s="1"/>
  <c r="D554" i="37"/>
  <c r="AD554" i="37" s="1"/>
  <c r="M554" i="37"/>
  <c r="L554" i="37" s="1"/>
  <c r="Q554" i="37"/>
  <c r="X554" i="37" s="1"/>
  <c r="Y554" i="37" s="1"/>
  <c r="U554" i="37"/>
  <c r="AB554" i="37"/>
  <c r="AE554" i="37"/>
  <c r="AF554" i="37"/>
  <c r="AG554" i="37" s="1"/>
  <c r="D555" i="37"/>
  <c r="AD555" i="37" s="1"/>
  <c r="M555" i="37"/>
  <c r="L555" i="37" s="1"/>
  <c r="Q555" i="37"/>
  <c r="X555" i="37" s="1"/>
  <c r="Y555" i="37" s="1"/>
  <c r="U555" i="37"/>
  <c r="AB555" i="37"/>
  <c r="AE555" i="37"/>
  <c r="AF555" i="37"/>
  <c r="AG555" i="37" s="1"/>
  <c r="D556" i="37"/>
  <c r="AD556" i="37" s="1"/>
  <c r="M556" i="37"/>
  <c r="L556" i="37" s="1"/>
  <c r="Q556" i="37"/>
  <c r="R556" i="37" s="1"/>
  <c r="U556" i="37"/>
  <c r="AB556" i="37"/>
  <c r="AE556" i="37"/>
  <c r="AF556" i="37"/>
  <c r="AG556" i="37" s="1"/>
  <c r="D557" i="37"/>
  <c r="AD557" i="37" s="1"/>
  <c r="M557" i="37"/>
  <c r="L557" i="37" s="1"/>
  <c r="Q557" i="37"/>
  <c r="R557" i="37" s="1"/>
  <c r="U557" i="37"/>
  <c r="AB557" i="37"/>
  <c r="AE557" i="37"/>
  <c r="AF557" i="37"/>
  <c r="AG557" i="37" s="1"/>
  <c r="D558" i="37"/>
  <c r="AD558" i="37" s="1"/>
  <c r="M558" i="37"/>
  <c r="L558" i="37" s="1"/>
  <c r="Q558" i="37"/>
  <c r="R558" i="37" s="1"/>
  <c r="U558" i="37"/>
  <c r="AB558" i="37"/>
  <c r="AE558" i="37"/>
  <c r="AF558" i="37"/>
  <c r="AG558" i="37" s="1"/>
  <c r="D559" i="37"/>
  <c r="AD559" i="37" s="1"/>
  <c r="M559" i="37"/>
  <c r="L559" i="37" s="1"/>
  <c r="Q559" i="37"/>
  <c r="U559" i="37"/>
  <c r="AB559" i="37"/>
  <c r="AE559" i="37"/>
  <c r="AF559" i="37"/>
  <c r="AG559" i="37" s="1"/>
  <c r="D560" i="37"/>
  <c r="AD560" i="37" s="1"/>
  <c r="M560" i="37"/>
  <c r="L560" i="37" s="1"/>
  <c r="Q560" i="37"/>
  <c r="U560" i="37"/>
  <c r="AB560" i="37"/>
  <c r="AE560" i="37"/>
  <c r="AF560" i="37"/>
  <c r="AG560" i="37" s="1"/>
  <c r="D561" i="37"/>
  <c r="AD561" i="37" s="1"/>
  <c r="M561" i="37"/>
  <c r="L561" i="37" s="1"/>
  <c r="Q561" i="37"/>
  <c r="R561" i="37" s="1"/>
  <c r="U561" i="37"/>
  <c r="AB561" i="37"/>
  <c r="AE561" i="37"/>
  <c r="AF561" i="37"/>
  <c r="AG561" i="37" s="1"/>
  <c r="D562" i="37"/>
  <c r="AD562" i="37" s="1"/>
  <c r="M562" i="37"/>
  <c r="L562" i="37" s="1"/>
  <c r="Q562" i="37"/>
  <c r="X562" i="37" s="1"/>
  <c r="Y562" i="37" s="1"/>
  <c r="U562" i="37"/>
  <c r="AB562" i="37"/>
  <c r="AE562" i="37"/>
  <c r="AF562" i="37"/>
  <c r="AG562" i="37" s="1"/>
  <c r="D563" i="37"/>
  <c r="AD563" i="37" s="1"/>
  <c r="M563" i="37"/>
  <c r="L563" i="37" s="1"/>
  <c r="Q563" i="37"/>
  <c r="R563" i="37" s="1"/>
  <c r="U563" i="37"/>
  <c r="AB563" i="37"/>
  <c r="AE563" i="37"/>
  <c r="AF563" i="37"/>
  <c r="AG563" i="37" s="1"/>
  <c r="D564" i="37"/>
  <c r="AD564" i="37" s="1"/>
  <c r="M564" i="37"/>
  <c r="L564" i="37" s="1"/>
  <c r="Q564" i="37"/>
  <c r="R564" i="37" s="1"/>
  <c r="U564" i="37"/>
  <c r="AB564" i="37"/>
  <c r="AE564" i="37"/>
  <c r="AF564" i="37"/>
  <c r="AG564" i="37" s="1"/>
  <c r="D565" i="37"/>
  <c r="AD565" i="37" s="1"/>
  <c r="M565" i="37"/>
  <c r="L565" i="37" s="1"/>
  <c r="Q565" i="37"/>
  <c r="R565" i="37" s="1"/>
  <c r="U565" i="37"/>
  <c r="AB565" i="37"/>
  <c r="AE565" i="37"/>
  <c r="AF565" i="37"/>
  <c r="AG565" i="37" s="1"/>
  <c r="D566" i="37"/>
  <c r="AD566" i="37" s="1"/>
  <c r="M566" i="37"/>
  <c r="L566" i="37" s="1"/>
  <c r="Q566" i="37"/>
  <c r="R566" i="37" s="1"/>
  <c r="U566" i="37"/>
  <c r="AB566" i="37"/>
  <c r="AE566" i="37"/>
  <c r="AF566" i="37"/>
  <c r="AG566" i="37" s="1"/>
  <c r="D567" i="37"/>
  <c r="AD567" i="37" s="1"/>
  <c r="M567" i="37"/>
  <c r="L567" i="37" s="1"/>
  <c r="Q567" i="37"/>
  <c r="R567" i="37" s="1"/>
  <c r="U567" i="37"/>
  <c r="AB567" i="37"/>
  <c r="AE567" i="37"/>
  <c r="AF567" i="37"/>
  <c r="AG567" i="37" s="1"/>
  <c r="D568" i="37"/>
  <c r="AD568" i="37" s="1"/>
  <c r="M568" i="37"/>
  <c r="L568" i="37" s="1"/>
  <c r="Q568" i="37"/>
  <c r="X568" i="37" s="1"/>
  <c r="Y568" i="37" s="1"/>
  <c r="U568" i="37"/>
  <c r="AB568" i="37"/>
  <c r="AE568" i="37"/>
  <c r="AF568" i="37"/>
  <c r="AG568" i="37" s="1"/>
  <c r="D569" i="37"/>
  <c r="AD569" i="37" s="1"/>
  <c r="M569" i="37"/>
  <c r="L569" i="37" s="1"/>
  <c r="Q569" i="37"/>
  <c r="R569" i="37" s="1"/>
  <c r="U569" i="37"/>
  <c r="AB569" i="37"/>
  <c r="AE569" i="37"/>
  <c r="AF569" i="37"/>
  <c r="AG569" i="37" s="1"/>
  <c r="D570" i="37"/>
  <c r="AD570" i="37" s="1"/>
  <c r="M570" i="37"/>
  <c r="L570" i="37" s="1"/>
  <c r="Q570" i="37"/>
  <c r="R570" i="37" s="1"/>
  <c r="U570" i="37"/>
  <c r="AB570" i="37"/>
  <c r="AE570" i="37"/>
  <c r="AF570" i="37"/>
  <c r="AG570" i="37" s="1"/>
  <c r="D571" i="37"/>
  <c r="AD571" i="37" s="1"/>
  <c r="M571" i="37"/>
  <c r="L571" i="37" s="1"/>
  <c r="Q571" i="37"/>
  <c r="R571" i="37" s="1"/>
  <c r="U571" i="37"/>
  <c r="AB571" i="37"/>
  <c r="AE571" i="37"/>
  <c r="AF571" i="37"/>
  <c r="AG571" i="37" s="1"/>
  <c r="D572" i="37"/>
  <c r="AD572" i="37" s="1"/>
  <c r="M572" i="37"/>
  <c r="L572" i="37" s="1"/>
  <c r="Q572" i="37"/>
  <c r="U572" i="37"/>
  <c r="AB572" i="37"/>
  <c r="AE572" i="37"/>
  <c r="AF572" i="37"/>
  <c r="AG572" i="37" s="1"/>
  <c r="D573" i="37"/>
  <c r="AD573" i="37" s="1"/>
  <c r="M573" i="37"/>
  <c r="L573" i="37" s="1"/>
  <c r="Q573" i="37"/>
  <c r="R573" i="37" s="1"/>
  <c r="U573" i="37"/>
  <c r="AB573" i="37"/>
  <c r="AE573" i="37"/>
  <c r="AF573" i="37"/>
  <c r="AG573" i="37" s="1"/>
  <c r="D574" i="37"/>
  <c r="AD574" i="37" s="1"/>
  <c r="M574" i="37"/>
  <c r="L574" i="37" s="1"/>
  <c r="Q574" i="37"/>
  <c r="R574" i="37" s="1"/>
  <c r="U574" i="37"/>
  <c r="AB574" i="37"/>
  <c r="AE574" i="37"/>
  <c r="AF574" i="37"/>
  <c r="AG574" i="37" s="1"/>
  <c r="D575" i="37"/>
  <c r="AD575" i="37" s="1"/>
  <c r="M575" i="37"/>
  <c r="L575" i="37" s="1"/>
  <c r="Q575" i="37"/>
  <c r="U575" i="37"/>
  <c r="AB575" i="37"/>
  <c r="AE575" i="37"/>
  <c r="AF575" i="37"/>
  <c r="AG575" i="37" s="1"/>
  <c r="D576" i="37"/>
  <c r="AD576" i="37" s="1"/>
  <c r="M576" i="37"/>
  <c r="L576" i="37" s="1"/>
  <c r="Q576" i="37"/>
  <c r="R576" i="37" s="1"/>
  <c r="U576" i="37"/>
  <c r="AB576" i="37"/>
  <c r="AE576" i="37"/>
  <c r="AF576" i="37"/>
  <c r="AG576" i="37" s="1"/>
  <c r="D577" i="37"/>
  <c r="AD577" i="37" s="1"/>
  <c r="M577" i="37"/>
  <c r="L577" i="37" s="1"/>
  <c r="Q577" i="37"/>
  <c r="R577" i="37" s="1"/>
  <c r="U577" i="37"/>
  <c r="AB577" i="37"/>
  <c r="AE577" i="37"/>
  <c r="AF577" i="37"/>
  <c r="AG577" i="37" s="1"/>
  <c r="D578" i="37"/>
  <c r="AD578" i="37" s="1"/>
  <c r="M578" i="37"/>
  <c r="L578" i="37" s="1"/>
  <c r="Q578" i="37"/>
  <c r="R578" i="37" s="1"/>
  <c r="U578" i="37"/>
  <c r="AB578" i="37"/>
  <c r="AE578" i="37"/>
  <c r="AF578" i="37"/>
  <c r="AG578" i="37" s="1"/>
  <c r="D579" i="37"/>
  <c r="AD579" i="37" s="1"/>
  <c r="M579" i="37"/>
  <c r="L579" i="37" s="1"/>
  <c r="Q579" i="37"/>
  <c r="X579" i="37" s="1"/>
  <c r="Y579" i="37" s="1"/>
  <c r="U579" i="37"/>
  <c r="AB579" i="37"/>
  <c r="AE579" i="37"/>
  <c r="AF579" i="37"/>
  <c r="AG579" i="37" s="1"/>
  <c r="D580" i="37"/>
  <c r="AD580" i="37" s="1"/>
  <c r="M580" i="37"/>
  <c r="L580" i="37" s="1"/>
  <c r="Q580" i="37"/>
  <c r="U580" i="37"/>
  <c r="AB580" i="37"/>
  <c r="AE580" i="37"/>
  <c r="AF580" i="37"/>
  <c r="AG580" i="37" s="1"/>
  <c r="D581" i="37"/>
  <c r="AD581" i="37" s="1"/>
  <c r="M581" i="37"/>
  <c r="L581" i="37" s="1"/>
  <c r="Q581" i="37"/>
  <c r="R581" i="37" s="1"/>
  <c r="U581" i="37"/>
  <c r="AB581" i="37"/>
  <c r="AE581" i="37"/>
  <c r="AF581" i="37"/>
  <c r="AG581" i="37" s="1"/>
  <c r="D582" i="37"/>
  <c r="AD582" i="37" s="1"/>
  <c r="M582" i="37"/>
  <c r="L582" i="37" s="1"/>
  <c r="Q582" i="37"/>
  <c r="R582" i="37" s="1"/>
  <c r="U582" i="37"/>
  <c r="AB582" i="37"/>
  <c r="AE582" i="37"/>
  <c r="AF582" i="37"/>
  <c r="AG582" i="37" s="1"/>
  <c r="D583" i="37"/>
  <c r="AD583" i="37" s="1"/>
  <c r="M583" i="37"/>
  <c r="L583" i="37" s="1"/>
  <c r="Q583" i="37"/>
  <c r="X583" i="37" s="1"/>
  <c r="Y583" i="37" s="1"/>
  <c r="U583" i="37"/>
  <c r="AB583" i="37"/>
  <c r="AE583" i="37"/>
  <c r="AF583" i="37"/>
  <c r="AG583" i="37" s="1"/>
  <c r="D584" i="37"/>
  <c r="AD584" i="37" s="1"/>
  <c r="M584" i="37"/>
  <c r="L584" i="37" s="1"/>
  <c r="Q584" i="37"/>
  <c r="U584" i="37"/>
  <c r="AB584" i="37"/>
  <c r="AE584" i="37"/>
  <c r="AF584" i="37"/>
  <c r="AG584" i="37" s="1"/>
  <c r="D585" i="37"/>
  <c r="AD585" i="37" s="1"/>
  <c r="M585" i="37"/>
  <c r="L585" i="37" s="1"/>
  <c r="Q585" i="37"/>
  <c r="R585" i="37" s="1"/>
  <c r="U585" i="37"/>
  <c r="AB585" i="37"/>
  <c r="AE585" i="37"/>
  <c r="AF585" i="37"/>
  <c r="AG585" i="37" s="1"/>
  <c r="D586" i="37"/>
  <c r="AD586" i="37" s="1"/>
  <c r="M586" i="37"/>
  <c r="L586" i="37" s="1"/>
  <c r="Q586" i="37"/>
  <c r="R586" i="37" s="1"/>
  <c r="U586" i="37"/>
  <c r="AB586" i="37"/>
  <c r="AE586" i="37"/>
  <c r="AF586" i="37"/>
  <c r="AG586" i="37" s="1"/>
  <c r="D587" i="37"/>
  <c r="AD587" i="37" s="1"/>
  <c r="M587" i="37"/>
  <c r="L587" i="37" s="1"/>
  <c r="Q587" i="37"/>
  <c r="X587" i="37" s="1"/>
  <c r="Y587" i="37" s="1"/>
  <c r="U587" i="37"/>
  <c r="AB587" i="37"/>
  <c r="AE587" i="37"/>
  <c r="AF587" i="37"/>
  <c r="AG587" i="37" s="1"/>
  <c r="D588" i="37"/>
  <c r="AD588" i="37" s="1"/>
  <c r="M588" i="37"/>
  <c r="L588" i="37" s="1"/>
  <c r="Q588" i="37"/>
  <c r="R588" i="37" s="1"/>
  <c r="U588" i="37"/>
  <c r="AB588" i="37"/>
  <c r="AE588" i="37"/>
  <c r="AF588" i="37"/>
  <c r="AG588" i="37" s="1"/>
  <c r="D589" i="37"/>
  <c r="AD589" i="37" s="1"/>
  <c r="M589" i="37"/>
  <c r="L589" i="37" s="1"/>
  <c r="Q589" i="37"/>
  <c r="R589" i="37" s="1"/>
  <c r="U589" i="37"/>
  <c r="AB589" i="37"/>
  <c r="AE589" i="37"/>
  <c r="AF589" i="37"/>
  <c r="AG589" i="37" s="1"/>
  <c r="D590" i="37"/>
  <c r="AD590" i="37" s="1"/>
  <c r="M590" i="37"/>
  <c r="L590" i="37" s="1"/>
  <c r="Q590" i="37"/>
  <c r="R590" i="37" s="1"/>
  <c r="U590" i="37"/>
  <c r="AB590" i="37"/>
  <c r="AE590" i="37"/>
  <c r="AF590" i="37"/>
  <c r="AG590" i="37" s="1"/>
  <c r="D591" i="37"/>
  <c r="AD591" i="37" s="1"/>
  <c r="M591" i="37"/>
  <c r="L591" i="37" s="1"/>
  <c r="Q591" i="37"/>
  <c r="X591" i="37" s="1"/>
  <c r="Y591" i="37" s="1"/>
  <c r="U591" i="37"/>
  <c r="AB591" i="37"/>
  <c r="AE591" i="37"/>
  <c r="AF591" i="37"/>
  <c r="AG591" i="37" s="1"/>
  <c r="D592" i="37"/>
  <c r="AD592" i="37" s="1"/>
  <c r="M592" i="37"/>
  <c r="L592" i="37" s="1"/>
  <c r="Q592" i="37"/>
  <c r="R592" i="37" s="1"/>
  <c r="U592" i="37"/>
  <c r="AB592" i="37"/>
  <c r="AE592" i="37"/>
  <c r="AF592" i="37"/>
  <c r="AG592" i="37" s="1"/>
  <c r="D593" i="37"/>
  <c r="AD593" i="37" s="1"/>
  <c r="M593" i="37"/>
  <c r="L593" i="37" s="1"/>
  <c r="Q593" i="37"/>
  <c r="R593" i="37" s="1"/>
  <c r="U593" i="37"/>
  <c r="AB593" i="37"/>
  <c r="AE593" i="37"/>
  <c r="AF593" i="37"/>
  <c r="AG593" i="37" s="1"/>
  <c r="D594" i="37"/>
  <c r="AD594" i="37" s="1"/>
  <c r="M594" i="37"/>
  <c r="L594" i="37" s="1"/>
  <c r="Q594" i="37"/>
  <c r="U594" i="37"/>
  <c r="AB594" i="37"/>
  <c r="AE594" i="37"/>
  <c r="AF594" i="37"/>
  <c r="AG594" i="37" s="1"/>
  <c r="D595" i="37"/>
  <c r="AD595" i="37" s="1"/>
  <c r="M595" i="37"/>
  <c r="L595" i="37" s="1"/>
  <c r="Q595" i="37"/>
  <c r="X595" i="37" s="1"/>
  <c r="Y595" i="37" s="1"/>
  <c r="U595" i="37"/>
  <c r="AB595" i="37"/>
  <c r="AE595" i="37"/>
  <c r="AF595" i="37"/>
  <c r="AG595" i="37" s="1"/>
  <c r="D596" i="37"/>
  <c r="AD596" i="37" s="1"/>
  <c r="M596" i="37"/>
  <c r="L596" i="37" s="1"/>
  <c r="Q596" i="37"/>
  <c r="R596" i="37" s="1"/>
  <c r="U596" i="37"/>
  <c r="AB596" i="37"/>
  <c r="AE596" i="37"/>
  <c r="AF596" i="37"/>
  <c r="AG596" i="37" s="1"/>
  <c r="D597" i="37"/>
  <c r="AD597" i="37" s="1"/>
  <c r="M597" i="37"/>
  <c r="L597" i="37" s="1"/>
  <c r="Q597" i="37"/>
  <c r="R597" i="37" s="1"/>
  <c r="U597" i="37"/>
  <c r="AB597" i="37"/>
  <c r="AE597" i="37"/>
  <c r="AF597" i="37"/>
  <c r="AG597" i="37" s="1"/>
  <c r="D598" i="37"/>
  <c r="AD598" i="37" s="1"/>
  <c r="M598" i="37"/>
  <c r="L598" i="37" s="1"/>
  <c r="Q598" i="37"/>
  <c r="R598" i="37" s="1"/>
  <c r="U598" i="37"/>
  <c r="AB598" i="37"/>
  <c r="AE598" i="37"/>
  <c r="AF598" i="37"/>
  <c r="AG598" i="37" s="1"/>
  <c r="D599" i="37"/>
  <c r="AD599" i="37" s="1"/>
  <c r="M599" i="37"/>
  <c r="L599" i="37" s="1"/>
  <c r="Q599" i="37"/>
  <c r="R599" i="37" s="1"/>
  <c r="U599" i="37"/>
  <c r="AB599" i="37"/>
  <c r="AE599" i="37"/>
  <c r="AF599" i="37"/>
  <c r="AG599" i="37" s="1"/>
  <c r="D600" i="37"/>
  <c r="AD600" i="37" s="1"/>
  <c r="M600" i="37"/>
  <c r="L600" i="37" s="1"/>
  <c r="Q600" i="37"/>
  <c r="R600" i="37" s="1"/>
  <c r="U600" i="37"/>
  <c r="AB600" i="37"/>
  <c r="AE600" i="37"/>
  <c r="AF600" i="37"/>
  <c r="AG600" i="37" s="1"/>
  <c r="D601" i="37"/>
  <c r="AD601" i="37" s="1"/>
  <c r="M601" i="37"/>
  <c r="L601" i="37" s="1"/>
  <c r="Q601" i="37"/>
  <c r="X601" i="37" s="1"/>
  <c r="Y601" i="37" s="1"/>
  <c r="U601" i="37"/>
  <c r="AB601" i="37"/>
  <c r="AE601" i="37"/>
  <c r="AF601" i="37"/>
  <c r="AG601" i="37" s="1"/>
  <c r="D602" i="37"/>
  <c r="AD602" i="37" s="1"/>
  <c r="M602" i="37"/>
  <c r="L602" i="37" s="1"/>
  <c r="Q602" i="37"/>
  <c r="U602" i="37"/>
  <c r="AB602" i="37"/>
  <c r="AE602" i="37"/>
  <c r="AF602" i="37"/>
  <c r="AG602" i="37" s="1"/>
  <c r="D603" i="37"/>
  <c r="AD603" i="37" s="1"/>
  <c r="M603" i="37"/>
  <c r="L603" i="37" s="1"/>
  <c r="Q603" i="37"/>
  <c r="R603" i="37" s="1"/>
  <c r="U603" i="37"/>
  <c r="AB603" i="37"/>
  <c r="AE603" i="37"/>
  <c r="AF603" i="37"/>
  <c r="AG603" i="37" s="1"/>
  <c r="D604" i="37"/>
  <c r="AD604" i="37" s="1"/>
  <c r="M604" i="37"/>
  <c r="L604" i="37" s="1"/>
  <c r="Q604" i="37"/>
  <c r="X604" i="37" s="1"/>
  <c r="Y604" i="37" s="1"/>
  <c r="U604" i="37"/>
  <c r="AB604" i="37"/>
  <c r="AE604" i="37"/>
  <c r="AF604" i="37"/>
  <c r="AG604" i="37" s="1"/>
  <c r="D605" i="37"/>
  <c r="AD605" i="37" s="1"/>
  <c r="M605" i="37"/>
  <c r="L605" i="37" s="1"/>
  <c r="Q605" i="37"/>
  <c r="R605" i="37" s="1"/>
  <c r="U605" i="37"/>
  <c r="AB605" i="37"/>
  <c r="AE605" i="37"/>
  <c r="AF605" i="37"/>
  <c r="AG605" i="37" s="1"/>
  <c r="D606" i="37"/>
  <c r="AD606" i="37" s="1"/>
  <c r="M606" i="37"/>
  <c r="L606" i="37" s="1"/>
  <c r="Q606" i="37"/>
  <c r="R606" i="37" s="1"/>
  <c r="U606" i="37"/>
  <c r="AB606" i="37"/>
  <c r="AE606" i="37"/>
  <c r="AF606" i="37"/>
  <c r="AG606" i="37" s="1"/>
  <c r="D607" i="37"/>
  <c r="AD607" i="37" s="1"/>
  <c r="M607" i="37"/>
  <c r="L607" i="37" s="1"/>
  <c r="Q607" i="37"/>
  <c r="R607" i="37" s="1"/>
  <c r="U607" i="37"/>
  <c r="AB607" i="37"/>
  <c r="AE607" i="37"/>
  <c r="AF607" i="37"/>
  <c r="AG607" i="37" s="1"/>
  <c r="D608" i="37"/>
  <c r="AD608" i="37" s="1"/>
  <c r="M608" i="37"/>
  <c r="L608" i="37" s="1"/>
  <c r="Q608" i="37"/>
  <c r="R608" i="37" s="1"/>
  <c r="U608" i="37"/>
  <c r="AB608" i="37"/>
  <c r="AE608" i="37"/>
  <c r="AF608" i="37"/>
  <c r="AG608" i="37" s="1"/>
  <c r="D609" i="37"/>
  <c r="AD609" i="37" s="1"/>
  <c r="M609" i="37"/>
  <c r="L609" i="37" s="1"/>
  <c r="Q609" i="37"/>
  <c r="R609" i="37" s="1"/>
  <c r="U609" i="37"/>
  <c r="AB609" i="37"/>
  <c r="AE609" i="37"/>
  <c r="AF609" i="37"/>
  <c r="AG609" i="37" s="1"/>
  <c r="D610" i="37"/>
  <c r="AD610" i="37" s="1"/>
  <c r="M610" i="37"/>
  <c r="L610" i="37" s="1"/>
  <c r="Q610" i="37"/>
  <c r="U610" i="37"/>
  <c r="AB610" i="37"/>
  <c r="AE610" i="37"/>
  <c r="AF610" i="37"/>
  <c r="AG610" i="37" s="1"/>
  <c r="D611" i="37"/>
  <c r="AD611" i="37" s="1"/>
  <c r="M611" i="37"/>
  <c r="L611" i="37" s="1"/>
  <c r="Q611" i="37"/>
  <c r="U611" i="37"/>
  <c r="AB611" i="37"/>
  <c r="AE611" i="37"/>
  <c r="AF611" i="37"/>
  <c r="AG611" i="37" s="1"/>
  <c r="D612" i="37"/>
  <c r="AD612" i="37" s="1"/>
  <c r="M612" i="37"/>
  <c r="L612" i="37" s="1"/>
  <c r="Q612" i="37"/>
  <c r="X612" i="37" s="1"/>
  <c r="Y612" i="37" s="1"/>
  <c r="U612" i="37"/>
  <c r="AB612" i="37"/>
  <c r="AE612" i="37"/>
  <c r="AF612" i="37"/>
  <c r="AG612" i="37" s="1"/>
  <c r="D613" i="37"/>
  <c r="AD613" i="37" s="1"/>
  <c r="M613" i="37"/>
  <c r="L613" i="37" s="1"/>
  <c r="Q613" i="37"/>
  <c r="U613" i="37"/>
  <c r="AB613" i="37"/>
  <c r="AE613" i="37"/>
  <c r="AF613" i="37"/>
  <c r="AG613" i="37" s="1"/>
  <c r="D614" i="37"/>
  <c r="AD614" i="37" s="1"/>
  <c r="M614" i="37"/>
  <c r="L614" i="37" s="1"/>
  <c r="Q614" i="37"/>
  <c r="U614" i="37"/>
  <c r="AB614" i="37"/>
  <c r="AE614" i="37"/>
  <c r="AF614" i="37"/>
  <c r="AG614" i="37" s="1"/>
  <c r="D615" i="37"/>
  <c r="AD615" i="37" s="1"/>
  <c r="M615" i="37"/>
  <c r="L615" i="37" s="1"/>
  <c r="Q615" i="37"/>
  <c r="R615" i="37" s="1"/>
  <c r="U615" i="37"/>
  <c r="AB615" i="37"/>
  <c r="AE615" i="37"/>
  <c r="AF615" i="37"/>
  <c r="AG615" i="37" s="1"/>
  <c r="D616" i="37"/>
  <c r="AD616" i="37" s="1"/>
  <c r="M616" i="37"/>
  <c r="L616" i="37" s="1"/>
  <c r="Q616" i="37"/>
  <c r="U616" i="37"/>
  <c r="AB616" i="37"/>
  <c r="AE616" i="37"/>
  <c r="AF616" i="37"/>
  <c r="AG616" i="37" s="1"/>
  <c r="D617" i="37"/>
  <c r="AD617" i="37" s="1"/>
  <c r="M617" i="37"/>
  <c r="L617" i="37" s="1"/>
  <c r="Q617" i="37"/>
  <c r="R617" i="37" s="1"/>
  <c r="U617" i="37"/>
  <c r="AB617" i="37"/>
  <c r="AE617" i="37"/>
  <c r="AF617" i="37"/>
  <c r="AG617" i="37" s="1"/>
  <c r="D618" i="37"/>
  <c r="AD618" i="37" s="1"/>
  <c r="M618" i="37"/>
  <c r="L618" i="37" s="1"/>
  <c r="Q618" i="37"/>
  <c r="U618" i="37"/>
  <c r="AB618" i="37"/>
  <c r="AE618" i="37"/>
  <c r="AF618" i="37"/>
  <c r="AG618" i="37" s="1"/>
  <c r="D619" i="37"/>
  <c r="AD619" i="37" s="1"/>
  <c r="M619" i="37"/>
  <c r="L619" i="37" s="1"/>
  <c r="Q619" i="37"/>
  <c r="R619" i="37" s="1"/>
  <c r="U619" i="37"/>
  <c r="AB619" i="37"/>
  <c r="AE619" i="37"/>
  <c r="AF619" i="37"/>
  <c r="AG619" i="37" s="1"/>
  <c r="D620" i="37"/>
  <c r="AD620" i="37" s="1"/>
  <c r="M620" i="37"/>
  <c r="L620" i="37" s="1"/>
  <c r="Q620" i="37"/>
  <c r="X620" i="37" s="1"/>
  <c r="Y620" i="37" s="1"/>
  <c r="U620" i="37"/>
  <c r="AB620" i="37"/>
  <c r="AE620" i="37"/>
  <c r="AF620" i="37"/>
  <c r="AG620" i="37" s="1"/>
  <c r="D621" i="37"/>
  <c r="AD621" i="37" s="1"/>
  <c r="M621" i="37"/>
  <c r="L621" i="37" s="1"/>
  <c r="Q621" i="37"/>
  <c r="X621" i="37" s="1"/>
  <c r="Y621" i="37" s="1"/>
  <c r="U621" i="37"/>
  <c r="AB621" i="37"/>
  <c r="AE621" i="37"/>
  <c r="AF621" i="37"/>
  <c r="AG621" i="37" s="1"/>
  <c r="D622" i="37"/>
  <c r="AD622" i="37" s="1"/>
  <c r="M622" i="37"/>
  <c r="L622" i="37" s="1"/>
  <c r="Q622" i="37"/>
  <c r="U622" i="37"/>
  <c r="AB622" i="37"/>
  <c r="AE622" i="37"/>
  <c r="AF622" i="37"/>
  <c r="AG622" i="37" s="1"/>
  <c r="D623" i="37"/>
  <c r="AD623" i="37" s="1"/>
  <c r="M623" i="37"/>
  <c r="L623" i="37" s="1"/>
  <c r="Q623" i="37"/>
  <c r="R623" i="37" s="1"/>
  <c r="U623" i="37"/>
  <c r="AB623" i="37"/>
  <c r="AE623" i="37"/>
  <c r="AF623" i="37"/>
  <c r="AG623" i="37" s="1"/>
  <c r="D624" i="37"/>
  <c r="AD624" i="37" s="1"/>
  <c r="M624" i="37"/>
  <c r="L624" i="37" s="1"/>
  <c r="Q624" i="37"/>
  <c r="R624" i="37" s="1"/>
  <c r="U624" i="37"/>
  <c r="AB624" i="37"/>
  <c r="AE624" i="37"/>
  <c r="AF624" i="37"/>
  <c r="AG624" i="37" s="1"/>
  <c r="D625" i="37"/>
  <c r="AD625" i="37" s="1"/>
  <c r="M625" i="37"/>
  <c r="L625" i="37" s="1"/>
  <c r="Q625" i="37"/>
  <c r="R625" i="37" s="1"/>
  <c r="U625" i="37"/>
  <c r="AB625" i="37"/>
  <c r="AE625" i="37"/>
  <c r="AF625" i="37"/>
  <c r="AG625" i="37" s="1"/>
  <c r="D626" i="37"/>
  <c r="AD626" i="37" s="1"/>
  <c r="M626" i="37"/>
  <c r="L626" i="37" s="1"/>
  <c r="Q626" i="37"/>
  <c r="R626" i="37" s="1"/>
  <c r="U626" i="37"/>
  <c r="AB626" i="37"/>
  <c r="AE626" i="37"/>
  <c r="AF626" i="37"/>
  <c r="AG626" i="37" s="1"/>
  <c r="D627" i="37"/>
  <c r="AD627" i="37" s="1"/>
  <c r="M627" i="37"/>
  <c r="L627" i="37" s="1"/>
  <c r="Q627" i="37"/>
  <c r="R627" i="37" s="1"/>
  <c r="U627" i="37"/>
  <c r="AB627" i="37"/>
  <c r="AE627" i="37"/>
  <c r="AF627" i="37"/>
  <c r="AG627" i="37" s="1"/>
  <c r="D628" i="37"/>
  <c r="AD628" i="37" s="1"/>
  <c r="M628" i="37"/>
  <c r="L628" i="37" s="1"/>
  <c r="Q628" i="37"/>
  <c r="X628" i="37" s="1"/>
  <c r="Y628" i="37" s="1"/>
  <c r="U628" i="37"/>
  <c r="AB628" i="37"/>
  <c r="AE628" i="37"/>
  <c r="AF628" i="37"/>
  <c r="AG628" i="37" s="1"/>
  <c r="D629" i="37"/>
  <c r="AD629" i="37" s="1"/>
  <c r="M629" i="37"/>
  <c r="L629" i="37" s="1"/>
  <c r="Q629" i="37"/>
  <c r="X629" i="37" s="1"/>
  <c r="Y629" i="37" s="1"/>
  <c r="U629" i="37"/>
  <c r="AB629" i="37"/>
  <c r="AE629" i="37"/>
  <c r="AF629" i="37"/>
  <c r="AG629" i="37" s="1"/>
  <c r="D630" i="37"/>
  <c r="AD630" i="37" s="1"/>
  <c r="M630" i="37"/>
  <c r="L630" i="37" s="1"/>
  <c r="Q630" i="37"/>
  <c r="U630" i="37"/>
  <c r="AB630" i="37"/>
  <c r="AE630" i="37"/>
  <c r="AF630" i="37"/>
  <c r="AG630" i="37" s="1"/>
  <c r="D631" i="37"/>
  <c r="AD631" i="37" s="1"/>
  <c r="M631" i="37"/>
  <c r="L631" i="37" s="1"/>
  <c r="Q631" i="37"/>
  <c r="R631" i="37" s="1"/>
  <c r="U631" i="37"/>
  <c r="AB631" i="37"/>
  <c r="AE631" i="37"/>
  <c r="AF631" i="37"/>
  <c r="AG631" i="37" s="1"/>
  <c r="D632" i="37"/>
  <c r="AD632" i="37" s="1"/>
  <c r="M632" i="37"/>
  <c r="L632" i="37" s="1"/>
  <c r="Q632" i="37"/>
  <c r="U632" i="37"/>
  <c r="AB632" i="37"/>
  <c r="AE632" i="37"/>
  <c r="AF632" i="37"/>
  <c r="AG632" i="37" s="1"/>
  <c r="D633" i="37"/>
  <c r="AD633" i="37" s="1"/>
  <c r="M633" i="37"/>
  <c r="L633" i="37" s="1"/>
  <c r="Q633" i="37"/>
  <c r="R633" i="37" s="1"/>
  <c r="U633" i="37"/>
  <c r="AB633" i="37"/>
  <c r="AE633" i="37"/>
  <c r="AF633" i="37"/>
  <c r="AG633" i="37" s="1"/>
  <c r="D634" i="37"/>
  <c r="AD634" i="37" s="1"/>
  <c r="M634" i="37"/>
  <c r="L634" i="37" s="1"/>
  <c r="Q634" i="37"/>
  <c r="R634" i="37" s="1"/>
  <c r="U634" i="37"/>
  <c r="AB634" i="37"/>
  <c r="AE634" i="37"/>
  <c r="AF634" i="37"/>
  <c r="AG634" i="37" s="1"/>
  <c r="D635" i="37"/>
  <c r="AD635" i="37" s="1"/>
  <c r="M635" i="37"/>
  <c r="L635" i="37" s="1"/>
  <c r="Q635" i="37"/>
  <c r="R635" i="37" s="1"/>
  <c r="U635" i="37"/>
  <c r="AB635" i="37"/>
  <c r="AE635" i="37"/>
  <c r="AF635" i="37"/>
  <c r="AG635" i="37" s="1"/>
  <c r="D636" i="37"/>
  <c r="AD636" i="37" s="1"/>
  <c r="M636" i="37"/>
  <c r="L636" i="37" s="1"/>
  <c r="Q636" i="37"/>
  <c r="X636" i="37" s="1"/>
  <c r="Y636" i="37" s="1"/>
  <c r="U636" i="37"/>
  <c r="AB636" i="37"/>
  <c r="AE636" i="37"/>
  <c r="AF636" i="37"/>
  <c r="AG636" i="37" s="1"/>
  <c r="D637" i="37"/>
  <c r="AD637" i="37" s="1"/>
  <c r="M637" i="37"/>
  <c r="L637" i="37" s="1"/>
  <c r="Q637" i="37"/>
  <c r="R637" i="37" s="1"/>
  <c r="U637" i="37"/>
  <c r="AB637" i="37"/>
  <c r="AE637" i="37"/>
  <c r="AF637" i="37"/>
  <c r="AG637" i="37" s="1"/>
  <c r="D638" i="37"/>
  <c r="AD638" i="37" s="1"/>
  <c r="M638" i="37"/>
  <c r="L638" i="37" s="1"/>
  <c r="Q638" i="37"/>
  <c r="U638" i="37"/>
  <c r="AB638" i="37"/>
  <c r="AE638" i="37"/>
  <c r="AF638" i="37"/>
  <c r="AG638" i="37" s="1"/>
  <c r="D639" i="37"/>
  <c r="AD639" i="37" s="1"/>
  <c r="M639" i="37"/>
  <c r="L639" i="37" s="1"/>
  <c r="Q639" i="37"/>
  <c r="U639" i="37"/>
  <c r="AB639" i="37"/>
  <c r="AE639" i="37"/>
  <c r="AF639" i="37"/>
  <c r="AG639" i="37" s="1"/>
  <c r="D640" i="37"/>
  <c r="AD640" i="37" s="1"/>
  <c r="M640" i="37"/>
  <c r="L640" i="37" s="1"/>
  <c r="Q640" i="37"/>
  <c r="R640" i="37" s="1"/>
  <c r="U640" i="37"/>
  <c r="AB640" i="37"/>
  <c r="AE640" i="37"/>
  <c r="AF640" i="37"/>
  <c r="AG640" i="37" s="1"/>
  <c r="D641" i="37"/>
  <c r="AD641" i="37" s="1"/>
  <c r="M641" i="37"/>
  <c r="L641" i="37" s="1"/>
  <c r="Q641" i="37"/>
  <c r="R641" i="37" s="1"/>
  <c r="U641" i="37"/>
  <c r="AB641" i="37"/>
  <c r="AE641" i="37"/>
  <c r="AF641" i="37"/>
  <c r="AG641" i="37" s="1"/>
  <c r="D642" i="37"/>
  <c r="AD642" i="37" s="1"/>
  <c r="M642" i="37"/>
  <c r="L642" i="37" s="1"/>
  <c r="Q642" i="37"/>
  <c r="R642" i="37" s="1"/>
  <c r="U642" i="37"/>
  <c r="AB642" i="37"/>
  <c r="AE642" i="37"/>
  <c r="AF642" i="37"/>
  <c r="AG642" i="37" s="1"/>
  <c r="D643" i="37"/>
  <c r="AD643" i="37" s="1"/>
  <c r="M643" i="37"/>
  <c r="L643" i="37" s="1"/>
  <c r="Q643" i="37"/>
  <c r="R643" i="37" s="1"/>
  <c r="U643" i="37"/>
  <c r="AB643" i="37"/>
  <c r="AE643" i="37"/>
  <c r="AF643" i="37"/>
  <c r="AG643" i="37" s="1"/>
  <c r="D644" i="37"/>
  <c r="AD644" i="37" s="1"/>
  <c r="M644" i="37"/>
  <c r="L644" i="37" s="1"/>
  <c r="Q644" i="37"/>
  <c r="R644" i="37" s="1"/>
  <c r="U644" i="37"/>
  <c r="AB644" i="37"/>
  <c r="AE644" i="37"/>
  <c r="AF644" i="37"/>
  <c r="AG644" i="37" s="1"/>
  <c r="D645" i="37"/>
  <c r="AD645" i="37" s="1"/>
  <c r="M645" i="37"/>
  <c r="L645" i="37" s="1"/>
  <c r="Q645" i="37"/>
  <c r="U645" i="37"/>
  <c r="AB645" i="37"/>
  <c r="AE645" i="37"/>
  <c r="AF645" i="37"/>
  <c r="AG645" i="37" s="1"/>
  <c r="D646" i="37"/>
  <c r="AD646" i="37" s="1"/>
  <c r="M646" i="37"/>
  <c r="L646" i="37" s="1"/>
  <c r="Q646" i="37"/>
  <c r="R646" i="37" s="1"/>
  <c r="U646" i="37"/>
  <c r="AB646" i="37"/>
  <c r="AE646" i="37"/>
  <c r="AF646" i="37"/>
  <c r="AG646" i="37" s="1"/>
  <c r="D647" i="37"/>
  <c r="AD647" i="37" s="1"/>
  <c r="M647" i="37"/>
  <c r="L647" i="37" s="1"/>
  <c r="Q647" i="37"/>
  <c r="R647" i="37" s="1"/>
  <c r="U647" i="37"/>
  <c r="AB647" i="37"/>
  <c r="AE647" i="37"/>
  <c r="AF647" i="37"/>
  <c r="AG647" i="37" s="1"/>
  <c r="D648" i="37"/>
  <c r="AD648" i="37" s="1"/>
  <c r="M648" i="37"/>
  <c r="L648" i="37" s="1"/>
  <c r="Q648" i="37"/>
  <c r="X648" i="37" s="1"/>
  <c r="Y648" i="37" s="1"/>
  <c r="U648" i="37"/>
  <c r="AB648" i="37"/>
  <c r="AE648" i="37"/>
  <c r="AF648" i="37"/>
  <c r="AG648" i="37" s="1"/>
  <c r="D649" i="37"/>
  <c r="AD649" i="37" s="1"/>
  <c r="M649" i="37"/>
  <c r="L649" i="37" s="1"/>
  <c r="Q649" i="37"/>
  <c r="R649" i="37" s="1"/>
  <c r="U649" i="37"/>
  <c r="AB649" i="37"/>
  <c r="AE649" i="37"/>
  <c r="AF649" i="37"/>
  <c r="AG649" i="37" s="1"/>
  <c r="D650" i="37"/>
  <c r="AD650" i="37" s="1"/>
  <c r="M650" i="37"/>
  <c r="L650" i="37" s="1"/>
  <c r="Q650" i="37"/>
  <c r="R650" i="37" s="1"/>
  <c r="U650" i="37"/>
  <c r="AB650" i="37"/>
  <c r="AE650" i="37"/>
  <c r="AF650" i="37"/>
  <c r="AG650" i="37" s="1"/>
  <c r="D651" i="37"/>
  <c r="AD651" i="37" s="1"/>
  <c r="M651" i="37"/>
  <c r="L651" i="37" s="1"/>
  <c r="Q651" i="37"/>
  <c r="R651" i="37" s="1"/>
  <c r="U651" i="37"/>
  <c r="AB651" i="37"/>
  <c r="AE651" i="37"/>
  <c r="AF651" i="37"/>
  <c r="AG651" i="37" s="1"/>
  <c r="D652" i="37"/>
  <c r="AD652" i="37" s="1"/>
  <c r="M652" i="37"/>
  <c r="L652" i="37" s="1"/>
  <c r="Q652" i="37"/>
  <c r="R652" i="37" s="1"/>
  <c r="U652" i="37"/>
  <c r="AB652" i="37"/>
  <c r="AE652" i="37"/>
  <c r="AF652" i="37"/>
  <c r="AG652" i="37" s="1"/>
  <c r="D653" i="37"/>
  <c r="AD653" i="37" s="1"/>
  <c r="M653" i="37"/>
  <c r="L653" i="37" s="1"/>
  <c r="Q653" i="37"/>
  <c r="X653" i="37" s="1"/>
  <c r="Y653" i="37" s="1"/>
  <c r="U653" i="37"/>
  <c r="AB653" i="37"/>
  <c r="AE653" i="37"/>
  <c r="AF653" i="37"/>
  <c r="AG653" i="37" s="1"/>
  <c r="D654" i="37"/>
  <c r="AD654" i="37" s="1"/>
  <c r="M654" i="37"/>
  <c r="L654" i="37" s="1"/>
  <c r="Q654" i="37"/>
  <c r="R654" i="37" s="1"/>
  <c r="U654" i="37"/>
  <c r="AB654" i="37"/>
  <c r="AE654" i="37"/>
  <c r="AF654" i="37"/>
  <c r="AG654" i="37" s="1"/>
  <c r="D655" i="37"/>
  <c r="AD655" i="37" s="1"/>
  <c r="M655" i="37"/>
  <c r="L655" i="37" s="1"/>
  <c r="Q655" i="37"/>
  <c r="R655" i="37" s="1"/>
  <c r="U655" i="37"/>
  <c r="AB655" i="37"/>
  <c r="AE655" i="37"/>
  <c r="AF655" i="37"/>
  <c r="AG655" i="37" s="1"/>
  <c r="D656" i="37"/>
  <c r="AD656" i="37" s="1"/>
  <c r="M656" i="37"/>
  <c r="L656" i="37" s="1"/>
  <c r="Q656" i="37"/>
  <c r="U656" i="37"/>
  <c r="AB656" i="37"/>
  <c r="AE656" i="37"/>
  <c r="AF656" i="37"/>
  <c r="AG656" i="37" s="1"/>
  <c r="D657" i="37"/>
  <c r="AD657" i="37" s="1"/>
  <c r="M657" i="37"/>
  <c r="L657" i="37" s="1"/>
  <c r="Q657" i="37"/>
  <c r="R657" i="37" s="1"/>
  <c r="U657" i="37"/>
  <c r="AB657" i="37"/>
  <c r="AE657" i="37"/>
  <c r="AF657" i="37"/>
  <c r="AG657" i="37" s="1"/>
  <c r="D658" i="37"/>
  <c r="AD658" i="37" s="1"/>
  <c r="M658" i="37"/>
  <c r="L658" i="37" s="1"/>
  <c r="Q658" i="37"/>
  <c r="R658" i="37" s="1"/>
  <c r="U658" i="37"/>
  <c r="AB658" i="37"/>
  <c r="AE658" i="37"/>
  <c r="AF658" i="37"/>
  <c r="AG658" i="37" s="1"/>
  <c r="D659" i="37"/>
  <c r="AD659" i="37" s="1"/>
  <c r="M659" i="37"/>
  <c r="L659" i="37" s="1"/>
  <c r="Q659" i="37"/>
  <c r="R659" i="37" s="1"/>
  <c r="U659" i="37"/>
  <c r="AB659" i="37"/>
  <c r="AE659" i="37"/>
  <c r="AF659" i="37"/>
  <c r="AG659" i="37" s="1"/>
  <c r="D660" i="37"/>
  <c r="AD660" i="37" s="1"/>
  <c r="M660" i="37"/>
  <c r="L660" i="37" s="1"/>
  <c r="Q660" i="37"/>
  <c r="R660" i="37" s="1"/>
  <c r="U660" i="37"/>
  <c r="AB660" i="37"/>
  <c r="AE660" i="37"/>
  <c r="AF660" i="37"/>
  <c r="AG660" i="37" s="1"/>
  <c r="D661" i="37"/>
  <c r="AD661" i="37" s="1"/>
  <c r="M661" i="37"/>
  <c r="L661" i="37" s="1"/>
  <c r="Q661" i="37"/>
  <c r="X661" i="37" s="1"/>
  <c r="Y661" i="37" s="1"/>
  <c r="U661" i="37"/>
  <c r="AB661" i="37"/>
  <c r="AE661" i="37"/>
  <c r="AF661" i="37"/>
  <c r="AG661" i="37" s="1"/>
  <c r="D662" i="37"/>
  <c r="AD662" i="37" s="1"/>
  <c r="M662" i="37"/>
  <c r="L662" i="37" s="1"/>
  <c r="Q662" i="37"/>
  <c r="R662" i="37" s="1"/>
  <c r="U662" i="37"/>
  <c r="AB662" i="37"/>
  <c r="AE662" i="37"/>
  <c r="AF662" i="37"/>
  <c r="AG662" i="37" s="1"/>
  <c r="D663" i="37"/>
  <c r="AD663" i="37" s="1"/>
  <c r="M663" i="37"/>
  <c r="L663" i="37" s="1"/>
  <c r="Q663" i="37"/>
  <c r="R663" i="37" s="1"/>
  <c r="U663" i="37"/>
  <c r="AB663" i="37"/>
  <c r="AE663" i="37"/>
  <c r="AF663" i="37"/>
  <c r="AG663" i="37" s="1"/>
  <c r="D664" i="37"/>
  <c r="AD664" i="37" s="1"/>
  <c r="M664" i="37"/>
  <c r="L664" i="37" s="1"/>
  <c r="Q664" i="37"/>
  <c r="X664" i="37" s="1"/>
  <c r="Y664" i="37" s="1"/>
  <c r="U664" i="37"/>
  <c r="AB664" i="37"/>
  <c r="AE664" i="37"/>
  <c r="AF664" i="37"/>
  <c r="AG664" i="37" s="1"/>
  <c r="D665" i="37"/>
  <c r="AD665" i="37" s="1"/>
  <c r="M665" i="37"/>
  <c r="L665" i="37" s="1"/>
  <c r="Q665" i="37"/>
  <c r="X665" i="37" s="1"/>
  <c r="Y665" i="37" s="1"/>
  <c r="U665" i="37"/>
  <c r="AB665" i="37"/>
  <c r="AE665" i="37"/>
  <c r="AF665" i="37"/>
  <c r="AG665" i="37" s="1"/>
  <c r="D666" i="37"/>
  <c r="AD666" i="37" s="1"/>
  <c r="M666" i="37"/>
  <c r="L666" i="37" s="1"/>
  <c r="Q666" i="37"/>
  <c r="R666" i="37" s="1"/>
  <c r="U666" i="37"/>
  <c r="AB666" i="37"/>
  <c r="AE666" i="37"/>
  <c r="AF666" i="37"/>
  <c r="AG666" i="37" s="1"/>
  <c r="D667" i="37"/>
  <c r="AD667" i="37" s="1"/>
  <c r="M667" i="37"/>
  <c r="L667" i="37" s="1"/>
  <c r="Q667" i="37"/>
  <c r="R667" i="37" s="1"/>
  <c r="U667" i="37"/>
  <c r="AB667" i="37"/>
  <c r="AE667" i="37"/>
  <c r="AF667" i="37"/>
  <c r="AG667" i="37" s="1"/>
  <c r="D668" i="37"/>
  <c r="AD668" i="37" s="1"/>
  <c r="M668" i="37"/>
  <c r="L668" i="37" s="1"/>
  <c r="Q668" i="37"/>
  <c r="U668" i="37"/>
  <c r="AB668" i="37"/>
  <c r="AE668" i="37"/>
  <c r="AF668" i="37"/>
  <c r="AG668" i="37" s="1"/>
  <c r="D669" i="37"/>
  <c r="AD669" i="37" s="1"/>
  <c r="M669" i="37"/>
  <c r="L669" i="37" s="1"/>
  <c r="Q669" i="37"/>
  <c r="X669" i="37" s="1"/>
  <c r="Y669" i="37" s="1"/>
  <c r="U669" i="37"/>
  <c r="AB669" i="37"/>
  <c r="AE669" i="37"/>
  <c r="AF669" i="37"/>
  <c r="AG669" i="37" s="1"/>
  <c r="D670" i="37"/>
  <c r="AD670" i="37" s="1"/>
  <c r="M670" i="37"/>
  <c r="L670" i="37" s="1"/>
  <c r="Q670" i="37"/>
  <c r="R670" i="37" s="1"/>
  <c r="U670" i="37"/>
  <c r="AB670" i="37"/>
  <c r="AE670" i="37"/>
  <c r="AF670" i="37"/>
  <c r="AG670" i="37" s="1"/>
  <c r="D671" i="37"/>
  <c r="AD671" i="37" s="1"/>
  <c r="M671" i="37"/>
  <c r="L671" i="37" s="1"/>
  <c r="Q671" i="37"/>
  <c r="R671" i="37" s="1"/>
  <c r="U671" i="37"/>
  <c r="AB671" i="37"/>
  <c r="AE671" i="37"/>
  <c r="AF671" i="37"/>
  <c r="AG671" i="37" s="1"/>
  <c r="D672" i="37"/>
  <c r="AD672" i="37" s="1"/>
  <c r="M672" i="37"/>
  <c r="L672" i="37" s="1"/>
  <c r="Q672" i="37"/>
  <c r="X672" i="37" s="1"/>
  <c r="Y672" i="37" s="1"/>
  <c r="U672" i="37"/>
  <c r="AB672" i="37"/>
  <c r="AE672" i="37"/>
  <c r="AF672" i="37"/>
  <c r="AG672" i="37" s="1"/>
  <c r="D673" i="37"/>
  <c r="AD673" i="37" s="1"/>
  <c r="M673" i="37"/>
  <c r="L673" i="37" s="1"/>
  <c r="Q673" i="37"/>
  <c r="X673" i="37" s="1"/>
  <c r="Y673" i="37" s="1"/>
  <c r="U673" i="37"/>
  <c r="AB673" i="37"/>
  <c r="AE673" i="37"/>
  <c r="AF673" i="37"/>
  <c r="AG673" i="37" s="1"/>
  <c r="D674" i="37"/>
  <c r="AD674" i="37" s="1"/>
  <c r="M674" i="37"/>
  <c r="L674" i="37" s="1"/>
  <c r="Q674" i="37"/>
  <c r="R674" i="37" s="1"/>
  <c r="U674" i="37"/>
  <c r="AB674" i="37"/>
  <c r="AE674" i="37"/>
  <c r="AF674" i="37"/>
  <c r="AG674" i="37" s="1"/>
  <c r="D675" i="37"/>
  <c r="AD675" i="37" s="1"/>
  <c r="M675" i="37"/>
  <c r="L675" i="37" s="1"/>
  <c r="Q675" i="37"/>
  <c r="R675" i="37" s="1"/>
  <c r="U675" i="37"/>
  <c r="AB675" i="37"/>
  <c r="AE675" i="37"/>
  <c r="AF675" i="37"/>
  <c r="AG675" i="37" s="1"/>
  <c r="D676" i="37"/>
  <c r="AD676" i="37" s="1"/>
  <c r="M676" i="37"/>
  <c r="L676" i="37" s="1"/>
  <c r="Q676" i="37"/>
  <c r="R676" i="37" s="1"/>
  <c r="U676" i="37"/>
  <c r="AB676" i="37"/>
  <c r="AE676" i="37"/>
  <c r="AF676" i="37"/>
  <c r="AG676" i="37" s="1"/>
  <c r="D677" i="37"/>
  <c r="AD677" i="37" s="1"/>
  <c r="M677" i="37"/>
  <c r="L677" i="37" s="1"/>
  <c r="Q677" i="37"/>
  <c r="X677" i="37" s="1"/>
  <c r="Y677" i="37" s="1"/>
  <c r="U677" i="37"/>
  <c r="AB677" i="37"/>
  <c r="AE677" i="37"/>
  <c r="AF677" i="37"/>
  <c r="AG677" i="37" s="1"/>
  <c r="D678" i="37"/>
  <c r="AD678" i="37" s="1"/>
  <c r="M678" i="37"/>
  <c r="L678" i="37" s="1"/>
  <c r="Q678" i="37"/>
  <c r="U678" i="37"/>
  <c r="AB678" i="37"/>
  <c r="AE678" i="37"/>
  <c r="AF678" i="37"/>
  <c r="AG678" i="37" s="1"/>
  <c r="D679" i="37"/>
  <c r="AD679" i="37" s="1"/>
  <c r="M679" i="37"/>
  <c r="L679" i="37" s="1"/>
  <c r="Q679" i="37"/>
  <c r="R679" i="37" s="1"/>
  <c r="U679" i="37"/>
  <c r="AB679" i="37"/>
  <c r="AE679" i="37"/>
  <c r="AF679" i="37"/>
  <c r="AG679" i="37" s="1"/>
  <c r="D680" i="37"/>
  <c r="AD680" i="37" s="1"/>
  <c r="M680" i="37"/>
  <c r="L680" i="37" s="1"/>
  <c r="Q680" i="37"/>
  <c r="X680" i="37" s="1"/>
  <c r="Y680" i="37" s="1"/>
  <c r="U680" i="37"/>
  <c r="AB680" i="37"/>
  <c r="AE680" i="37"/>
  <c r="AF680" i="37"/>
  <c r="AG680" i="37" s="1"/>
  <c r="D681" i="37"/>
  <c r="AD681" i="37" s="1"/>
  <c r="M681" i="37"/>
  <c r="L681" i="37" s="1"/>
  <c r="Q681" i="37"/>
  <c r="R681" i="37" s="1"/>
  <c r="U681" i="37"/>
  <c r="AB681" i="37"/>
  <c r="AE681" i="37"/>
  <c r="AF681" i="37"/>
  <c r="AG681" i="37" s="1"/>
  <c r="D682" i="37"/>
  <c r="AD682" i="37" s="1"/>
  <c r="M682" i="37"/>
  <c r="L682" i="37" s="1"/>
  <c r="Q682" i="37"/>
  <c r="X682" i="37" s="1"/>
  <c r="Y682" i="37" s="1"/>
  <c r="U682" i="37"/>
  <c r="AB682" i="37"/>
  <c r="AE682" i="37"/>
  <c r="AF682" i="37"/>
  <c r="AG682" i="37" s="1"/>
  <c r="D683" i="37"/>
  <c r="AD683" i="37" s="1"/>
  <c r="M683" i="37"/>
  <c r="L683" i="37" s="1"/>
  <c r="Q683" i="37"/>
  <c r="R683" i="37" s="1"/>
  <c r="U683" i="37"/>
  <c r="AB683" i="37"/>
  <c r="AE683" i="37"/>
  <c r="AF683" i="37"/>
  <c r="AG683" i="37" s="1"/>
  <c r="D684" i="37"/>
  <c r="AD684" i="37" s="1"/>
  <c r="M684" i="37"/>
  <c r="L684" i="37" s="1"/>
  <c r="Q684" i="37"/>
  <c r="U684" i="37"/>
  <c r="AB684" i="37"/>
  <c r="AE684" i="37"/>
  <c r="AF684" i="37"/>
  <c r="AG684" i="37" s="1"/>
  <c r="D685" i="37"/>
  <c r="AD685" i="37" s="1"/>
  <c r="M685" i="37"/>
  <c r="L685" i="37" s="1"/>
  <c r="Q685" i="37"/>
  <c r="R685" i="37" s="1"/>
  <c r="U685" i="37"/>
  <c r="AB685" i="37"/>
  <c r="AE685" i="37"/>
  <c r="AF685" i="37"/>
  <c r="AG685" i="37" s="1"/>
  <c r="D686" i="37"/>
  <c r="AD686" i="37" s="1"/>
  <c r="M686" i="37"/>
  <c r="L686" i="37" s="1"/>
  <c r="Q686" i="37"/>
  <c r="X686" i="37" s="1"/>
  <c r="Y686" i="37" s="1"/>
  <c r="U686" i="37"/>
  <c r="AB686" i="37"/>
  <c r="AE686" i="37"/>
  <c r="AF686" i="37"/>
  <c r="AG686" i="37" s="1"/>
  <c r="D687" i="37"/>
  <c r="AD687" i="37" s="1"/>
  <c r="M687" i="37"/>
  <c r="L687" i="37" s="1"/>
  <c r="Q687" i="37"/>
  <c r="R687" i="37" s="1"/>
  <c r="U687" i="37"/>
  <c r="AB687" i="37"/>
  <c r="AE687" i="37"/>
  <c r="AF687" i="37"/>
  <c r="AG687" i="37" s="1"/>
  <c r="D688" i="37"/>
  <c r="AD688" i="37" s="1"/>
  <c r="M688" i="37"/>
  <c r="L688" i="37" s="1"/>
  <c r="Q688" i="37"/>
  <c r="X688" i="37" s="1"/>
  <c r="Y688" i="37" s="1"/>
  <c r="U688" i="37"/>
  <c r="AB688" i="37"/>
  <c r="AE688" i="37"/>
  <c r="AF688" i="37"/>
  <c r="AG688" i="37" s="1"/>
  <c r="D689" i="37"/>
  <c r="AD689" i="37" s="1"/>
  <c r="M689" i="37"/>
  <c r="L689" i="37" s="1"/>
  <c r="Q689" i="37"/>
  <c r="X689" i="37" s="1"/>
  <c r="Y689" i="37" s="1"/>
  <c r="U689" i="37"/>
  <c r="AB689" i="37"/>
  <c r="AE689" i="37"/>
  <c r="AF689" i="37"/>
  <c r="AG689" i="37" s="1"/>
  <c r="D690" i="37"/>
  <c r="AD690" i="37" s="1"/>
  <c r="M690" i="37"/>
  <c r="L690" i="37" s="1"/>
  <c r="Q690" i="37"/>
  <c r="R690" i="37" s="1"/>
  <c r="U690" i="37"/>
  <c r="AB690" i="37"/>
  <c r="AE690" i="37"/>
  <c r="AF690" i="37"/>
  <c r="AG690" i="37" s="1"/>
  <c r="D691" i="37"/>
  <c r="AD691" i="37" s="1"/>
  <c r="M691" i="37"/>
  <c r="L691" i="37" s="1"/>
  <c r="Q691" i="37"/>
  <c r="X691" i="37" s="1"/>
  <c r="Y691" i="37" s="1"/>
  <c r="U691" i="37"/>
  <c r="AB691" i="37"/>
  <c r="AE691" i="37"/>
  <c r="AF691" i="37"/>
  <c r="AG691" i="37" s="1"/>
  <c r="D692" i="37"/>
  <c r="AD692" i="37" s="1"/>
  <c r="M692" i="37"/>
  <c r="L692" i="37" s="1"/>
  <c r="Q692" i="37"/>
  <c r="R692" i="37" s="1"/>
  <c r="U692" i="37"/>
  <c r="AB692" i="37"/>
  <c r="AE692" i="37"/>
  <c r="AF692" i="37"/>
  <c r="AG692" i="37" s="1"/>
  <c r="D693" i="37"/>
  <c r="AD693" i="37" s="1"/>
  <c r="M693" i="37"/>
  <c r="L693" i="37" s="1"/>
  <c r="Q693" i="37"/>
  <c r="R693" i="37" s="1"/>
  <c r="U693" i="37"/>
  <c r="AB693" i="37"/>
  <c r="AE693" i="37"/>
  <c r="AF693" i="37"/>
  <c r="AG693" i="37" s="1"/>
  <c r="D694" i="37"/>
  <c r="AD694" i="37" s="1"/>
  <c r="M694" i="37"/>
  <c r="L694" i="37" s="1"/>
  <c r="Q694" i="37"/>
  <c r="X694" i="37" s="1"/>
  <c r="Y694" i="37" s="1"/>
  <c r="U694" i="37"/>
  <c r="AB694" i="37"/>
  <c r="AE694" i="37"/>
  <c r="AF694" i="37"/>
  <c r="AG694" i="37" s="1"/>
  <c r="D695" i="37"/>
  <c r="AD695" i="37" s="1"/>
  <c r="M695" i="37"/>
  <c r="L695" i="37" s="1"/>
  <c r="Q695" i="37"/>
  <c r="R695" i="37" s="1"/>
  <c r="U695" i="37"/>
  <c r="AB695" i="37"/>
  <c r="AE695" i="37"/>
  <c r="AF695" i="37"/>
  <c r="AG695" i="37" s="1"/>
  <c r="D696" i="37"/>
  <c r="AD696" i="37" s="1"/>
  <c r="M696" i="37"/>
  <c r="L696" i="37" s="1"/>
  <c r="Q696" i="37"/>
  <c r="U696" i="37"/>
  <c r="AB696" i="37"/>
  <c r="AE696" i="37"/>
  <c r="AF696" i="37"/>
  <c r="AG696" i="37" s="1"/>
  <c r="D697" i="37"/>
  <c r="AD697" i="37" s="1"/>
  <c r="M697" i="37"/>
  <c r="L697" i="37" s="1"/>
  <c r="Q697" i="37"/>
  <c r="X697" i="37" s="1"/>
  <c r="Y697" i="37" s="1"/>
  <c r="U697" i="37"/>
  <c r="AB697" i="37"/>
  <c r="AE697" i="37"/>
  <c r="AF697" i="37"/>
  <c r="AG697" i="37" s="1"/>
  <c r="D698" i="37"/>
  <c r="AD698" i="37" s="1"/>
  <c r="M698" i="37"/>
  <c r="L698" i="37" s="1"/>
  <c r="Q698" i="37"/>
  <c r="R698" i="37" s="1"/>
  <c r="U698" i="37"/>
  <c r="AB698" i="37"/>
  <c r="AE698" i="37"/>
  <c r="AF698" i="37"/>
  <c r="AG698" i="37" s="1"/>
  <c r="D699" i="37"/>
  <c r="AD699" i="37" s="1"/>
  <c r="M699" i="37"/>
  <c r="L699" i="37" s="1"/>
  <c r="Q699" i="37"/>
  <c r="U699" i="37"/>
  <c r="AB699" i="37"/>
  <c r="AE699" i="37"/>
  <c r="AF699" i="37"/>
  <c r="AG699" i="37" s="1"/>
  <c r="D700" i="37"/>
  <c r="AD700" i="37" s="1"/>
  <c r="M700" i="37"/>
  <c r="L700" i="37" s="1"/>
  <c r="Q700" i="37"/>
  <c r="R700" i="37" s="1"/>
  <c r="U700" i="37"/>
  <c r="AB700" i="37"/>
  <c r="AE700" i="37"/>
  <c r="AF700" i="37"/>
  <c r="AG700" i="37" s="1"/>
  <c r="D701" i="37"/>
  <c r="AD701" i="37" s="1"/>
  <c r="M701" i="37"/>
  <c r="L701" i="37" s="1"/>
  <c r="Q701" i="37"/>
  <c r="X701" i="37" s="1"/>
  <c r="Y701" i="37" s="1"/>
  <c r="U701" i="37"/>
  <c r="AB701" i="37"/>
  <c r="AE701" i="37"/>
  <c r="AF701" i="37"/>
  <c r="AG701" i="37" s="1"/>
  <c r="D702" i="37"/>
  <c r="AD702" i="37" s="1"/>
  <c r="M702" i="37"/>
  <c r="L702" i="37" s="1"/>
  <c r="Q702" i="37"/>
  <c r="U702" i="37"/>
  <c r="AB702" i="37"/>
  <c r="AE702" i="37"/>
  <c r="AF702" i="37"/>
  <c r="AG702" i="37" s="1"/>
  <c r="D703" i="37"/>
  <c r="AD703" i="37" s="1"/>
  <c r="M703" i="37"/>
  <c r="L703" i="37" s="1"/>
  <c r="Q703" i="37"/>
  <c r="R703" i="37" s="1"/>
  <c r="U703" i="37"/>
  <c r="AB703" i="37"/>
  <c r="AE703" i="37"/>
  <c r="AF703" i="37"/>
  <c r="AG703" i="37" s="1"/>
  <c r="D704" i="37"/>
  <c r="AD704" i="37" s="1"/>
  <c r="M704" i="37"/>
  <c r="L704" i="37" s="1"/>
  <c r="Q704" i="37"/>
  <c r="U704" i="37"/>
  <c r="AB704" i="37"/>
  <c r="AE704" i="37"/>
  <c r="AF704" i="37"/>
  <c r="AG704" i="37" s="1"/>
  <c r="D705" i="37"/>
  <c r="AD705" i="37" s="1"/>
  <c r="M705" i="37"/>
  <c r="L705" i="37" s="1"/>
  <c r="Q705" i="37"/>
  <c r="R705" i="37" s="1"/>
  <c r="U705" i="37"/>
  <c r="AB705" i="37"/>
  <c r="AE705" i="37"/>
  <c r="AF705" i="37"/>
  <c r="AG705" i="37" s="1"/>
  <c r="D706" i="37"/>
  <c r="AD706" i="37" s="1"/>
  <c r="M706" i="37"/>
  <c r="L706" i="37" s="1"/>
  <c r="Q706" i="37"/>
  <c r="X706" i="37" s="1"/>
  <c r="Y706" i="37" s="1"/>
  <c r="U706" i="37"/>
  <c r="AB706" i="37"/>
  <c r="AE706" i="37"/>
  <c r="AF706" i="37"/>
  <c r="AG706" i="37" s="1"/>
  <c r="D707" i="37"/>
  <c r="AD707" i="37" s="1"/>
  <c r="M707" i="37"/>
  <c r="L707" i="37" s="1"/>
  <c r="Q707" i="37"/>
  <c r="X707" i="37" s="1"/>
  <c r="Y707" i="37" s="1"/>
  <c r="U707" i="37"/>
  <c r="AB707" i="37"/>
  <c r="AE707" i="37"/>
  <c r="AF707" i="37"/>
  <c r="AG707" i="37" s="1"/>
  <c r="D708" i="37"/>
  <c r="AD708" i="37" s="1"/>
  <c r="M708" i="37"/>
  <c r="L708" i="37" s="1"/>
  <c r="Q708" i="37"/>
  <c r="R708" i="37" s="1"/>
  <c r="U708" i="37"/>
  <c r="AB708" i="37"/>
  <c r="AE708" i="37"/>
  <c r="AF708" i="37"/>
  <c r="AG708" i="37" s="1"/>
  <c r="D709" i="37"/>
  <c r="AD709" i="37" s="1"/>
  <c r="M709" i="37"/>
  <c r="L709" i="37" s="1"/>
  <c r="Q709" i="37"/>
  <c r="X709" i="37" s="1"/>
  <c r="Y709" i="37" s="1"/>
  <c r="U709" i="37"/>
  <c r="AB709" i="37"/>
  <c r="AE709" i="37"/>
  <c r="AF709" i="37"/>
  <c r="AG709" i="37" s="1"/>
  <c r="D710" i="37"/>
  <c r="AD710" i="37" s="1"/>
  <c r="M710" i="37"/>
  <c r="L710" i="37" s="1"/>
  <c r="Q710" i="37"/>
  <c r="X710" i="37" s="1"/>
  <c r="Y710" i="37" s="1"/>
  <c r="U710" i="37"/>
  <c r="AB710" i="37"/>
  <c r="AE710" i="37"/>
  <c r="AF710" i="37"/>
  <c r="AG710" i="37" s="1"/>
  <c r="D711" i="37"/>
  <c r="AD711" i="37" s="1"/>
  <c r="M711" i="37"/>
  <c r="L711" i="37" s="1"/>
  <c r="Q711" i="37"/>
  <c r="R711" i="37" s="1"/>
  <c r="U711" i="37"/>
  <c r="AB711" i="37"/>
  <c r="AE711" i="37"/>
  <c r="AF711" i="37"/>
  <c r="AG711" i="37" s="1"/>
  <c r="D712" i="37"/>
  <c r="AD712" i="37" s="1"/>
  <c r="M712" i="37"/>
  <c r="L712" i="37" s="1"/>
  <c r="Q712" i="37"/>
  <c r="X712" i="37" s="1"/>
  <c r="Y712" i="37" s="1"/>
  <c r="U712" i="37"/>
  <c r="AB712" i="37"/>
  <c r="AE712" i="37"/>
  <c r="AF712" i="37"/>
  <c r="AG712" i="37" s="1"/>
  <c r="D713" i="37"/>
  <c r="AD713" i="37" s="1"/>
  <c r="M713" i="37"/>
  <c r="L713" i="37" s="1"/>
  <c r="Q713" i="37"/>
  <c r="R713" i="37" s="1"/>
  <c r="U713" i="37"/>
  <c r="AB713" i="37"/>
  <c r="AE713" i="37"/>
  <c r="AF713" i="37"/>
  <c r="AG713" i="37" s="1"/>
  <c r="D714" i="37"/>
  <c r="AD714" i="37" s="1"/>
  <c r="M714" i="37"/>
  <c r="L714" i="37" s="1"/>
  <c r="Q714" i="37"/>
  <c r="R714" i="37" s="1"/>
  <c r="U714" i="37"/>
  <c r="AB714" i="37"/>
  <c r="AE714" i="37"/>
  <c r="AF714" i="37"/>
  <c r="AG714" i="37" s="1"/>
  <c r="D715" i="37"/>
  <c r="AD715" i="37" s="1"/>
  <c r="M715" i="37"/>
  <c r="L715" i="37" s="1"/>
  <c r="Q715" i="37"/>
  <c r="U715" i="37"/>
  <c r="AB715" i="37"/>
  <c r="AE715" i="37"/>
  <c r="AF715" i="37"/>
  <c r="AG715" i="37" s="1"/>
  <c r="D716" i="37"/>
  <c r="AD716" i="37" s="1"/>
  <c r="M716" i="37"/>
  <c r="L716" i="37" s="1"/>
  <c r="Q716" i="37"/>
  <c r="R716" i="37" s="1"/>
  <c r="U716" i="37"/>
  <c r="AB716" i="37"/>
  <c r="AE716" i="37"/>
  <c r="AF716" i="37"/>
  <c r="AG716" i="37" s="1"/>
  <c r="D717" i="37"/>
  <c r="AD717" i="37" s="1"/>
  <c r="M717" i="37"/>
  <c r="L717" i="37" s="1"/>
  <c r="Q717" i="37"/>
  <c r="X717" i="37" s="1"/>
  <c r="Y717" i="37" s="1"/>
  <c r="U717" i="37"/>
  <c r="AB717" i="37"/>
  <c r="AE717" i="37"/>
  <c r="AF717" i="37"/>
  <c r="AG717" i="37" s="1"/>
  <c r="D718" i="37"/>
  <c r="AD718" i="37" s="1"/>
  <c r="M718" i="37"/>
  <c r="L718" i="37" s="1"/>
  <c r="Q718" i="37"/>
  <c r="U718" i="37"/>
  <c r="AB718" i="37"/>
  <c r="AE718" i="37"/>
  <c r="AF718" i="37"/>
  <c r="AG718" i="37" s="1"/>
  <c r="D719" i="37"/>
  <c r="AD719" i="37" s="1"/>
  <c r="M719" i="37"/>
  <c r="L719" i="37" s="1"/>
  <c r="Q719" i="37"/>
  <c r="U719" i="37"/>
  <c r="AB719" i="37"/>
  <c r="AE719" i="37"/>
  <c r="AF719" i="37"/>
  <c r="AG719" i="37" s="1"/>
  <c r="D720" i="37"/>
  <c r="AD720" i="37" s="1"/>
  <c r="M720" i="37"/>
  <c r="L720" i="37" s="1"/>
  <c r="Q720" i="37"/>
  <c r="R720" i="37" s="1"/>
  <c r="U720" i="37"/>
  <c r="AB720" i="37"/>
  <c r="AE720" i="37"/>
  <c r="AF720" i="37"/>
  <c r="AG720" i="37" s="1"/>
  <c r="D721" i="37"/>
  <c r="AD721" i="37" s="1"/>
  <c r="M721" i="37"/>
  <c r="L721" i="37" s="1"/>
  <c r="Q721" i="37"/>
  <c r="X721" i="37" s="1"/>
  <c r="Y721" i="37" s="1"/>
  <c r="U721" i="37"/>
  <c r="AB721" i="37"/>
  <c r="AE721" i="37"/>
  <c r="AF721" i="37"/>
  <c r="AG721" i="37" s="1"/>
  <c r="D722" i="37"/>
  <c r="AD722" i="37" s="1"/>
  <c r="M722" i="37"/>
  <c r="L722" i="37" s="1"/>
  <c r="Q722" i="37"/>
  <c r="X722" i="37" s="1"/>
  <c r="Y722" i="37" s="1"/>
  <c r="U722" i="37"/>
  <c r="AB722" i="37"/>
  <c r="AE722" i="37"/>
  <c r="AF722" i="37"/>
  <c r="AG722" i="37" s="1"/>
  <c r="D723" i="37"/>
  <c r="AD723" i="37" s="1"/>
  <c r="M723" i="37"/>
  <c r="L723" i="37" s="1"/>
  <c r="Q723" i="37"/>
  <c r="U723" i="37"/>
  <c r="AB723" i="37"/>
  <c r="AE723" i="37"/>
  <c r="AF723" i="37"/>
  <c r="AG723" i="37" s="1"/>
  <c r="D724" i="37"/>
  <c r="AD724" i="37" s="1"/>
  <c r="M724" i="37"/>
  <c r="L724" i="37" s="1"/>
  <c r="Q724" i="37"/>
  <c r="U724" i="37"/>
  <c r="AB724" i="37"/>
  <c r="AE724" i="37"/>
  <c r="AF724" i="37"/>
  <c r="AG724" i="37" s="1"/>
  <c r="D725" i="37"/>
  <c r="AD725" i="37" s="1"/>
  <c r="M725" i="37"/>
  <c r="L725" i="37" s="1"/>
  <c r="Q725" i="37"/>
  <c r="X725" i="37" s="1"/>
  <c r="Y725" i="37" s="1"/>
  <c r="U725" i="37"/>
  <c r="AB725" i="37"/>
  <c r="AE725" i="37"/>
  <c r="AF725" i="37"/>
  <c r="AG725" i="37" s="1"/>
  <c r="D726" i="37"/>
  <c r="AD726" i="37" s="1"/>
  <c r="M726" i="37"/>
  <c r="L726" i="37" s="1"/>
  <c r="Q726" i="37"/>
  <c r="R726" i="37" s="1"/>
  <c r="U726" i="37"/>
  <c r="AB726" i="37"/>
  <c r="AE726" i="37"/>
  <c r="AF726" i="37"/>
  <c r="AG726" i="37" s="1"/>
  <c r="D727" i="37"/>
  <c r="AD727" i="37" s="1"/>
  <c r="M727" i="37"/>
  <c r="L727" i="37" s="1"/>
  <c r="Q727" i="37"/>
  <c r="U727" i="37"/>
  <c r="AB727" i="37"/>
  <c r="AE727" i="37"/>
  <c r="AF727" i="37"/>
  <c r="AG727" i="37" s="1"/>
  <c r="D728" i="37"/>
  <c r="AD728" i="37" s="1"/>
  <c r="M728" i="37"/>
  <c r="L728" i="37" s="1"/>
  <c r="Q728" i="37"/>
  <c r="R728" i="37" s="1"/>
  <c r="U728" i="37"/>
  <c r="AB728" i="37"/>
  <c r="AE728" i="37"/>
  <c r="AF728" i="37"/>
  <c r="AG728" i="37" s="1"/>
  <c r="D729" i="37"/>
  <c r="AD729" i="37" s="1"/>
  <c r="M729" i="37"/>
  <c r="L729" i="37" s="1"/>
  <c r="Q729" i="37"/>
  <c r="X729" i="37" s="1"/>
  <c r="Y729" i="37" s="1"/>
  <c r="U729" i="37"/>
  <c r="AB729" i="37"/>
  <c r="AE729" i="37"/>
  <c r="AF729" i="37"/>
  <c r="AG729" i="37" s="1"/>
  <c r="D730" i="37"/>
  <c r="AD730" i="37" s="1"/>
  <c r="M730" i="37"/>
  <c r="L730" i="37" s="1"/>
  <c r="Q730" i="37"/>
  <c r="U730" i="37"/>
  <c r="AB730" i="37"/>
  <c r="AE730" i="37"/>
  <c r="AF730" i="37"/>
  <c r="AG730" i="37" s="1"/>
  <c r="D731" i="37"/>
  <c r="AD731" i="37" s="1"/>
  <c r="M731" i="37"/>
  <c r="L731" i="37" s="1"/>
  <c r="Q731" i="37"/>
  <c r="R731" i="37" s="1"/>
  <c r="U731" i="37"/>
  <c r="AB731" i="37"/>
  <c r="AE731" i="37"/>
  <c r="AF731" i="37"/>
  <c r="AG731" i="37" s="1"/>
  <c r="D732" i="37"/>
  <c r="AD732" i="37" s="1"/>
  <c r="M732" i="37"/>
  <c r="L732" i="37" s="1"/>
  <c r="Q732" i="37"/>
  <c r="U732" i="37"/>
  <c r="AB732" i="37"/>
  <c r="AE732" i="37"/>
  <c r="AF732" i="37"/>
  <c r="AG732" i="37" s="1"/>
  <c r="D733" i="37"/>
  <c r="AD733" i="37" s="1"/>
  <c r="M733" i="37"/>
  <c r="L733" i="37" s="1"/>
  <c r="Q733" i="37"/>
  <c r="U733" i="37"/>
  <c r="AB733" i="37"/>
  <c r="AE733" i="37"/>
  <c r="AF733" i="37"/>
  <c r="AG733" i="37" s="1"/>
  <c r="D734" i="37"/>
  <c r="AD734" i="37" s="1"/>
  <c r="M734" i="37"/>
  <c r="L734" i="37" s="1"/>
  <c r="Q734" i="37"/>
  <c r="X734" i="37" s="1"/>
  <c r="Y734" i="37" s="1"/>
  <c r="U734" i="37"/>
  <c r="AB734" i="37"/>
  <c r="AE734" i="37"/>
  <c r="AF734" i="37"/>
  <c r="AG734" i="37" s="1"/>
  <c r="D735" i="37"/>
  <c r="AD735" i="37" s="1"/>
  <c r="M735" i="37"/>
  <c r="L735" i="37" s="1"/>
  <c r="Q735" i="37"/>
  <c r="U735" i="37"/>
  <c r="AB735" i="37"/>
  <c r="AE735" i="37"/>
  <c r="AF735" i="37"/>
  <c r="AG735" i="37" s="1"/>
  <c r="D736" i="37"/>
  <c r="AD736" i="37" s="1"/>
  <c r="M736" i="37"/>
  <c r="L736" i="37" s="1"/>
  <c r="Q736" i="37"/>
  <c r="X736" i="37" s="1"/>
  <c r="Y736" i="37" s="1"/>
  <c r="U736" i="37"/>
  <c r="AB736" i="37"/>
  <c r="AE736" i="37"/>
  <c r="AF736" i="37"/>
  <c r="AG736" i="37" s="1"/>
  <c r="D737" i="37"/>
  <c r="AD737" i="37" s="1"/>
  <c r="M737" i="37"/>
  <c r="L737" i="37" s="1"/>
  <c r="Q737" i="37"/>
  <c r="X737" i="37" s="1"/>
  <c r="Y737" i="37" s="1"/>
  <c r="U737" i="37"/>
  <c r="AB737" i="37"/>
  <c r="AE737" i="37"/>
  <c r="AF737" i="37"/>
  <c r="AG737" i="37" s="1"/>
  <c r="D738" i="37"/>
  <c r="AD738" i="37" s="1"/>
  <c r="M738" i="37"/>
  <c r="L738" i="37" s="1"/>
  <c r="Q738" i="37"/>
  <c r="R738" i="37" s="1"/>
  <c r="U738" i="37"/>
  <c r="AB738" i="37"/>
  <c r="AE738" i="37"/>
  <c r="AF738" i="37"/>
  <c r="AG738" i="37" s="1"/>
  <c r="D739" i="37"/>
  <c r="AD739" i="37" s="1"/>
  <c r="M739" i="37"/>
  <c r="L739" i="37" s="1"/>
  <c r="Q739" i="37"/>
  <c r="R739" i="37" s="1"/>
  <c r="U739" i="37"/>
  <c r="AB739" i="37"/>
  <c r="AE739" i="37"/>
  <c r="AF739" i="37"/>
  <c r="AG739" i="37" s="1"/>
  <c r="D740" i="37"/>
  <c r="AD740" i="37" s="1"/>
  <c r="M740" i="37"/>
  <c r="L740" i="37" s="1"/>
  <c r="Q740" i="37"/>
  <c r="R740" i="37" s="1"/>
  <c r="U740" i="37"/>
  <c r="AB740" i="37"/>
  <c r="AE740" i="37"/>
  <c r="AF740" i="37"/>
  <c r="AG740" i="37" s="1"/>
  <c r="D741" i="37"/>
  <c r="AD741" i="37" s="1"/>
  <c r="M741" i="37"/>
  <c r="L741" i="37" s="1"/>
  <c r="Q741" i="37"/>
  <c r="X741" i="37" s="1"/>
  <c r="Y741" i="37" s="1"/>
  <c r="U741" i="37"/>
  <c r="AB741" i="37"/>
  <c r="AE741" i="37"/>
  <c r="AF741" i="37"/>
  <c r="AG741" i="37" s="1"/>
  <c r="D742" i="37"/>
  <c r="AD742" i="37" s="1"/>
  <c r="M742" i="37"/>
  <c r="L742" i="37" s="1"/>
  <c r="Q742" i="37"/>
  <c r="X742" i="37" s="1"/>
  <c r="Y742" i="37" s="1"/>
  <c r="U742" i="37"/>
  <c r="AB742" i="37"/>
  <c r="AE742" i="37"/>
  <c r="AF742" i="37"/>
  <c r="AG742" i="37" s="1"/>
  <c r="D743" i="37"/>
  <c r="AD743" i="37" s="1"/>
  <c r="M743" i="37"/>
  <c r="L743" i="37" s="1"/>
  <c r="Q743" i="37"/>
  <c r="R743" i="37" s="1"/>
  <c r="U743" i="37"/>
  <c r="AB743" i="37"/>
  <c r="AE743" i="37"/>
  <c r="AF743" i="37"/>
  <c r="AG743" i="37" s="1"/>
  <c r="D744" i="37"/>
  <c r="AD744" i="37" s="1"/>
  <c r="M744" i="37"/>
  <c r="L744" i="37" s="1"/>
  <c r="Q744" i="37"/>
  <c r="R744" i="37" s="1"/>
  <c r="U744" i="37"/>
  <c r="AB744" i="37"/>
  <c r="AE744" i="37"/>
  <c r="AF744" i="37"/>
  <c r="AG744" i="37" s="1"/>
  <c r="D745" i="37"/>
  <c r="AD745" i="37" s="1"/>
  <c r="M745" i="37"/>
  <c r="L745" i="37" s="1"/>
  <c r="Q745" i="37"/>
  <c r="X745" i="37" s="1"/>
  <c r="Y745" i="37" s="1"/>
  <c r="U745" i="37"/>
  <c r="AB745" i="37"/>
  <c r="AE745" i="37"/>
  <c r="AF745" i="37"/>
  <c r="AG745" i="37" s="1"/>
  <c r="D746" i="37"/>
  <c r="AD746" i="37" s="1"/>
  <c r="M746" i="37"/>
  <c r="L746" i="37" s="1"/>
  <c r="Q746" i="37"/>
  <c r="U746" i="37"/>
  <c r="AB746" i="37"/>
  <c r="AE746" i="37"/>
  <c r="AF746" i="37"/>
  <c r="AG746" i="37" s="1"/>
  <c r="D747" i="37"/>
  <c r="AD747" i="37" s="1"/>
  <c r="M747" i="37"/>
  <c r="L747" i="37" s="1"/>
  <c r="Q747" i="37"/>
  <c r="R747" i="37" s="1"/>
  <c r="U747" i="37"/>
  <c r="AB747" i="37"/>
  <c r="AE747" i="37"/>
  <c r="AF747" i="37"/>
  <c r="AG747" i="37" s="1"/>
  <c r="D748" i="37"/>
  <c r="AD748" i="37" s="1"/>
  <c r="M748" i="37"/>
  <c r="L748" i="37" s="1"/>
  <c r="Q748" i="37"/>
  <c r="X748" i="37" s="1"/>
  <c r="Y748" i="37" s="1"/>
  <c r="U748" i="37"/>
  <c r="AB748" i="37"/>
  <c r="AE748" i="37"/>
  <c r="AF748" i="37"/>
  <c r="AG748" i="37" s="1"/>
  <c r="D749" i="37"/>
  <c r="AD749" i="37" s="1"/>
  <c r="M749" i="37"/>
  <c r="L749" i="37" s="1"/>
  <c r="Q749" i="37"/>
  <c r="X749" i="37" s="1"/>
  <c r="Y749" i="37" s="1"/>
  <c r="U749" i="37"/>
  <c r="AB749" i="37"/>
  <c r="AE749" i="37"/>
  <c r="AF749" i="37"/>
  <c r="AG749" i="37" s="1"/>
  <c r="D750" i="37"/>
  <c r="AD750" i="37" s="1"/>
  <c r="M750" i="37"/>
  <c r="L750" i="37" s="1"/>
  <c r="Q750" i="37"/>
  <c r="U750" i="37"/>
  <c r="AB750" i="37"/>
  <c r="AE750" i="37"/>
  <c r="AF750" i="37"/>
  <c r="AG750" i="37" s="1"/>
  <c r="D751" i="37"/>
  <c r="AD751" i="37" s="1"/>
  <c r="M751" i="37"/>
  <c r="L751" i="37" s="1"/>
  <c r="Q751" i="37"/>
  <c r="R751" i="37" s="1"/>
  <c r="U751" i="37"/>
  <c r="AB751" i="37"/>
  <c r="AE751" i="37"/>
  <c r="AF751" i="37"/>
  <c r="AG751" i="37" s="1"/>
  <c r="D752" i="37"/>
  <c r="AD752" i="37" s="1"/>
  <c r="M752" i="37"/>
  <c r="L752" i="37" s="1"/>
  <c r="Q752" i="37"/>
  <c r="R752" i="37" s="1"/>
  <c r="U752" i="37"/>
  <c r="AB752" i="37"/>
  <c r="AE752" i="37"/>
  <c r="AF752" i="37"/>
  <c r="AG752" i="37" s="1"/>
  <c r="D753" i="37"/>
  <c r="AD753" i="37" s="1"/>
  <c r="M753" i="37"/>
  <c r="L753" i="37" s="1"/>
  <c r="Q753" i="37"/>
  <c r="U753" i="37"/>
  <c r="AB753" i="37"/>
  <c r="AE753" i="37"/>
  <c r="AF753" i="37"/>
  <c r="AG753" i="37" s="1"/>
  <c r="D754" i="37"/>
  <c r="AD754" i="37" s="1"/>
  <c r="M754" i="37"/>
  <c r="L754" i="37" s="1"/>
  <c r="Q754" i="37"/>
  <c r="R754" i="37" s="1"/>
  <c r="U754" i="37"/>
  <c r="AB754" i="37"/>
  <c r="AE754" i="37"/>
  <c r="AF754" i="37"/>
  <c r="AG754" i="37" s="1"/>
  <c r="D755" i="37"/>
  <c r="AD755" i="37" s="1"/>
  <c r="M755" i="37"/>
  <c r="L755" i="37" s="1"/>
  <c r="Q755" i="37"/>
  <c r="R755" i="37" s="1"/>
  <c r="U755" i="37"/>
  <c r="AB755" i="37"/>
  <c r="AE755" i="37"/>
  <c r="AF755" i="37"/>
  <c r="AG755" i="37" s="1"/>
  <c r="D756" i="37"/>
  <c r="AD756" i="37" s="1"/>
  <c r="M756" i="37"/>
  <c r="L756" i="37" s="1"/>
  <c r="Q756" i="37"/>
  <c r="U756" i="37"/>
  <c r="AB756" i="37"/>
  <c r="AE756" i="37"/>
  <c r="AF756" i="37"/>
  <c r="AG756" i="37" s="1"/>
  <c r="D757" i="37"/>
  <c r="AD757" i="37" s="1"/>
  <c r="M757" i="37"/>
  <c r="L757" i="37" s="1"/>
  <c r="Q757" i="37"/>
  <c r="X757" i="37" s="1"/>
  <c r="Y757" i="37" s="1"/>
  <c r="U757" i="37"/>
  <c r="AB757" i="37"/>
  <c r="AE757" i="37"/>
  <c r="AF757" i="37"/>
  <c r="AG757" i="37" s="1"/>
  <c r="D758" i="37"/>
  <c r="AD758" i="37" s="1"/>
  <c r="M758" i="37"/>
  <c r="L758" i="37" s="1"/>
  <c r="Q758" i="37"/>
  <c r="U758" i="37"/>
  <c r="AB758" i="37"/>
  <c r="AE758" i="37"/>
  <c r="AF758" i="37"/>
  <c r="AG758" i="37" s="1"/>
  <c r="D759" i="37"/>
  <c r="AD759" i="37" s="1"/>
  <c r="M759" i="37"/>
  <c r="L759" i="37" s="1"/>
  <c r="Q759" i="37"/>
  <c r="R759" i="37" s="1"/>
  <c r="U759" i="37"/>
  <c r="AB759" i="37"/>
  <c r="AE759" i="37"/>
  <c r="AF759" i="37"/>
  <c r="AG759" i="37" s="1"/>
  <c r="D760" i="37"/>
  <c r="AD760" i="37" s="1"/>
  <c r="M760" i="37"/>
  <c r="L760" i="37" s="1"/>
  <c r="Q760" i="37"/>
  <c r="U760" i="37"/>
  <c r="AB760" i="37"/>
  <c r="AE760" i="37"/>
  <c r="AF760" i="37"/>
  <c r="AG760" i="37" s="1"/>
  <c r="D761" i="37"/>
  <c r="AD761" i="37" s="1"/>
  <c r="M761" i="37"/>
  <c r="L761" i="37" s="1"/>
  <c r="Q761" i="37"/>
  <c r="U761" i="37"/>
  <c r="AB761" i="37"/>
  <c r="AE761" i="37"/>
  <c r="AF761" i="37"/>
  <c r="AG761" i="37" s="1"/>
  <c r="D762" i="37"/>
  <c r="AD762" i="37" s="1"/>
  <c r="M762" i="37"/>
  <c r="L762" i="37" s="1"/>
  <c r="Q762" i="37"/>
  <c r="U762" i="37"/>
  <c r="AB762" i="37"/>
  <c r="AE762" i="37"/>
  <c r="AF762" i="37"/>
  <c r="AG762" i="37" s="1"/>
  <c r="D763" i="37"/>
  <c r="AD763" i="37" s="1"/>
  <c r="M763" i="37"/>
  <c r="L763" i="37" s="1"/>
  <c r="Q763" i="37"/>
  <c r="X763" i="37" s="1"/>
  <c r="Y763" i="37" s="1"/>
  <c r="U763" i="37"/>
  <c r="AB763" i="37"/>
  <c r="AE763" i="37"/>
  <c r="AF763" i="37"/>
  <c r="AG763" i="37" s="1"/>
  <c r="D764" i="37"/>
  <c r="AD764" i="37" s="1"/>
  <c r="M764" i="37"/>
  <c r="L764" i="37" s="1"/>
  <c r="Q764" i="37"/>
  <c r="U764" i="37"/>
  <c r="AB764" i="37"/>
  <c r="AE764" i="37"/>
  <c r="AF764" i="37"/>
  <c r="AG764" i="37" s="1"/>
  <c r="D765" i="37"/>
  <c r="AD765" i="37" s="1"/>
  <c r="M765" i="37"/>
  <c r="L765" i="37" s="1"/>
  <c r="Q765" i="37"/>
  <c r="X765" i="37" s="1"/>
  <c r="Y765" i="37" s="1"/>
  <c r="U765" i="37"/>
  <c r="AB765" i="37"/>
  <c r="AE765" i="37"/>
  <c r="AF765" i="37"/>
  <c r="AG765" i="37" s="1"/>
  <c r="D766" i="37"/>
  <c r="AD766" i="37" s="1"/>
  <c r="M766" i="37"/>
  <c r="L766" i="37" s="1"/>
  <c r="Q766" i="37"/>
  <c r="X766" i="37" s="1"/>
  <c r="Y766" i="37" s="1"/>
  <c r="U766" i="37"/>
  <c r="AB766" i="37"/>
  <c r="AE766" i="37"/>
  <c r="AF766" i="37"/>
  <c r="AG766" i="37" s="1"/>
  <c r="D767" i="37"/>
  <c r="AD767" i="37" s="1"/>
  <c r="M767" i="37"/>
  <c r="L767" i="37" s="1"/>
  <c r="Q767" i="37"/>
  <c r="R767" i="37" s="1"/>
  <c r="U767" i="37"/>
  <c r="AB767" i="37"/>
  <c r="AE767" i="37"/>
  <c r="AF767" i="37"/>
  <c r="AG767" i="37" s="1"/>
  <c r="D768" i="37"/>
  <c r="AD768" i="37" s="1"/>
  <c r="M768" i="37"/>
  <c r="L768" i="37" s="1"/>
  <c r="Q768" i="37"/>
  <c r="X768" i="37" s="1"/>
  <c r="Y768" i="37" s="1"/>
  <c r="U768" i="37"/>
  <c r="AB768" i="37"/>
  <c r="AE768" i="37"/>
  <c r="AF768" i="37"/>
  <c r="AG768" i="37" s="1"/>
  <c r="D769" i="37"/>
  <c r="AD769" i="37" s="1"/>
  <c r="M769" i="37"/>
  <c r="L769" i="37" s="1"/>
  <c r="Q769" i="37"/>
  <c r="X769" i="37" s="1"/>
  <c r="Y769" i="37" s="1"/>
  <c r="U769" i="37"/>
  <c r="AB769" i="37"/>
  <c r="AE769" i="37"/>
  <c r="AF769" i="37"/>
  <c r="AG769" i="37" s="1"/>
  <c r="D770" i="37"/>
  <c r="AD770" i="37" s="1"/>
  <c r="M770" i="37"/>
  <c r="L770" i="37" s="1"/>
  <c r="Q770" i="37"/>
  <c r="X770" i="37" s="1"/>
  <c r="Y770" i="37" s="1"/>
  <c r="U770" i="37"/>
  <c r="AB770" i="37"/>
  <c r="AE770" i="37"/>
  <c r="AF770" i="37"/>
  <c r="AG770" i="37" s="1"/>
  <c r="D771" i="37"/>
  <c r="AD771" i="37" s="1"/>
  <c r="M771" i="37"/>
  <c r="L771" i="37" s="1"/>
  <c r="Q771" i="37"/>
  <c r="X771" i="37" s="1"/>
  <c r="Y771" i="37" s="1"/>
  <c r="U771" i="37"/>
  <c r="AB771" i="37"/>
  <c r="AE771" i="37"/>
  <c r="AF771" i="37"/>
  <c r="AG771" i="37" s="1"/>
  <c r="D772" i="37"/>
  <c r="AD772" i="37" s="1"/>
  <c r="M772" i="37"/>
  <c r="L772" i="37" s="1"/>
  <c r="Q772" i="37"/>
  <c r="R772" i="37" s="1"/>
  <c r="U772" i="37"/>
  <c r="AB772" i="37"/>
  <c r="AE772" i="37"/>
  <c r="AF772" i="37"/>
  <c r="AG772" i="37" s="1"/>
  <c r="D773" i="37"/>
  <c r="AD773" i="37" s="1"/>
  <c r="M773" i="37"/>
  <c r="L773" i="37" s="1"/>
  <c r="Q773" i="37"/>
  <c r="X773" i="37" s="1"/>
  <c r="Y773" i="37" s="1"/>
  <c r="U773" i="37"/>
  <c r="AB773" i="37"/>
  <c r="AE773" i="37"/>
  <c r="AF773" i="37"/>
  <c r="AG773" i="37" s="1"/>
  <c r="D774" i="37"/>
  <c r="AD774" i="37" s="1"/>
  <c r="M774" i="37"/>
  <c r="L774" i="37" s="1"/>
  <c r="Q774" i="37"/>
  <c r="U774" i="37"/>
  <c r="AB774" i="37"/>
  <c r="AE774" i="37"/>
  <c r="AF774" i="37"/>
  <c r="AG774" i="37" s="1"/>
  <c r="D775" i="37"/>
  <c r="AD775" i="37" s="1"/>
  <c r="M775" i="37"/>
  <c r="L775" i="37" s="1"/>
  <c r="Q775" i="37"/>
  <c r="X775" i="37" s="1"/>
  <c r="Y775" i="37" s="1"/>
  <c r="U775" i="37"/>
  <c r="AB775" i="37"/>
  <c r="AE775" i="37"/>
  <c r="AF775" i="37"/>
  <c r="AG775" i="37" s="1"/>
  <c r="D776" i="37"/>
  <c r="AD776" i="37" s="1"/>
  <c r="M776" i="37"/>
  <c r="L776" i="37" s="1"/>
  <c r="Q776" i="37"/>
  <c r="X776" i="37" s="1"/>
  <c r="Y776" i="37" s="1"/>
  <c r="U776" i="37"/>
  <c r="AB776" i="37"/>
  <c r="AE776" i="37"/>
  <c r="AF776" i="37"/>
  <c r="AG776" i="37" s="1"/>
  <c r="D777" i="37"/>
  <c r="AD777" i="37" s="1"/>
  <c r="M777" i="37"/>
  <c r="L777" i="37" s="1"/>
  <c r="Q777" i="37"/>
  <c r="X777" i="37" s="1"/>
  <c r="Y777" i="37" s="1"/>
  <c r="U777" i="37"/>
  <c r="AB777" i="37"/>
  <c r="AE777" i="37"/>
  <c r="AF777" i="37"/>
  <c r="AG777" i="37" s="1"/>
  <c r="D778" i="37"/>
  <c r="AD778" i="37" s="1"/>
  <c r="M778" i="37"/>
  <c r="L778" i="37" s="1"/>
  <c r="Q778" i="37"/>
  <c r="R778" i="37" s="1"/>
  <c r="U778" i="37"/>
  <c r="AB778" i="37"/>
  <c r="AE778" i="37"/>
  <c r="AF778" i="37"/>
  <c r="AG778" i="37" s="1"/>
  <c r="D779" i="37"/>
  <c r="AD779" i="37" s="1"/>
  <c r="M779" i="37"/>
  <c r="L779" i="37" s="1"/>
  <c r="Q779" i="37"/>
  <c r="X779" i="37" s="1"/>
  <c r="Y779" i="37" s="1"/>
  <c r="U779" i="37"/>
  <c r="AB779" i="37"/>
  <c r="AE779" i="37"/>
  <c r="AF779" i="37"/>
  <c r="AG779" i="37" s="1"/>
  <c r="D780" i="37"/>
  <c r="AD780" i="37" s="1"/>
  <c r="M780" i="37"/>
  <c r="L780" i="37" s="1"/>
  <c r="Q780" i="37"/>
  <c r="U780" i="37"/>
  <c r="AB780" i="37"/>
  <c r="AE780" i="37"/>
  <c r="AF780" i="37"/>
  <c r="AG780" i="37" s="1"/>
  <c r="D781" i="37"/>
  <c r="AD781" i="37" s="1"/>
  <c r="M781" i="37"/>
  <c r="L781" i="37" s="1"/>
  <c r="Q781" i="37"/>
  <c r="X781" i="37" s="1"/>
  <c r="Y781" i="37" s="1"/>
  <c r="U781" i="37"/>
  <c r="AB781" i="37"/>
  <c r="AE781" i="37"/>
  <c r="AF781" i="37"/>
  <c r="AG781" i="37" s="1"/>
  <c r="D782" i="37"/>
  <c r="AD782" i="37" s="1"/>
  <c r="M782" i="37"/>
  <c r="L782" i="37" s="1"/>
  <c r="Q782" i="37"/>
  <c r="X782" i="37" s="1"/>
  <c r="Y782" i="37" s="1"/>
  <c r="U782" i="37"/>
  <c r="AB782" i="37"/>
  <c r="AE782" i="37"/>
  <c r="AF782" i="37"/>
  <c r="AG782" i="37" s="1"/>
  <c r="D783" i="37"/>
  <c r="AD783" i="37" s="1"/>
  <c r="M783" i="37"/>
  <c r="L783" i="37" s="1"/>
  <c r="Q783" i="37"/>
  <c r="X783" i="37" s="1"/>
  <c r="Y783" i="37" s="1"/>
  <c r="U783" i="37"/>
  <c r="AB783" i="37"/>
  <c r="AE783" i="37"/>
  <c r="AF783" i="37"/>
  <c r="AG783" i="37" s="1"/>
  <c r="D784" i="37"/>
  <c r="AD784" i="37" s="1"/>
  <c r="M784" i="37"/>
  <c r="L784" i="37" s="1"/>
  <c r="Q784" i="37"/>
  <c r="X784" i="37" s="1"/>
  <c r="Y784" i="37" s="1"/>
  <c r="U784" i="37"/>
  <c r="AB784" i="37"/>
  <c r="AE784" i="37"/>
  <c r="AF784" i="37"/>
  <c r="AG784" i="37" s="1"/>
  <c r="D785" i="37"/>
  <c r="AD785" i="37" s="1"/>
  <c r="M785" i="37"/>
  <c r="L785" i="37" s="1"/>
  <c r="Q785" i="37"/>
  <c r="X785" i="37" s="1"/>
  <c r="Y785" i="37" s="1"/>
  <c r="U785" i="37"/>
  <c r="AB785" i="37"/>
  <c r="AE785" i="37"/>
  <c r="AF785" i="37"/>
  <c r="AG785" i="37" s="1"/>
  <c r="D786" i="37"/>
  <c r="AD786" i="37" s="1"/>
  <c r="M786" i="37"/>
  <c r="L786" i="37" s="1"/>
  <c r="Q786" i="37"/>
  <c r="X786" i="37" s="1"/>
  <c r="Y786" i="37" s="1"/>
  <c r="U786" i="37"/>
  <c r="AB786" i="37"/>
  <c r="AE786" i="37"/>
  <c r="AF786" i="37"/>
  <c r="AG786" i="37" s="1"/>
  <c r="D787" i="37"/>
  <c r="AD787" i="37" s="1"/>
  <c r="M787" i="37"/>
  <c r="L787" i="37" s="1"/>
  <c r="Q787" i="37"/>
  <c r="U787" i="37"/>
  <c r="AB787" i="37"/>
  <c r="AE787" i="37"/>
  <c r="AF787" i="37"/>
  <c r="AG787" i="37" s="1"/>
  <c r="D788" i="37"/>
  <c r="AD788" i="37" s="1"/>
  <c r="M788" i="37"/>
  <c r="L788" i="37" s="1"/>
  <c r="Q788" i="37"/>
  <c r="X788" i="37" s="1"/>
  <c r="Y788" i="37" s="1"/>
  <c r="U788" i="37"/>
  <c r="AB788" i="37"/>
  <c r="AE788" i="37"/>
  <c r="AF788" i="37"/>
  <c r="AG788" i="37" s="1"/>
  <c r="D789" i="37"/>
  <c r="AD789" i="37" s="1"/>
  <c r="M789" i="37"/>
  <c r="L789" i="37" s="1"/>
  <c r="Q789" i="37"/>
  <c r="R789" i="37" s="1"/>
  <c r="U789" i="37"/>
  <c r="AB789" i="37"/>
  <c r="AE789" i="37"/>
  <c r="AF789" i="37"/>
  <c r="AG789" i="37" s="1"/>
  <c r="D790" i="37"/>
  <c r="AD790" i="37" s="1"/>
  <c r="M790" i="37"/>
  <c r="L790" i="37" s="1"/>
  <c r="Q790" i="37"/>
  <c r="U790" i="37"/>
  <c r="AB790" i="37"/>
  <c r="AE790" i="37"/>
  <c r="AF790" i="37"/>
  <c r="AG790" i="37" s="1"/>
  <c r="D791" i="37"/>
  <c r="AD791" i="37" s="1"/>
  <c r="M791" i="37"/>
  <c r="L791" i="37" s="1"/>
  <c r="Q791" i="37"/>
  <c r="R791" i="37" s="1"/>
  <c r="U791" i="37"/>
  <c r="AB791" i="37"/>
  <c r="AE791" i="37"/>
  <c r="AF791" i="37"/>
  <c r="AG791" i="37" s="1"/>
  <c r="D792" i="37"/>
  <c r="AD792" i="37" s="1"/>
  <c r="M792" i="37"/>
  <c r="L792" i="37" s="1"/>
  <c r="Q792" i="37"/>
  <c r="X792" i="37" s="1"/>
  <c r="Y792" i="37" s="1"/>
  <c r="U792" i="37"/>
  <c r="AB792" i="37"/>
  <c r="AE792" i="37"/>
  <c r="AF792" i="37"/>
  <c r="AG792" i="37" s="1"/>
  <c r="D793" i="37"/>
  <c r="AD793" i="37" s="1"/>
  <c r="M793" i="37"/>
  <c r="L793" i="37" s="1"/>
  <c r="Q793" i="37"/>
  <c r="X793" i="37" s="1"/>
  <c r="Y793" i="37" s="1"/>
  <c r="U793" i="37"/>
  <c r="AB793" i="37"/>
  <c r="AE793" i="37"/>
  <c r="AF793" i="37"/>
  <c r="AG793" i="37" s="1"/>
  <c r="D794" i="37"/>
  <c r="AD794" i="37" s="1"/>
  <c r="M794" i="37"/>
  <c r="L794" i="37" s="1"/>
  <c r="Q794" i="37"/>
  <c r="X794" i="37" s="1"/>
  <c r="Y794" i="37" s="1"/>
  <c r="U794" i="37"/>
  <c r="AB794" i="37"/>
  <c r="AE794" i="37"/>
  <c r="AF794" i="37"/>
  <c r="AG794" i="37" s="1"/>
  <c r="D795" i="37"/>
  <c r="AD795" i="37" s="1"/>
  <c r="M795" i="37"/>
  <c r="L795" i="37" s="1"/>
  <c r="Q795" i="37"/>
  <c r="U795" i="37"/>
  <c r="AB795" i="37"/>
  <c r="AE795" i="37"/>
  <c r="AF795" i="37"/>
  <c r="AG795" i="37" s="1"/>
  <c r="D796" i="37"/>
  <c r="AD796" i="37" s="1"/>
  <c r="M796" i="37"/>
  <c r="L796" i="37" s="1"/>
  <c r="Q796" i="37"/>
  <c r="R796" i="37" s="1"/>
  <c r="U796" i="37"/>
  <c r="AB796" i="37"/>
  <c r="AE796" i="37"/>
  <c r="AF796" i="37"/>
  <c r="AG796" i="37" s="1"/>
  <c r="D797" i="37"/>
  <c r="AD797" i="37" s="1"/>
  <c r="M797" i="37"/>
  <c r="L797" i="37" s="1"/>
  <c r="Q797" i="37"/>
  <c r="R797" i="37" s="1"/>
  <c r="U797" i="37"/>
  <c r="AB797" i="37"/>
  <c r="AE797" i="37"/>
  <c r="AF797" i="37"/>
  <c r="AG797" i="37" s="1"/>
  <c r="D798" i="37"/>
  <c r="AD798" i="37" s="1"/>
  <c r="M798" i="37"/>
  <c r="L798" i="37" s="1"/>
  <c r="Q798" i="37"/>
  <c r="X798" i="37" s="1"/>
  <c r="Y798" i="37" s="1"/>
  <c r="U798" i="37"/>
  <c r="AB798" i="37"/>
  <c r="AE798" i="37"/>
  <c r="AF798" i="37"/>
  <c r="AG798" i="37" s="1"/>
  <c r="D799" i="37"/>
  <c r="AD799" i="37" s="1"/>
  <c r="M799" i="37"/>
  <c r="L799" i="37" s="1"/>
  <c r="Q799" i="37"/>
  <c r="R799" i="37" s="1"/>
  <c r="U799" i="37"/>
  <c r="AB799" i="37"/>
  <c r="AE799" i="37"/>
  <c r="AF799" i="37"/>
  <c r="AG799" i="37" s="1"/>
  <c r="D800" i="37"/>
  <c r="AD800" i="37" s="1"/>
  <c r="M800" i="37"/>
  <c r="L800" i="37" s="1"/>
  <c r="Q800" i="37"/>
  <c r="X800" i="37" s="1"/>
  <c r="Y800" i="37" s="1"/>
  <c r="U800" i="37"/>
  <c r="AB800" i="37"/>
  <c r="AE800" i="37"/>
  <c r="AF800" i="37"/>
  <c r="AG800" i="37" s="1"/>
  <c r="D801" i="37"/>
  <c r="AD801" i="37" s="1"/>
  <c r="M801" i="37"/>
  <c r="L801" i="37" s="1"/>
  <c r="Q801" i="37"/>
  <c r="X801" i="37" s="1"/>
  <c r="Y801" i="37" s="1"/>
  <c r="U801" i="37"/>
  <c r="AB801" i="37"/>
  <c r="AE801" i="37"/>
  <c r="AF801" i="37"/>
  <c r="AG801" i="37" s="1"/>
  <c r="D802" i="37"/>
  <c r="AD802" i="37" s="1"/>
  <c r="M802" i="37"/>
  <c r="L802" i="37" s="1"/>
  <c r="Q802" i="37"/>
  <c r="U802" i="37"/>
  <c r="AB802" i="37"/>
  <c r="AE802" i="37"/>
  <c r="AF802" i="37"/>
  <c r="AG802" i="37" s="1"/>
  <c r="D803" i="37"/>
  <c r="AD803" i="37" s="1"/>
  <c r="M803" i="37"/>
  <c r="L803" i="37" s="1"/>
  <c r="Q803" i="37"/>
  <c r="U803" i="37"/>
  <c r="AB803" i="37"/>
  <c r="AE803" i="37"/>
  <c r="AF803" i="37"/>
  <c r="AG803" i="37" s="1"/>
  <c r="D804" i="37"/>
  <c r="AD804" i="37" s="1"/>
  <c r="M804" i="37"/>
  <c r="L804" i="37" s="1"/>
  <c r="Q804" i="37"/>
  <c r="R804" i="37" s="1"/>
  <c r="U804" i="37"/>
  <c r="AB804" i="37"/>
  <c r="AE804" i="37"/>
  <c r="AF804" i="37"/>
  <c r="AG804" i="37" s="1"/>
  <c r="D805" i="37"/>
  <c r="AD805" i="37" s="1"/>
  <c r="M805" i="37"/>
  <c r="L805" i="37" s="1"/>
  <c r="Q805" i="37"/>
  <c r="U805" i="37"/>
  <c r="AB805" i="37"/>
  <c r="AE805" i="37"/>
  <c r="AF805" i="37"/>
  <c r="AG805" i="37" s="1"/>
  <c r="D806" i="37"/>
  <c r="AD806" i="37" s="1"/>
  <c r="M806" i="37"/>
  <c r="L806" i="37" s="1"/>
  <c r="Q806" i="37"/>
  <c r="U806" i="37"/>
  <c r="AB806" i="37"/>
  <c r="AE806" i="37"/>
  <c r="AF806" i="37"/>
  <c r="AG806" i="37" s="1"/>
  <c r="D807" i="37"/>
  <c r="AD807" i="37" s="1"/>
  <c r="M807" i="37"/>
  <c r="L807" i="37" s="1"/>
  <c r="Q807" i="37"/>
  <c r="U807" i="37"/>
  <c r="AB807" i="37"/>
  <c r="AE807" i="37"/>
  <c r="AF807" i="37"/>
  <c r="AG807" i="37" s="1"/>
  <c r="D808" i="37"/>
  <c r="AD808" i="37" s="1"/>
  <c r="M808" i="37"/>
  <c r="L808" i="37" s="1"/>
  <c r="Q808" i="37"/>
  <c r="X808" i="37" s="1"/>
  <c r="Y808" i="37" s="1"/>
  <c r="U808" i="37"/>
  <c r="AB808" i="37"/>
  <c r="AE808" i="37"/>
  <c r="AF808" i="37"/>
  <c r="AG808" i="37" s="1"/>
  <c r="D809" i="37"/>
  <c r="AD809" i="37" s="1"/>
  <c r="M809" i="37"/>
  <c r="L809" i="37" s="1"/>
  <c r="Q809" i="37"/>
  <c r="U809" i="37"/>
  <c r="AB809" i="37"/>
  <c r="AE809" i="37"/>
  <c r="AF809" i="37"/>
  <c r="AG809" i="37" s="1"/>
  <c r="D810" i="37"/>
  <c r="AD810" i="37" s="1"/>
  <c r="M810" i="37"/>
  <c r="L810" i="37" s="1"/>
  <c r="Q810" i="37"/>
  <c r="X810" i="37" s="1"/>
  <c r="Y810" i="37" s="1"/>
  <c r="U810" i="37"/>
  <c r="AB810" i="37"/>
  <c r="AE810" i="37"/>
  <c r="AF810" i="37"/>
  <c r="AG810" i="37" s="1"/>
  <c r="D811" i="37"/>
  <c r="AD811" i="37" s="1"/>
  <c r="M811" i="37"/>
  <c r="L811" i="37" s="1"/>
  <c r="Q811" i="37"/>
  <c r="U811" i="37"/>
  <c r="AB811" i="37"/>
  <c r="AE811" i="37"/>
  <c r="AF811" i="37"/>
  <c r="AG811" i="37" s="1"/>
  <c r="D812" i="37"/>
  <c r="AD812" i="37" s="1"/>
  <c r="M812" i="37"/>
  <c r="L812" i="37" s="1"/>
  <c r="Q812" i="37"/>
  <c r="R812" i="37" s="1"/>
  <c r="U812" i="37"/>
  <c r="AB812" i="37"/>
  <c r="AE812" i="37"/>
  <c r="AF812" i="37"/>
  <c r="AG812" i="37" s="1"/>
  <c r="D813" i="37"/>
  <c r="AD813" i="37" s="1"/>
  <c r="M813" i="37"/>
  <c r="L813" i="37" s="1"/>
  <c r="Q813" i="37"/>
  <c r="U813" i="37"/>
  <c r="AB813" i="37"/>
  <c r="AE813" i="37"/>
  <c r="AF813" i="37"/>
  <c r="AG813" i="37" s="1"/>
  <c r="D814" i="37"/>
  <c r="AD814" i="37" s="1"/>
  <c r="M814" i="37"/>
  <c r="L814" i="37" s="1"/>
  <c r="Q814" i="37"/>
  <c r="X814" i="37" s="1"/>
  <c r="Y814" i="37" s="1"/>
  <c r="U814" i="37"/>
  <c r="AB814" i="37"/>
  <c r="AE814" i="37"/>
  <c r="AF814" i="37"/>
  <c r="AG814" i="37" s="1"/>
  <c r="D815" i="37"/>
  <c r="AD815" i="37" s="1"/>
  <c r="M815" i="37"/>
  <c r="L815" i="37" s="1"/>
  <c r="Q815" i="37"/>
  <c r="R815" i="37" s="1"/>
  <c r="U815" i="37"/>
  <c r="AB815" i="37"/>
  <c r="AE815" i="37"/>
  <c r="AF815" i="37"/>
  <c r="AG815" i="37" s="1"/>
  <c r="D816" i="37"/>
  <c r="AD816" i="37" s="1"/>
  <c r="M816" i="37"/>
  <c r="L816" i="37" s="1"/>
  <c r="Q816" i="37"/>
  <c r="X816" i="37" s="1"/>
  <c r="Y816" i="37" s="1"/>
  <c r="U816" i="37"/>
  <c r="AB816" i="37"/>
  <c r="AE816" i="37"/>
  <c r="AF816" i="37"/>
  <c r="AG816" i="37" s="1"/>
  <c r="D817" i="37"/>
  <c r="AD817" i="37" s="1"/>
  <c r="M817" i="37"/>
  <c r="L817" i="37" s="1"/>
  <c r="Q817" i="37"/>
  <c r="U817" i="37"/>
  <c r="AB817" i="37"/>
  <c r="AE817" i="37"/>
  <c r="AF817" i="37"/>
  <c r="AG817" i="37" s="1"/>
  <c r="D818" i="37"/>
  <c r="AD818" i="37" s="1"/>
  <c r="M818" i="37"/>
  <c r="L818" i="37" s="1"/>
  <c r="Q818" i="37"/>
  <c r="U818" i="37"/>
  <c r="AB818" i="37"/>
  <c r="AE818" i="37"/>
  <c r="AF818" i="37"/>
  <c r="AG818" i="37" s="1"/>
  <c r="D819" i="37"/>
  <c r="AD819" i="37" s="1"/>
  <c r="M819" i="37"/>
  <c r="L819" i="37" s="1"/>
  <c r="Q819" i="37"/>
  <c r="U819" i="37"/>
  <c r="AB819" i="37"/>
  <c r="AE819" i="37"/>
  <c r="AF819" i="37"/>
  <c r="AG819" i="37" s="1"/>
  <c r="D820" i="37"/>
  <c r="AD820" i="37" s="1"/>
  <c r="M820" i="37"/>
  <c r="L820" i="37" s="1"/>
  <c r="Q820" i="37"/>
  <c r="X820" i="37" s="1"/>
  <c r="Y820" i="37" s="1"/>
  <c r="U820" i="37"/>
  <c r="AB820" i="37"/>
  <c r="AE820" i="37"/>
  <c r="AF820" i="37"/>
  <c r="AG820" i="37" s="1"/>
  <c r="D821" i="37"/>
  <c r="AD821" i="37" s="1"/>
  <c r="M821" i="37"/>
  <c r="L821" i="37" s="1"/>
  <c r="Q821" i="37"/>
  <c r="X821" i="37" s="1"/>
  <c r="Y821" i="37" s="1"/>
  <c r="U821" i="37"/>
  <c r="AB821" i="37"/>
  <c r="AE821" i="37"/>
  <c r="AF821" i="37"/>
  <c r="AG821" i="37" s="1"/>
  <c r="D822" i="37"/>
  <c r="AD822" i="37" s="1"/>
  <c r="M822" i="37"/>
  <c r="L822" i="37" s="1"/>
  <c r="Q822" i="37"/>
  <c r="R822" i="37" s="1"/>
  <c r="U822" i="37"/>
  <c r="AB822" i="37"/>
  <c r="AE822" i="37"/>
  <c r="AF822" i="37"/>
  <c r="AG822" i="37" s="1"/>
  <c r="D823" i="37"/>
  <c r="AD823" i="37" s="1"/>
  <c r="M823" i="37"/>
  <c r="L823" i="37" s="1"/>
  <c r="Q823" i="37"/>
  <c r="R823" i="37" s="1"/>
  <c r="U823" i="37"/>
  <c r="AB823" i="37"/>
  <c r="AE823" i="37"/>
  <c r="AF823" i="37"/>
  <c r="AG823" i="37" s="1"/>
  <c r="D824" i="37"/>
  <c r="AD824" i="37" s="1"/>
  <c r="M824" i="37"/>
  <c r="L824" i="37" s="1"/>
  <c r="Q824" i="37"/>
  <c r="U824" i="37"/>
  <c r="AB824" i="37"/>
  <c r="AE824" i="37"/>
  <c r="AF824" i="37"/>
  <c r="AG824" i="37" s="1"/>
  <c r="D825" i="37"/>
  <c r="AD825" i="37" s="1"/>
  <c r="M825" i="37"/>
  <c r="L825" i="37" s="1"/>
  <c r="Q825" i="37"/>
  <c r="X825" i="37" s="1"/>
  <c r="Y825" i="37" s="1"/>
  <c r="U825" i="37"/>
  <c r="AB825" i="37"/>
  <c r="AE825" i="37"/>
  <c r="AF825" i="37"/>
  <c r="AG825" i="37" s="1"/>
  <c r="D826" i="37"/>
  <c r="AD826" i="37" s="1"/>
  <c r="M826" i="37"/>
  <c r="L826" i="37" s="1"/>
  <c r="Q826" i="37"/>
  <c r="X826" i="37" s="1"/>
  <c r="Y826" i="37" s="1"/>
  <c r="U826" i="37"/>
  <c r="AB826" i="37"/>
  <c r="AE826" i="37"/>
  <c r="AF826" i="37"/>
  <c r="AG826" i="37" s="1"/>
  <c r="D827" i="37"/>
  <c r="AD827" i="37" s="1"/>
  <c r="M827" i="37"/>
  <c r="L827" i="37" s="1"/>
  <c r="Q827" i="37"/>
  <c r="U827" i="37"/>
  <c r="AB827" i="37"/>
  <c r="AE827" i="37"/>
  <c r="AF827" i="37"/>
  <c r="AG827" i="37" s="1"/>
  <c r="D828" i="37"/>
  <c r="AD828" i="37" s="1"/>
  <c r="M828" i="37"/>
  <c r="L828" i="37" s="1"/>
  <c r="Q828" i="37"/>
  <c r="R828" i="37" s="1"/>
  <c r="U828" i="37"/>
  <c r="AB828" i="37"/>
  <c r="AE828" i="37"/>
  <c r="AF828" i="37"/>
  <c r="AG828" i="37" s="1"/>
  <c r="D829" i="37"/>
  <c r="AD829" i="37" s="1"/>
  <c r="M829" i="37"/>
  <c r="L829" i="37" s="1"/>
  <c r="Q829" i="37"/>
  <c r="X829" i="37" s="1"/>
  <c r="Y829" i="37" s="1"/>
  <c r="U829" i="37"/>
  <c r="AB829" i="37"/>
  <c r="AE829" i="37"/>
  <c r="AF829" i="37"/>
  <c r="AG829" i="37" s="1"/>
  <c r="D830" i="37"/>
  <c r="AD830" i="37" s="1"/>
  <c r="M830" i="37"/>
  <c r="L830" i="37" s="1"/>
  <c r="Q830" i="37"/>
  <c r="X830" i="37" s="1"/>
  <c r="Y830" i="37" s="1"/>
  <c r="U830" i="37"/>
  <c r="AB830" i="37"/>
  <c r="AE830" i="37"/>
  <c r="AF830" i="37"/>
  <c r="AG830" i="37" s="1"/>
  <c r="D831" i="37"/>
  <c r="AD831" i="37" s="1"/>
  <c r="M831" i="37"/>
  <c r="L831" i="37" s="1"/>
  <c r="Q831" i="37"/>
  <c r="X831" i="37" s="1"/>
  <c r="Y831" i="37" s="1"/>
  <c r="U831" i="37"/>
  <c r="AB831" i="37"/>
  <c r="AE831" i="37"/>
  <c r="AF831" i="37"/>
  <c r="AG831" i="37" s="1"/>
  <c r="D832" i="37"/>
  <c r="AD832" i="37" s="1"/>
  <c r="M832" i="37"/>
  <c r="L832" i="37" s="1"/>
  <c r="Q832" i="37"/>
  <c r="X832" i="37" s="1"/>
  <c r="Y832" i="37" s="1"/>
  <c r="U832" i="37"/>
  <c r="AB832" i="37"/>
  <c r="AE832" i="37"/>
  <c r="AF832" i="37"/>
  <c r="AG832" i="37" s="1"/>
  <c r="D833" i="37"/>
  <c r="AD833" i="37" s="1"/>
  <c r="M833" i="37"/>
  <c r="L833" i="37" s="1"/>
  <c r="Q833" i="37"/>
  <c r="X833" i="37" s="1"/>
  <c r="Y833" i="37" s="1"/>
  <c r="U833" i="37"/>
  <c r="AB833" i="37"/>
  <c r="AE833" i="37"/>
  <c r="AF833" i="37"/>
  <c r="AG833" i="37" s="1"/>
  <c r="D834" i="37"/>
  <c r="AD834" i="37" s="1"/>
  <c r="M834" i="37"/>
  <c r="L834" i="37" s="1"/>
  <c r="Q834" i="37"/>
  <c r="U834" i="37"/>
  <c r="AB834" i="37"/>
  <c r="AE834" i="37"/>
  <c r="AF834" i="37"/>
  <c r="AG834" i="37" s="1"/>
  <c r="D835" i="37"/>
  <c r="AD835" i="37" s="1"/>
  <c r="M835" i="37"/>
  <c r="L835" i="37" s="1"/>
  <c r="Q835" i="37"/>
  <c r="U835" i="37"/>
  <c r="AB835" i="37"/>
  <c r="AE835" i="37"/>
  <c r="AF835" i="37"/>
  <c r="AG835" i="37" s="1"/>
  <c r="D836" i="37"/>
  <c r="AD836" i="37" s="1"/>
  <c r="M836" i="37"/>
  <c r="L836" i="37" s="1"/>
  <c r="Q836" i="37"/>
  <c r="U836" i="37"/>
  <c r="AB836" i="37"/>
  <c r="AE836" i="37"/>
  <c r="AF836" i="37"/>
  <c r="AG836" i="37" s="1"/>
  <c r="D837" i="37"/>
  <c r="AD837" i="37" s="1"/>
  <c r="M837" i="37"/>
  <c r="L837" i="37" s="1"/>
  <c r="Q837" i="37"/>
  <c r="X837" i="37" s="1"/>
  <c r="Y837" i="37" s="1"/>
  <c r="U837" i="37"/>
  <c r="AB837" i="37"/>
  <c r="AE837" i="37"/>
  <c r="AF837" i="37"/>
  <c r="AG837" i="37" s="1"/>
  <c r="D838" i="37"/>
  <c r="AD838" i="37" s="1"/>
  <c r="M838" i="37"/>
  <c r="L838" i="37" s="1"/>
  <c r="Q838" i="37"/>
  <c r="X838" i="37" s="1"/>
  <c r="Y838" i="37" s="1"/>
  <c r="U838" i="37"/>
  <c r="AB838" i="37"/>
  <c r="AE838" i="37"/>
  <c r="AF838" i="37"/>
  <c r="AG838" i="37" s="1"/>
  <c r="D839" i="37"/>
  <c r="AD839" i="37" s="1"/>
  <c r="M839" i="37"/>
  <c r="L839" i="37" s="1"/>
  <c r="Q839" i="37"/>
  <c r="R839" i="37" s="1"/>
  <c r="U839" i="37"/>
  <c r="AB839" i="37"/>
  <c r="AE839" i="37"/>
  <c r="AF839" i="37"/>
  <c r="AG839" i="37" s="1"/>
  <c r="D840" i="37"/>
  <c r="AD840" i="37" s="1"/>
  <c r="M840" i="37"/>
  <c r="L840" i="37" s="1"/>
  <c r="Q840" i="37"/>
  <c r="R840" i="37" s="1"/>
  <c r="U840" i="37"/>
  <c r="AB840" i="37"/>
  <c r="AE840" i="37"/>
  <c r="AF840" i="37"/>
  <c r="AG840" i="37" s="1"/>
  <c r="D841" i="37"/>
  <c r="AD841" i="37" s="1"/>
  <c r="M841" i="37"/>
  <c r="L841" i="37" s="1"/>
  <c r="Q841" i="37"/>
  <c r="U841" i="37"/>
  <c r="AB841" i="37"/>
  <c r="AE841" i="37"/>
  <c r="AF841" i="37"/>
  <c r="AG841" i="37" s="1"/>
  <c r="D842" i="37"/>
  <c r="AD842" i="37" s="1"/>
  <c r="M842" i="37"/>
  <c r="L842" i="37" s="1"/>
  <c r="Q842" i="37"/>
  <c r="X842" i="37" s="1"/>
  <c r="Y842" i="37" s="1"/>
  <c r="U842" i="37"/>
  <c r="AB842" i="37"/>
  <c r="AE842" i="37"/>
  <c r="AF842" i="37"/>
  <c r="AG842" i="37" s="1"/>
  <c r="D843" i="37"/>
  <c r="AD843" i="37" s="1"/>
  <c r="M843" i="37"/>
  <c r="L843" i="37" s="1"/>
  <c r="Q843" i="37"/>
  <c r="U843" i="37"/>
  <c r="AB843" i="37"/>
  <c r="AE843" i="37"/>
  <c r="AF843" i="37"/>
  <c r="AG843" i="37" s="1"/>
  <c r="D844" i="37"/>
  <c r="AD844" i="37" s="1"/>
  <c r="M844" i="37"/>
  <c r="L844" i="37" s="1"/>
  <c r="Q844" i="37"/>
  <c r="R844" i="37" s="1"/>
  <c r="U844" i="37"/>
  <c r="AB844" i="37"/>
  <c r="AE844" i="37"/>
  <c r="AF844" i="37"/>
  <c r="AG844" i="37" s="1"/>
  <c r="D845" i="37"/>
  <c r="AD845" i="37" s="1"/>
  <c r="M845" i="37"/>
  <c r="L845" i="37" s="1"/>
  <c r="Q845" i="37"/>
  <c r="X845" i="37" s="1"/>
  <c r="Y845" i="37" s="1"/>
  <c r="U845" i="37"/>
  <c r="AB845" i="37"/>
  <c r="AE845" i="37"/>
  <c r="AF845" i="37"/>
  <c r="AG845" i="37" s="1"/>
  <c r="D846" i="37"/>
  <c r="AD846" i="37" s="1"/>
  <c r="M846" i="37"/>
  <c r="L846" i="37" s="1"/>
  <c r="Q846" i="37"/>
  <c r="R846" i="37" s="1"/>
  <c r="U846" i="37"/>
  <c r="AB846" i="37"/>
  <c r="AE846" i="37"/>
  <c r="AF846" i="37"/>
  <c r="AG846" i="37" s="1"/>
  <c r="D847" i="37"/>
  <c r="AD847" i="37" s="1"/>
  <c r="M847" i="37"/>
  <c r="L847" i="37" s="1"/>
  <c r="Q847" i="37"/>
  <c r="X847" i="37" s="1"/>
  <c r="Y847" i="37" s="1"/>
  <c r="U847" i="37"/>
  <c r="AB847" i="37"/>
  <c r="AE847" i="37"/>
  <c r="AF847" i="37"/>
  <c r="AG847" i="37" s="1"/>
  <c r="D848" i="37"/>
  <c r="AD848" i="37" s="1"/>
  <c r="M848" i="37"/>
  <c r="L848" i="37" s="1"/>
  <c r="Q848" i="37"/>
  <c r="X848" i="37" s="1"/>
  <c r="Y848" i="37" s="1"/>
  <c r="U848" i="37"/>
  <c r="AB848" i="37"/>
  <c r="AE848" i="37"/>
  <c r="AF848" i="37"/>
  <c r="AG848" i="37" s="1"/>
  <c r="D849" i="37"/>
  <c r="AD849" i="37" s="1"/>
  <c r="M849" i="37"/>
  <c r="L849" i="37" s="1"/>
  <c r="Q849" i="37"/>
  <c r="X849" i="37" s="1"/>
  <c r="Y849" i="37" s="1"/>
  <c r="U849" i="37"/>
  <c r="AB849" i="37"/>
  <c r="AE849" i="37"/>
  <c r="AF849" i="37"/>
  <c r="AG849" i="37" s="1"/>
  <c r="D850" i="37"/>
  <c r="AD850" i="37" s="1"/>
  <c r="M850" i="37"/>
  <c r="L850" i="37" s="1"/>
  <c r="Q850" i="37"/>
  <c r="X850" i="37" s="1"/>
  <c r="Y850" i="37" s="1"/>
  <c r="U850" i="37"/>
  <c r="AB850" i="37"/>
  <c r="AE850" i="37"/>
  <c r="AF850" i="37"/>
  <c r="AG850" i="37" s="1"/>
  <c r="D851" i="37"/>
  <c r="AD851" i="37" s="1"/>
  <c r="M851" i="37"/>
  <c r="L851" i="37" s="1"/>
  <c r="Q851" i="37"/>
  <c r="X851" i="37" s="1"/>
  <c r="Y851" i="37" s="1"/>
  <c r="U851" i="37"/>
  <c r="AB851" i="37"/>
  <c r="AE851" i="37"/>
  <c r="AF851" i="37"/>
  <c r="AG851" i="37" s="1"/>
  <c r="D852" i="37"/>
  <c r="AD852" i="37" s="1"/>
  <c r="M852" i="37"/>
  <c r="L852" i="37" s="1"/>
  <c r="Q852" i="37"/>
  <c r="R852" i="37" s="1"/>
  <c r="U852" i="37"/>
  <c r="AB852" i="37"/>
  <c r="AE852" i="37"/>
  <c r="AF852" i="37"/>
  <c r="AG852" i="37" s="1"/>
  <c r="D853" i="37"/>
  <c r="AD853" i="37" s="1"/>
  <c r="M853" i="37"/>
  <c r="L853" i="37" s="1"/>
  <c r="Q853" i="37"/>
  <c r="X853" i="37" s="1"/>
  <c r="Y853" i="37" s="1"/>
  <c r="U853" i="37"/>
  <c r="AB853" i="37"/>
  <c r="AE853" i="37"/>
  <c r="AF853" i="37"/>
  <c r="AG853" i="37" s="1"/>
  <c r="D854" i="37"/>
  <c r="AD854" i="37" s="1"/>
  <c r="M854" i="37"/>
  <c r="L854" i="37" s="1"/>
  <c r="Q854" i="37"/>
  <c r="R854" i="37" s="1"/>
  <c r="U854" i="37"/>
  <c r="AB854" i="37"/>
  <c r="AE854" i="37"/>
  <c r="AF854" i="37"/>
  <c r="AG854" i="37" s="1"/>
  <c r="D855" i="37"/>
  <c r="AD855" i="37" s="1"/>
  <c r="M855" i="37"/>
  <c r="L855" i="37" s="1"/>
  <c r="Q855" i="37"/>
  <c r="R855" i="37" s="1"/>
  <c r="U855" i="37"/>
  <c r="AB855" i="37"/>
  <c r="AE855" i="37"/>
  <c r="AF855" i="37"/>
  <c r="AG855" i="37" s="1"/>
  <c r="D856" i="37"/>
  <c r="AD856" i="37" s="1"/>
  <c r="M856" i="37"/>
  <c r="L856" i="37" s="1"/>
  <c r="Q856" i="37"/>
  <c r="X856" i="37" s="1"/>
  <c r="Y856" i="37" s="1"/>
  <c r="U856" i="37"/>
  <c r="AB856" i="37"/>
  <c r="AE856" i="37"/>
  <c r="AF856" i="37"/>
  <c r="AG856" i="37" s="1"/>
  <c r="D857" i="37"/>
  <c r="AD857" i="37" s="1"/>
  <c r="M857" i="37"/>
  <c r="L857" i="37" s="1"/>
  <c r="Q857" i="37"/>
  <c r="X857" i="37" s="1"/>
  <c r="Y857" i="37" s="1"/>
  <c r="U857" i="37"/>
  <c r="AB857" i="37"/>
  <c r="AE857" i="37"/>
  <c r="AF857" i="37"/>
  <c r="AG857" i="37" s="1"/>
  <c r="D858" i="37"/>
  <c r="AD858" i="37" s="1"/>
  <c r="M858" i="37"/>
  <c r="L858" i="37" s="1"/>
  <c r="Q858" i="37"/>
  <c r="X858" i="37" s="1"/>
  <c r="Y858" i="37" s="1"/>
  <c r="U858" i="37"/>
  <c r="AB858" i="37"/>
  <c r="AE858" i="37"/>
  <c r="AF858" i="37"/>
  <c r="AG858" i="37" s="1"/>
  <c r="D859" i="37"/>
  <c r="AD859" i="37" s="1"/>
  <c r="M859" i="37"/>
  <c r="L859" i="37" s="1"/>
  <c r="Q859" i="37"/>
  <c r="U859" i="37"/>
  <c r="AB859" i="37"/>
  <c r="AE859" i="37"/>
  <c r="AF859" i="37"/>
  <c r="AG859" i="37" s="1"/>
  <c r="D860" i="37"/>
  <c r="AD860" i="37" s="1"/>
  <c r="M860" i="37"/>
  <c r="L860" i="37" s="1"/>
  <c r="Q860" i="37"/>
  <c r="R860" i="37" s="1"/>
  <c r="U860" i="37"/>
  <c r="AB860" i="37"/>
  <c r="AE860" i="37"/>
  <c r="AF860" i="37"/>
  <c r="AG860" i="37" s="1"/>
  <c r="D861" i="37"/>
  <c r="AD861" i="37" s="1"/>
  <c r="M861" i="37"/>
  <c r="L861" i="37" s="1"/>
  <c r="Q861" i="37"/>
  <c r="R861" i="37" s="1"/>
  <c r="U861" i="37"/>
  <c r="AB861" i="37"/>
  <c r="AE861" i="37"/>
  <c r="AF861" i="37"/>
  <c r="AG861" i="37" s="1"/>
  <c r="D862" i="37"/>
  <c r="AD862" i="37" s="1"/>
  <c r="M862" i="37"/>
  <c r="L862" i="37" s="1"/>
  <c r="Q862" i="37"/>
  <c r="R862" i="37" s="1"/>
  <c r="U862" i="37"/>
  <c r="AB862" i="37"/>
  <c r="AE862" i="37"/>
  <c r="AF862" i="37"/>
  <c r="AG862" i="37" s="1"/>
  <c r="D863" i="37"/>
  <c r="AD863" i="37" s="1"/>
  <c r="M863" i="37"/>
  <c r="L863" i="37" s="1"/>
  <c r="Q863" i="37"/>
  <c r="U863" i="37"/>
  <c r="AB863" i="37"/>
  <c r="AE863" i="37"/>
  <c r="AF863" i="37"/>
  <c r="AG863" i="37" s="1"/>
  <c r="D864" i="37"/>
  <c r="AD864" i="37" s="1"/>
  <c r="M864" i="37"/>
  <c r="L864" i="37" s="1"/>
  <c r="Q864" i="37"/>
  <c r="X864" i="37" s="1"/>
  <c r="Y864" i="37" s="1"/>
  <c r="U864" i="37"/>
  <c r="AB864" i="37"/>
  <c r="AE864" i="37"/>
  <c r="AF864" i="37"/>
  <c r="AG864" i="37" s="1"/>
  <c r="D865" i="37"/>
  <c r="AD865" i="37" s="1"/>
  <c r="M865" i="37"/>
  <c r="L865" i="37" s="1"/>
  <c r="Q865" i="37"/>
  <c r="U865" i="37"/>
  <c r="AB865" i="37"/>
  <c r="AE865" i="37"/>
  <c r="AF865" i="37"/>
  <c r="AG865" i="37" s="1"/>
  <c r="D866" i="37"/>
  <c r="AD866" i="37" s="1"/>
  <c r="M866" i="37"/>
  <c r="L866" i="37" s="1"/>
  <c r="Q866" i="37"/>
  <c r="X866" i="37" s="1"/>
  <c r="Y866" i="37" s="1"/>
  <c r="U866" i="37"/>
  <c r="AB866" i="37"/>
  <c r="AE866" i="37"/>
  <c r="AF866" i="37"/>
  <c r="AG866" i="37" s="1"/>
  <c r="D867" i="37"/>
  <c r="AD867" i="37" s="1"/>
  <c r="M867" i="37"/>
  <c r="L867" i="37" s="1"/>
  <c r="Q867" i="37"/>
  <c r="X867" i="37" s="1"/>
  <c r="Y867" i="37" s="1"/>
  <c r="U867" i="37"/>
  <c r="AB867" i="37"/>
  <c r="AE867" i="37"/>
  <c r="AF867" i="37"/>
  <c r="AG867" i="37" s="1"/>
  <c r="D868" i="37"/>
  <c r="AD868" i="37" s="1"/>
  <c r="M868" i="37"/>
  <c r="L868" i="37" s="1"/>
  <c r="Q868" i="37"/>
  <c r="X868" i="37" s="1"/>
  <c r="Y868" i="37" s="1"/>
  <c r="U868" i="37"/>
  <c r="AB868" i="37"/>
  <c r="AE868" i="37"/>
  <c r="AF868" i="37"/>
  <c r="AG868" i="37" s="1"/>
  <c r="D869" i="37"/>
  <c r="AD869" i="37" s="1"/>
  <c r="M869" i="37"/>
  <c r="L869" i="37" s="1"/>
  <c r="Q869" i="37"/>
  <c r="X869" i="37" s="1"/>
  <c r="Y869" i="37" s="1"/>
  <c r="U869" i="37"/>
  <c r="AB869" i="37"/>
  <c r="AE869" i="37"/>
  <c r="AF869" i="37"/>
  <c r="AG869" i="37" s="1"/>
  <c r="D870" i="37"/>
  <c r="AD870" i="37" s="1"/>
  <c r="M870" i="37"/>
  <c r="L870" i="37" s="1"/>
  <c r="Q870" i="37"/>
  <c r="R870" i="37" s="1"/>
  <c r="U870" i="37"/>
  <c r="AB870" i="37"/>
  <c r="AE870" i="37"/>
  <c r="AF870" i="37"/>
  <c r="AG870" i="37" s="1"/>
  <c r="D871" i="37"/>
  <c r="AD871" i="37" s="1"/>
  <c r="M871" i="37"/>
  <c r="L871" i="37" s="1"/>
  <c r="Q871" i="37"/>
  <c r="R871" i="37" s="1"/>
  <c r="U871" i="37"/>
  <c r="AB871" i="37"/>
  <c r="AE871" i="37"/>
  <c r="AF871" i="37"/>
  <c r="AG871" i="37" s="1"/>
  <c r="D872" i="37"/>
  <c r="AD872" i="37" s="1"/>
  <c r="M872" i="37"/>
  <c r="L872" i="37" s="1"/>
  <c r="Q872" i="37"/>
  <c r="X872" i="37" s="1"/>
  <c r="Y872" i="37" s="1"/>
  <c r="U872" i="37"/>
  <c r="AB872" i="37"/>
  <c r="AE872" i="37"/>
  <c r="AF872" i="37"/>
  <c r="AG872" i="37" s="1"/>
  <c r="D873" i="37"/>
  <c r="AD873" i="37" s="1"/>
  <c r="M873" i="37"/>
  <c r="L873" i="37" s="1"/>
  <c r="Q873" i="37"/>
  <c r="X873" i="37" s="1"/>
  <c r="Y873" i="37" s="1"/>
  <c r="U873" i="37"/>
  <c r="AB873" i="37"/>
  <c r="AE873" i="37"/>
  <c r="AF873" i="37"/>
  <c r="AG873" i="37" s="1"/>
  <c r="D874" i="37"/>
  <c r="AD874" i="37" s="1"/>
  <c r="M874" i="37"/>
  <c r="L874" i="37" s="1"/>
  <c r="Q874" i="37"/>
  <c r="X874" i="37" s="1"/>
  <c r="Y874" i="37" s="1"/>
  <c r="U874" i="37"/>
  <c r="AB874" i="37"/>
  <c r="AE874" i="37"/>
  <c r="AF874" i="37"/>
  <c r="AG874" i="37" s="1"/>
  <c r="D875" i="37"/>
  <c r="AD875" i="37" s="1"/>
  <c r="M875" i="37"/>
  <c r="L875" i="37" s="1"/>
  <c r="Q875" i="37"/>
  <c r="U875" i="37"/>
  <c r="AB875" i="37"/>
  <c r="AE875" i="37"/>
  <c r="AF875" i="37"/>
  <c r="AG875" i="37" s="1"/>
  <c r="D876" i="37"/>
  <c r="AD876" i="37" s="1"/>
  <c r="M876" i="37"/>
  <c r="L876" i="37" s="1"/>
  <c r="Q876" i="37"/>
  <c r="R876" i="37" s="1"/>
  <c r="U876" i="37"/>
  <c r="AB876" i="37"/>
  <c r="AE876" i="37"/>
  <c r="AF876" i="37"/>
  <c r="AG876" i="37" s="1"/>
  <c r="D877" i="37"/>
  <c r="AD877" i="37" s="1"/>
  <c r="M877" i="37"/>
  <c r="L877" i="37" s="1"/>
  <c r="Q877" i="37"/>
  <c r="R877" i="37" s="1"/>
  <c r="U877" i="37"/>
  <c r="AB877" i="37"/>
  <c r="AE877" i="37"/>
  <c r="AF877" i="37"/>
  <c r="AG877" i="37" s="1"/>
  <c r="D878" i="37"/>
  <c r="AD878" i="37" s="1"/>
  <c r="M878" i="37"/>
  <c r="L878" i="37" s="1"/>
  <c r="Q878" i="37"/>
  <c r="R878" i="37" s="1"/>
  <c r="U878" i="37"/>
  <c r="AB878" i="37"/>
  <c r="AE878" i="37"/>
  <c r="AF878" i="37"/>
  <c r="AG878" i="37" s="1"/>
  <c r="D879" i="37"/>
  <c r="AD879" i="37" s="1"/>
  <c r="M879" i="37"/>
  <c r="L879" i="37" s="1"/>
  <c r="Q879" i="37"/>
  <c r="R879" i="37" s="1"/>
  <c r="U879" i="37"/>
  <c r="AB879" i="37"/>
  <c r="AE879" i="37"/>
  <c r="AF879" i="37"/>
  <c r="AG879" i="37" s="1"/>
  <c r="D880" i="37"/>
  <c r="AD880" i="37" s="1"/>
  <c r="M880" i="37"/>
  <c r="L880" i="37" s="1"/>
  <c r="Q880" i="37"/>
  <c r="X880" i="37" s="1"/>
  <c r="Y880" i="37" s="1"/>
  <c r="U880" i="37"/>
  <c r="AB880" i="37"/>
  <c r="AE880" i="37"/>
  <c r="AF880" i="37"/>
  <c r="AG880" i="37" s="1"/>
  <c r="D881" i="37"/>
  <c r="AD881" i="37" s="1"/>
  <c r="M881" i="37"/>
  <c r="L881" i="37" s="1"/>
  <c r="Q881" i="37"/>
  <c r="X881" i="37" s="1"/>
  <c r="Y881" i="37" s="1"/>
  <c r="U881" i="37"/>
  <c r="AB881" i="37"/>
  <c r="AE881" i="37"/>
  <c r="AF881" i="37"/>
  <c r="AG881" i="37" s="1"/>
  <c r="D882" i="37"/>
  <c r="AD882" i="37" s="1"/>
  <c r="M882" i="37"/>
  <c r="L882" i="37" s="1"/>
  <c r="Q882" i="37"/>
  <c r="X882" i="37" s="1"/>
  <c r="Y882" i="37" s="1"/>
  <c r="U882" i="37"/>
  <c r="AB882" i="37"/>
  <c r="AE882" i="37"/>
  <c r="AF882" i="37"/>
  <c r="AG882" i="37" s="1"/>
  <c r="D883" i="37"/>
  <c r="AD883" i="37" s="1"/>
  <c r="M883" i="37"/>
  <c r="L883" i="37" s="1"/>
  <c r="Q883" i="37"/>
  <c r="U883" i="37"/>
  <c r="AB883" i="37"/>
  <c r="AE883" i="37"/>
  <c r="AF883" i="37"/>
  <c r="AG883" i="37" s="1"/>
  <c r="D884" i="37"/>
  <c r="AD884" i="37" s="1"/>
  <c r="M884" i="37"/>
  <c r="L884" i="37" s="1"/>
  <c r="Q884" i="37"/>
  <c r="X884" i="37" s="1"/>
  <c r="Y884" i="37" s="1"/>
  <c r="U884" i="37"/>
  <c r="AB884" i="37"/>
  <c r="AE884" i="37"/>
  <c r="AF884" i="37"/>
  <c r="AG884" i="37" s="1"/>
  <c r="D885" i="37"/>
  <c r="AD885" i="37" s="1"/>
  <c r="M885" i="37"/>
  <c r="L885" i="37" s="1"/>
  <c r="Q885" i="37"/>
  <c r="R885" i="37" s="1"/>
  <c r="U885" i="37"/>
  <c r="AB885" i="37"/>
  <c r="AE885" i="37"/>
  <c r="AF885" i="37"/>
  <c r="AG885" i="37" s="1"/>
  <c r="D886" i="37"/>
  <c r="AD886" i="37" s="1"/>
  <c r="M886" i="37"/>
  <c r="L886" i="37" s="1"/>
  <c r="Q886" i="37"/>
  <c r="R886" i="37" s="1"/>
  <c r="U886" i="37"/>
  <c r="AB886" i="37"/>
  <c r="AE886" i="37"/>
  <c r="AF886" i="37"/>
  <c r="AG886" i="37" s="1"/>
  <c r="D887" i="37"/>
  <c r="AD887" i="37" s="1"/>
  <c r="M887" i="37"/>
  <c r="L887" i="37" s="1"/>
  <c r="Q887" i="37"/>
  <c r="R887" i="37" s="1"/>
  <c r="U887" i="37"/>
  <c r="AB887" i="37"/>
  <c r="AE887" i="37"/>
  <c r="AF887" i="37"/>
  <c r="AG887" i="37" s="1"/>
  <c r="D888" i="37"/>
  <c r="AD888" i="37" s="1"/>
  <c r="M888" i="37"/>
  <c r="L888" i="37" s="1"/>
  <c r="Q888" i="37"/>
  <c r="X888" i="37" s="1"/>
  <c r="Y888" i="37" s="1"/>
  <c r="U888" i="37"/>
  <c r="AB888" i="37"/>
  <c r="AE888" i="37"/>
  <c r="AF888" i="37"/>
  <c r="AG888" i="37" s="1"/>
  <c r="D889" i="37"/>
  <c r="AD889" i="37" s="1"/>
  <c r="M889" i="37"/>
  <c r="L889" i="37" s="1"/>
  <c r="Q889" i="37"/>
  <c r="X889" i="37" s="1"/>
  <c r="Y889" i="37" s="1"/>
  <c r="U889" i="37"/>
  <c r="AB889" i="37"/>
  <c r="AE889" i="37"/>
  <c r="AF889" i="37"/>
  <c r="AG889" i="37" s="1"/>
  <c r="D890" i="37"/>
  <c r="AD890" i="37" s="1"/>
  <c r="M890" i="37"/>
  <c r="L890" i="37" s="1"/>
  <c r="Q890" i="37"/>
  <c r="X890" i="37" s="1"/>
  <c r="Y890" i="37" s="1"/>
  <c r="U890" i="37"/>
  <c r="AB890" i="37"/>
  <c r="AE890" i="37"/>
  <c r="AF890" i="37"/>
  <c r="AG890" i="37" s="1"/>
  <c r="D891" i="37"/>
  <c r="AD891" i="37" s="1"/>
  <c r="M891" i="37"/>
  <c r="L891" i="37" s="1"/>
  <c r="Q891" i="37"/>
  <c r="U891" i="37"/>
  <c r="AB891" i="37"/>
  <c r="AE891" i="37"/>
  <c r="AF891" i="37"/>
  <c r="AG891" i="37" s="1"/>
  <c r="D892" i="37"/>
  <c r="AD892" i="37" s="1"/>
  <c r="M892" i="37"/>
  <c r="L892" i="37" s="1"/>
  <c r="Q892" i="37"/>
  <c r="U892" i="37"/>
  <c r="AB892" i="37"/>
  <c r="AE892" i="37"/>
  <c r="AF892" i="37"/>
  <c r="AG892" i="37" s="1"/>
  <c r="D893" i="37"/>
  <c r="AD893" i="37" s="1"/>
  <c r="M893" i="37"/>
  <c r="L893" i="37" s="1"/>
  <c r="Q893" i="37"/>
  <c r="U893" i="37"/>
  <c r="AB893" i="37"/>
  <c r="AE893" i="37"/>
  <c r="AF893" i="37"/>
  <c r="AG893" i="37" s="1"/>
  <c r="D894" i="37"/>
  <c r="AD894" i="37" s="1"/>
  <c r="M894" i="37"/>
  <c r="L894" i="37" s="1"/>
  <c r="Q894" i="37"/>
  <c r="U894" i="37"/>
  <c r="AB894" i="37"/>
  <c r="AE894" i="37"/>
  <c r="AF894" i="37"/>
  <c r="AG894" i="37" s="1"/>
  <c r="D895" i="37"/>
  <c r="AD895" i="37" s="1"/>
  <c r="M895" i="37"/>
  <c r="L895" i="37" s="1"/>
  <c r="Q895" i="37"/>
  <c r="R895" i="37" s="1"/>
  <c r="U895" i="37"/>
  <c r="AB895" i="37"/>
  <c r="AE895" i="37"/>
  <c r="AF895" i="37"/>
  <c r="AG895" i="37" s="1"/>
  <c r="D896" i="37"/>
  <c r="AD896" i="37" s="1"/>
  <c r="M896" i="37"/>
  <c r="L896" i="37" s="1"/>
  <c r="Q896" i="37"/>
  <c r="U896" i="37"/>
  <c r="AB896" i="37"/>
  <c r="AE896" i="37"/>
  <c r="AF896" i="37"/>
  <c r="AG896" i="37" s="1"/>
  <c r="D897" i="37"/>
  <c r="AD897" i="37" s="1"/>
  <c r="M897" i="37"/>
  <c r="L897" i="37" s="1"/>
  <c r="Q897" i="37"/>
  <c r="X897" i="37" s="1"/>
  <c r="Y897" i="37" s="1"/>
  <c r="U897" i="37"/>
  <c r="AB897" i="37"/>
  <c r="AE897" i="37"/>
  <c r="AF897" i="37"/>
  <c r="AG897" i="37" s="1"/>
  <c r="D898" i="37"/>
  <c r="AD898" i="37" s="1"/>
  <c r="M898" i="37"/>
  <c r="L898" i="37" s="1"/>
  <c r="Q898" i="37"/>
  <c r="X898" i="37" s="1"/>
  <c r="Y898" i="37" s="1"/>
  <c r="U898" i="37"/>
  <c r="AB898" i="37"/>
  <c r="AE898" i="37"/>
  <c r="AF898" i="37"/>
  <c r="AG898" i="37" s="1"/>
  <c r="D899" i="37"/>
  <c r="AD899" i="37" s="1"/>
  <c r="M899" i="37"/>
  <c r="L899" i="37" s="1"/>
  <c r="Q899" i="37"/>
  <c r="X899" i="37" s="1"/>
  <c r="Y899" i="37" s="1"/>
  <c r="U899" i="37"/>
  <c r="AB899" i="37"/>
  <c r="AE899" i="37"/>
  <c r="AF899" i="37"/>
  <c r="AG899" i="37" s="1"/>
  <c r="D900" i="37"/>
  <c r="AD900" i="37" s="1"/>
  <c r="M900" i="37"/>
  <c r="L900" i="37" s="1"/>
  <c r="Q900" i="37"/>
  <c r="R900" i="37" s="1"/>
  <c r="U900" i="37"/>
  <c r="AB900" i="37"/>
  <c r="AE900" i="37"/>
  <c r="AF900" i="37"/>
  <c r="AG900" i="37" s="1"/>
  <c r="D901" i="37"/>
  <c r="AD901" i="37" s="1"/>
  <c r="M901" i="37"/>
  <c r="L901" i="37" s="1"/>
  <c r="Q901" i="37"/>
  <c r="R901" i="37" s="1"/>
  <c r="U901" i="37"/>
  <c r="AB901" i="37"/>
  <c r="AE901" i="37"/>
  <c r="AF901" i="37"/>
  <c r="AG901" i="37" s="1"/>
  <c r="D902" i="37"/>
  <c r="AD902" i="37" s="1"/>
  <c r="M902" i="37"/>
  <c r="L902" i="37" s="1"/>
  <c r="Q902" i="37"/>
  <c r="U902" i="37"/>
  <c r="AB902" i="37"/>
  <c r="AE902" i="37"/>
  <c r="AF902" i="37"/>
  <c r="AG902" i="37" s="1"/>
  <c r="D903" i="37"/>
  <c r="AD903" i="37" s="1"/>
  <c r="M903" i="37"/>
  <c r="L903" i="37" s="1"/>
  <c r="Q903" i="37"/>
  <c r="X903" i="37" s="1"/>
  <c r="Y903" i="37" s="1"/>
  <c r="U903" i="37"/>
  <c r="AB903" i="37"/>
  <c r="AE903" i="37"/>
  <c r="AF903" i="37"/>
  <c r="AG903" i="37" s="1"/>
  <c r="D904" i="37"/>
  <c r="AD904" i="37" s="1"/>
  <c r="M904" i="37"/>
  <c r="L904" i="37" s="1"/>
  <c r="Q904" i="37"/>
  <c r="U904" i="37"/>
  <c r="AB904" i="37"/>
  <c r="AE904" i="37"/>
  <c r="AF904" i="37"/>
  <c r="AG904" i="37" s="1"/>
  <c r="D905" i="37"/>
  <c r="AD905" i="37" s="1"/>
  <c r="M905" i="37"/>
  <c r="L905" i="37" s="1"/>
  <c r="Q905" i="37"/>
  <c r="X905" i="37" s="1"/>
  <c r="Y905" i="37" s="1"/>
  <c r="U905" i="37"/>
  <c r="AB905" i="37"/>
  <c r="AE905" i="37"/>
  <c r="AF905" i="37"/>
  <c r="AG905" i="37" s="1"/>
  <c r="D906" i="37"/>
  <c r="AD906" i="37" s="1"/>
  <c r="M906" i="37"/>
  <c r="L906" i="37" s="1"/>
  <c r="Q906" i="37"/>
  <c r="X906" i="37" s="1"/>
  <c r="Y906" i="37" s="1"/>
  <c r="U906" i="37"/>
  <c r="AB906" i="37"/>
  <c r="AE906" i="37"/>
  <c r="AF906" i="37"/>
  <c r="AG906" i="37" s="1"/>
  <c r="D907" i="37"/>
  <c r="AD907" i="37" s="1"/>
  <c r="M907" i="37"/>
  <c r="L907" i="37" s="1"/>
  <c r="Q907" i="37"/>
  <c r="U907" i="37"/>
  <c r="AB907" i="37"/>
  <c r="AE907" i="37"/>
  <c r="AF907" i="37"/>
  <c r="AG907" i="37" s="1"/>
  <c r="D908" i="37"/>
  <c r="AD908" i="37" s="1"/>
  <c r="M908" i="37"/>
  <c r="L908" i="37" s="1"/>
  <c r="Q908" i="37"/>
  <c r="R908" i="37" s="1"/>
  <c r="U908" i="37"/>
  <c r="AB908" i="37"/>
  <c r="AE908" i="37"/>
  <c r="AF908" i="37"/>
  <c r="AG908" i="37" s="1"/>
  <c r="D909" i="37"/>
  <c r="AD909" i="37" s="1"/>
  <c r="M909" i="37"/>
  <c r="L909" i="37" s="1"/>
  <c r="Q909" i="37"/>
  <c r="X909" i="37" s="1"/>
  <c r="Y909" i="37" s="1"/>
  <c r="U909" i="37"/>
  <c r="AB909" i="37"/>
  <c r="AE909" i="37"/>
  <c r="AF909" i="37"/>
  <c r="AG909" i="37" s="1"/>
  <c r="D910" i="37"/>
  <c r="AD910" i="37" s="1"/>
  <c r="M910" i="37"/>
  <c r="L910" i="37" s="1"/>
  <c r="Q910" i="37"/>
  <c r="U910" i="37"/>
  <c r="AB910" i="37"/>
  <c r="AE910" i="37"/>
  <c r="AF910" i="37"/>
  <c r="AG910" i="37" s="1"/>
  <c r="D911" i="37"/>
  <c r="AD911" i="37" s="1"/>
  <c r="M911" i="37"/>
  <c r="L911" i="37" s="1"/>
  <c r="Q911" i="37"/>
  <c r="R911" i="37" s="1"/>
  <c r="U911" i="37"/>
  <c r="AB911" i="37"/>
  <c r="AE911" i="37"/>
  <c r="AF911" i="37"/>
  <c r="AG911" i="37" s="1"/>
  <c r="D912" i="37"/>
  <c r="AD912" i="37" s="1"/>
  <c r="M912" i="37"/>
  <c r="L912" i="37" s="1"/>
  <c r="Q912" i="37"/>
  <c r="R912" i="37" s="1"/>
  <c r="U912" i="37"/>
  <c r="AB912" i="37"/>
  <c r="AE912" i="37"/>
  <c r="AF912" i="37"/>
  <c r="AG912" i="37" s="1"/>
  <c r="D913" i="37"/>
  <c r="AD913" i="37" s="1"/>
  <c r="M913" i="37"/>
  <c r="L913" i="37" s="1"/>
  <c r="Q913" i="37"/>
  <c r="R913" i="37" s="1"/>
  <c r="U913" i="37"/>
  <c r="AB913" i="37"/>
  <c r="AE913" i="37"/>
  <c r="AF913" i="37"/>
  <c r="AG913" i="37" s="1"/>
  <c r="D914" i="37"/>
  <c r="AD914" i="37" s="1"/>
  <c r="M914" i="37"/>
  <c r="L914" i="37" s="1"/>
  <c r="Q914" i="37"/>
  <c r="X914" i="37" s="1"/>
  <c r="Y914" i="37" s="1"/>
  <c r="U914" i="37"/>
  <c r="AB914" i="37"/>
  <c r="AE914" i="37"/>
  <c r="AF914" i="37"/>
  <c r="AG914" i="37" s="1"/>
  <c r="D915" i="37"/>
  <c r="AD915" i="37" s="1"/>
  <c r="M915" i="37"/>
  <c r="L915" i="37" s="1"/>
  <c r="Q915" i="37"/>
  <c r="X915" i="37" s="1"/>
  <c r="Y915" i="37" s="1"/>
  <c r="U915" i="37"/>
  <c r="AB915" i="37"/>
  <c r="AE915" i="37"/>
  <c r="AF915" i="37"/>
  <c r="AG915" i="37" s="1"/>
  <c r="D916" i="37"/>
  <c r="AD916" i="37" s="1"/>
  <c r="M916" i="37"/>
  <c r="L916" i="37" s="1"/>
  <c r="Q916" i="37"/>
  <c r="R916" i="37" s="1"/>
  <c r="U916" i="37"/>
  <c r="AB916" i="37"/>
  <c r="AE916" i="37"/>
  <c r="AF916" i="37"/>
  <c r="AG916" i="37" s="1"/>
  <c r="D917" i="37"/>
  <c r="AD917" i="37" s="1"/>
  <c r="M917" i="37"/>
  <c r="L917" i="37" s="1"/>
  <c r="Q917" i="37"/>
  <c r="U917" i="37"/>
  <c r="AB917" i="37"/>
  <c r="AE917" i="37"/>
  <c r="AF917" i="37"/>
  <c r="AG917" i="37" s="1"/>
  <c r="D918" i="37"/>
  <c r="AD918" i="37" s="1"/>
  <c r="M918" i="37"/>
  <c r="L918" i="37" s="1"/>
  <c r="Q918" i="37"/>
  <c r="R918" i="37" s="1"/>
  <c r="U918" i="37"/>
  <c r="AB918" i="37"/>
  <c r="AE918" i="37"/>
  <c r="AF918" i="37"/>
  <c r="AG918" i="37" s="1"/>
  <c r="D919" i="37"/>
  <c r="AD919" i="37" s="1"/>
  <c r="M919" i="37"/>
  <c r="L919" i="37" s="1"/>
  <c r="Q919" i="37"/>
  <c r="X919" i="37" s="1"/>
  <c r="Y919" i="37" s="1"/>
  <c r="U919" i="37"/>
  <c r="AB919" i="37"/>
  <c r="AE919" i="37"/>
  <c r="AF919" i="37"/>
  <c r="AG919" i="37" s="1"/>
  <c r="D920" i="37"/>
  <c r="AD920" i="37" s="1"/>
  <c r="M920" i="37"/>
  <c r="L920" i="37" s="1"/>
  <c r="Q920" i="37"/>
  <c r="R920" i="37" s="1"/>
  <c r="U920" i="37"/>
  <c r="AB920" i="37"/>
  <c r="AE920" i="37"/>
  <c r="AF920" i="37"/>
  <c r="AG920" i="37" s="1"/>
  <c r="D921" i="37"/>
  <c r="AD921" i="37" s="1"/>
  <c r="M921" i="37"/>
  <c r="L921" i="37" s="1"/>
  <c r="Q921" i="37"/>
  <c r="U921" i="37"/>
  <c r="AB921" i="37"/>
  <c r="AE921" i="37"/>
  <c r="AF921" i="37"/>
  <c r="AG921" i="37" s="1"/>
  <c r="D922" i="37"/>
  <c r="AD922" i="37" s="1"/>
  <c r="M922" i="37"/>
  <c r="L922" i="37" s="1"/>
  <c r="Q922" i="37"/>
  <c r="R922" i="37" s="1"/>
  <c r="U922" i="37"/>
  <c r="AB922" i="37"/>
  <c r="AE922" i="37"/>
  <c r="AF922" i="37"/>
  <c r="AG922" i="37" s="1"/>
  <c r="D923" i="37"/>
  <c r="AD923" i="37" s="1"/>
  <c r="M923" i="37"/>
  <c r="L923" i="37" s="1"/>
  <c r="Q923" i="37"/>
  <c r="R923" i="37" s="1"/>
  <c r="U923" i="37"/>
  <c r="AB923" i="37"/>
  <c r="AE923" i="37"/>
  <c r="AF923" i="37"/>
  <c r="AG923" i="37" s="1"/>
  <c r="D924" i="37"/>
  <c r="AD924" i="37" s="1"/>
  <c r="M924" i="37"/>
  <c r="L924" i="37" s="1"/>
  <c r="Q924" i="37"/>
  <c r="R924" i="37" s="1"/>
  <c r="U924" i="37"/>
  <c r="AB924" i="37"/>
  <c r="AE924" i="37"/>
  <c r="AF924" i="37"/>
  <c r="AG924" i="37" s="1"/>
  <c r="D925" i="37"/>
  <c r="AD925" i="37" s="1"/>
  <c r="M925" i="37"/>
  <c r="L925" i="37" s="1"/>
  <c r="Q925" i="37"/>
  <c r="R925" i="37" s="1"/>
  <c r="U925" i="37"/>
  <c r="AB925" i="37"/>
  <c r="AE925" i="37"/>
  <c r="AF925" i="37"/>
  <c r="AG925" i="37" s="1"/>
  <c r="D926" i="37"/>
  <c r="AD926" i="37" s="1"/>
  <c r="M926" i="37"/>
  <c r="L926" i="37" s="1"/>
  <c r="Q926" i="37"/>
  <c r="R926" i="37" s="1"/>
  <c r="U926" i="37"/>
  <c r="AB926" i="37"/>
  <c r="AE926" i="37"/>
  <c r="AF926" i="37"/>
  <c r="AG926" i="37" s="1"/>
  <c r="D927" i="37"/>
  <c r="AD927" i="37" s="1"/>
  <c r="M927" i="37"/>
  <c r="L927" i="37" s="1"/>
  <c r="Q927" i="37"/>
  <c r="R927" i="37" s="1"/>
  <c r="U927" i="37"/>
  <c r="AB927" i="37"/>
  <c r="AE927" i="37"/>
  <c r="AF927" i="37"/>
  <c r="AG927" i="37" s="1"/>
  <c r="D928" i="37"/>
  <c r="AD928" i="37" s="1"/>
  <c r="M928" i="37"/>
  <c r="L928" i="37" s="1"/>
  <c r="Q928" i="37"/>
  <c r="R928" i="37" s="1"/>
  <c r="U928" i="37"/>
  <c r="AB928" i="37"/>
  <c r="AE928" i="37"/>
  <c r="AF928" i="37"/>
  <c r="AG928" i="37" s="1"/>
  <c r="D929" i="37"/>
  <c r="AD929" i="37" s="1"/>
  <c r="M929" i="37"/>
  <c r="L929" i="37" s="1"/>
  <c r="Q929" i="37"/>
  <c r="X929" i="37" s="1"/>
  <c r="Y929" i="37" s="1"/>
  <c r="U929" i="37"/>
  <c r="AB929" i="37"/>
  <c r="AE929" i="37"/>
  <c r="AF929" i="37"/>
  <c r="AG929" i="37" s="1"/>
  <c r="D930" i="37"/>
  <c r="AD930" i="37" s="1"/>
  <c r="M930" i="37"/>
  <c r="L930" i="37" s="1"/>
  <c r="Q930" i="37"/>
  <c r="R930" i="37" s="1"/>
  <c r="U930" i="37"/>
  <c r="AB930" i="37"/>
  <c r="AE930" i="37"/>
  <c r="AF930" i="37"/>
  <c r="AG930" i="37" s="1"/>
  <c r="D931" i="37"/>
  <c r="AD931" i="37" s="1"/>
  <c r="M931" i="37"/>
  <c r="L931" i="37" s="1"/>
  <c r="Q931" i="37"/>
  <c r="R931" i="37" s="1"/>
  <c r="U931" i="37"/>
  <c r="AB931" i="37"/>
  <c r="AE931" i="37"/>
  <c r="AF931" i="37"/>
  <c r="AG931" i="37" s="1"/>
  <c r="D932" i="37"/>
  <c r="AD932" i="37" s="1"/>
  <c r="M932" i="37"/>
  <c r="L932" i="37" s="1"/>
  <c r="Q932" i="37"/>
  <c r="R932" i="37" s="1"/>
  <c r="U932" i="37"/>
  <c r="AB932" i="37"/>
  <c r="AE932" i="37"/>
  <c r="AF932" i="37"/>
  <c r="AG932" i="37" s="1"/>
  <c r="D933" i="37"/>
  <c r="AD933" i="37" s="1"/>
  <c r="M933" i="37"/>
  <c r="L933" i="37" s="1"/>
  <c r="Q933" i="37"/>
  <c r="U933" i="37"/>
  <c r="AB933" i="37"/>
  <c r="AE933" i="37"/>
  <c r="AF933" i="37"/>
  <c r="AG933" i="37" s="1"/>
  <c r="D934" i="37"/>
  <c r="AD934" i="37" s="1"/>
  <c r="M934" i="37"/>
  <c r="L934" i="37" s="1"/>
  <c r="Q934" i="37"/>
  <c r="R934" i="37" s="1"/>
  <c r="U934" i="37"/>
  <c r="AB934" i="37"/>
  <c r="AE934" i="37"/>
  <c r="AF934" i="37"/>
  <c r="AG934" i="37" s="1"/>
  <c r="D935" i="37"/>
  <c r="AD935" i="37" s="1"/>
  <c r="M935" i="37"/>
  <c r="L935" i="37" s="1"/>
  <c r="Q935" i="37"/>
  <c r="X935" i="37" s="1"/>
  <c r="Y935" i="37" s="1"/>
  <c r="U935" i="37"/>
  <c r="AB935" i="37"/>
  <c r="AE935" i="37"/>
  <c r="AF935" i="37"/>
  <c r="AG935" i="37" s="1"/>
  <c r="D936" i="37"/>
  <c r="AD936" i="37" s="1"/>
  <c r="M936" i="37"/>
  <c r="L936" i="37" s="1"/>
  <c r="Q936" i="37"/>
  <c r="R936" i="37" s="1"/>
  <c r="U936" i="37"/>
  <c r="AB936" i="37"/>
  <c r="AE936" i="37"/>
  <c r="AF936" i="37"/>
  <c r="AG936" i="37" s="1"/>
  <c r="D937" i="37"/>
  <c r="AD937" i="37" s="1"/>
  <c r="M937" i="37"/>
  <c r="L937" i="37" s="1"/>
  <c r="Q937" i="37"/>
  <c r="X937" i="37" s="1"/>
  <c r="Y937" i="37" s="1"/>
  <c r="U937" i="37"/>
  <c r="AB937" i="37"/>
  <c r="AE937" i="37"/>
  <c r="AF937" i="37"/>
  <c r="AG937" i="37" s="1"/>
  <c r="D938" i="37"/>
  <c r="AD938" i="37" s="1"/>
  <c r="M938" i="37"/>
  <c r="L938" i="37" s="1"/>
  <c r="Q938" i="37"/>
  <c r="R938" i="37" s="1"/>
  <c r="U938" i="37"/>
  <c r="AB938" i="37"/>
  <c r="AE938" i="37"/>
  <c r="AF938" i="37"/>
  <c r="AG938" i="37" s="1"/>
  <c r="D939" i="37"/>
  <c r="AD939" i="37" s="1"/>
  <c r="M939" i="37"/>
  <c r="L939" i="37" s="1"/>
  <c r="Q939" i="37"/>
  <c r="R939" i="37" s="1"/>
  <c r="U939" i="37"/>
  <c r="AB939" i="37"/>
  <c r="AE939" i="37"/>
  <c r="AF939" i="37"/>
  <c r="AG939" i="37" s="1"/>
  <c r="D940" i="37"/>
  <c r="AD940" i="37" s="1"/>
  <c r="M940" i="37"/>
  <c r="L940" i="37" s="1"/>
  <c r="Q940" i="37"/>
  <c r="R940" i="37" s="1"/>
  <c r="U940" i="37"/>
  <c r="AB940" i="37"/>
  <c r="AE940" i="37"/>
  <c r="AF940" i="37"/>
  <c r="AG940" i="37" s="1"/>
  <c r="D941" i="37"/>
  <c r="AD941" i="37" s="1"/>
  <c r="M941" i="37"/>
  <c r="L941" i="37" s="1"/>
  <c r="Q941" i="37"/>
  <c r="R941" i="37" s="1"/>
  <c r="U941" i="37"/>
  <c r="AB941" i="37"/>
  <c r="AE941" i="37"/>
  <c r="AF941" i="37"/>
  <c r="AG941" i="37" s="1"/>
  <c r="D942" i="37"/>
  <c r="AD942" i="37" s="1"/>
  <c r="M942" i="37"/>
  <c r="L942" i="37" s="1"/>
  <c r="Q942" i="37"/>
  <c r="R942" i="37" s="1"/>
  <c r="U942" i="37"/>
  <c r="AB942" i="37"/>
  <c r="AE942" i="37"/>
  <c r="AF942" i="37"/>
  <c r="AG942" i="37" s="1"/>
  <c r="D943" i="37"/>
  <c r="AD943" i="37" s="1"/>
  <c r="M943" i="37"/>
  <c r="L943" i="37" s="1"/>
  <c r="Q943" i="37"/>
  <c r="R943" i="37" s="1"/>
  <c r="U943" i="37"/>
  <c r="AB943" i="37"/>
  <c r="AE943" i="37"/>
  <c r="AF943" i="37"/>
  <c r="AG943" i="37" s="1"/>
  <c r="D944" i="37"/>
  <c r="AD944" i="37" s="1"/>
  <c r="M944" i="37"/>
  <c r="L944" i="37" s="1"/>
  <c r="Q944" i="37"/>
  <c r="R944" i="37" s="1"/>
  <c r="U944" i="37"/>
  <c r="AB944" i="37"/>
  <c r="AE944" i="37"/>
  <c r="AF944" i="37"/>
  <c r="AG944" i="37" s="1"/>
  <c r="D945" i="37"/>
  <c r="AD945" i="37" s="1"/>
  <c r="M945" i="37"/>
  <c r="L945" i="37" s="1"/>
  <c r="Q945" i="37"/>
  <c r="R945" i="37" s="1"/>
  <c r="U945" i="37"/>
  <c r="AB945" i="37"/>
  <c r="AE945" i="37"/>
  <c r="AF945" i="37"/>
  <c r="AG945" i="37" s="1"/>
  <c r="D946" i="37"/>
  <c r="AD946" i="37" s="1"/>
  <c r="M946" i="37"/>
  <c r="L946" i="37" s="1"/>
  <c r="Q946" i="37"/>
  <c r="X946" i="37" s="1"/>
  <c r="Y946" i="37" s="1"/>
  <c r="U946" i="37"/>
  <c r="AB946" i="37"/>
  <c r="AE946" i="37"/>
  <c r="AF946" i="37"/>
  <c r="AG946" i="37" s="1"/>
  <c r="D947" i="37"/>
  <c r="AD947" i="37" s="1"/>
  <c r="M947" i="37"/>
  <c r="L947" i="37" s="1"/>
  <c r="Q947" i="37"/>
  <c r="X947" i="37" s="1"/>
  <c r="Y947" i="37" s="1"/>
  <c r="U947" i="37"/>
  <c r="AB947" i="37"/>
  <c r="AE947" i="37"/>
  <c r="AF947" i="37"/>
  <c r="AG947" i="37" s="1"/>
  <c r="D948" i="37"/>
  <c r="AD948" i="37" s="1"/>
  <c r="M948" i="37"/>
  <c r="L948" i="37" s="1"/>
  <c r="Q948" i="37"/>
  <c r="R948" i="37" s="1"/>
  <c r="U948" i="37"/>
  <c r="AB948" i="37"/>
  <c r="AE948" i="37"/>
  <c r="AF948" i="37"/>
  <c r="AG948" i="37" s="1"/>
  <c r="D949" i="37"/>
  <c r="AD949" i="37" s="1"/>
  <c r="M949" i="37"/>
  <c r="L949" i="37" s="1"/>
  <c r="Q949" i="37"/>
  <c r="R949" i="37" s="1"/>
  <c r="U949" i="37"/>
  <c r="AB949" i="37"/>
  <c r="AE949" i="37"/>
  <c r="AF949" i="37"/>
  <c r="AG949" i="37" s="1"/>
  <c r="D950" i="37"/>
  <c r="AD950" i="37" s="1"/>
  <c r="M950" i="37"/>
  <c r="L950" i="37" s="1"/>
  <c r="Q950" i="37"/>
  <c r="R950" i="37" s="1"/>
  <c r="U950" i="37"/>
  <c r="AB950" i="37"/>
  <c r="AE950" i="37"/>
  <c r="AF950" i="37"/>
  <c r="AG950" i="37" s="1"/>
  <c r="D951" i="37"/>
  <c r="AD951" i="37" s="1"/>
  <c r="M951" i="37"/>
  <c r="L951" i="37" s="1"/>
  <c r="Q951" i="37"/>
  <c r="U951" i="37"/>
  <c r="AB951" i="37"/>
  <c r="AE951" i="37"/>
  <c r="AF951" i="37"/>
  <c r="AG951" i="37" s="1"/>
  <c r="D952" i="37"/>
  <c r="AD952" i="37" s="1"/>
  <c r="M952" i="37"/>
  <c r="L952" i="37" s="1"/>
  <c r="Q952" i="37"/>
  <c r="U952" i="37"/>
  <c r="AB952" i="37"/>
  <c r="AE952" i="37"/>
  <c r="AF952" i="37"/>
  <c r="AG952" i="37" s="1"/>
  <c r="D953" i="37"/>
  <c r="AD953" i="37" s="1"/>
  <c r="M953" i="37"/>
  <c r="L953" i="37" s="1"/>
  <c r="Q953" i="37"/>
  <c r="R953" i="37" s="1"/>
  <c r="U953" i="37"/>
  <c r="AB953" i="37"/>
  <c r="AE953" i="37"/>
  <c r="AF953" i="37"/>
  <c r="AG953" i="37" s="1"/>
  <c r="D954" i="37"/>
  <c r="AD954" i="37" s="1"/>
  <c r="M954" i="37"/>
  <c r="L954" i="37" s="1"/>
  <c r="Q954" i="37"/>
  <c r="U954" i="37"/>
  <c r="AB954" i="37"/>
  <c r="AE954" i="37"/>
  <c r="AF954" i="37"/>
  <c r="AG954" i="37" s="1"/>
  <c r="D955" i="37"/>
  <c r="AD955" i="37" s="1"/>
  <c r="M955" i="37"/>
  <c r="L955" i="37" s="1"/>
  <c r="Q955" i="37"/>
  <c r="X955" i="37" s="1"/>
  <c r="Y955" i="37" s="1"/>
  <c r="U955" i="37"/>
  <c r="AB955" i="37"/>
  <c r="AE955" i="37"/>
  <c r="AF955" i="37"/>
  <c r="AG955" i="37" s="1"/>
  <c r="D956" i="37"/>
  <c r="AD956" i="37" s="1"/>
  <c r="M956" i="37"/>
  <c r="L956" i="37" s="1"/>
  <c r="Q956" i="37"/>
  <c r="R956" i="37" s="1"/>
  <c r="U956" i="37"/>
  <c r="AB956" i="37"/>
  <c r="AE956" i="37"/>
  <c r="AF956" i="37"/>
  <c r="AG956" i="37" s="1"/>
  <c r="D957" i="37"/>
  <c r="AD957" i="37" s="1"/>
  <c r="M957" i="37"/>
  <c r="L957" i="37" s="1"/>
  <c r="Q957" i="37"/>
  <c r="R957" i="37" s="1"/>
  <c r="U957" i="37"/>
  <c r="AB957" i="37"/>
  <c r="AE957" i="37"/>
  <c r="AF957" i="37"/>
  <c r="AG957" i="37" s="1"/>
  <c r="D958" i="37"/>
  <c r="AD958" i="37" s="1"/>
  <c r="M958" i="37"/>
  <c r="L958" i="37" s="1"/>
  <c r="Q958" i="37"/>
  <c r="R958" i="37" s="1"/>
  <c r="U958" i="37"/>
  <c r="AB958" i="37"/>
  <c r="AE958" i="37"/>
  <c r="AF958" i="37"/>
  <c r="AG958" i="37" s="1"/>
  <c r="D959" i="37"/>
  <c r="AD959" i="37" s="1"/>
  <c r="M959" i="37"/>
  <c r="L959" i="37" s="1"/>
  <c r="Q959" i="37"/>
  <c r="R959" i="37" s="1"/>
  <c r="U959" i="37"/>
  <c r="AB959" i="37"/>
  <c r="AE959" i="37"/>
  <c r="AF959" i="37"/>
  <c r="AG959" i="37" s="1"/>
  <c r="D960" i="37"/>
  <c r="AD960" i="37" s="1"/>
  <c r="M960" i="37"/>
  <c r="L960" i="37" s="1"/>
  <c r="Q960" i="37"/>
  <c r="U960" i="37"/>
  <c r="AB960" i="37"/>
  <c r="AE960" i="37"/>
  <c r="AF960" i="37"/>
  <c r="AG960" i="37" s="1"/>
  <c r="D961" i="37"/>
  <c r="AD961" i="37" s="1"/>
  <c r="M961" i="37"/>
  <c r="L961" i="37" s="1"/>
  <c r="Q961" i="37"/>
  <c r="R961" i="37" s="1"/>
  <c r="U961" i="37"/>
  <c r="AB961" i="37"/>
  <c r="AE961" i="37"/>
  <c r="AF961" i="37"/>
  <c r="AG961" i="37" s="1"/>
  <c r="D962" i="37"/>
  <c r="AD962" i="37" s="1"/>
  <c r="M962" i="37"/>
  <c r="L962" i="37" s="1"/>
  <c r="Q962" i="37"/>
  <c r="U962" i="37"/>
  <c r="AB962" i="37"/>
  <c r="AE962" i="37"/>
  <c r="AF962" i="37"/>
  <c r="AG962" i="37" s="1"/>
  <c r="D963" i="37"/>
  <c r="AD963" i="37" s="1"/>
  <c r="M963" i="37"/>
  <c r="L963" i="37" s="1"/>
  <c r="Q963" i="37"/>
  <c r="X963" i="37" s="1"/>
  <c r="Y963" i="37" s="1"/>
  <c r="U963" i="37"/>
  <c r="AB963" i="37"/>
  <c r="AE963" i="37"/>
  <c r="AF963" i="37"/>
  <c r="AG963" i="37" s="1"/>
  <c r="D964" i="37"/>
  <c r="AD964" i="37" s="1"/>
  <c r="M964" i="37"/>
  <c r="L964" i="37" s="1"/>
  <c r="Q964" i="37"/>
  <c r="R964" i="37" s="1"/>
  <c r="U964" i="37"/>
  <c r="AB964" i="37"/>
  <c r="AE964" i="37"/>
  <c r="AF964" i="37"/>
  <c r="AG964" i="37" s="1"/>
  <c r="D965" i="37"/>
  <c r="AD965" i="37" s="1"/>
  <c r="M965" i="37"/>
  <c r="L965" i="37" s="1"/>
  <c r="Q965" i="37"/>
  <c r="R965" i="37" s="1"/>
  <c r="U965" i="37"/>
  <c r="AB965" i="37"/>
  <c r="AE965" i="37"/>
  <c r="AF965" i="37"/>
  <c r="AG965" i="37" s="1"/>
  <c r="D966" i="37"/>
  <c r="AD966" i="37" s="1"/>
  <c r="M966" i="37"/>
  <c r="L966" i="37" s="1"/>
  <c r="Q966" i="37"/>
  <c r="U966" i="37"/>
  <c r="AB966" i="37"/>
  <c r="AE966" i="37"/>
  <c r="AF966" i="37"/>
  <c r="AG966" i="37" s="1"/>
  <c r="D967" i="37"/>
  <c r="AD967" i="37" s="1"/>
  <c r="M967" i="37"/>
  <c r="L967" i="37" s="1"/>
  <c r="Q967" i="37"/>
  <c r="R967" i="37" s="1"/>
  <c r="U967" i="37"/>
  <c r="AB967" i="37"/>
  <c r="AE967" i="37"/>
  <c r="AF967" i="37"/>
  <c r="AG967" i="37" s="1"/>
  <c r="D968" i="37"/>
  <c r="AD968" i="37" s="1"/>
  <c r="M968" i="37"/>
  <c r="L968" i="37" s="1"/>
  <c r="Q968" i="37"/>
  <c r="U968" i="37"/>
  <c r="AB968" i="37"/>
  <c r="AE968" i="37"/>
  <c r="AF968" i="37"/>
  <c r="AG968" i="37" s="1"/>
  <c r="D969" i="37"/>
  <c r="AD969" i="37" s="1"/>
  <c r="M969" i="37"/>
  <c r="L969" i="37" s="1"/>
  <c r="Q969" i="37"/>
  <c r="R969" i="37" s="1"/>
  <c r="U969" i="37"/>
  <c r="AB969" i="37"/>
  <c r="AE969" i="37"/>
  <c r="AF969" i="37"/>
  <c r="AG969" i="37" s="1"/>
  <c r="D970" i="37"/>
  <c r="AD970" i="37" s="1"/>
  <c r="M970" i="37"/>
  <c r="L970" i="37" s="1"/>
  <c r="Q970" i="37"/>
  <c r="U970" i="37"/>
  <c r="AB970" i="37"/>
  <c r="AE970" i="37"/>
  <c r="AF970" i="37"/>
  <c r="AG970" i="37" s="1"/>
  <c r="D971" i="37"/>
  <c r="AD971" i="37" s="1"/>
  <c r="M971" i="37"/>
  <c r="L971" i="37" s="1"/>
  <c r="Q971" i="37"/>
  <c r="U971" i="37"/>
  <c r="AB971" i="37"/>
  <c r="AE971" i="37"/>
  <c r="AF971" i="37"/>
  <c r="AG971" i="37" s="1"/>
  <c r="D972" i="37"/>
  <c r="AD972" i="37" s="1"/>
  <c r="M972" i="37"/>
  <c r="L972" i="37" s="1"/>
  <c r="Q972" i="37"/>
  <c r="U972" i="37"/>
  <c r="AB972" i="37"/>
  <c r="AE972" i="37"/>
  <c r="AF972" i="37"/>
  <c r="AG972" i="37" s="1"/>
  <c r="D973" i="37"/>
  <c r="AD973" i="37" s="1"/>
  <c r="M973" i="37"/>
  <c r="L973" i="37" s="1"/>
  <c r="Q973" i="37"/>
  <c r="U973" i="37"/>
  <c r="AB973" i="37"/>
  <c r="AE973" i="37"/>
  <c r="AF973" i="37"/>
  <c r="AG973" i="37" s="1"/>
  <c r="D974" i="37"/>
  <c r="AD974" i="37" s="1"/>
  <c r="M974" i="37"/>
  <c r="L974" i="37" s="1"/>
  <c r="Q974" i="37"/>
  <c r="R974" i="37" s="1"/>
  <c r="U974" i="37"/>
  <c r="AB974" i="37"/>
  <c r="AE974" i="37"/>
  <c r="AF974" i="37"/>
  <c r="AG974" i="37" s="1"/>
  <c r="D975" i="37"/>
  <c r="AD975" i="37" s="1"/>
  <c r="M975" i="37"/>
  <c r="L975" i="37" s="1"/>
  <c r="Q975" i="37"/>
  <c r="R975" i="37" s="1"/>
  <c r="U975" i="37"/>
  <c r="AB975" i="37"/>
  <c r="AE975" i="37"/>
  <c r="AF975" i="37"/>
  <c r="AG975" i="37" s="1"/>
  <c r="D976" i="37"/>
  <c r="AD976" i="37" s="1"/>
  <c r="M976" i="37"/>
  <c r="L976" i="37" s="1"/>
  <c r="Q976" i="37"/>
  <c r="U976" i="37"/>
  <c r="AB976" i="37"/>
  <c r="AE976" i="37"/>
  <c r="AF976" i="37"/>
  <c r="AG976" i="37" s="1"/>
  <c r="D977" i="37"/>
  <c r="AD977" i="37" s="1"/>
  <c r="M977" i="37"/>
  <c r="L977" i="37" s="1"/>
  <c r="Q977" i="37"/>
  <c r="R977" i="37" s="1"/>
  <c r="U977" i="37"/>
  <c r="AB977" i="37"/>
  <c r="AE977" i="37"/>
  <c r="AF977" i="37"/>
  <c r="AG977" i="37" s="1"/>
  <c r="D978" i="37"/>
  <c r="AD978" i="37" s="1"/>
  <c r="M978" i="37"/>
  <c r="L978" i="37" s="1"/>
  <c r="Q978" i="37"/>
  <c r="U978" i="37"/>
  <c r="AB978" i="37"/>
  <c r="AE978" i="37"/>
  <c r="AF978" i="37"/>
  <c r="AG978" i="37" s="1"/>
  <c r="D979" i="37"/>
  <c r="AD979" i="37" s="1"/>
  <c r="M979" i="37"/>
  <c r="L979" i="37" s="1"/>
  <c r="Q979" i="37"/>
  <c r="R979" i="37" s="1"/>
  <c r="U979" i="37"/>
  <c r="AB979" i="37"/>
  <c r="AE979" i="37"/>
  <c r="AF979" i="37"/>
  <c r="AG979" i="37" s="1"/>
  <c r="D980" i="37"/>
  <c r="AD980" i="37" s="1"/>
  <c r="M980" i="37"/>
  <c r="L980" i="37" s="1"/>
  <c r="Q980" i="37"/>
  <c r="R980" i="37" s="1"/>
  <c r="U980" i="37"/>
  <c r="AB980" i="37"/>
  <c r="AE980" i="37"/>
  <c r="AF980" i="37"/>
  <c r="AG980" i="37" s="1"/>
  <c r="D981" i="37"/>
  <c r="AD981" i="37" s="1"/>
  <c r="M981" i="37"/>
  <c r="L981" i="37" s="1"/>
  <c r="Q981" i="37"/>
  <c r="R981" i="37" s="1"/>
  <c r="U981" i="37"/>
  <c r="AB981" i="37"/>
  <c r="AE981" i="37"/>
  <c r="AF981" i="37"/>
  <c r="AG981" i="37" s="1"/>
  <c r="D982" i="37"/>
  <c r="AD982" i="37" s="1"/>
  <c r="M982" i="37"/>
  <c r="L982" i="37" s="1"/>
  <c r="Q982" i="37"/>
  <c r="U982" i="37"/>
  <c r="AB982" i="37"/>
  <c r="AE982" i="37"/>
  <c r="AF982" i="37"/>
  <c r="AG982" i="37" s="1"/>
  <c r="D983" i="37"/>
  <c r="AD983" i="37" s="1"/>
  <c r="M983" i="37"/>
  <c r="L983" i="37" s="1"/>
  <c r="Q983" i="37"/>
  <c r="R983" i="37" s="1"/>
  <c r="U983" i="37"/>
  <c r="AB983" i="37"/>
  <c r="AE983" i="37"/>
  <c r="AF983" i="37"/>
  <c r="AG983" i="37" s="1"/>
  <c r="D984" i="37"/>
  <c r="AD984" i="37" s="1"/>
  <c r="M984" i="37"/>
  <c r="L984" i="37" s="1"/>
  <c r="Q984" i="37"/>
  <c r="U984" i="37"/>
  <c r="AB984" i="37"/>
  <c r="AE984" i="37"/>
  <c r="AF984" i="37"/>
  <c r="AG984" i="37" s="1"/>
  <c r="D985" i="37"/>
  <c r="AD985" i="37" s="1"/>
  <c r="M985" i="37"/>
  <c r="L985" i="37" s="1"/>
  <c r="Q985" i="37"/>
  <c r="R985" i="37" s="1"/>
  <c r="U985" i="37"/>
  <c r="AB985" i="37"/>
  <c r="AE985" i="37"/>
  <c r="AF985" i="37"/>
  <c r="AG985" i="37" s="1"/>
  <c r="D986" i="37"/>
  <c r="AD986" i="37" s="1"/>
  <c r="M986" i="37"/>
  <c r="L986" i="37" s="1"/>
  <c r="Q986" i="37"/>
  <c r="U986" i="37"/>
  <c r="AB986" i="37"/>
  <c r="AE986" i="37"/>
  <c r="AF986" i="37"/>
  <c r="AG986" i="37" s="1"/>
  <c r="D987" i="37"/>
  <c r="AD987" i="37" s="1"/>
  <c r="M987" i="37"/>
  <c r="L987" i="37" s="1"/>
  <c r="Q987" i="37"/>
  <c r="X987" i="37" s="1"/>
  <c r="Y987" i="37" s="1"/>
  <c r="U987" i="37"/>
  <c r="AB987" i="37"/>
  <c r="AE987" i="37"/>
  <c r="AF987" i="37"/>
  <c r="AG987" i="37" s="1"/>
  <c r="D988" i="37"/>
  <c r="AD988" i="37" s="1"/>
  <c r="M988" i="37"/>
  <c r="L988" i="37" s="1"/>
  <c r="Q988" i="37"/>
  <c r="R988" i="37" s="1"/>
  <c r="U988" i="37"/>
  <c r="AB988" i="37"/>
  <c r="AE988" i="37"/>
  <c r="AF988" i="37"/>
  <c r="AG988" i="37" s="1"/>
  <c r="D989" i="37"/>
  <c r="AD989" i="37" s="1"/>
  <c r="M989" i="37"/>
  <c r="L989" i="37" s="1"/>
  <c r="Q989" i="37"/>
  <c r="R989" i="37" s="1"/>
  <c r="U989" i="37"/>
  <c r="AB989" i="37"/>
  <c r="AE989" i="37"/>
  <c r="AF989" i="37"/>
  <c r="AG989" i="37" s="1"/>
  <c r="D990" i="37"/>
  <c r="AD990" i="37" s="1"/>
  <c r="M990" i="37"/>
  <c r="L990" i="37" s="1"/>
  <c r="Q990" i="37"/>
  <c r="R990" i="37" s="1"/>
  <c r="U990" i="37"/>
  <c r="AB990" i="37"/>
  <c r="AE990" i="37"/>
  <c r="AF990" i="37"/>
  <c r="AG990" i="37" s="1"/>
  <c r="D991" i="37"/>
  <c r="AD991" i="37" s="1"/>
  <c r="M991" i="37"/>
  <c r="L991" i="37" s="1"/>
  <c r="Q991" i="37"/>
  <c r="R991" i="37" s="1"/>
  <c r="U991" i="37"/>
  <c r="AB991" i="37"/>
  <c r="AE991" i="37"/>
  <c r="AF991" i="37"/>
  <c r="AG991" i="37" s="1"/>
  <c r="D992" i="37"/>
  <c r="AD992" i="37" s="1"/>
  <c r="M992" i="37"/>
  <c r="L992" i="37" s="1"/>
  <c r="Q992" i="37"/>
  <c r="R992" i="37" s="1"/>
  <c r="U992" i="37"/>
  <c r="AB992" i="37"/>
  <c r="AE992" i="37"/>
  <c r="AF992" i="37"/>
  <c r="AG992" i="37" s="1"/>
  <c r="D993" i="37"/>
  <c r="AD993" i="37" s="1"/>
  <c r="M993" i="37"/>
  <c r="L993" i="37" s="1"/>
  <c r="Q993" i="37"/>
  <c r="U993" i="37"/>
  <c r="AB993" i="37"/>
  <c r="AE993" i="37"/>
  <c r="AF993" i="37"/>
  <c r="AG993" i="37" s="1"/>
  <c r="D994" i="37"/>
  <c r="AD994" i="37" s="1"/>
  <c r="M994" i="37"/>
  <c r="L994" i="37" s="1"/>
  <c r="Q994" i="37"/>
  <c r="R994" i="37" s="1"/>
  <c r="U994" i="37"/>
  <c r="AB994" i="37"/>
  <c r="AE994" i="37"/>
  <c r="AF994" i="37"/>
  <c r="AG994" i="37" s="1"/>
  <c r="D995" i="37"/>
  <c r="AD995" i="37" s="1"/>
  <c r="M995" i="37"/>
  <c r="L995" i="37" s="1"/>
  <c r="Q995" i="37"/>
  <c r="R995" i="37" s="1"/>
  <c r="U995" i="37"/>
  <c r="AB995" i="37"/>
  <c r="AE995" i="37"/>
  <c r="AF995" i="37"/>
  <c r="AG995" i="37" s="1"/>
  <c r="D996" i="37"/>
  <c r="AD996" i="37" s="1"/>
  <c r="M996" i="37"/>
  <c r="L996" i="37" s="1"/>
  <c r="Q996" i="37"/>
  <c r="R996" i="37" s="1"/>
  <c r="U996" i="37"/>
  <c r="AB996" i="37"/>
  <c r="AE996" i="37"/>
  <c r="AF996" i="37"/>
  <c r="AG996" i="37" s="1"/>
  <c r="D997" i="37"/>
  <c r="AD997" i="37" s="1"/>
  <c r="M997" i="37"/>
  <c r="L997" i="37" s="1"/>
  <c r="Q997" i="37"/>
  <c r="R997" i="37" s="1"/>
  <c r="U997" i="37"/>
  <c r="AB997" i="37"/>
  <c r="AE997" i="37"/>
  <c r="AF997" i="37"/>
  <c r="AG997" i="37" s="1"/>
  <c r="D998" i="37"/>
  <c r="AD998" i="37" s="1"/>
  <c r="M998" i="37"/>
  <c r="L998" i="37" s="1"/>
  <c r="Q998" i="37"/>
  <c r="R998" i="37" s="1"/>
  <c r="U998" i="37"/>
  <c r="AB998" i="37"/>
  <c r="AE998" i="37"/>
  <c r="AF998" i="37"/>
  <c r="AG998" i="37" s="1"/>
  <c r="D999" i="37"/>
  <c r="AD999" i="37" s="1"/>
  <c r="M999" i="37"/>
  <c r="L999" i="37" s="1"/>
  <c r="Q999" i="37"/>
  <c r="R999" i="37" s="1"/>
  <c r="U999" i="37"/>
  <c r="AB999" i="37"/>
  <c r="AE999" i="37"/>
  <c r="AF999" i="37"/>
  <c r="AG999" i="37" s="1"/>
  <c r="D1000" i="37"/>
  <c r="AD1000" i="37" s="1"/>
  <c r="M1000" i="37"/>
  <c r="L1000" i="37" s="1"/>
  <c r="Q1000" i="37"/>
  <c r="U1000" i="37"/>
  <c r="AB1000" i="37"/>
  <c r="AE1000" i="37"/>
  <c r="AF1000" i="37"/>
  <c r="AG1000" i="37" s="1"/>
  <c r="D1001" i="37"/>
  <c r="AD1001" i="37" s="1"/>
  <c r="M1001" i="37"/>
  <c r="L1001" i="37" s="1"/>
  <c r="Q1001" i="37"/>
  <c r="R1001" i="37" s="1"/>
  <c r="U1001" i="37"/>
  <c r="AB1001" i="37"/>
  <c r="AE1001" i="37"/>
  <c r="AF1001" i="37"/>
  <c r="AG1001" i="37" s="1"/>
  <c r="D1002" i="37"/>
  <c r="AD1002" i="37" s="1"/>
  <c r="M1002" i="37"/>
  <c r="L1002" i="37" s="1"/>
  <c r="Q1002" i="37"/>
  <c r="U1002" i="37"/>
  <c r="AB1002" i="37"/>
  <c r="AE1002" i="37"/>
  <c r="AF1002" i="37"/>
  <c r="AG1002" i="37" s="1"/>
  <c r="D1003" i="37"/>
  <c r="AD1003" i="37" s="1"/>
  <c r="M1003" i="37"/>
  <c r="L1003" i="37" s="1"/>
  <c r="Q1003" i="37"/>
  <c r="U1003" i="37"/>
  <c r="AB1003" i="37"/>
  <c r="AE1003" i="37"/>
  <c r="AF1003" i="37"/>
  <c r="AG1003" i="37" s="1"/>
  <c r="D1004" i="37"/>
  <c r="AD1004" i="37" s="1"/>
  <c r="M1004" i="37"/>
  <c r="L1004" i="37" s="1"/>
  <c r="Q1004" i="37"/>
  <c r="U1004" i="37"/>
  <c r="AB1004" i="37"/>
  <c r="AE1004" i="37"/>
  <c r="AF1004" i="37"/>
  <c r="AG1004" i="37" s="1"/>
  <c r="D1005" i="37"/>
  <c r="AD1005" i="37" s="1"/>
  <c r="M1005" i="37"/>
  <c r="L1005" i="37" s="1"/>
  <c r="Q1005" i="37"/>
  <c r="R1005" i="37" s="1"/>
  <c r="U1005" i="37"/>
  <c r="AB1005" i="37"/>
  <c r="AE1005" i="37"/>
  <c r="AF1005" i="37"/>
  <c r="AG1005" i="37" s="1"/>
  <c r="D1006" i="37"/>
  <c r="AD1006" i="37" s="1"/>
  <c r="M1006" i="37"/>
  <c r="L1006" i="37" s="1"/>
  <c r="Q1006" i="37"/>
  <c r="U1006" i="37"/>
  <c r="AB1006" i="37"/>
  <c r="AE1006" i="37"/>
  <c r="AF1006" i="37"/>
  <c r="AG1006" i="37" s="1"/>
  <c r="D1007" i="37"/>
  <c r="AD1007" i="37" s="1"/>
  <c r="M1007" i="37"/>
  <c r="L1007" i="37" s="1"/>
  <c r="Q1007" i="37"/>
  <c r="U1007" i="37"/>
  <c r="AB1007" i="37"/>
  <c r="AE1007" i="37"/>
  <c r="AF1007" i="37"/>
  <c r="AG1007" i="37" s="1"/>
  <c r="D1008" i="37"/>
  <c r="AD1008" i="37" s="1"/>
  <c r="M1008" i="37"/>
  <c r="L1008" i="37" s="1"/>
  <c r="Q1008" i="37"/>
  <c r="U1008" i="37"/>
  <c r="AB1008" i="37"/>
  <c r="AE1008" i="37"/>
  <c r="AF1008" i="37"/>
  <c r="AG1008" i="37" s="1"/>
  <c r="D1009" i="37"/>
  <c r="AD1009" i="37" s="1"/>
  <c r="M1009" i="37"/>
  <c r="L1009" i="37" s="1"/>
  <c r="Q1009" i="37"/>
  <c r="U1009" i="37"/>
  <c r="AB1009" i="37"/>
  <c r="AE1009" i="37"/>
  <c r="AF1009" i="37"/>
  <c r="AG1009" i="37" s="1"/>
  <c r="D1010" i="37"/>
  <c r="AD1010" i="37" s="1"/>
  <c r="M1010" i="37"/>
  <c r="L1010" i="37" s="1"/>
  <c r="Q1010" i="37"/>
  <c r="R1010" i="37" s="1"/>
  <c r="U1010" i="37"/>
  <c r="AB1010" i="37"/>
  <c r="AE1010" i="37"/>
  <c r="AF1010" i="37"/>
  <c r="AG1010" i="37" s="1"/>
  <c r="D1011" i="37"/>
  <c r="AD1011" i="37" s="1"/>
  <c r="M1011" i="37"/>
  <c r="L1011" i="37" s="1"/>
  <c r="Q1011" i="37"/>
  <c r="U1011" i="37"/>
  <c r="AB1011" i="37"/>
  <c r="AE1011" i="37"/>
  <c r="AF1011" i="37"/>
  <c r="AG1011" i="37" s="1"/>
  <c r="D1012" i="37"/>
  <c r="AD1012" i="37" s="1"/>
  <c r="M1012" i="37"/>
  <c r="L1012" i="37" s="1"/>
  <c r="Q1012" i="37"/>
  <c r="U1012" i="37"/>
  <c r="AB1012" i="37"/>
  <c r="AE1012" i="37"/>
  <c r="AF1012" i="37"/>
  <c r="AG1012" i="37" s="1"/>
  <c r="D1013" i="37"/>
  <c r="AD1013" i="37" s="1"/>
  <c r="M1013" i="37"/>
  <c r="L1013" i="37" s="1"/>
  <c r="Q1013" i="37"/>
  <c r="U1013" i="37"/>
  <c r="AB1013" i="37"/>
  <c r="AE1013" i="37"/>
  <c r="AF1013" i="37"/>
  <c r="AG1013" i="37" s="1"/>
  <c r="D1014" i="37"/>
  <c r="AD1014" i="37" s="1"/>
  <c r="M1014" i="37"/>
  <c r="L1014" i="37" s="1"/>
  <c r="Q1014" i="37"/>
  <c r="R1014" i="37" s="1"/>
  <c r="U1014" i="37"/>
  <c r="AB1014" i="37"/>
  <c r="AE1014" i="37"/>
  <c r="AF1014" i="37"/>
  <c r="AG1014" i="37" s="1"/>
  <c r="D1015" i="37"/>
  <c r="AD1015" i="37" s="1"/>
  <c r="M1015" i="37"/>
  <c r="L1015" i="37" s="1"/>
  <c r="Q1015" i="37"/>
  <c r="U1015" i="37"/>
  <c r="AB1015" i="37"/>
  <c r="AE1015" i="37"/>
  <c r="AF1015" i="37"/>
  <c r="AG1015" i="37" s="1"/>
  <c r="D1016" i="37"/>
  <c r="AD1016" i="37" s="1"/>
  <c r="M1016" i="37"/>
  <c r="L1016" i="37" s="1"/>
  <c r="Q1016" i="37"/>
  <c r="U1016" i="37"/>
  <c r="AB1016" i="37"/>
  <c r="AE1016" i="37"/>
  <c r="AF1016" i="37"/>
  <c r="AG1016" i="37" s="1"/>
  <c r="D1017" i="37"/>
  <c r="AD1017" i="37" s="1"/>
  <c r="M1017" i="37"/>
  <c r="L1017" i="37" s="1"/>
  <c r="Q1017" i="37"/>
  <c r="R1017" i="37" s="1"/>
  <c r="U1017" i="37"/>
  <c r="AB1017" i="37"/>
  <c r="AE1017" i="37"/>
  <c r="AF1017" i="37"/>
  <c r="AG1017" i="37" s="1"/>
  <c r="D1018" i="37"/>
  <c r="AD1018" i="37" s="1"/>
  <c r="M1018" i="37"/>
  <c r="L1018" i="37" s="1"/>
  <c r="Q1018" i="37"/>
  <c r="R1018" i="37" s="1"/>
  <c r="U1018" i="37"/>
  <c r="AB1018" i="37"/>
  <c r="AE1018" i="37"/>
  <c r="AF1018" i="37"/>
  <c r="AG1018" i="37" s="1"/>
  <c r="D1019" i="37"/>
  <c r="AD1019" i="37" s="1"/>
  <c r="M1019" i="37"/>
  <c r="L1019" i="37" s="1"/>
  <c r="Q1019" i="37"/>
  <c r="U1019" i="37"/>
  <c r="AB1019" i="37"/>
  <c r="AE1019" i="37"/>
  <c r="AF1019" i="37"/>
  <c r="AG1019" i="37" s="1"/>
  <c r="D1020" i="37"/>
  <c r="AD1020" i="37" s="1"/>
  <c r="M1020" i="37"/>
  <c r="L1020" i="37" s="1"/>
  <c r="Q1020" i="37"/>
  <c r="U1020" i="37"/>
  <c r="AB1020" i="37"/>
  <c r="AE1020" i="37"/>
  <c r="AF1020" i="37"/>
  <c r="AG1020" i="37" s="1"/>
  <c r="D1021" i="37"/>
  <c r="AD1021" i="37" s="1"/>
  <c r="M1021" i="37"/>
  <c r="L1021" i="37" s="1"/>
  <c r="Q1021" i="37"/>
  <c r="R1021" i="37" s="1"/>
  <c r="U1021" i="37"/>
  <c r="AB1021" i="37"/>
  <c r="AE1021" i="37"/>
  <c r="AF1021" i="37"/>
  <c r="AG1021" i="37" s="1"/>
  <c r="D1022" i="37"/>
  <c r="AD1022" i="37" s="1"/>
  <c r="M1022" i="37"/>
  <c r="L1022" i="37" s="1"/>
  <c r="Q1022" i="37"/>
  <c r="R1022" i="37" s="1"/>
  <c r="U1022" i="37"/>
  <c r="AB1022" i="37"/>
  <c r="AE1022" i="37"/>
  <c r="AF1022" i="37"/>
  <c r="AG1022" i="37" s="1"/>
  <c r="D1023" i="37"/>
  <c r="AD1023" i="37" s="1"/>
  <c r="M1023" i="37"/>
  <c r="L1023" i="37" s="1"/>
  <c r="Q1023" i="37"/>
  <c r="U1023" i="37"/>
  <c r="AB1023" i="37"/>
  <c r="AE1023" i="37"/>
  <c r="AF1023" i="37"/>
  <c r="AG1023" i="37" s="1"/>
  <c r="D1024" i="37"/>
  <c r="AD1024" i="37" s="1"/>
  <c r="M1024" i="37"/>
  <c r="L1024" i="37" s="1"/>
  <c r="Q1024" i="37"/>
  <c r="U1024" i="37"/>
  <c r="AB1024" i="37"/>
  <c r="AE1024" i="37"/>
  <c r="AF1024" i="37"/>
  <c r="AG1024" i="37" s="1"/>
  <c r="D1025" i="37"/>
  <c r="AD1025" i="37" s="1"/>
  <c r="M1025" i="37"/>
  <c r="L1025" i="37" s="1"/>
  <c r="Q1025" i="37"/>
  <c r="R1025" i="37" s="1"/>
  <c r="U1025" i="37"/>
  <c r="AB1025" i="37"/>
  <c r="AE1025" i="37"/>
  <c r="AF1025" i="37"/>
  <c r="AG1025" i="37" s="1"/>
  <c r="D1026" i="37"/>
  <c r="AD1026" i="37" s="1"/>
  <c r="M1026" i="37"/>
  <c r="L1026" i="37" s="1"/>
  <c r="Q1026" i="37"/>
  <c r="R1026" i="37" s="1"/>
  <c r="U1026" i="37"/>
  <c r="AB1026" i="37"/>
  <c r="AE1026" i="37"/>
  <c r="AF1026" i="37"/>
  <c r="AG1026" i="37" s="1"/>
  <c r="D1027" i="37"/>
  <c r="AD1027" i="37" s="1"/>
  <c r="M1027" i="37"/>
  <c r="L1027" i="37" s="1"/>
  <c r="Q1027" i="37"/>
  <c r="U1027" i="37"/>
  <c r="AB1027" i="37"/>
  <c r="AE1027" i="37"/>
  <c r="AF1027" i="37"/>
  <c r="AG1027" i="37" s="1"/>
  <c r="D1028" i="37"/>
  <c r="AD1028" i="37" s="1"/>
  <c r="M1028" i="37"/>
  <c r="L1028" i="37" s="1"/>
  <c r="Q1028" i="37"/>
  <c r="R1028" i="37" s="1"/>
  <c r="U1028" i="37"/>
  <c r="AB1028" i="37"/>
  <c r="AE1028" i="37"/>
  <c r="AF1028" i="37"/>
  <c r="AG1028" i="37" s="1"/>
  <c r="D1029" i="37"/>
  <c r="AD1029" i="37" s="1"/>
  <c r="M1029" i="37"/>
  <c r="L1029" i="37" s="1"/>
  <c r="Q1029" i="37"/>
  <c r="R1029" i="37" s="1"/>
  <c r="U1029" i="37"/>
  <c r="AB1029" i="37"/>
  <c r="AE1029" i="37"/>
  <c r="AF1029" i="37"/>
  <c r="AG1029" i="37" s="1"/>
  <c r="D1030" i="37"/>
  <c r="AD1030" i="37" s="1"/>
  <c r="M1030" i="37"/>
  <c r="L1030" i="37" s="1"/>
  <c r="Q1030" i="37"/>
  <c r="R1030" i="37" s="1"/>
  <c r="U1030" i="37"/>
  <c r="AB1030" i="37"/>
  <c r="AE1030" i="37"/>
  <c r="AF1030" i="37"/>
  <c r="AG1030" i="37" s="1"/>
  <c r="D1031" i="37"/>
  <c r="AD1031" i="37" s="1"/>
  <c r="M1031" i="37"/>
  <c r="L1031" i="37" s="1"/>
  <c r="Q1031" i="37"/>
  <c r="R1031" i="37" s="1"/>
  <c r="U1031" i="37"/>
  <c r="AB1031" i="37"/>
  <c r="AE1031" i="37"/>
  <c r="AF1031" i="37"/>
  <c r="AG1031" i="37" s="1"/>
  <c r="D1032" i="37"/>
  <c r="AD1032" i="37" s="1"/>
  <c r="M1032" i="37"/>
  <c r="L1032" i="37" s="1"/>
  <c r="Q1032" i="37"/>
  <c r="R1032" i="37" s="1"/>
  <c r="U1032" i="37"/>
  <c r="AB1032" i="37"/>
  <c r="AE1032" i="37"/>
  <c r="AF1032" i="37"/>
  <c r="AG1032" i="37" s="1"/>
  <c r="D1033" i="37"/>
  <c r="AD1033" i="37" s="1"/>
  <c r="M1033" i="37"/>
  <c r="L1033" i="37" s="1"/>
  <c r="Q1033" i="37"/>
  <c r="U1033" i="37"/>
  <c r="AB1033" i="37"/>
  <c r="AE1033" i="37"/>
  <c r="AF1033" i="37"/>
  <c r="AG1033" i="37" s="1"/>
  <c r="D1034" i="37"/>
  <c r="AD1034" i="37" s="1"/>
  <c r="M1034" i="37"/>
  <c r="L1034" i="37" s="1"/>
  <c r="Q1034" i="37"/>
  <c r="R1034" i="37" s="1"/>
  <c r="U1034" i="37"/>
  <c r="AB1034" i="37"/>
  <c r="AE1034" i="37"/>
  <c r="AF1034" i="37"/>
  <c r="AG1034" i="37" s="1"/>
  <c r="D1035" i="37"/>
  <c r="AD1035" i="37" s="1"/>
  <c r="M1035" i="37"/>
  <c r="L1035" i="37" s="1"/>
  <c r="Q1035" i="37"/>
  <c r="X1035" i="37" s="1"/>
  <c r="Y1035" i="37" s="1"/>
  <c r="U1035" i="37"/>
  <c r="AB1035" i="37"/>
  <c r="AE1035" i="37"/>
  <c r="AF1035" i="37"/>
  <c r="AG1035" i="37" s="1"/>
  <c r="D1036" i="37"/>
  <c r="AD1036" i="37" s="1"/>
  <c r="M1036" i="37"/>
  <c r="L1036" i="37" s="1"/>
  <c r="Q1036" i="37"/>
  <c r="X1036" i="37" s="1"/>
  <c r="Y1036" i="37" s="1"/>
  <c r="U1036" i="37"/>
  <c r="AB1036" i="37"/>
  <c r="AE1036" i="37"/>
  <c r="AF1036" i="37"/>
  <c r="AG1036" i="37" s="1"/>
  <c r="D1037" i="37"/>
  <c r="AD1037" i="37" s="1"/>
  <c r="M1037" i="37"/>
  <c r="L1037" i="37" s="1"/>
  <c r="Q1037" i="37"/>
  <c r="U1037" i="37"/>
  <c r="AB1037" i="37"/>
  <c r="AE1037" i="37"/>
  <c r="AF1037" i="37"/>
  <c r="AG1037" i="37" s="1"/>
  <c r="D1038" i="37"/>
  <c r="AD1038" i="37" s="1"/>
  <c r="M1038" i="37"/>
  <c r="L1038" i="37" s="1"/>
  <c r="Q1038" i="37"/>
  <c r="R1038" i="37" s="1"/>
  <c r="U1038" i="37"/>
  <c r="AB1038" i="37"/>
  <c r="AE1038" i="37"/>
  <c r="AF1038" i="37"/>
  <c r="AG1038" i="37" s="1"/>
  <c r="D1039" i="37"/>
  <c r="AD1039" i="37" s="1"/>
  <c r="M1039" i="37"/>
  <c r="L1039" i="37" s="1"/>
  <c r="Q1039" i="37"/>
  <c r="X1039" i="37" s="1"/>
  <c r="Y1039" i="37" s="1"/>
  <c r="U1039" i="37"/>
  <c r="AB1039" i="37"/>
  <c r="AE1039" i="37"/>
  <c r="AF1039" i="37"/>
  <c r="AG1039" i="37" s="1"/>
  <c r="D1040" i="37"/>
  <c r="AD1040" i="37" s="1"/>
  <c r="M1040" i="37"/>
  <c r="L1040" i="37" s="1"/>
  <c r="Q1040" i="37"/>
  <c r="X1040" i="37" s="1"/>
  <c r="Y1040" i="37" s="1"/>
  <c r="U1040" i="37"/>
  <c r="AB1040" i="37"/>
  <c r="AE1040" i="37"/>
  <c r="AF1040" i="37"/>
  <c r="AG1040" i="37" s="1"/>
  <c r="D1041" i="37"/>
  <c r="AD1041" i="37" s="1"/>
  <c r="M1041" i="37"/>
  <c r="L1041" i="37" s="1"/>
  <c r="Q1041" i="37"/>
  <c r="R1041" i="37" s="1"/>
  <c r="U1041" i="37"/>
  <c r="AB1041" i="37"/>
  <c r="AE1041" i="37"/>
  <c r="AF1041" i="37"/>
  <c r="AG1041" i="37" s="1"/>
  <c r="D1042" i="37"/>
  <c r="AD1042" i="37" s="1"/>
  <c r="M1042" i="37"/>
  <c r="L1042" i="37" s="1"/>
  <c r="Q1042" i="37"/>
  <c r="R1042" i="37" s="1"/>
  <c r="U1042" i="37"/>
  <c r="AB1042" i="37"/>
  <c r="AE1042" i="37"/>
  <c r="AF1042" i="37"/>
  <c r="AG1042" i="37" s="1"/>
  <c r="D1043" i="37"/>
  <c r="AD1043" i="37" s="1"/>
  <c r="M1043" i="37"/>
  <c r="L1043" i="37" s="1"/>
  <c r="Q1043" i="37"/>
  <c r="R1043" i="37" s="1"/>
  <c r="U1043" i="37"/>
  <c r="AB1043" i="37"/>
  <c r="AE1043" i="37"/>
  <c r="AF1043" i="37"/>
  <c r="AG1043" i="37" s="1"/>
  <c r="D1044" i="37"/>
  <c r="AD1044" i="37" s="1"/>
  <c r="M1044" i="37"/>
  <c r="L1044" i="37" s="1"/>
  <c r="Q1044" i="37"/>
  <c r="U1044" i="37"/>
  <c r="AB1044" i="37"/>
  <c r="AE1044" i="37"/>
  <c r="AF1044" i="37"/>
  <c r="AG1044" i="37" s="1"/>
  <c r="D1045" i="37"/>
  <c r="AD1045" i="37" s="1"/>
  <c r="M1045" i="37"/>
  <c r="L1045" i="37" s="1"/>
  <c r="Q1045" i="37"/>
  <c r="R1045" i="37" s="1"/>
  <c r="U1045" i="37"/>
  <c r="AB1045" i="37"/>
  <c r="AE1045" i="37"/>
  <c r="AF1045" i="37"/>
  <c r="AG1045" i="37" s="1"/>
  <c r="D1046" i="37"/>
  <c r="AD1046" i="37" s="1"/>
  <c r="M1046" i="37"/>
  <c r="L1046" i="37" s="1"/>
  <c r="Q1046" i="37"/>
  <c r="X1046" i="37" s="1"/>
  <c r="Y1046" i="37" s="1"/>
  <c r="U1046" i="37"/>
  <c r="AB1046" i="37"/>
  <c r="AE1046" i="37"/>
  <c r="AF1046" i="37"/>
  <c r="AG1046" i="37" s="1"/>
  <c r="D1047" i="37"/>
  <c r="AD1047" i="37" s="1"/>
  <c r="M1047" i="37"/>
  <c r="L1047" i="37" s="1"/>
  <c r="Q1047" i="37"/>
  <c r="X1047" i="37" s="1"/>
  <c r="Y1047" i="37" s="1"/>
  <c r="U1047" i="37"/>
  <c r="AB1047" i="37"/>
  <c r="AE1047" i="37"/>
  <c r="AF1047" i="37"/>
  <c r="AG1047" i="37" s="1"/>
  <c r="D1048" i="37"/>
  <c r="AD1048" i="37" s="1"/>
  <c r="M1048" i="37"/>
  <c r="L1048" i="37" s="1"/>
  <c r="Q1048" i="37"/>
  <c r="X1048" i="37" s="1"/>
  <c r="Y1048" i="37" s="1"/>
  <c r="U1048" i="37"/>
  <c r="AB1048" i="37"/>
  <c r="AE1048" i="37"/>
  <c r="AF1048" i="37"/>
  <c r="AG1048" i="37" s="1"/>
  <c r="D1049" i="37"/>
  <c r="AD1049" i="37" s="1"/>
  <c r="M1049" i="37"/>
  <c r="L1049" i="37" s="1"/>
  <c r="Q1049" i="37"/>
  <c r="U1049" i="37"/>
  <c r="AB1049" i="37"/>
  <c r="AE1049" i="37"/>
  <c r="AF1049" i="37"/>
  <c r="AG1049" i="37" s="1"/>
  <c r="D1050" i="37"/>
  <c r="AD1050" i="37" s="1"/>
  <c r="M1050" i="37"/>
  <c r="L1050" i="37" s="1"/>
  <c r="Q1050" i="37"/>
  <c r="R1050" i="37" s="1"/>
  <c r="U1050" i="37"/>
  <c r="AB1050" i="37"/>
  <c r="AE1050" i="37"/>
  <c r="AF1050" i="37"/>
  <c r="AG1050" i="37" s="1"/>
  <c r="D1051" i="37"/>
  <c r="AD1051" i="37" s="1"/>
  <c r="M1051" i="37"/>
  <c r="L1051" i="37" s="1"/>
  <c r="Q1051" i="37"/>
  <c r="R1051" i="37" s="1"/>
  <c r="U1051" i="37"/>
  <c r="AB1051" i="37"/>
  <c r="AE1051" i="37"/>
  <c r="AF1051" i="37"/>
  <c r="AG1051" i="37" s="1"/>
  <c r="D1052" i="37"/>
  <c r="AD1052" i="37" s="1"/>
  <c r="M1052" i="37"/>
  <c r="L1052" i="37" s="1"/>
  <c r="Q1052" i="37"/>
  <c r="X1052" i="37" s="1"/>
  <c r="Y1052" i="37" s="1"/>
  <c r="U1052" i="37"/>
  <c r="AB1052" i="37"/>
  <c r="AE1052" i="37"/>
  <c r="AF1052" i="37"/>
  <c r="AG1052" i="37" s="1"/>
  <c r="D1053" i="37"/>
  <c r="AD1053" i="37" s="1"/>
  <c r="M1053" i="37"/>
  <c r="L1053" i="37" s="1"/>
  <c r="Q1053" i="37"/>
  <c r="R1053" i="37" s="1"/>
  <c r="U1053" i="37"/>
  <c r="AB1053" i="37"/>
  <c r="AE1053" i="37"/>
  <c r="AF1053" i="37"/>
  <c r="AG1053" i="37" s="1"/>
  <c r="D1054" i="37"/>
  <c r="AD1054" i="37" s="1"/>
  <c r="M1054" i="37"/>
  <c r="L1054" i="37" s="1"/>
  <c r="Q1054" i="37"/>
  <c r="R1054" i="37" s="1"/>
  <c r="U1054" i="37"/>
  <c r="AB1054" i="37"/>
  <c r="AE1054" i="37"/>
  <c r="AF1054" i="37"/>
  <c r="AG1054" i="37" s="1"/>
  <c r="D1055" i="37"/>
  <c r="AD1055" i="37" s="1"/>
  <c r="M1055" i="37"/>
  <c r="L1055" i="37" s="1"/>
  <c r="Q1055" i="37"/>
  <c r="R1055" i="37" s="1"/>
  <c r="U1055" i="37"/>
  <c r="AB1055" i="37"/>
  <c r="AE1055" i="37"/>
  <c r="AF1055" i="37"/>
  <c r="AG1055" i="37" s="1"/>
  <c r="D1056" i="37"/>
  <c r="AD1056" i="37" s="1"/>
  <c r="M1056" i="37"/>
  <c r="L1056" i="37" s="1"/>
  <c r="Q1056" i="37"/>
  <c r="U1056" i="37"/>
  <c r="AB1056" i="37"/>
  <c r="AE1056" i="37"/>
  <c r="AF1056" i="37"/>
  <c r="AG1056" i="37" s="1"/>
  <c r="D1057" i="37"/>
  <c r="AD1057" i="37" s="1"/>
  <c r="M1057" i="37"/>
  <c r="L1057" i="37" s="1"/>
  <c r="Q1057" i="37"/>
  <c r="R1057" i="37" s="1"/>
  <c r="U1057" i="37"/>
  <c r="AB1057" i="37"/>
  <c r="AE1057" i="37"/>
  <c r="AF1057" i="37"/>
  <c r="AG1057" i="37" s="1"/>
  <c r="D1058" i="37"/>
  <c r="AD1058" i="37" s="1"/>
  <c r="M1058" i="37"/>
  <c r="L1058" i="37" s="1"/>
  <c r="Q1058" i="37"/>
  <c r="X1058" i="37" s="1"/>
  <c r="Y1058" i="37" s="1"/>
  <c r="U1058" i="37"/>
  <c r="AB1058" i="37"/>
  <c r="AE1058" i="37"/>
  <c r="AF1058" i="37"/>
  <c r="AG1058" i="37" s="1"/>
  <c r="D1059" i="37"/>
  <c r="AD1059" i="37" s="1"/>
  <c r="M1059" i="37"/>
  <c r="L1059" i="37" s="1"/>
  <c r="Q1059" i="37"/>
  <c r="R1059" i="37" s="1"/>
  <c r="U1059" i="37"/>
  <c r="AB1059" i="37"/>
  <c r="AE1059" i="37"/>
  <c r="AF1059" i="37"/>
  <c r="AG1059" i="37" s="1"/>
  <c r="D1060" i="37"/>
  <c r="AD1060" i="37" s="1"/>
  <c r="M1060" i="37"/>
  <c r="L1060" i="37" s="1"/>
  <c r="Q1060" i="37"/>
  <c r="X1060" i="37" s="1"/>
  <c r="Y1060" i="37" s="1"/>
  <c r="U1060" i="37"/>
  <c r="AB1060" i="37"/>
  <c r="AE1060" i="37"/>
  <c r="AF1060" i="37"/>
  <c r="AG1060" i="37" s="1"/>
  <c r="D1061" i="37"/>
  <c r="AD1061" i="37" s="1"/>
  <c r="M1061" i="37"/>
  <c r="L1061" i="37" s="1"/>
  <c r="Q1061" i="37"/>
  <c r="R1061" i="37" s="1"/>
  <c r="U1061" i="37"/>
  <c r="AB1061" i="37"/>
  <c r="AE1061" i="37"/>
  <c r="AF1061" i="37"/>
  <c r="AG1061" i="37" s="1"/>
  <c r="D1062" i="37"/>
  <c r="AD1062" i="37" s="1"/>
  <c r="M1062" i="37"/>
  <c r="L1062" i="37" s="1"/>
  <c r="Q1062" i="37"/>
  <c r="R1062" i="37" s="1"/>
  <c r="U1062" i="37"/>
  <c r="AB1062" i="37"/>
  <c r="AE1062" i="37"/>
  <c r="AF1062" i="37"/>
  <c r="AG1062" i="37" s="1"/>
  <c r="D1063" i="37"/>
  <c r="AD1063" i="37" s="1"/>
  <c r="M1063" i="37"/>
  <c r="L1063" i="37" s="1"/>
  <c r="Q1063" i="37"/>
  <c r="R1063" i="37" s="1"/>
  <c r="U1063" i="37"/>
  <c r="AB1063" i="37"/>
  <c r="AE1063" i="37"/>
  <c r="AF1063" i="37"/>
  <c r="AG1063" i="37" s="1"/>
  <c r="D1064" i="37"/>
  <c r="AD1064" i="37" s="1"/>
  <c r="M1064" i="37"/>
  <c r="L1064" i="37" s="1"/>
  <c r="Q1064" i="37"/>
  <c r="X1064" i="37" s="1"/>
  <c r="Y1064" i="37" s="1"/>
  <c r="U1064" i="37"/>
  <c r="AB1064" i="37"/>
  <c r="AE1064" i="37"/>
  <c r="AF1064" i="37"/>
  <c r="AG1064" i="37" s="1"/>
  <c r="D1065" i="37"/>
  <c r="AD1065" i="37" s="1"/>
  <c r="M1065" i="37"/>
  <c r="L1065" i="37" s="1"/>
  <c r="Q1065" i="37"/>
  <c r="R1065" i="37" s="1"/>
  <c r="U1065" i="37"/>
  <c r="AB1065" i="37"/>
  <c r="AE1065" i="37"/>
  <c r="AF1065" i="37"/>
  <c r="AG1065" i="37" s="1"/>
  <c r="D1066" i="37"/>
  <c r="AD1066" i="37" s="1"/>
  <c r="M1066" i="37"/>
  <c r="L1066" i="37" s="1"/>
  <c r="Q1066" i="37"/>
  <c r="R1066" i="37" s="1"/>
  <c r="U1066" i="37"/>
  <c r="AB1066" i="37"/>
  <c r="AE1066" i="37"/>
  <c r="AF1066" i="37"/>
  <c r="AG1066" i="37" s="1"/>
  <c r="D1067" i="37"/>
  <c r="AD1067" i="37" s="1"/>
  <c r="M1067" i="37"/>
  <c r="L1067" i="37" s="1"/>
  <c r="Q1067" i="37"/>
  <c r="R1067" i="37" s="1"/>
  <c r="U1067" i="37"/>
  <c r="AB1067" i="37"/>
  <c r="AE1067" i="37"/>
  <c r="AF1067" i="37"/>
  <c r="AG1067" i="37" s="1"/>
  <c r="D1068" i="37"/>
  <c r="AD1068" i="37" s="1"/>
  <c r="M1068" i="37"/>
  <c r="L1068" i="37" s="1"/>
  <c r="Q1068" i="37"/>
  <c r="R1068" i="37" s="1"/>
  <c r="U1068" i="37"/>
  <c r="AB1068" i="37"/>
  <c r="AE1068" i="37"/>
  <c r="AF1068" i="37"/>
  <c r="AG1068" i="37" s="1"/>
  <c r="D1069" i="37"/>
  <c r="AD1069" i="37" s="1"/>
  <c r="M1069" i="37"/>
  <c r="L1069" i="37" s="1"/>
  <c r="Q1069" i="37"/>
  <c r="R1069" i="37" s="1"/>
  <c r="U1069" i="37"/>
  <c r="AB1069" i="37"/>
  <c r="AE1069" i="37"/>
  <c r="AF1069" i="37"/>
  <c r="AG1069" i="37" s="1"/>
  <c r="D1070" i="37"/>
  <c r="AD1070" i="37" s="1"/>
  <c r="M1070" i="37"/>
  <c r="L1070" i="37" s="1"/>
  <c r="Q1070" i="37"/>
  <c r="X1070" i="37" s="1"/>
  <c r="Y1070" i="37" s="1"/>
  <c r="U1070" i="37"/>
  <c r="AB1070" i="37"/>
  <c r="AE1070" i="37"/>
  <c r="AF1070" i="37"/>
  <c r="AG1070" i="37" s="1"/>
  <c r="D1071" i="37"/>
  <c r="AD1071" i="37" s="1"/>
  <c r="M1071" i="37"/>
  <c r="L1071" i="37" s="1"/>
  <c r="Q1071" i="37"/>
  <c r="X1071" i="37" s="1"/>
  <c r="Y1071" i="37" s="1"/>
  <c r="U1071" i="37"/>
  <c r="AB1071" i="37"/>
  <c r="AE1071" i="37"/>
  <c r="AF1071" i="37"/>
  <c r="AG1071" i="37" s="1"/>
  <c r="D1072" i="37"/>
  <c r="AD1072" i="37" s="1"/>
  <c r="M1072" i="37"/>
  <c r="L1072" i="37" s="1"/>
  <c r="Q1072" i="37"/>
  <c r="R1072" i="37" s="1"/>
  <c r="U1072" i="37"/>
  <c r="AB1072" i="37"/>
  <c r="AE1072" i="37"/>
  <c r="AF1072" i="37"/>
  <c r="AG1072" i="37" s="1"/>
  <c r="D1073" i="37"/>
  <c r="AD1073" i="37" s="1"/>
  <c r="M1073" i="37"/>
  <c r="L1073" i="37" s="1"/>
  <c r="Q1073" i="37"/>
  <c r="R1073" i="37" s="1"/>
  <c r="U1073" i="37"/>
  <c r="AB1073" i="37"/>
  <c r="AE1073" i="37"/>
  <c r="AF1073" i="37"/>
  <c r="AG1073" i="37" s="1"/>
  <c r="D1074" i="37"/>
  <c r="AD1074" i="37" s="1"/>
  <c r="M1074" i="37"/>
  <c r="L1074" i="37" s="1"/>
  <c r="Q1074" i="37"/>
  <c r="X1074" i="37" s="1"/>
  <c r="Y1074" i="37" s="1"/>
  <c r="U1074" i="37"/>
  <c r="AB1074" i="37"/>
  <c r="AE1074" i="37"/>
  <c r="AF1074" i="37"/>
  <c r="AG1074" i="37" s="1"/>
  <c r="D1075" i="37"/>
  <c r="AD1075" i="37" s="1"/>
  <c r="M1075" i="37"/>
  <c r="L1075" i="37" s="1"/>
  <c r="Q1075" i="37"/>
  <c r="U1075" i="37"/>
  <c r="AB1075" i="37"/>
  <c r="AE1075" i="37"/>
  <c r="AF1075" i="37"/>
  <c r="AG1075" i="37" s="1"/>
  <c r="D1076" i="37"/>
  <c r="AD1076" i="37" s="1"/>
  <c r="M1076" i="37"/>
  <c r="L1076" i="37" s="1"/>
  <c r="Q1076" i="37"/>
  <c r="R1076" i="37" s="1"/>
  <c r="U1076" i="37"/>
  <c r="AB1076" i="37"/>
  <c r="AE1076" i="37"/>
  <c r="AF1076" i="37"/>
  <c r="AG1076" i="37" s="1"/>
  <c r="D1077" i="37"/>
  <c r="AD1077" i="37" s="1"/>
  <c r="M1077" i="37"/>
  <c r="L1077" i="37" s="1"/>
  <c r="Q1077" i="37"/>
  <c r="U1077" i="37"/>
  <c r="AB1077" i="37"/>
  <c r="AE1077" i="37"/>
  <c r="AF1077" i="37"/>
  <c r="AG1077" i="37" s="1"/>
  <c r="D1078" i="37"/>
  <c r="AD1078" i="37" s="1"/>
  <c r="M1078" i="37"/>
  <c r="L1078" i="37" s="1"/>
  <c r="Q1078" i="37"/>
  <c r="X1078" i="37" s="1"/>
  <c r="Y1078" i="37" s="1"/>
  <c r="U1078" i="37"/>
  <c r="AB1078" i="37"/>
  <c r="AE1078" i="37"/>
  <c r="AF1078" i="37"/>
  <c r="AG1078" i="37" s="1"/>
  <c r="D1079" i="37"/>
  <c r="AD1079" i="37" s="1"/>
  <c r="M1079" i="37"/>
  <c r="L1079" i="37" s="1"/>
  <c r="Q1079" i="37"/>
  <c r="X1079" i="37" s="1"/>
  <c r="Y1079" i="37" s="1"/>
  <c r="U1079" i="37"/>
  <c r="AB1079" i="37"/>
  <c r="AE1079" i="37"/>
  <c r="AF1079" i="37"/>
  <c r="AG1079" i="37" s="1"/>
  <c r="D1080" i="37"/>
  <c r="AD1080" i="37" s="1"/>
  <c r="M1080" i="37"/>
  <c r="L1080" i="37" s="1"/>
  <c r="Q1080" i="37"/>
  <c r="R1080" i="37" s="1"/>
  <c r="U1080" i="37"/>
  <c r="AB1080" i="37"/>
  <c r="AE1080" i="37"/>
  <c r="AF1080" i="37"/>
  <c r="AG1080" i="37" s="1"/>
  <c r="D1081" i="37"/>
  <c r="AD1081" i="37" s="1"/>
  <c r="M1081" i="37"/>
  <c r="L1081" i="37" s="1"/>
  <c r="Q1081" i="37"/>
  <c r="U1081" i="37"/>
  <c r="AB1081" i="37"/>
  <c r="AE1081" i="37"/>
  <c r="AF1081" i="37"/>
  <c r="AG1081" i="37" s="1"/>
  <c r="D1082" i="37"/>
  <c r="AD1082" i="37" s="1"/>
  <c r="M1082" i="37"/>
  <c r="L1082" i="37" s="1"/>
  <c r="Q1082" i="37"/>
  <c r="X1082" i="37" s="1"/>
  <c r="Y1082" i="37" s="1"/>
  <c r="U1082" i="37"/>
  <c r="AB1082" i="37"/>
  <c r="AE1082" i="37"/>
  <c r="AF1082" i="37"/>
  <c r="AG1082" i="37" s="1"/>
  <c r="D1083" i="37"/>
  <c r="AD1083" i="37" s="1"/>
  <c r="M1083" i="37"/>
  <c r="L1083" i="37" s="1"/>
  <c r="Q1083" i="37"/>
  <c r="R1083" i="37" s="1"/>
  <c r="U1083" i="37"/>
  <c r="AB1083" i="37"/>
  <c r="AE1083" i="37"/>
  <c r="AF1083" i="37"/>
  <c r="AG1083" i="37" s="1"/>
  <c r="D1084" i="37"/>
  <c r="AD1084" i="37" s="1"/>
  <c r="M1084" i="37"/>
  <c r="L1084" i="37" s="1"/>
  <c r="Q1084" i="37"/>
  <c r="U1084" i="37"/>
  <c r="AB1084" i="37"/>
  <c r="AE1084" i="37"/>
  <c r="AF1084" i="37"/>
  <c r="AG1084" i="37" s="1"/>
  <c r="D1085" i="37"/>
  <c r="AD1085" i="37" s="1"/>
  <c r="M1085" i="37"/>
  <c r="L1085" i="37" s="1"/>
  <c r="Q1085" i="37"/>
  <c r="X1085" i="37" s="1"/>
  <c r="Y1085" i="37" s="1"/>
  <c r="U1085" i="37"/>
  <c r="AB1085" i="37"/>
  <c r="AE1085" i="37"/>
  <c r="AF1085" i="37"/>
  <c r="AG1085" i="37" s="1"/>
  <c r="D1086" i="37"/>
  <c r="AD1086" i="37" s="1"/>
  <c r="M1086" i="37"/>
  <c r="L1086" i="37" s="1"/>
  <c r="Q1086" i="37"/>
  <c r="R1086" i="37" s="1"/>
  <c r="U1086" i="37"/>
  <c r="AB1086" i="37"/>
  <c r="AE1086" i="37"/>
  <c r="AF1086" i="37"/>
  <c r="AG1086" i="37" s="1"/>
  <c r="D1087" i="37"/>
  <c r="AD1087" i="37" s="1"/>
  <c r="M1087" i="37"/>
  <c r="L1087" i="37" s="1"/>
  <c r="Q1087" i="37"/>
  <c r="R1087" i="37" s="1"/>
  <c r="U1087" i="37"/>
  <c r="AB1087" i="37"/>
  <c r="AE1087" i="37"/>
  <c r="AF1087" i="37"/>
  <c r="AG1087" i="37" s="1"/>
  <c r="D1088" i="37"/>
  <c r="AD1088" i="37" s="1"/>
  <c r="M1088" i="37"/>
  <c r="L1088" i="37" s="1"/>
  <c r="Q1088" i="37"/>
  <c r="X1088" i="37" s="1"/>
  <c r="Y1088" i="37" s="1"/>
  <c r="U1088" i="37"/>
  <c r="AB1088" i="37"/>
  <c r="AE1088" i="37"/>
  <c r="AF1088" i="37"/>
  <c r="AG1088" i="37" s="1"/>
  <c r="D1089" i="37"/>
  <c r="AD1089" i="37" s="1"/>
  <c r="M1089" i="37"/>
  <c r="L1089" i="37" s="1"/>
  <c r="Q1089" i="37"/>
  <c r="R1089" i="37" s="1"/>
  <c r="U1089" i="37"/>
  <c r="AB1089" i="37"/>
  <c r="AE1089" i="37"/>
  <c r="AF1089" i="37"/>
  <c r="AG1089" i="37" s="1"/>
  <c r="D1090" i="37"/>
  <c r="AD1090" i="37" s="1"/>
  <c r="M1090" i="37"/>
  <c r="L1090" i="37" s="1"/>
  <c r="Q1090" i="37"/>
  <c r="R1090" i="37" s="1"/>
  <c r="U1090" i="37"/>
  <c r="AB1090" i="37"/>
  <c r="AE1090" i="37"/>
  <c r="AF1090" i="37"/>
  <c r="AG1090" i="37" s="1"/>
  <c r="D1091" i="37"/>
  <c r="AD1091" i="37" s="1"/>
  <c r="M1091" i="37"/>
  <c r="L1091" i="37" s="1"/>
  <c r="Q1091" i="37"/>
  <c r="R1091" i="37" s="1"/>
  <c r="U1091" i="37"/>
  <c r="AB1091" i="37"/>
  <c r="AE1091" i="37"/>
  <c r="AF1091" i="37"/>
  <c r="AG1091" i="37" s="1"/>
  <c r="D1092" i="37"/>
  <c r="AD1092" i="37" s="1"/>
  <c r="M1092" i="37"/>
  <c r="L1092" i="37" s="1"/>
  <c r="Q1092" i="37"/>
  <c r="U1092" i="37"/>
  <c r="AB1092" i="37"/>
  <c r="AE1092" i="37"/>
  <c r="AF1092" i="37"/>
  <c r="AG1092" i="37" s="1"/>
  <c r="D1093" i="37"/>
  <c r="AD1093" i="37" s="1"/>
  <c r="M1093" i="37"/>
  <c r="L1093" i="37" s="1"/>
  <c r="Q1093" i="37"/>
  <c r="X1093" i="37" s="1"/>
  <c r="Y1093" i="37" s="1"/>
  <c r="U1093" i="37"/>
  <c r="AB1093" i="37"/>
  <c r="AE1093" i="37"/>
  <c r="AF1093" i="37"/>
  <c r="AG1093" i="37" s="1"/>
  <c r="D1094" i="37"/>
  <c r="AD1094" i="37" s="1"/>
  <c r="M1094" i="37"/>
  <c r="L1094" i="37" s="1"/>
  <c r="Q1094" i="37"/>
  <c r="R1094" i="37" s="1"/>
  <c r="U1094" i="37"/>
  <c r="AB1094" i="37"/>
  <c r="AE1094" i="37"/>
  <c r="AF1094" i="37"/>
  <c r="AG1094" i="37" s="1"/>
  <c r="D1095" i="37"/>
  <c r="AD1095" i="37" s="1"/>
  <c r="M1095" i="37"/>
  <c r="L1095" i="37" s="1"/>
  <c r="Q1095" i="37"/>
  <c r="R1095" i="37" s="1"/>
  <c r="U1095" i="37"/>
  <c r="AB1095" i="37"/>
  <c r="AE1095" i="37"/>
  <c r="AF1095" i="37"/>
  <c r="AG1095" i="37" s="1"/>
  <c r="D1096" i="37"/>
  <c r="AD1096" i="37" s="1"/>
  <c r="M1096" i="37"/>
  <c r="L1096" i="37" s="1"/>
  <c r="Q1096" i="37"/>
  <c r="X1096" i="37" s="1"/>
  <c r="Y1096" i="37" s="1"/>
  <c r="U1096" i="37"/>
  <c r="AB1096" i="37"/>
  <c r="AE1096" i="37"/>
  <c r="AF1096" i="37"/>
  <c r="AG1096" i="37" s="1"/>
  <c r="D1097" i="37"/>
  <c r="AD1097" i="37" s="1"/>
  <c r="M1097" i="37"/>
  <c r="L1097" i="37" s="1"/>
  <c r="Q1097" i="37"/>
  <c r="R1097" i="37" s="1"/>
  <c r="U1097" i="37"/>
  <c r="AB1097" i="37"/>
  <c r="AE1097" i="37"/>
  <c r="AF1097" i="37"/>
  <c r="AG1097" i="37" s="1"/>
  <c r="D1098" i="37"/>
  <c r="AD1098" i="37" s="1"/>
  <c r="M1098" i="37"/>
  <c r="L1098" i="37" s="1"/>
  <c r="Q1098" i="37"/>
  <c r="R1098" i="37" s="1"/>
  <c r="U1098" i="37"/>
  <c r="AB1098" i="37"/>
  <c r="AE1098" i="37"/>
  <c r="AF1098" i="37"/>
  <c r="AG1098" i="37" s="1"/>
  <c r="D1099" i="37"/>
  <c r="AD1099" i="37" s="1"/>
  <c r="M1099" i="37"/>
  <c r="L1099" i="37" s="1"/>
  <c r="Q1099" i="37"/>
  <c r="U1099" i="37"/>
  <c r="AB1099" i="37"/>
  <c r="AE1099" i="37"/>
  <c r="AF1099" i="37"/>
  <c r="AG1099" i="37" s="1"/>
  <c r="D1100" i="37"/>
  <c r="AD1100" i="37" s="1"/>
  <c r="M1100" i="37"/>
  <c r="L1100" i="37" s="1"/>
  <c r="Q1100" i="37"/>
  <c r="U1100" i="37"/>
  <c r="AB1100" i="37"/>
  <c r="AE1100" i="37"/>
  <c r="AF1100" i="37"/>
  <c r="AG1100" i="37" s="1"/>
  <c r="D1101" i="37"/>
  <c r="AD1101" i="37" s="1"/>
  <c r="M1101" i="37"/>
  <c r="L1101" i="37" s="1"/>
  <c r="Q1101" i="37"/>
  <c r="X1101" i="37" s="1"/>
  <c r="Y1101" i="37" s="1"/>
  <c r="U1101" i="37"/>
  <c r="AB1101" i="37"/>
  <c r="AE1101" i="37"/>
  <c r="AF1101" i="37"/>
  <c r="AG1101" i="37" s="1"/>
  <c r="D1102" i="37"/>
  <c r="AD1102" i="37" s="1"/>
  <c r="M1102" i="37"/>
  <c r="L1102" i="37" s="1"/>
  <c r="Q1102" i="37"/>
  <c r="R1102" i="37" s="1"/>
  <c r="U1102" i="37"/>
  <c r="AB1102" i="37"/>
  <c r="AE1102" i="37"/>
  <c r="AF1102" i="37"/>
  <c r="AG1102" i="37" s="1"/>
  <c r="D1103" i="37"/>
  <c r="AD1103" i="37" s="1"/>
  <c r="M1103" i="37"/>
  <c r="L1103" i="37" s="1"/>
  <c r="Q1103" i="37"/>
  <c r="R1103" i="37" s="1"/>
  <c r="U1103" i="37"/>
  <c r="AB1103" i="37"/>
  <c r="AE1103" i="37"/>
  <c r="AF1103" i="37"/>
  <c r="AG1103" i="37" s="1"/>
  <c r="D1104" i="37"/>
  <c r="AD1104" i="37" s="1"/>
  <c r="M1104" i="37"/>
  <c r="L1104" i="37" s="1"/>
  <c r="Q1104" i="37"/>
  <c r="X1104" i="37" s="1"/>
  <c r="Y1104" i="37" s="1"/>
  <c r="U1104" i="37"/>
  <c r="AB1104" i="37"/>
  <c r="AE1104" i="37"/>
  <c r="AF1104" i="37"/>
  <c r="AG1104" i="37" s="1"/>
  <c r="D1105" i="37"/>
  <c r="AD1105" i="37" s="1"/>
  <c r="M1105" i="37"/>
  <c r="L1105" i="37" s="1"/>
  <c r="Q1105" i="37"/>
  <c r="R1105" i="37" s="1"/>
  <c r="U1105" i="37"/>
  <c r="AB1105" i="37"/>
  <c r="AE1105" i="37"/>
  <c r="AF1105" i="37"/>
  <c r="AG1105" i="37" s="1"/>
  <c r="D1106" i="37"/>
  <c r="AD1106" i="37" s="1"/>
  <c r="M1106" i="37"/>
  <c r="L1106" i="37" s="1"/>
  <c r="Q1106" i="37"/>
  <c r="R1106" i="37" s="1"/>
  <c r="U1106" i="37"/>
  <c r="AB1106" i="37"/>
  <c r="AE1106" i="37"/>
  <c r="AF1106" i="37"/>
  <c r="AG1106" i="37" s="1"/>
  <c r="D1107" i="37"/>
  <c r="AD1107" i="37" s="1"/>
  <c r="M1107" i="37"/>
  <c r="L1107" i="37" s="1"/>
  <c r="Q1107" i="37"/>
  <c r="X1107" i="37" s="1"/>
  <c r="Y1107" i="37" s="1"/>
  <c r="U1107" i="37"/>
  <c r="AB1107" i="37"/>
  <c r="AE1107" i="37"/>
  <c r="AF1107" i="37"/>
  <c r="AG1107" i="37" s="1"/>
  <c r="D1108" i="37"/>
  <c r="AD1108" i="37" s="1"/>
  <c r="M1108" i="37"/>
  <c r="L1108" i="37" s="1"/>
  <c r="Q1108" i="37"/>
  <c r="U1108" i="37"/>
  <c r="AB1108" i="37"/>
  <c r="AE1108" i="37"/>
  <c r="AF1108" i="37"/>
  <c r="AG1108" i="37" s="1"/>
  <c r="D1109" i="37"/>
  <c r="AD1109" i="37" s="1"/>
  <c r="M1109" i="37"/>
  <c r="L1109" i="37" s="1"/>
  <c r="Q1109" i="37"/>
  <c r="X1109" i="37" s="1"/>
  <c r="Y1109" i="37" s="1"/>
  <c r="U1109" i="37"/>
  <c r="AB1109" i="37"/>
  <c r="AE1109" i="37"/>
  <c r="AF1109" i="37"/>
  <c r="AG1109" i="37" s="1"/>
  <c r="D1110" i="37"/>
  <c r="AD1110" i="37" s="1"/>
  <c r="M1110" i="37"/>
  <c r="L1110" i="37" s="1"/>
  <c r="Q1110" i="37"/>
  <c r="R1110" i="37" s="1"/>
  <c r="U1110" i="37"/>
  <c r="AB1110" i="37"/>
  <c r="AE1110" i="37"/>
  <c r="AF1110" i="37"/>
  <c r="AG1110" i="37" s="1"/>
  <c r="D1111" i="37"/>
  <c r="AD1111" i="37" s="1"/>
  <c r="M1111" i="37"/>
  <c r="L1111" i="37" s="1"/>
  <c r="Q1111" i="37"/>
  <c r="U1111" i="37"/>
  <c r="AB1111" i="37"/>
  <c r="AE1111" i="37"/>
  <c r="AF1111" i="37"/>
  <c r="AG1111" i="37" s="1"/>
  <c r="D1112" i="37"/>
  <c r="AD1112" i="37" s="1"/>
  <c r="M1112" i="37"/>
  <c r="L1112" i="37" s="1"/>
  <c r="Q1112" i="37"/>
  <c r="X1112" i="37" s="1"/>
  <c r="Y1112" i="37" s="1"/>
  <c r="U1112" i="37"/>
  <c r="AB1112" i="37"/>
  <c r="AE1112" i="37"/>
  <c r="AF1112" i="37"/>
  <c r="AG1112" i="37" s="1"/>
  <c r="D1113" i="37"/>
  <c r="AD1113" i="37" s="1"/>
  <c r="M1113" i="37"/>
  <c r="L1113" i="37" s="1"/>
  <c r="Q1113" i="37"/>
  <c r="U1113" i="37"/>
  <c r="AB1113" i="37"/>
  <c r="AE1113" i="37"/>
  <c r="AF1113" i="37"/>
  <c r="AG1113" i="37" s="1"/>
  <c r="D1114" i="37"/>
  <c r="AD1114" i="37" s="1"/>
  <c r="M1114" i="37"/>
  <c r="L1114" i="37" s="1"/>
  <c r="Q1114" i="37"/>
  <c r="R1114" i="37" s="1"/>
  <c r="U1114" i="37"/>
  <c r="AB1114" i="37"/>
  <c r="AE1114" i="37"/>
  <c r="AF1114" i="37"/>
  <c r="AG1114" i="37" s="1"/>
  <c r="D1115" i="37"/>
  <c r="AD1115" i="37" s="1"/>
  <c r="M1115" i="37"/>
  <c r="L1115" i="37" s="1"/>
  <c r="Q1115" i="37"/>
  <c r="X1115" i="37" s="1"/>
  <c r="Y1115" i="37" s="1"/>
  <c r="U1115" i="37"/>
  <c r="AB1115" i="37"/>
  <c r="AE1115" i="37"/>
  <c r="AF1115" i="37"/>
  <c r="AG1115" i="37" s="1"/>
  <c r="D1116" i="37"/>
  <c r="AD1116" i="37" s="1"/>
  <c r="M1116" i="37"/>
  <c r="L1116" i="37" s="1"/>
  <c r="Q1116" i="37"/>
  <c r="U1116" i="37"/>
  <c r="AB1116" i="37"/>
  <c r="AE1116" i="37"/>
  <c r="AF1116" i="37"/>
  <c r="AG1116" i="37" s="1"/>
  <c r="D1117" i="37"/>
  <c r="AD1117" i="37" s="1"/>
  <c r="M1117" i="37"/>
  <c r="L1117" i="37" s="1"/>
  <c r="Q1117" i="37"/>
  <c r="X1117" i="37" s="1"/>
  <c r="Y1117" i="37" s="1"/>
  <c r="U1117" i="37"/>
  <c r="AB1117" i="37"/>
  <c r="AE1117" i="37"/>
  <c r="AF1117" i="37"/>
  <c r="AG1117" i="37" s="1"/>
  <c r="D1118" i="37"/>
  <c r="AD1118" i="37" s="1"/>
  <c r="M1118" i="37"/>
  <c r="L1118" i="37" s="1"/>
  <c r="Q1118" i="37"/>
  <c r="U1118" i="37"/>
  <c r="AB1118" i="37"/>
  <c r="AE1118" i="37"/>
  <c r="AF1118" i="37"/>
  <c r="AG1118" i="37" s="1"/>
  <c r="D1119" i="37"/>
  <c r="AD1119" i="37" s="1"/>
  <c r="M1119" i="37"/>
  <c r="L1119" i="37" s="1"/>
  <c r="Q1119" i="37"/>
  <c r="U1119" i="37"/>
  <c r="AB1119" i="37"/>
  <c r="AE1119" i="37"/>
  <c r="AF1119" i="37"/>
  <c r="AG1119" i="37" s="1"/>
  <c r="D1120" i="37"/>
  <c r="AD1120" i="37" s="1"/>
  <c r="M1120" i="37"/>
  <c r="L1120" i="37" s="1"/>
  <c r="Q1120" i="37"/>
  <c r="X1120" i="37" s="1"/>
  <c r="Y1120" i="37" s="1"/>
  <c r="U1120" i="37"/>
  <c r="AB1120" i="37"/>
  <c r="AE1120" i="37"/>
  <c r="AF1120" i="37"/>
  <c r="AG1120" i="37" s="1"/>
  <c r="D1121" i="37"/>
  <c r="AD1121" i="37" s="1"/>
  <c r="M1121" i="37"/>
  <c r="L1121" i="37" s="1"/>
  <c r="Q1121" i="37"/>
  <c r="R1121" i="37" s="1"/>
  <c r="U1121" i="37"/>
  <c r="AB1121" i="37"/>
  <c r="AE1121" i="37"/>
  <c r="AF1121" i="37"/>
  <c r="AG1121" i="37" s="1"/>
  <c r="D1122" i="37"/>
  <c r="AD1122" i="37" s="1"/>
  <c r="M1122" i="37"/>
  <c r="L1122" i="37" s="1"/>
  <c r="Q1122" i="37"/>
  <c r="U1122" i="37"/>
  <c r="AB1122" i="37"/>
  <c r="AE1122" i="37"/>
  <c r="AF1122" i="37"/>
  <c r="AG1122" i="37" s="1"/>
  <c r="D1123" i="37"/>
  <c r="AD1123" i="37" s="1"/>
  <c r="M1123" i="37"/>
  <c r="L1123" i="37" s="1"/>
  <c r="Q1123" i="37"/>
  <c r="R1123" i="37" s="1"/>
  <c r="U1123" i="37"/>
  <c r="AB1123" i="37"/>
  <c r="AE1123" i="37"/>
  <c r="AF1123" i="37"/>
  <c r="AG1123" i="37" s="1"/>
  <c r="D1124" i="37"/>
  <c r="AD1124" i="37" s="1"/>
  <c r="M1124" i="37"/>
  <c r="L1124" i="37" s="1"/>
  <c r="Q1124" i="37"/>
  <c r="R1124" i="37" s="1"/>
  <c r="U1124" i="37"/>
  <c r="AB1124" i="37"/>
  <c r="AE1124" i="37"/>
  <c r="AF1124" i="37"/>
  <c r="AG1124" i="37" s="1"/>
  <c r="D1125" i="37"/>
  <c r="AD1125" i="37" s="1"/>
  <c r="M1125" i="37"/>
  <c r="L1125" i="37" s="1"/>
  <c r="Q1125" i="37"/>
  <c r="U1125" i="37"/>
  <c r="AB1125" i="37"/>
  <c r="AE1125" i="37"/>
  <c r="AF1125" i="37"/>
  <c r="AG1125" i="37" s="1"/>
  <c r="D1126" i="37"/>
  <c r="AD1126" i="37" s="1"/>
  <c r="M1126" i="37"/>
  <c r="L1126" i="37" s="1"/>
  <c r="Q1126" i="37"/>
  <c r="X1126" i="37" s="1"/>
  <c r="Y1126" i="37" s="1"/>
  <c r="U1126" i="37"/>
  <c r="AB1126" i="37"/>
  <c r="AE1126" i="37"/>
  <c r="AF1126" i="37"/>
  <c r="AG1126" i="37" s="1"/>
  <c r="D1127" i="37"/>
  <c r="AD1127" i="37" s="1"/>
  <c r="M1127" i="37"/>
  <c r="L1127" i="37" s="1"/>
  <c r="Q1127" i="37"/>
  <c r="U1127" i="37"/>
  <c r="AB1127" i="37"/>
  <c r="AE1127" i="37"/>
  <c r="AF1127" i="37"/>
  <c r="AG1127" i="37" s="1"/>
  <c r="D1128" i="37"/>
  <c r="AD1128" i="37" s="1"/>
  <c r="M1128" i="37"/>
  <c r="L1128" i="37" s="1"/>
  <c r="Q1128" i="37"/>
  <c r="X1128" i="37" s="1"/>
  <c r="Y1128" i="37" s="1"/>
  <c r="U1128" i="37"/>
  <c r="AB1128" i="37"/>
  <c r="AE1128" i="37"/>
  <c r="AF1128" i="37"/>
  <c r="AG1128" i="37" s="1"/>
  <c r="D1129" i="37"/>
  <c r="AD1129" i="37" s="1"/>
  <c r="M1129" i="37"/>
  <c r="L1129" i="37" s="1"/>
  <c r="Q1129" i="37"/>
  <c r="U1129" i="37"/>
  <c r="AB1129" i="37"/>
  <c r="AE1129" i="37"/>
  <c r="AF1129" i="37"/>
  <c r="AG1129" i="37" s="1"/>
  <c r="D1130" i="37"/>
  <c r="AD1130" i="37" s="1"/>
  <c r="M1130" i="37"/>
  <c r="L1130" i="37" s="1"/>
  <c r="Q1130" i="37"/>
  <c r="U1130" i="37"/>
  <c r="AB1130" i="37"/>
  <c r="AE1130" i="37"/>
  <c r="AF1130" i="37"/>
  <c r="AG1130" i="37" s="1"/>
  <c r="D1131" i="37"/>
  <c r="AD1131" i="37" s="1"/>
  <c r="M1131" i="37"/>
  <c r="L1131" i="37" s="1"/>
  <c r="Q1131" i="37"/>
  <c r="U1131" i="37"/>
  <c r="AB1131" i="37"/>
  <c r="AE1131" i="37"/>
  <c r="AF1131" i="37"/>
  <c r="AG1131" i="37" s="1"/>
  <c r="D1132" i="37"/>
  <c r="AD1132" i="37" s="1"/>
  <c r="M1132" i="37"/>
  <c r="L1132" i="37" s="1"/>
  <c r="Q1132" i="37"/>
  <c r="R1132" i="37" s="1"/>
  <c r="U1132" i="37"/>
  <c r="AB1132" i="37"/>
  <c r="AE1132" i="37"/>
  <c r="AF1132" i="37"/>
  <c r="AG1132" i="37" s="1"/>
  <c r="D1133" i="37"/>
  <c r="AD1133" i="37" s="1"/>
  <c r="M1133" i="37"/>
  <c r="L1133" i="37" s="1"/>
  <c r="Q1133" i="37"/>
  <c r="R1133" i="37" s="1"/>
  <c r="U1133" i="37"/>
  <c r="AB1133" i="37"/>
  <c r="AE1133" i="37"/>
  <c r="AF1133" i="37"/>
  <c r="AG1133" i="37" s="1"/>
  <c r="D1134" i="37"/>
  <c r="AD1134" i="37" s="1"/>
  <c r="M1134" i="37"/>
  <c r="L1134" i="37" s="1"/>
  <c r="Q1134" i="37"/>
  <c r="R1134" i="37" s="1"/>
  <c r="U1134" i="37"/>
  <c r="AB1134" i="37"/>
  <c r="AE1134" i="37"/>
  <c r="AF1134" i="37"/>
  <c r="AG1134" i="37" s="1"/>
  <c r="D1135" i="37"/>
  <c r="AD1135" i="37" s="1"/>
  <c r="M1135" i="37"/>
  <c r="L1135" i="37" s="1"/>
  <c r="Q1135" i="37"/>
  <c r="U1135" i="37"/>
  <c r="AB1135" i="37"/>
  <c r="AE1135" i="37"/>
  <c r="AF1135" i="37"/>
  <c r="AG1135" i="37" s="1"/>
  <c r="D1136" i="37"/>
  <c r="AD1136" i="37" s="1"/>
  <c r="M1136" i="37"/>
  <c r="L1136" i="37" s="1"/>
  <c r="Q1136" i="37"/>
  <c r="X1136" i="37" s="1"/>
  <c r="Y1136" i="37" s="1"/>
  <c r="U1136" i="37"/>
  <c r="AB1136" i="37"/>
  <c r="AE1136" i="37"/>
  <c r="AF1136" i="37"/>
  <c r="AG1136" i="37" s="1"/>
  <c r="D1137" i="37"/>
  <c r="AD1137" i="37" s="1"/>
  <c r="M1137" i="37"/>
  <c r="L1137" i="37" s="1"/>
  <c r="Q1137" i="37"/>
  <c r="R1137" i="37" s="1"/>
  <c r="U1137" i="37"/>
  <c r="AB1137" i="37"/>
  <c r="AE1137" i="37"/>
  <c r="AF1137" i="37"/>
  <c r="AG1137" i="37" s="1"/>
  <c r="D1138" i="37"/>
  <c r="AD1138" i="37" s="1"/>
  <c r="M1138" i="37"/>
  <c r="L1138" i="37" s="1"/>
  <c r="Q1138" i="37"/>
  <c r="U1138" i="37"/>
  <c r="AB1138" i="37"/>
  <c r="AE1138" i="37"/>
  <c r="AF1138" i="37"/>
  <c r="AG1138" i="37" s="1"/>
  <c r="D1139" i="37"/>
  <c r="AD1139" i="37" s="1"/>
  <c r="M1139" i="37"/>
  <c r="L1139" i="37" s="1"/>
  <c r="Q1139" i="37"/>
  <c r="R1139" i="37" s="1"/>
  <c r="U1139" i="37"/>
  <c r="AB1139" i="37"/>
  <c r="AE1139" i="37"/>
  <c r="AF1139" i="37"/>
  <c r="AG1139" i="37" s="1"/>
  <c r="D1140" i="37"/>
  <c r="AD1140" i="37" s="1"/>
  <c r="M1140" i="37"/>
  <c r="L1140" i="37" s="1"/>
  <c r="Q1140" i="37"/>
  <c r="R1140" i="37" s="1"/>
  <c r="U1140" i="37"/>
  <c r="AB1140" i="37"/>
  <c r="AE1140" i="37"/>
  <c r="AF1140" i="37"/>
  <c r="AG1140" i="37" s="1"/>
  <c r="D1141" i="37"/>
  <c r="AD1141" i="37" s="1"/>
  <c r="M1141" i="37"/>
  <c r="L1141" i="37" s="1"/>
  <c r="Q1141" i="37"/>
  <c r="R1141" i="37" s="1"/>
  <c r="U1141" i="37"/>
  <c r="AB1141" i="37"/>
  <c r="AE1141" i="37"/>
  <c r="AF1141" i="37"/>
  <c r="AG1141" i="37" s="1"/>
  <c r="D1142" i="37"/>
  <c r="AD1142" i="37" s="1"/>
  <c r="M1142" i="37"/>
  <c r="L1142" i="37" s="1"/>
  <c r="Q1142" i="37"/>
  <c r="R1142" i="37" s="1"/>
  <c r="U1142" i="37"/>
  <c r="AB1142" i="37"/>
  <c r="AE1142" i="37"/>
  <c r="AF1142" i="37"/>
  <c r="AG1142" i="37" s="1"/>
  <c r="D1143" i="37"/>
  <c r="AD1143" i="37" s="1"/>
  <c r="M1143" i="37"/>
  <c r="L1143" i="37" s="1"/>
  <c r="Q1143" i="37"/>
  <c r="R1143" i="37" s="1"/>
  <c r="U1143" i="37"/>
  <c r="AB1143" i="37"/>
  <c r="AE1143" i="37"/>
  <c r="AF1143" i="37"/>
  <c r="AG1143" i="37" s="1"/>
  <c r="D1144" i="37"/>
  <c r="AD1144" i="37" s="1"/>
  <c r="M1144" i="37"/>
  <c r="L1144" i="37" s="1"/>
  <c r="Q1144" i="37"/>
  <c r="R1144" i="37" s="1"/>
  <c r="U1144" i="37"/>
  <c r="AB1144" i="37"/>
  <c r="AE1144" i="37"/>
  <c r="AF1144" i="37"/>
  <c r="AG1144" i="37" s="1"/>
  <c r="D1145" i="37"/>
  <c r="AD1145" i="37" s="1"/>
  <c r="M1145" i="37"/>
  <c r="L1145" i="37" s="1"/>
  <c r="Q1145" i="37"/>
  <c r="R1145" i="37" s="1"/>
  <c r="U1145" i="37"/>
  <c r="AB1145" i="37"/>
  <c r="AE1145" i="37"/>
  <c r="AF1145" i="37"/>
  <c r="AG1145" i="37" s="1"/>
  <c r="D1146" i="37"/>
  <c r="AD1146" i="37" s="1"/>
  <c r="M1146" i="37"/>
  <c r="L1146" i="37" s="1"/>
  <c r="Q1146" i="37"/>
  <c r="U1146" i="37"/>
  <c r="AB1146" i="37"/>
  <c r="AE1146" i="37"/>
  <c r="AF1146" i="37"/>
  <c r="AG1146" i="37" s="1"/>
  <c r="D1147" i="37"/>
  <c r="AD1147" i="37" s="1"/>
  <c r="M1147" i="37"/>
  <c r="L1147" i="37" s="1"/>
  <c r="Q1147" i="37"/>
  <c r="X1147" i="37" s="1"/>
  <c r="Y1147" i="37" s="1"/>
  <c r="U1147" i="37"/>
  <c r="AB1147" i="37"/>
  <c r="AE1147" i="37"/>
  <c r="AF1147" i="37"/>
  <c r="AG1147" i="37" s="1"/>
  <c r="D1148" i="37"/>
  <c r="AD1148" i="37" s="1"/>
  <c r="M1148" i="37"/>
  <c r="L1148" i="37" s="1"/>
  <c r="Q1148" i="37"/>
  <c r="R1148" i="37" s="1"/>
  <c r="U1148" i="37"/>
  <c r="AB1148" i="37"/>
  <c r="AE1148" i="37"/>
  <c r="AF1148" i="37"/>
  <c r="AG1148" i="37" s="1"/>
  <c r="D1149" i="37"/>
  <c r="AD1149" i="37" s="1"/>
  <c r="M1149" i="37"/>
  <c r="L1149" i="37" s="1"/>
  <c r="Q1149" i="37"/>
  <c r="R1149" i="37" s="1"/>
  <c r="U1149" i="37"/>
  <c r="AB1149" i="37"/>
  <c r="AE1149" i="37"/>
  <c r="AF1149" i="37"/>
  <c r="AG1149" i="37" s="1"/>
  <c r="D1150" i="37"/>
  <c r="AD1150" i="37" s="1"/>
  <c r="M1150" i="37"/>
  <c r="L1150" i="37" s="1"/>
  <c r="Q1150" i="37"/>
  <c r="X1150" i="37" s="1"/>
  <c r="Y1150" i="37" s="1"/>
  <c r="U1150" i="37"/>
  <c r="AB1150" i="37"/>
  <c r="AE1150" i="37"/>
  <c r="AF1150" i="37"/>
  <c r="AG1150" i="37" s="1"/>
  <c r="D1151" i="37"/>
  <c r="AD1151" i="37" s="1"/>
  <c r="M1151" i="37"/>
  <c r="L1151" i="37" s="1"/>
  <c r="Q1151" i="37"/>
  <c r="R1151" i="37" s="1"/>
  <c r="U1151" i="37"/>
  <c r="AB1151" i="37"/>
  <c r="AE1151" i="37"/>
  <c r="AF1151" i="37"/>
  <c r="AG1151" i="37" s="1"/>
  <c r="D1152" i="37"/>
  <c r="AD1152" i="37" s="1"/>
  <c r="M1152" i="37"/>
  <c r="L1152" i="37" s="1"/>
  <c r="Q1152" i="37"/>
  <c r="R1152" i="37" s="1"/>
  <c r="U1152" i="37"/>
  <c r="AB1152" i="37"/>
  <c r="AE1152" i="37"/>
  <c r="AF1152" i="37"/>
  <c r="AG1152" i="37" s="1"/>
  <c r="D1153" i="37"/>
  <c r="AD1153" i="37" s="1"/>
  <c r="M1153" i="37"/>
  <c r="L1153" i="37" s="1"/>
  <c r="Q1153" i="37"/>
  <c r="R1153" i="37" s="1"/>
  <c r="U1153" i="37"/>
  <c r="AB1153" i="37"/>
  <c r="AE1153" i="37"/>
  <c r="AF1153" i="37"/>
  <c r="AG1153" i="37" s="1"/>
  <c r="D1154" i="37"/>
  <c r="AD1154" i="37" s="1"/>
  <c r="M1154" i="37"/>
  <c r="L1154" i="37" s="1"/>
  <c r="Q1154" i="37"/>
  <c r="R1154" i="37" s="1"/>
  <c r="U1154" i="37"/>
  <c r="AB1154" i="37"/>
  <c r="AE1154" i="37"/>
  <c r="AF1154" i="37"/>
  <c r="AG1154" i="37" s="1"/>
  <c r="D1155" i="37"/>
  <c r="AD1155" i="37" s="1"/>
  <c r="M1155" i="37"/>
  <c r="L1155" i="37" s="1"/>
  <c r="Q1155" i="37"/>
  <c r="X1155" i="37" s="1"/>
  <c r="Y1155" i="37" s="1"/>
  <c r="U1155" i="37"/>
  <c r="AB1155" i="37"/>
  <c r="AE1155" i="37"/>
  <c r="AF1155" i="37"/>
  <c r="AG1155" i="37" s="1"/>
  <c r="D1156" i="37"/>
  <c r="AD1156" i="37" s="1"/>
  <c r="M1156" i="37"/>
  <c r="L1156" i="37" s="1"/>
  <c r="Q1156" i="37"/>
  <c r="R1156" i="37" s="1"/>
  <c r="U1156" i="37"/>
  <c r="AB1156" i="37"/>
  <c r="AE1156" i="37"/>
  <c r="AF1156" i="37"/>
  <c r="AG1156" i="37" s="1"/>
  <c r="D1157" i="37"/>
  <c r="AD1157" i="37" s="1"/>
  <c r="M1157" i="37"/>
  <c r="L1157" i="37" s="1"/>
  <c r="Q1157" i="37"/>
  <c r="R1157" i="37" s="1"/>
  <c r="U1157" i="37"/>
  <c r="AB1157" i="37"/>
  <c r="AE1157" i="37"/>
  <c r="AF1157" i="37"/>
  <c r="AG1157" i="37" s="1"/>
  <c r="D1158" i="37"/>
  <c r="AD1158" i="37" s="1"/>
  <c r="M1158" i="37"/>
  <c r="L1158" i="37" s="1"/>
  <c r="Q1158" i="37"/>
  <c r="X1158" i="37" s="1"/>
  <c r="Y1158" i="37" s="1"/>
  <c r="U1158" i="37"/>
  <c r="AB1158" i="37"/>
  <c r="AE1158" i="37"/>
  <c r="AF1158" i="37"/>
  <c r="AG1158" i="37" s="1"/>
  <c r="D1159" i="37"/>
  <c r="AD1159" i="37" s="1"/>
  <c r="M1159" i="37"/>
  <c r="L1159" i="37" s="1"/>
  <c r="Q1159" i="37"/>
  <c r="R1159" i="37" s="1"/>
  <c r="U1159" i="37"/>
  <c r="AB1159" i="37"/>
  <c r="AE1159" i="37"/>
  <c r="AF1159" i="37"/>
  <c r="AG1159" i="37" s="1"/>
  <c r="D1160" i="37"/>
  <c r="AD1160" i="37" s="1"/>
  <c r="M1160" i="37"/>
  <c r="L1160" i="37" s="1"/>
  <c r="Q1160" i="37"/>
  <c r="R1160" i="37" s="1"/>
  <c r="U1160" i="37"/>
  <c r="AB1160" i="37"/>
  <c r="AE1160" i="37"/>
  <c r="AF1160" i="37"/>
  <c r="AG1160" i="37" s="1"/>
  <c r="D1161" i="37"/>
  <c r="AD1161" i="37" s="1"/>
  <c r="M1161" i="37"/>
  <c r="L1161" i="37" s="1"/>
  <c r="Q1161" i="37"/>
  <c r="R1161" i="37" s="1"/>
  <c r="U1161" i="37"/>
  <c r="AB1161" i="37"/>
  <c r="AE1161" i="37"/>
  <c r="AF1161" i="37"/>
  <c r="AG1161" i="37" s="1"/>
  <c r="D1162" i="37"/>
  <c r="AD1162" i="37" s="1"/>
  <c r="M1162" i="37"/>
  <c r="L1162" i="37" s="1"/>
  <c r="Q1162" i="37"/>
  <c r="R1162" i="37" s="1"/>
  <c r="U1162" i="37"/>
  <c r="AB1162" i="37"/>
  <c r="AE1162" i="37"/>
  <c r="AF1162" i="37"/>
  <c r="AG1162" i="37" s="1"/>
  <c r="D1163" i="37"/>
  <c r="AD1163" i="37" s="1"/>
  <c r="M1163" i="37"/>
  <c r="L1163" i="37" s="1"/>
  <c r="Q1163" i="37"/>
  <c r="X1163" i="37" s="1"/>
  <c r="Y1163" i="37" s="1"/>
  <c r="U1163" i="37"/>
  <c r="AB1163" i="37"/>
  <c r="AE1163" i="37"/>
  <c r="AF1163" i="37"/>
  <c r="AG1163" i="37" s="1"/>
  <c r="D1164" i="37"/>
  <c r="AD1164" i="37" s="1"/>
  <c r="M1164" i="37"/>
  <c r="L1164" i="37" s="1"/>
  <c r="Q1164" i="37"/>
  <c r="U1164" i="37"/>
  <c r="AB1164" i="37"/>
  <c r="AE1164" i="37"/>
  <c r="AF1164" i="37"/>
  <c r="AG1164" i="37" s="1"/>
  <c r="D1165" i="37"/>
  <c r="AD1165" i="37" s="1"/>
  <c r="M1165" i="37"/>
  <c r="L1165" i="37" s="1"/>
  <c r="Q1165" i="37"/>
  <c r="R1165" i="37" s="1"/>
  <c r="U1165" i="37"/>
  <c r="AB1165" i="37"/>
  <c r="AE1165" i="37"/>
  <c r="AF1165" i="37"/>
  <c r="AG1165" i="37" s="1"/>
  <c r="D1166" i="37"/>
  <c r="AD1166" i="37" s="1"/>
  <c r="M1166" i="37"/>
  <c r="L1166" i="37" s="1"/>
  <c r="Q1166" i="37"/>
  <c r="U1166" i="37"/>
  <c r="AB1166" i="37"/>
  <c r="AE1166" i="37"/>
  <c r="AF1166" i="37"/>
  <c r="AG1166" i="37" s="1"/>
  <c r="D1167" i="37"/>
  <c r="AD1167" i="37" s="1"/>
  <c r="M1167" i="37"/>
  <c r="L1167" i="37" s="1"/>
  <c r="Q1167" i="37"/>
  <c r="R1167" i="37" s="1"/>
  <c r="U1167" i="37"/>
  <c r="AB1167" i="37"/>
  <c r="AE1167" i="37"/>
  <c r="AF1167" i="37"/>
  <c r="AG1167" i="37" s="1"/>
  <c r="D1168" i="37"/>
  <c r="AD1168" i="37" s="1"/>
  <c r="M1168" i="37"/>
  <c r="L1168" i="37" s="1"/>
  <c r="Q1168" i="37"/>
  <c r="R1168" i="37" s="1"/>
  <c r="U1168" i="37"/>
  <c r="AB1168" i="37"/>
  <c r="AE1168" i="37"/>
  <c r="AF1168" i="37"/>
  <c r="AG1168" i="37" s="1"/>
  <c r="D1169" i="37"/>
  <c r="AD1169" i="37" s="1"/>
  <c r="M1169" i="37"/>
  <c r="L1169" i="37" s="1"/>
  <c r="Q1169" i="37"/>
  <c r="U1169" i="37"/>
  <c r="AB1169" i="37"/>
  <c r="AE1169" i="37"/>
  <c r="AF1169" i="37"/>
  <c r="AG1169" i="37" s="1"/>
  <c r="D1170" i="37"/>
  <c r="AD1170" i="37" s="1"/>
  <c r="M1170" i="37"/>
  <c r="L1170" i="37" s="1"/>
  <c r="Q1170" i="37"/>
  <c r="U1170" i="37"/>
  <c r="AB1170" i="37"/>
  <c r="AE1170" i="37"/>
  <c r="AF1170" i="37"/>
  <c r="AG1170" i="37" s="1"/>
  <c r="D1171" i="37"/>
  <c r="AD1171" i="37" s="1"/>
  <c r="M1171" i="37"/>
  <c r="L1171" i="37" s="1"/>
  <c r="Q1171" i="37"/>
  <c r="X1171" i="37" s="1"/>
  <c r="Y1171" i="37" s="1"/>
  <c r="U1171" i="37"/>
  <c r="AB1171" i="37"/>
  <c r="AE1171" i="37"/>
  <c r="AF1171" i="37"/>
  <c r="AG1171" i="37" s="1"/>
  <c r="D1172" i="37"/>
  <c r="AD1172" i="37" s="1"/>
  <c r="M1172" i="37"/>
  <c r="L1172" i="37" s="1"/>
  <c r="Q1172" i="37"/>
  <c r="U1172" i="37"/>
  <c r="AB1172" i="37"/>
  <c r="AE1172" i="37"/>
  <c r="AF1172" i="37"/>
  <c r="AG1172" i="37" s="1"/>
  <c r="D1173" i="37"/>
  <c r="AD1173" i="37" s="1"/>
  <c r="M1173" i="37"/>
  <c r="L1173" i="37" s="1"/>
  <c r="Q1173" i="37"/>
  <c r="R1173" i="37" s="1"/>
  <c r="U1173" i="37"/>
  <c r="AB1173" i="37"/>
  <c r="AE1173" i="37"/>
  <c r="AF1173" i="37"/>
  <c r="AG1173" i="37" s="1"/>
  <c r="D1174" i="37"/>
  <c r="AD1174" i="37" s="1"/>
  <c r="M1174" i="37"/>
  <c r="L1174" i="37" s="1"/>
  <c r="Q1174" i="37"/>
  <c r="U1174" i="37"/>
  <c r="AB1174" i="37"/>
  <c r="AE1174" i="37"/>
  <c r="AF1174" i="37"/>
  <c r="AG1174" i="37" s="1"/>
  <c r="D1175" i="37"/>
  <c r="AD1175" i="37" s="1"/>
  <c r="M1175" i="37"/>
  <c r="L1175" i="37" s="1"/>
  <c r="Q1175" i="37"/>
  <c r="R1175" i="37" s="1"/>
  <c r="U1175" i="37"/>
  <c r="AB1175" i="37"/>
  <c r="AE1175" i="37"/>
  <c r="AF1175" i="37"/>
  <c r="AG1175" i="37" s="1"/>
  <c r="D1176" i="37"/>
  <c r="AD1176" i="37" s="1"/>
  <c r="M1176" i="37"/>
  <c r="L1176" i="37" s="1"/>
  <c r="Q1176" i="37"/>
  <c r="R1176" i="37" s="1"/>
  <c r="U1176" i="37"/>
  <c r="AB1176" i="37"/>
  <c r="AE1176" i="37"/>
  <c r="AF1176" i="37"/>
  <c r="AG1176" i="37" s="1"/>
  <c r="D1177" i="37"/>
  <c r="AD1177" i="37" s="1"/>
  <c r="M1177" i="37"/>
  <c r="L1177" i="37" s="1"/>
  <c r="Q1177" i="37"/>
  <c r="U1177" i="37"/>
  <c r="AB1177" i="37"/>
  <c r="AE1177" i="37"/>
  <c r="AF1177" i="37"/>
  <c r="AG1177" i="37" s="1"/>
  <c r="D1178" i="37"/>
  <c r="AD1178" i="37" s="1"/>
  <c r="M1178" i="37"/>
  <c r="L1178" i="37" s="1"/>
  <c r="Q1178" i="37"/>
  <c r="U1178" i="37"/>
  <c r="AB1178" i="37"/>
  <c r="AE1178" i="37"/>
  <c r="AF1178" i="37"/>
  <c r="AG1178" i="37" s="1"/>
  <c r="D1179" i="37"/>
  <c r="AD1179" i="37" s="1"/>
  <c r="M1179" i="37"/>
  <c r="L1179" i="37" s="1"/>
  <c r="Q1179" i="37"/>
  <c r="X1179" i="37" s="1"/>
  <c r="Y1179" i="37" s="1"/>
  <c r="U1179" i="37"/>
  <c r="AB1179" i="37"/>
  <c r="AE1179" i="37"/>
  <c r="AF1179" i="37"/>
  <c r="AG1179" i="37" s="1"/>
  <c r="D1180" i="37"/>
  <c r="AD1180" i="37" s="1"/>
  <c r="M1180" i="37"/>
  <c r="L1180" i="37" s="1"/>
  <c r="Q1180" i="37"/>
  <c r="U1180" i="37"/>
  <c r="AB1180" i="37"/>
  <c r="AE1180" i="37"/>
  <c r="AF1180" i="37"/>
  <c r="AG1180" i="37" s="1"/>
  <c r="D1181" i="37"/>
  <c r="AD1181" i="37" s="1"/>
  <c r="M1181" i="37"/>
  <c r="L1181" i="37" s="1"/>
  <c r="Q1181" i="37"/>
  <c r="R1181" i="37" s="1"/>
  <c r="U1181" i="37"/>
  <c r="AB1181" i="37"/>
  <c r="AE1181" i="37"/>
  <c r="AF1181" i="37"/>
  <c r="AG1181" i="37" s="1"/>
  <c r="D1182" i="37"/>
  <c r="AD1182" i="37" s="1"/>
  <c r="M1182" i="37"/>
  <c r="L1182" i="37" s="1"/>
  <c r="Q1182" i="37"/>
  <c r="U1182" i="37"/>
  <c r="AB1182" i="37"/>
  <c r="AE1182" i="37"/>
  <c r="AF1182" i="37"/>
  <c r="AG1182" i="37" s="1"/>
  <c r="D1183" i="37"/>
  <c r="AD1183" i="37" s="1"/>
  <c r="M1183" i="37"/>
  <c r="L1183" i="37" s="1"/>
  <c r="Q1183" i="37"/>
  <c r="R1183" i="37" s="1"/>
  <c r="U1183" i="37"/>
  <c r="AB1183" i="37"/>
  <c r="AE1183" i="37"/>
  <c r="AF1183" i="37"/>
  <c r="AG1183" i="37" s="1"/>
  <c r="D1184" i="37"/>
  <c r="AD1184" i="37" s="1"/>
  <c r="M1184" i="37"/>
  <c r="L1184" i="37" s="1"/>
  <c r="Q1184" i="37"/>
  <c r="R1184" i="37" s="1"/>
  <c r="U1184" i="37"/>
  <c r="AB1184" i="37"/>
  <c r="AE1184" i="37"/>
  <c r="AF1184" i="37"/>
  <c r="AG1184" i="37" s="1"/>
  <c r="D1185" i="37"/>
  <c r="AD1185" i="37" s="1"/>
  <c r="M1185" i="37"/>
  <c r="L1185" i="37" s="1"/>
  <c r="Q1185" i="37"/>
  <c r="U1185" i="37"/>
  <c r="AB1185" i="37"/>
  <c r="AE1185" i="37"/>
  <c r="AF1185" i="37"/>
  <c r="AG1185" i="37" s="1"/>
  <c r="D1186" i="37"/>
  <c r="AD1186" i="37" s="1"/>
  <c r="M1186" i="37"/>
  <c r="L1186" i="37" s="1"/>
  <c r="Q1186" i="37"/>
  <c r="U1186" i="37"/>
  <c r="AB1186" i="37"/>
  <c r="AE1186" i="37"/>
  <c r="AF1186" i="37"/>
  <c r="AG1186" i="37" s="1"/>
  <c r="D1187" i="37"/>
  <c r="AD1187" i="37" s="1"/>
  <c r="M1187" i="37"/>
  <c r="L1187" i="37" s="1"/>
  <c r="Q1187" i="37"/>
  <c r="U1187" i="37"/>
  <c r="AB1187" i="37"/>
  <c r="AE1187" i="37"/>
  <c r="AF1187" i="37"/>
  <c r="AG1187" i="37" s="1"/>
  <c r="D1188" i="37"/>
  <c r="AD1188" i="37" s="1"/>
  <c r="M1188" i="37"/>
  <c r="L1188" i="37" s="1"/>
  <c r="Q1188" i="37"/>
  <c r="U1188" i="37"/>
  <c r="AB1188" i="37"/>
  <c r="AE1188" i="37"/>
  <c r="AF1188" i="37"/>
  <c r="AG1188" i="37" s="1"/>
  <c r="D1189" i="37"/>
  <c r="AD1189" i="37" s="1"/>
  <c r="M1189" i="37"/>
  <c r="L1189" i="37" s="1"/>
  <c r="Q1189" i="37"/>
  <c r="U1189" i="37"/>
  <c r="AB1189" i="37"/>
  <c r="AE1189" i="37"/>
  <c r="AF1189" i="37"/>
  <c r="AG1189" i="37" s="1"/>
  <c r="D1190" i="37"/>
  <c r="AD1190" i="37" s="1"/>
  <c r="M1190" i="37"/>
  <c r="L1190" i="37" s="1"/>
  <c r="Q1190" i="37"/>
  <c r="U1190" i="37"/>
  <c r="AB1190" i="37"/>
  <c r="AE1190" i="37"/>
  <c r="AF1190" i="37"/>
  <c r="AG1190" i="37" s="1"/>
  <c r="D1191" i="37"/>
  <c r="AD1191" i="37" s="1"/>
  <c r="M1191" i="37"/>
  <c r="L1191" i="37" s="1"/>
  <c r="Q1191" i="37"/>
  <c r="R1191" i="37" s="1"/>
  <c r="U1191" i="37"/>
  <c r="AB1191" i="37"/>
  <c r="AE1191" i="37"/>
  <c r="AF1191" i="37"/>
  <c r="AG1191" i="37" s="1"/>
  <c r="D1192" i="37"/>
  <c r="AD1192" i="37" s="1"/>
  <c r="M1192" i="37"/>
  <c r="L1192" i="37" s="1"/>
  <c r="Q1192" i="37"/>
  <c r="U1192" i="37"/>
  <c r="AB1192" i="37"/>
  <c r="AE1192" i="37"/>
  <c r="AF1192" i="37"/>
  <c r="AG1192" i="37" s="1"/>
  <c r="D1193" i="37"/>
  <c r="AD1193" i="37" s="1"/>
  <c r="M1193" i="37"/>
  <c r="L1193" i="37" s="1"/>
  <c r="Q1193" i="37"/>
  <c r="U1193" i="37"/>
  <c r="AB1193" i="37"/>
  <c r="AE1193" i="37"/>
  <c r="AF1193" i="37"/>
  <c r="AG1193" i="37" s="1"/>
  <c r="D1194" i="37"/>
  <c r="AD1194" i="37" s="1"/>
  <c r="M1194" i="37"/>
  <c r="L1194" i="37" s="1"/>
  <c r="Q1194" i="37"/>
  <c r="U1194" i="37"/>
  <c r="AB1194" i="37"/>
  <c r="AE1194" i="37"/>
  <c r="AF1194" i="37"/>
  <c r="AG1194" i="37" s="1"/>
  <c r="D1195" i="37"/>
  <c r="AD1195" i="37" s="1"/>
  <c r="M1195" i="37"/>
  <c r="L1195" i="37" s="1"/>
  <c r="Q1195" i="37"/>
  <c r="X1195" i="37" s="1"/>
  <c r="Y1195" i="37" s="1"/>
  <c r="U1195" i="37"/>
  <c r="AB1195" i="37"/>
  <c r="AE1195" i="37"/>
  <c r="AF1195" i="37"/>
  <c r="AG1195" i="37" s="1"/>
  <c r="D1196" i="37"/>
  <c r="AD1196" i="37" s="1"/>
  <c r="M1196" i="37"/>
  <c r="L1196" i="37" s="1"/>
  <c r="Q1196" i="37"/>
  <c r="U1196" i="37"/>
  <c r="AB1196" i="37"/>
  <c r="AE1196" i="37"/>
  <c r="AF1196" i="37"/>
  <c r="AG1196" i="37" s="1"/>
  <c r="D1197" i="37"/>
  <c r="AD1197" i="37" s="1"/>
  <c r="M1197" i="37"/>
  <c r="L1197" i="37" s="1"/>
  <c r="Q1197" i="37"/>
  <c r="U1197" i="37"/>
  <c r="AB1197" i="37"/>
  <c r="AE1197" i="37"/>
  <c r="AF1197" i="37"/>
  <c r="AG1197" i="37" s="1"/>
  <c r="D1198" i="37"/>
  <c r="AD1198" i="37" s="1"/>
  <c r="M1198" i="37"/>
  <c r="L1198" i="37" s="1"/>
  <c r="Q1198" i="37"/>
  <c r="X1198" i="37" s="1"/>
  <c r="Y1198" i="37" s="1"/>
  <c r="U1198" i="37"/>
  <c r="AB1198" i="37"/>
  <c r="AE1198" i="37"/>
  <c r="AF1198" i="37"/>
  <c r="AG1198" i="37" s="1"/>
  <c r="D1199" i="37"/>
  <c r="AD1199" i="37" s="1"/>
  <c r="M1199" i="37"/>
  <c r="L1199" i="37" s="1"/>
  <c r="Q1199" i="37"/>
  <c r="U1199" i="37"/>
  <c r="AB1199" i="37"/>
  <c r="AE1199" i="37"/>
  <c r="AF1199" i="37"/>
  <c r="AG1199" i="37" s="1"/>
  <c r="D1200" i="37"/>
  <c r="AD1200" i="37" s="1"/>
  <c r="M1200" i="37"/>
  <c r="L1200" i="37" s="1"/>
  <c r="Q1200" i="37"/>
  <c r="U1200" i="37"/>
  <c r="AB1200" i="37"/>
  <c r="AE1200" i="37"/>
  <c r="AF1200" i="37"/>
  <c r="AG1200" i="37" s="1"/>
  <c r="D1201" i="37"/>
  <c r="AD1201" i="37" s="1"/>
  <c r="M1201" i="37"/>
  <c r="L1201" i="37" s="1"/>
  <c r="Q1201" i="37"/>
  <c r="U1201" i="37"/>
  <c r="AB1201" i="37"/>
  <c r="AE1201" i="37"/>
  <c r="AF1201" i="37"/>
  <c r="AG1201" i="37" s="1"/>
  <c r="D1202" i="37"/>
  <c r="AD1202" i="37" s="1"/>
  <c r="M1202" i="37"/>
  <c r="L1202" i="37" s="1"/>
  <c r="Q1202" i="37"/>
  <c r="U1202" i="37"/>
  <c r="AB1202" i="37"/>
  <c r="AE1202" i="37"/>
  <c r="AF1202" i="37"/>
  <c r="AG1202" i="37" s="1"/>
  <c r="D1203" i="37"/>
  <c r="AD1203" i="37" s="1"/>
  <c r="M1203" i="37"/>
  <c r="L1203" i="37" s="1"/>
  <c r="Q1203" i="37"/>
  <c r="X1203" i="37" s="1"/>
  <c r="Y1203" i="37" s="1"/>
  <c r="U1203" i="37"/>
  <c r="AB1203" i="37"/>
  <c r="AE1203" i="37"/>
  <c r="AF1203" i="37"/>
  <c r="AG1203" i="37" s="1"/>
  <c r="D1204" i="37"/>
  <c r="AD1204" i="37" s="1"/>
  <c r="M1204" i="37"/>
  <c r="L1204" i="37" s="1"/>
  <c r="Q1204" i="37"/>
  <c r="U1204" i="37"/>
  <c r="AB1204" i="37"/>
  <c r="AE1204" i="37"/>
  <c r="AF1204" i="37"/>
  <c r="AG1204" i="37" s="1"/>
  <c r="D1205" i="37"/>
  <c r="AD1205" i="37" s="1"/>
  <c r="M1205" i="37"/>
  <c r="L1205" i="37" s="1"/>
  <c r="Q1205" i="37"/>
  <c r="U1205" i="37"/>
  <c r="AB1205" i="37"/>
  <c r="AE1205" i="37"/>
  <c r="AF1205" i="37"/>
  <c r="AG1205" i="37" s="1"/>
  <c r="D1206" i="37"/>
  <c r="AD1206" i="37" s="1"/>
  <c r="M1206" i="37"/>
  <c r="L1206" i="37" s="1"/>
  <c r="Q1206" i="37"/>
  <c r="R1206" i="37" s="1"/>
  <c r="U1206" i="37"/>
  <c r="AB1206" i="37"/>
  <c r="AE1206" i="37"/>
  <c r="AF1206" i="37"/>
  <c r="AG1206" i="37" s="1"/>
  <c r="D1207" i="37"/>
  <c r="AD1207" i="37" s="1"/>
  <c r="M1207" i="37"/>
  <c r="L1207" i="37" s="1"/>
  <c r="Q1207" i="37"/>
  <c r="X1207" i="37" s="1"/>
  <c r="Y1207" i="37" s="1"/>
  <c r="U1207" i="37"/>
  <c r="AB1207" i="37"/>
  <c r="AE1207" i="37"/>
  <c r="AF1207" i="37"/>
  <c r="AG1207" i="37" s="1"/>
  <c r="D1208" i="37"/>
  <c r="AD1208" i="37" s="1"/>
  <c r="M1208" i="37"/>
  <c r="L1208" i="37" s="1"/>
  <c r="Q1208" i="37"/>
  <c r="U1208" i="37"/>
  <c r="AB1208" i="37"/>
  <c r="AE1208" i="37"/>
  <c r="AF1208" i="37"/>
  <c r="AG1208" i="37" s="1"/>
  <c r="D1209" i="37"/>
  <c r="AD1209" i="37" s="1"/>
  <c r="M1209" i="37"/>
  <c r="L1209" i="37" s="1"/>
  <c r="Q1209" i="37"/>
  <c r="R1209" i="37" s="1"/>
  <c r="U1209" i="37"/>
  <c r="AB1209" i="37"/>
  <c r="AE1209" i="37"/>
  <c r="AF1209" i="37"/>
  <c r="AG1209" i="37" s="1"/>
  <c r="D1210" i="37"/>
  <c r="AD1210" i="37" s="1"/>
  <c r="M1210" i="37"/>
  <c r="L1210" i="37" s="1"/>
  <c r="Q1210" i="37"/>
  <c r="R1210" i="37" s="1"/>
  <c r="U1210" i="37"/>
  <c r="AB1210" i="37"/>
  <c r="AE1210" i="37"/>
  <c r="AF1210" i="37"/>
  <c r="AG1210" i="37" s="1"/>
  <c r="D1211" i="37"/>
  <c r="AD1211" i="37" s="1"/>
  <c r="M1211" i="37"/>
  <c r="L1211" i="37" s="1"/>
  <c r="Q1211" i="37"/>
  <c r="R1211" i="37" s="1"/>
  <c r="U1211" i="37"/>
  <c r="AB1211" i="37"/>
  <c r="AE1211" i="37"/>
  <c r="AF1211" i="37"/>
  <c r="AG1211" i="37" s="1"/>
  <c r="D1212" i="37"/>
  <c r="AD1212" i="37" s="1"/>
  <c r="M1212" i="37"/>
  <c r="L1212" i="37" s="1"/>
  <c r="Q1212" i="37"/>
  <c r="R1212" i="37" s="1"/>
  <c r="U1212" i="37"/>
  <c r="AB1212" i="37"/>
  <c r="AE1212" i="37"/>
  <c r="AF1212" i="37"/>
  <c r="AG1212" i="37" s="1"/>
  <c r="D1213" i="37"/>
  <c r="AD1213" i="37" s="1"/>
  <c r="M1213" i="37"/>
  <c r="L1213" i="37" s="1"/>
  <c r="Q1213" i="37"/>
  <c r="U1213" i="37"/>
  <c r="AB1213" i="37"/>
  <c r="AE1213" i="37"/>
  <c r="AF1213" i="37"/>
  <c r="AG1213" i="37" s="1"/>
  <c r="D1214" i="37"/>
  <c r="AD1214" i="37" s="1"/>
  <c r="M1214" i="37"/>
  <c r="L1214" i="37" s="1"/>
  <c r="Q1214" i="37"/>
  <c r="R1214" i="37" s="1"/>
  <c r="U1214" i="37"/>
  <c r="AB1214" i="37"/>
  <c r="AE1214" i="37"/>
  <c r="AF1214" i="37"/>
  <c r="AG1214" i="37" s="1"/>
  <c r="D1215" i="37"/>
  <c r="AD1215" i="37" s="1"/>
  <c r="M1215" i="37"/>
  <c r="L1215" i="37" s="1"/>
  <c r="Q1215" i="37"/>
  <c r="X1215" i="37" s="1"/>
  <c r="Y1215" i="37" s="1"/>
  <c r="U1215" i="37"/>
  <c r="AB1215" i="37"/>
  <c r="AE1215" i="37"/>
  <c r="AF1215" i="37"/>
  <c r="AG1215" i="37" s="1"/>
  <c r="D1216" i="37"/>
  <c r="AD1216" i="37" s="1"/>
  <c r="M1216" i="37"/>
  <c r="L1216" i="37" s="1"/>
  <c r="Q1216" i="37"/>
  <c r="R1216" i="37" s="1"/>
  <c r="U1216" i="37"/>
  <c r="AB1216" i="37"/>
  <c r="AE1216" i="37"/>
  <c r="AF1216" i="37"/>
  <c r="AG1216" i="37" s="1"/>
  <c r="D1217" i="37"/>
  <c r="AD1217" i="37" s="1"/>
  <c r="M1217" i="37"/>
  <c r="L1217" i="37" s="1"/>
  <c r="Q1217" i="37"/>
  <c r="U1217" i="37"/>
  <c r="AB1217" i="37"/>
  <c r="AE1217" i="37"/>
  <c r="AF1217" i="37"/>
  <c r="AG1217" i="37" s="1"/>
  <c r="D1218" i="37"/>
  <c r="AD1218" i="37" s="1"/>
  <c r="M1218" i="37"/>
  <c r="L1218" i="37" s="1"/>
  <c r="Q1218" i="37"/>
  <c r="R1218" i="37" s="1"/>
  <c r="U1218" i="37"/>
  <c r="AB1218" i="37"/>
  <c r="AE1218" i="37"/>
  <c r="AF1218" i="37"/>
  <c r="AG1218" i="37" s="1"/>
  <c r="D1219" i="37"/>
  <c r="AD1219" i="37" s="1"/>
  <c r="M1219" i="37"/>
  <c r="L1219" i="37" s="1"/>
  <c r="Q1219" i="37"/>
  <c r="R1219" i="37" s="1"/>
  <c r="U1219" i="37"/>
  <c r="AB1219" i="37"/>
  <c r="AE1219" i="37"/>
  <c r="AF1219" i="37"/>
  <c r="AG1219" i="37" s="1"/>
  <c r="D1220" i="37"/>
  <c r="AD1220" i="37" s="1"/>
  <c r="M1220" i="37"/>
  <c r="L1220" i="37" s="1"/>
  <c r="Q1220" i="37"/>
  <c r="U1220" i="37"/>
  <c r="AB1220" i="37"/>
  <c r="AE1220" i="37"/>
  <c r="AF1220" i="37"/>
  <c r="AG1220" i="37" s="1"/>
  <c r="D1221" i="37"/>
  <c r="AD1221" i="37" s="1"/>
  <c r="M1221" i="37"/>
  <c r="L1221" i="37" s="1"/>
  <c r="Q1221" i="37"/>
  <c r="R1221" i="37" s="1"/>
  <c r="U1221" i="37"/>
  <c r="AB1221" i="37"/>
  <c r="AE1221" i="37"/>
  <c r="AF1221" i="37"/>
  <c r="AG1221" i="37" s="1"/>
  <c r="D1222" i="37"/>
  <c r="AD1222" i="37" s="1"/>
  <c r="M1222" i="37"/>
  <c r="L1222" i="37" s="1"/>
  <c r="Q1222" i="37"/>
  <c r="X1222" i="37" s="1"/>
  <c r="Y1222" i="37" s="1"/>
  <c r="U1222" i="37"/>
  <c r="AB1222" i="37"/>
  <c r="AE1222" i="37"/>
  <c r="AF1222" i="37"/>
  <c r="AG1222" i="37" s="1"/>
  <c r="D1223" i="37"/>
  <c r="AD1223" i="37" s="1"/>
  <c r="M1223" i="37"/>
  <c r="L1223" i="37" s="1"/>
  <c r="Q1223" i="37"/>
  <c r="R1223" i="37" s="1"/>
  <c r="U1223" i="37"/>
  <c r="AB1223" i="37"/>
  <c r="AE1223" i="37"/>
  <c r="AF1223" i="37"/>
  <c r="AG1223" i="37" s="1"/>
  <c r="D1224" i="37"/>
  <c r="AD1224" i="37" s="1"/>
  <c r="M1224" i="37"/>
  <c r="L1224" i="37" s="1"/>
  <c r="Q1224" i="37"/>
  <c r="R1224" i="37" s="1"/>
  <c r="U1224" i="37"/>
  <c r="AB1224" i="37"/>
  <c r="AE1224" i="37"/>
  <c r="AF1224" i="37"/>
  <c r="AG1224" i="37" s="1"/>
  <c r="D1225" i="37"/>
  <c r="AD1225" i="37" s="1"/>
  <c r="M1225" i="37"/>
  <c r="L1225" i="37" s="1"/>
  <c r="Q1225" i="37"/>
  <c r="X1225" i="37" s="1"/>
  <c r="Y1225" i="37" s="1"/>
  <c r="U1225" i="37"/>
  <c r="AB1225" i="37"/>
  <c r="AE1225" i="37"/>
  <c r="AF1225" i="37"/>
  <c r="AG1225" i="37" s="1"/>
  <c r="D1226" i="37"/>
  <c r="AD1226" i="37" s="1"/>
  <c r="M1226" i="37"/>
  <c r="L1226" i="37" s="1"/>
  <c r="Q1226" i="37"/>
  <c r="R1226" i="37" s="1"/>
  <c r="U1226" i="37"/>
  <c r="AB1226" i="37"/>
  <c r="AE1226" i="37"/>
  <c r="AF1226" i="37"/>
  <c r="AG1226" i="37" s="1"/>
  <c r="D1227" i="37"/>
  <c r="AD1227" i="37" s="1"/>
  <c r="M1227" i="37"/>
  <c r="L1227" i="37" s="1"/>
  <c r="Q1227" i="37"/>
  <c r="R1227" i="37" s="1"/>
  <c r="U1227" i="37"/>
  <c r="AB1227" i="37"/>
  <c r="AE1227" i="37"/>
  <c r="AF1227" i="37"/>
  <c r="AG1227" i="37" s="1"/>
  <c r="D1228" i="37"/>
  <c r="AD1228" i="37" s="1"/>
  <c r="M1228" i="37"/>
  <c r="L1228" i="37" s="1"/>
  <c r="Q1228" i="37"/>
  <c r="U1228" i="37"/>
  <c r="AB1228" i="37"/>
  <c r="AE1228" i="37"/>
  <c r="AF1228" i="37"/>
  <c r="AG1228" i="37" s="1"/>
  <c r="D1229" i="37"/>
  <c r="AD1229" i="37" s="1"/>
  <c r="M1229" i="37"/>
  <c r="L1229" i="37" s="1"/>
  <c r="Q1229" i="37"/>
  <c r="R1229" i="37" s="1"/>
  <c r="U1229" i="37"/>
  <c r="AB1229" i="37"/>
  <c r="AE1229" i="37"/>
  <c r="AF1229" i="37"/>
  <c r="AG1229" i="37" s="1"/>
  <c r="D1230" i="37"/>
  <c r="AD1230" i="37" s="1"/>
  <c r="M1230" i="37"/>
  <c r="L1230" i="37" s="1"/>
  <c r="Q1230" i="37"/>
  <c r="X1230" i="37" s="1"/>
  <c r="Y1230" i="37" s="1"/>
  <c r="U1230" i="37"/>
  <c r="AB1230" i="37"/>
  <c r="AE1230" i="37"/>
  <c r="AF1230" i="37"/>
  <c r="AG1230" i="37" s="1"/>
  <c r="D1231" i="37"/>
  <c r="AD1231" i="37" s="1"/>
  <c r="M1231" i="37"/>
  <c r="L1231" i="37" s="1"/>
  <c r="Q1231" i="37"/>
  <c r="R1231" i="37" s="1"/>
  <c r="U1231" i="37"/>
  <c r="AB1231" i="37"/>
  <c r="AE1231" i="37"/>
  <c r="AF1231" i="37"/>
  <c r="AG1231" i="37" s="1"/>
  <c r="D1232" i="37"/>
  <c r="AD1232" i="37" s="1"/>
  <c r="M1232" i="37"/>
  <c r="L1232" i="37" s="1"/>
  <c r="Q1232" i="37"/>
  <c r="R1232" i="37" s="1"/>
  <c r="U1232" i="37"/>
  <c r="AB1232" i="37"/>
  <c r="AE1232" i="37"/>
  <c r="AF1232" i="37"/>
  <c r="AG1232" i="37" s="1"/>
  <c r="D1233" i="37"/>
  <c r="AD1233" i="37" s="1"/>
  <c r="M1233" i="37"/>
  <c r="L1233" i="37" s="1"/>
  <c r="Q1233" i="37"/>
  <c r="X1233" i="37" s="1"/>
  <c r="Y1233" i="37" s="1"/>
  <c r="U1233" i="37"/>
  <c r="AB1233" i="37"/>
  <c r="AE1233" i="37"/>
  <c r="AF1233" i="37"/>
  <c r="AG1233" i="37" s="1"/>
  <c r="D1234" i="37"/>
  <c r="AD1234" i="37" s="1"/>
  <c r="M1234" i="37"/>
  <c r="L1234" i="37" s="1"/>
  <c r="Q1234" i="37"/>
  <c r="R1234" i="37" s="1"/>
  <c r="U1234" i="37"/>
  <c r="AB1234" i="37"/>
  <c r="AE1234" i="37"/>
  <c r="AF1234" i="37"/>
  <c r="AG1234" i="37" s="1"/>
  <c r="D1235" i="37"/>
  <c r="AD1235" i="37" s="1"/>
  <c r="M1235" i="37"/>
  <c r="L1235" i="37" s="1"/>
  <c r="Q1235" i="37"/>
  <c r="R1235" i="37" s="1"/>
  <c r="U1235" i="37"/>
  <c r="AB1235" i="37"/>
  <c r="AE1235" i="37"/>
  <c r="AF1235" i="37"/>
  <c r="AG1235" i="37" s="1"/>
  <c r="D1236" i="37"/>
  <c r="AD1236" i="37" s="1"/>
  <c r="M1236" i="37"/>
  <c r="L1236" i="37" s="1"/>
  <c r="Q1236" i="37"/>
  <c r="U1236" i="37"/>
  <c r="AB1236" i="37"/>
  <c r="AE1236" i="37"/>
  <c r="AF1236" i="37"/>
  <c r="AG1236" i="37" s="1"/>
  <c r="D1237" i="37"/>
  <c r="AD1237" i="37" s="1"/>
  <c r="M1237" i="37"/>
  <c r="L1237" i="37" s="1"/>
  <c r="Q1237" i="37"/>
  <c r="R1237" i="37" s="1"/>
  <c r="U1237" i="37"/>
  <c r="AB1237" i="37"/>
  <c r="AE1237" i="37"/>
  <c r="AF1237" i="37"/>
  <c r="AG1237" i="37" s="1"/>
  <c r="D1238" i="37"/>
  <c r="AD1238" i="37" s="1"/>
  <c r="M1238" i="37"/>
  <c r="L1238" i="37" s="1"/>
  <c r="Q1238" i="37"/>
  <c r="X1238" i="37" s="1"/>
  <c r="Y1238" i="37" s="1"/>
  <c r="U1238" i="37"/>
  <c r="AB1238" i="37"/>
  <c r="AE1238" i="37"/>
  <c r="AF1238" i="37"/>
  <c r="AG1238" i="37" s="1"/>
  <c r="D1239" i="37"/>
  <c r="AD1239" i="37" s="1"/>
  <c r="M1239" i="37"/>
  <c r="L1239" i="37" s="1"/>
  <c r="Q1239" i="37"/>
  <c r="R1239" i="37" s="1"/>
  <c r="U1239" i="37"/>
  <c r="AB1239" i="37"/>
  <c r="AE1239" i="37"/>
  <c r="AF1239" i="37"/>
  <c r="AG1239" i="37" s="1"/>
  <c r="D1240" i="37"/>
  <c r="AD1240" i="37" s="1"/>
  <c r="M1240" i="37"/>
  <c r="L1240" i="37" s="1"/>
  <c r="Q1240" i="37"/>
  <c r="R1240" i="37" s="1"/>
  <c r="U1240" i="37"/>
  <c r="AB1240" i="37"/>
  <c r="AE1240" i="37"/>
  <c r="AF1240" i="37"/>
  <c r="AG1240" i="37" s="1"/>
  <c r="D1241" i="37"/>
  <c r="AD1241" i="37" s="1"/>
  <c r="M1241" i="37"/>
  <c r="L1241" i="37" s="1"/>
  <c r="Q1241" i="37"/>
  <c r="R1241" i="37" s="1"/>
  <c r="U1241" i="37"/>
  <c r="AB1241" i="37"/>
  <c r="AE1241" i="37"/>
  <c r="AF1241" i="37"/>
  <c r="AG1241" i="37" s="1"/>
  <c r="D1242" i="37"/>
  <c r="AD1242" i="37" s="1"/>
  <c r="M1242" i="37"/>
  <c r="L1242" i="37" s="1"/>
  <c r="Q1242" i="37"/>
  <c r="R1242" i="37" s="1"/>
  <c r="U1242" i="37"/>
  <c r="AB1242" i="37"/>
  <c r="AE1242" i="37"/>
  <c r="AF1242" i="37"/>
  <c r="AG1242" i="37" s="1"/>
  <c r="D1243" i="37"/>
  <c r="AD1243" i="37" s="1"/>
  <c r="M1243" i="37"/>
  <c r="L1243" i="37" s="1"/>
  <c r="Q1243" i="37"/>
  <c r="R1243" i="37" s="1"/>
  <c r="U1243" i="37"/>
  <c r="AB1243" i="37"/>
  <c r="AE1243" i="37"/>
  <c r="AF1243" i="37"/>
  <c r="AG1243" i="37" s="1"/>
  <c r="D1244" i="37"/>
  <c r="AD1244" i="37" s="1"/>
  <c r="M1244" i="37"/>
  <c r="L1244" i="37" s="1"/>
  <c r="Q1244" i="37"/>
  <c r="R1244" i="37" s="1"/>
  <c r="U1244" i="37"/>
  <c r="AB1244" i="37"/>
  <c r="AE1244" i="37"/>
  <c r="AF1244" i="37"/>
  <c r="AG1244" i="37" s="1"/>
  <c r="D1245" i="37"/>
  <c r="AD1245" i="37" s="1"/>
  <c r="M1245" i="37"/>
  <c r="L1245" i="37" s="1"/>
  <c r="Q1245" i="37"/>
  <c r="U1245" i="37"/>
  <c r="AB1245" i="37"/>
  <c r="AE1245" i="37"/>
  <c r="AF1245" i="37"/>
  <c r="AG1245" i="37" s="1"/>
  <c r="D1246" i="37"/>
  <c r="AD1246" i="37" s="1"/>
  <c r="M1246" i="37"/>
  <c r="L1246" i="37" s="1"/>
  <c r="Q1246" i="37"/>
  <c r="X1246" i="37" s="1"/>
  <c r="Y1246" i="37" s="1"/>
  <c r="U1246" i="37"/>
  <c r="AB1246" i="37"/>
  <c r="AE1246" i="37"/>
  <c r="AF1246" i="37"/>
  <c r="AG1246" i="37" s="1"/>
  <c r="D1247" i="37"/>
  <c r="AD1247" i="37" s="1"/>
  <c r="M1247" i="37"/>
  <c r="L1247" i="37" s="1"/>
  <c r="Q1247" i="37"/>
  <c r="R1247" i="37" s="1"/>
  <c r="U1247" i="37"/>
  <c r="AB1247" i="37"/>
  <c r="AE1247" i="37"/>
  <c r="AF1247" i="37"/>
  <c r="AG1247" i="37" s="1"/>
  <c r="D1248" i="37"/>
  <c r="AD1248" i="37" s="1"/>
  <c r="M1248" i="37"/>
  <c r="L1248" i="37" s="1"/>
  <c r="Q1248" i="37"/>
  <c r="X1248" i="37" s="1"/>
  <c r="Y1248" i="37" s="1"/>
  <c r="U1248" i="37"/>
  <c r="AB1248" i="37"/>
  <c r="AE1248" i="37"/>
  <c r="AF1248" i="37"/>
  <c r="AG1248" i="37" s="1"/>
  <c r="D1249" i="37"/>
  <c r="AD1249" i="37" s="1"/>
  <c r="M1249" i="37"/>
  <c r="L1249" i="37" s="1"/>
  <c r="Q1249" i="37"/>
  <c r="R1249" i="37" s="1"/>
  <c r="U1249" i="37"/>
  <c r="AB1249" i="37"/>
  <c r="AE1249" i="37"/>
  <c r="AF1249" i="37"/>
  <c r="AG1249" i="37" s="1"/>
  <c r="D1250" i="37"/>
  <c r="AD1250" i="37" s="1"/>
  <c r="M1250" i="37"/>
  <c r="L1250" i="37" s="1"/>
  <c r="Q1250" i="37"/>
  <c r="R1250" i="37" s="1"/>
  <c r="U1250" i="37"/>
  <c r="AB1250" i="37"/>
  <c r="AE1250" i="37"/>
  <c r="AF1250" i="37"/>
  <c r="AG1250" i="37" s="1"/>
  <c r="D1251" i="37"/>
  <c r="AD1251" i="37" s="1"/>
  <c r="M1251" i="37"/>
  <c r="L1251" i="37" s="1"/>
  <c r="Q1251" i="37"/>
  <c r="R1251" i="37" s="1"/>
  <c r="U1251" i="37"/>
  <c r="AB1251" i="37"/>
  <c r="AE1251" i="37"/>
  <c r="AF1251" i="37"/>
  <c r="AG1251" i="37" s="1"/>
  <c r="D1252" i="37"/>
  <c r="AD1252" i="37" s="1"/>
  <c r="M1252" i="37"/>
  <c r="L1252" i="37" s="1"/>
  <c r="Q1252" i="37"/>
  <c r="R1252" i="37" s="1"/>
  <c r="U1252" i="37"/>
  <c r="AB1252" i="37"/>
  <c r="AE1252" i="37"/>
  <c r="AF1252" i="37"/>
  <c r="AG1252" i="37" s="1"/>
  <c r="D1253" i="37"/>
  <c r="AD1253" i="37" s="1"/>
  <c r="M1253" i="37"/>
  <c r="L1253" i="37" s="1"/>
  <c r="Q1253" i="37"/>
  <c r="R1253" i="37" s="1"/>
  <c r="U1253" i="37"/>
  <c r="AB1253" i="37"/>
  <c r="AE1253" i="37"/>
  <c r="AF1253" i="37"/>
  <c r="AG1253" i="37" s="1"/>
  <c r="D1254" i="37"/>
  <c r="AD1254" i="37" s="1"/>
  <c r="M1254" i="37"/>
  <c r="L1254" i="37" s="1"/>
  <c r="Q1254" i="37"/>
  <c r="R1254" i="37" s="1"/>
  <c r="U1254" i="37"/>
  <c r="AB1254" i="37"/>
  <c r="AE1254" i="37"/>
  <c r="AF1254" i="37"/>
  <c r="AG1254" i="37" s="1"/>
  <c r="D1255" i="37"/>
  <c r="AD1255" i="37" s="1"/>
  <c r="M1255" i="37"/>
  <c r="L1255" i="37" s="1"/>
  <c r="Q1255" i="37"/>
  <c r="R1255" i="37" s="1"/>
  <c r="U1255" i="37"/>
  <c r="AB1255" i="37"/>
  <c r="AE1255" i="37"/>
  <c r="AF1255" i="37"/>
  <c r="AG1255" i="37" s="1"/>
  <c r="D1256" i="37"/>
  <c r="AD1256" i="37" s="1"/>
  <c r="M1256" i="37"/>
  <c r="L1256" i="37" s="1"/>
  <c r="Q1256" i="37"/>
  <c r="R1256" i="37" s="1"/>
  <c r="U1256" i="37"/>
  <c r="AB1256" i="37"/>
  <c r="AE1256" i="37"/>
  <c r="AF1256" i="37"/>
  <c r="AG1256" i="37" s="1"/>
  <c r="D1257" i="37"/>
  <c r="AD1257" i="37" s="1"/>
  <c r="M1257" i="37"/>
  <c r="L1257" i="37" s="1"/>
  <c r="Q1257" i="37"/>
  <c r="R1257" i="37" s="1"/>
  <c r="U1257" i="37"/>
  <c r="AB1257" i="37"/>
  <c r="AE1257" i="37"/>
  <c r="AF1257" i="37"/>
  <c r="AG1257" i="37" s="1"/>
  <c r="D1258" i="37"/>
  <c r="AD1258" i="37" s="1"/>
  <c r="M1258" i="37"/>
  <c r="L1258" i="37" s="1"/>
  <c r="Q1258" i="37"/>
  <c r="R1258" i="37" s="1"/>
  <c r="U1258" i="37"/>
  <c r="AB1258" i="37"/>
  <c r="AE1258" i="37"/>
  <c r="AF1258" i="37"/>
  <c r="AG1258" i="37" s="1"/>
  <c r="D1259" i="37"/>
  <c r="AD1259" i="37" s="1"/>
  <c r="M1259" i="37"/>
  <c r="L1259" i="37" s="1"/>
  <c r="Q1259" i="37"/>
  <c r="X1259" i="37" s="1"/>
  <c r="Y1259" i="37" s="1"/>
  <c r="U1259" i="37"/>
  <c r="AB1259" i="37"/>
  <c r="AE1259" i="37"/>
  <c r="AF1259" i="37"/>
  <c r="AG1259" i="37" s="1"/>
  <c r="D1260" i="37"/>
  <c r="AD1260" i="37" s="1"/>
  <c r="M1260" i="37"/>
  <c r="L1260" i="37" s="1"/>
  <c r="Q1260" i="37"/>
  <c r="R1260" i="37" s="1"/>
  <c r="U1260" i="37"/>
  <c r="AB1260" i="37"/>
  <c r="AE1260" i="37"/>
  <c r="AF1260" i="37"/>
  <c r="AG1260" i="37" s="1"/>
  <c r="D1261" i="37"/>
  <c r="AD1261" i="37" s="1"/>
  <c r="M1261" i="37"/>
  <c r="L1261" i="37" s="1"/>
  <c r="Q1261" i="37"/>
  <c r="R1261" i="37" s="1"/>
  <c r="U1261" i="37"/>
  <c r="AB1261" i="37"/>
  <c r="AE1261" i="37"/>
  <c r="AF1261" i="37"/>
  <c r="AG1261" i="37" s="1"/>
  <c r="D1262" i="37"/>
  <c r="AD1262" i="37" s="1"/>
  <c r="M1262" i="37"/>
  <c r="L1262" i="37" s="1"/>
  <c r="Q1262" i="37"/>
  <c r="R1262" i="37" s="1"/>
  <c r="U1262" i="37"/>
  <c r="AB1262" i="37"/>
  <c r="AE1262" i="37"/>
  <c r="AF1262" i="37"/>
  <c r="AG1262" i="37" s="1"/>
  <c r="D1263" i="37"/>
  <c r="AD1263" i="37" s="1"/>
  <c r="M1263" i="37"/>
  <c r="L1263" i="37" s="1"/>
  <c r="Q1263" i="37"/>
  <c r="R1263" i="37" s="1"/>
  <c r="U1263" i="37"/>
  <c r="AB1263" i="37"/>
  <c r="AE1263" i="37"/>
  <c r="AF1263" i="37"/>
  <c r="AG1263" i="37" s="1"/>
  <c r="D1264" i="37"/>
  <c r="AD1264" i="37" s="1"/>
  <c r="M1264" i="37"/>
  <c r="L1264" i="37" s="1"/>
  <c r="Q1264" i="37"/>
  <c r="R1264" i="37" s="1"/>
  <c r="U1264" i="37"/>
  <c r="AB1264" i="37"/>
  <c r="AE1264" i="37"/>
  <c r="AF1264" i="37"/>
  <c r="AG1264" i="37" s="1"/>
  <c r="D1265" i="37"/>
  <c r="AD1265" i="37" s="1"/>
  <c r="M1265" i="37"/>
  <c r="L1265" i="37" s="1"/>
  <c r="Q1265" i="37"/>
  <c r="R1265" i="37" s="1"/>
  <c r="U1265" i="37"/>
  <c r="AB1265" i="37"/>
  <c r="AE1265" i="37"/>
  <c r="AF1265" i="37"/>
  <c r="AG1265" i="37" s="1"/>
  <c r="D1266" i="37"/>
  <c r="AD1266" i="37" s="1"/>
  <c r="M1266" i="37"/>
  <c r="L1266" i="37" s="1"/>
  <c r="Q1266" i="37"/>
  <c r="R1266" i="37" s="1"/>
  <c r="U1266" i="37"/>
  <c r="AB1266" i="37"/>
  <c r="AE1266" i="37"/>
  <c r="AF1266" i="37"/>
  <c r="AG1266" i="37" s="1"/>
  <c r="D1267" i="37"/>
  <c r="AD1267" i="37" s="1"/>
  <c r="M1267" i="37"/>
  <c r="L1267" i="37" s="1"/>
  <c r="Q1267" i="37"/>
  <c r="X1267" i="37" s="1"/>
  <c r="Y1267" i="37" s="1"/>
  <c r="U1267" i="37"/>
  <c r="AB1267" i="37"/>
  <c r="AE1267" i="37"/>
  <c r="AF1267" i="37"/>
  <c r="AG1267" i="37" s="1"/>
  <c r="D1268" i="37"/>
  <c r="AD1268" i="37" s="1"/>
  <c r="M1268" i="37"/>
  <c r="L1268" i="37" s="1"/>
  <c r="Q1268" i="37"/>
  <c r="R1268" i="37" s="1"/>
  <c r="U1268" i="37"/>
  <c r="AB1268" i="37"/>
  <c r="AE1268" i="37"/>
  <c r="AF1268" i="37"/>
  <c r="AG1268" i="37" s="1"/>
  <c r="D1269" i="37"/>
  <c r="AD1269" i="37" s="1"/>
  <c r="M1269" i="37"/>
  <c r="L1269" i="37" s="1"/>
  <c r="Q1269" i="37"/>
  <c r="R1269" i="37" s="1"/>
  <c r="U1269" i="37"/>
  <c r="AB1269" i="37"/>
  <c r="AE1269" i="37"/>
  <c r="AF1269" i="37"/>
  <c r="AG1269" i="37" s="1"/>
  <c r="D1270" i="37"/>
  <c r="AD1270" i="37" s="1"/>
  <c r="M1270" i="37"/>
  <c r="L1270" i="37" s="1"/>
  <c r="Q1270" i="37"/>
  <c r="U1270" i="37"/>
  <c r="AB1270" i="37"/>
  <c r="AE1270" i="37"/>
  <c r="AF1270" i="37"/>
  <c r="AG1270" i="37" s="1"/>
  <c r="D1271" i="37"/>
  <c r="AD1271" i="37" s="1"/>
  <c r="M1271" i="37"/>
  <c r="L1271" i="37" s="1"/>
  <c r="Q1271" i="37"/>
  <c r="R1271" i="37" s="1"/>
  <c r="U1271" i="37"/>
  <c r="AB1271" i="37"/>
  <c r="AE1271" i="37"/>
  <c r="AF1271" i="37"/>
  <c r="AG1271" i="37" s="1"/>
  <c r="D1272" i="37"/>
  <c r="AD1272" i="37" s="1"/>
  <c r="M1272" i="37"/>
  <c r="L1272" i="37" s="1"/>
  <c r="Q1272" i="37"/>
  <c r="X1272" i="37" s="1"/>
  <c r="Y1272" i="37" s="1"/>
  <c r="U1272" i="37"/>
  <c r="AB1272" i="37"/>
  <c r="AE1272" i="37"/>
  <c r="AF1272" i="37"/>
  <c r="AG1272" i="37" s="1"/>
  <c r="D1273" i="37"/>
  <c r="AD1273" i="37" s="1"/>
  <c r="M1273" i="37"/>
  <c r="L1273" i="37" s="1"/>
  <c r="Q1273" i="37"/>
  <c r="R1273" i="37" s="1"/>
  <c r="U1273" i="37"/>
  <c r="AB1273" i="37"/>
  <c r="AE1273" i="37"/>
  <c r="AF1273" i="37"/>
  <c r="AG1273" i="37" s="1"/>
  <c r="D1274" i="37"/>
  <c r="AD1274" i="37" s="1"/>
  <c r="M1274" i="37"/>
  <c r="L1274" i="37" s="1"/>
  <c r="Q1274" i="37"/>
  <c r="R1274" i="37" s="1"/>
  <c r="U1274" i="37"/>
  <c r="AB1274" i="37"/>
  <c r="AE1274" i="37"/>
  <c r="AF1274" i="37"/>
  <c r="AG1274" i="37" s="1"/>
  <c r="D1275" i="37"/>
  <c r="AD1275" i="37" s="1"/>
  <c r="M1275" i="37"/>
  <c r="L1275" i="37" s="1"/>
  <c r="Q1275" i="37"/>
  <c r="R1275" i="37" s="1"/>
  <c r="U1275" i="37"/>
  <c r="AB1275" i="37"/>
  <c r="AE1275" i="37"/>
  <c r="AF1275" i="37"/>
  <c r="AG1275" i="37" s="1"/>
  <c r="D1276" i="37"/>
  <c r="AD1276" i="37" s="1"/>
  <c r="M1276" i="37"/>
  <c r="L1276" i="37" s="1"/>
  <c r="Q1276" i="37"/>
  <c r="X1276" i="37" s="1"/>
  <c r="Y1276" i="37" s="1"/>
  <c r="U1276" i="37"/>
  <c r="AB1276" i="37"/>
  <c r="AE1276" i="37"/>
  <c r="AF1276" i="37"/>
  <c r="AG1276" i="37" s="1"/>
  <c r="D1277" i="37"/>
  <c r="AD1277" i="37" s="1"/>
  <c r="M1277" i="37"/>
  <c r="L1277" i="37" s="1"/>
  <c r="Q1277" i="37"/>
  <c r="R1277" i="37" s="1"/>
  <c r="U1277" i="37"/>
  <c r="AB1277" i="37"/>
  <c r="AE1277" i="37"/>
  <c r="AF1277" i="37"/>
  <c r="AG1277" i="37" s="1"/>
  <c r="D1278" i="37"/>
  <c r="AD1278" i="37" s="1"/>
  <c r="M1278" i="37"/>
  <c r="L1278" i="37" s="1"/>
  <c r="Q1278" i="37"/>
  <c r="U1278" i="37"/>
  <c r="AB1278" i="37"/>
  <c r="AE1278" i="37"/>
  <c r="AF1278" i="37"/>
  <c r="AG1278" i="37" s="1"/>
  <c r="D1279" i="37"/>
  <c r="AD1279" i="37" s="1"/>
  <c r="M1279" i="37"/>
  <c r="L1279" i="37" s="1"/>
  <c r="Q1279" i="37"/>
  <c r="R1279" i="37" s="1"/>
  <c r="U1279" i="37"/>
  <c r="AB1279" i="37"/>
  <c r="AE1279" i="37"/>
  <c r="AF1279" i="37"/>
  <c r="AG1279" i="37" s="1"/>
  <c r="D1280" i="37"/>
  <c r="AD1280" i="37" s="1"/>
  <c r="M1280" i="37"/>
  <c r="L1280" i="37" s="1"/>
  <c r="Q1280" i="37"/>
  <c r="R1280" i="37" s="1"/>
  <c r="U1280" i="37"/>
  <c r="AB1280" i="37"/>
  <c r="AE1280" i="37"/>
  <c r="AF1280" i="37"/>
  <c r="AG1280" i="37" s="1"/>
  <c r="D1281" i="37"/>
  <c r="AD1281" i="37" s="1"/>
  <c r="M1281" i="37"/>
  <c r="L1281" i="37" s="1"/>
  <c r="Q1281" i="37"/>
  <c r="U1281" i="37"/>
  <c r="AB1281" i="37"/>
  <c r="AE1281" i="37"/>
  <c r="AF1281" i="37"/>
  <c r="AG1281" i="37" s="1"/>
  <c r="D1282" i="37"/>
  <c r="AD1282" i="37" s="1"/>
  <c r="M1282" i="37"/>
  <c r="L1282" i="37" s="1"/>
  <c r="Q1282" i="37"/>
  <c r="R1282" i="37" s="1"/>
  <c r="U1282" i="37"/>
  <c r="AB1282" i="37"/>
  <c r="AE1282" i="37"/>
  <c r="AF1282" i="37"/>
  <c r="AG1282" i="37" s="1"/>
  <c r="D1283" i="37"/>
  <c r="AD1283" i="37" s="1"/>
  <c r="M1283" i="37"/>
  <c r="L1283" i="37" s="1"/>
  <c r="Q1283" i="37"/>
  <c r="X1283" i="37" s="1"/>
  <c r="Y1283" i="37" s="1"/>
  <c r="U1283" i="37"/>
  <c r="AB1283" i="37"/>
  <c r="AE1283" i="37"/>
  <c r="AF1283" i="37"/>
  <c r="AG1283" i="37" s="1"/>
  <c r="D1284" i="37"/>
  <c r="AD1284" i="37" s="1"/>
  <c r="M1284" i="37"/>
  <c r="L1284" i="37" s="1"/>
  <c r="Q1284" i="37"/>
  <c r="U1284" i="37"/>
  <c r="AB1284" i="37"/>
  <c r="AE1284" i="37"/>
  <c r="AF1284" i="37"/>
  <c r="AG1284" i="37" s="1"/>
  <c r="D1285" i="37"/>
  <c r="AD1285" i="37" s="1"/>
  <c r="M1285" i="37"/>
  <c r="L1285" i="37" s="1"/>
  <c r="Q1285" i="37"/>
  <c r="R1285" i="37" s="1"/>
  <c r="U1285" i="37"/>
  <c r="AB1285" i="37"/>
  <c r="AE1285" i="37"/>
  <c r="AF1285" i="37"/>
  <c r="AG1285" i="37" s="1"/>
  <c r="D1286" i="37"/>
  <c r="AD1286" i="37" s="1"/>
  <c r="M1286" i="37"/>
  <c r="L1286" i="37" s="1"/>
  <c r="Q1286" i="37"/>
  <c r="R1286" i="37" s="1"/>
  <c r="U1286" i="37"/>
  <c r="AB1286" i="37"/>
  <c r="AE1286" i="37"/>
  <c r="AF1286" i="37"/>
  <c r="AG1286" i="37" s="1"/>
  <c r="D1287" i="37"/>
  <c r="AD1287" i="37" s="1"/>
  <c r="M1287" i="37"/>
  <c r="L1287" i="37" s="1"/>
  <c r="Q1287" i="37"/>
  <c r="R1287" i="37" s="1"/>
  <c r="U1287" i="37"/>
  <c r="AB1287" i="37"/>
  <c r="AE1287" i="37"/>
  <c r="AF1287" i="37"/>
  <c r="AG1287" i="37" s="1"/>
  <c r="D1288" i="37"/>
  <c r="AD1288" i="37" s="1"/>
  <c r="M1288" i="37"/>
  <c r="L1288" i="37" s="1"/>
  <c r="Q1288" i="37"/>
  <c r="X1288" i="37" s="1"/>
  <c r="Y1288" i="37" s="1"/>
  <c r="U1288" i="37"/>
  <c r="AB1288" i="37"/>
  <c r="AE1288" i="37"/>
  <c r="AF1288" i="37"/>
  <c r="AG1288" i="37" s="1"/>
  <c r="D1289" i="37"/>
  <c r="AD1289" i="37" s="1"/>
  <c r="M1289" i="37"/>
  <c r="L1289" i="37" s="1"/>
  <c r="Q1289" i="37"/>
  <c r="R1289" i="37" s="1"/>
  <c r="U1289" i="37"/>
  <c r="AB1289" i="37"/>
  <c r="AE1289" i="37"/>
  <c r="AF1289" i="37"/>
  <c r="AG1289" i="37" s="1"/>
  <c r="D1290" i="37"/>
  <c r="AD1290" i="37" s="1"/>
  <c r="M1290" i="37"/>
  <c r="L1290" i="37" s="1"/>
  <c r="Q1290" i="37"/>
  <c r="R1290" i="37" s="1"/>
  <c r="U1290" i="37"/>
  <c r="AB1290" i="37"/>
  <c r="AE1290" i="37"/>
  <c r="AF1290" i="37"/>
  <c r="AG1290" i="37" s="1"/>
  <c r="D1291" i="37"/>
  <c r="AD1291" i="37" s="1"/>
  <c r="M1291" i="37"/>
  <c r="L1291" i="37" s="1"/>
  <c r="Q1291" i="37"/>
  <c r="R1291" i="37" s="1"/>
  <c r="U1291" i="37"/>
  <c r="AB1291" i="37"/>
  <c r="AE1291" i="37"/>
  <c r="AF1291" i="37"/>
  <c r="AG1291" i="37" s="1"/>
  <c r="D1292" i="37"/>
  <c r="AD1292" i="37" s="1"/>
  <c r="M1292" i="37"/>
  <c r="L1292" i="37" s="1"/>
  <c r="Q1292" i="37"/>
  <c r="X1292" i="37" s="1"/>
  <c r="Y1292" i="37" s="1"/>
  <c r="U1292" i="37"/>
  <c r="AB1292" i="37"/>
  <c r="AE1292" i="37"/>
  <c r="AF1292" i="37"/>
  <c r="AG1292" i="37" s="1"/>
  <c r="D1293" i="37"/>
  <c r="AD1293" i="37" s="1"/>
  <c r="M1293" i="37"/>
  <c r="L1293" i="37" s="1"/>
  <c r="Q1293" i="37"/>
  <c r="R1293" i="37" s="1"/>
  <c r="U1293" i="37"/>
  <c r="AB1293" i="37"/>
  <c r="AE1293" i="37"/>
  <c r="AF1293" i="37"/>
  <c r="AG1293" i="37" s="1"/>
  <c r="D1294" i="37"/>
  <c r="AD1294" i="37" s="1"/>
  <c r="M1294" i="37"/>
  <c r="L1294" i="37" s="1"/>
  <c r="Q1294" i="37"/>
  <c r="X1294" i="37" s="1"/>
  <c r="Y1294" i="37" s="1"/>
  <c r="U1294" i="37"/>
  <c r="AB1294" i="37"/>
  <c r="AE1294" i="37"/>
  <c r="AF1294" i="37"/>
  <c r="AG1294" i="37" s="1"/>
  <c r="D1295" i="37"/>
  <c r="AD1295" i="37" s="1"/>
  <c r="M1295" i="37"/>
  <c r="L1295" i="37" s="1"/>
  <c r="Q1295" i="37"/>
  <c r="U1295" i="37"/>
  <c r="AB1295" i="37"/>
  <c r="AE1295" i="37"/>
  <c r="AF1295" i="37"/>
  <c r="AG1295" i="37" s="1"/>
  <c r="D1296" i="37"/>
  <c r="AD1296" i="37" s="1"/>
  <c r="M1296" i="37"/>
  <c r="L1296" i="37" s="1"/>
  <c r="Q1296" i="37"/>
  <c r="R1296" i="37" s="1"/>
  <c r="U1296" i="37"/>
  <c r="AB1296" i="37"/>
  <c r="AE1296" i="37"/>
  <c r="AF1296" i="37"/>
  <c r="AG1296" i="37" s="1"/>
  <c r="D1297" i="37"/>
  <c r="AD1297" i="37" s="1"/>
  <c r="M1297" i="37"/>
  <c r="L1297" i="37" s="1"/>
  <c r="Q1297" i="37"/>
  <c r="X1297" i="37" s="1"/>
  <c r="Y1297" i="37" s="1"/>
  <c r="U1297" i="37"/>
  <c r="AB1297" i="37"/>
  <c r="AE1297" i="37"/>
  <c r="AF1297" i="37"/>
  <c r="AG1297" i="37" s="1"/>
  <c r="D1298" i="37"/>
  <c r="AD1298" i="37" s="1"/>
  <c r="M1298" i="37"/>
  <c r="L1298" i="37" s="1"/>
  <c r="Q1298" i="37"/>
  <c r="U1298" i="37"/>
  <c r="AB1298" i="37"/>
  <c r="AE1298" i="37"/>
  <c r="AF1298" i="37"/>
  <c r="AG1298" i="37" s="1"/>
  <c r="D1299" i="37"/>
  <c r="AD1299" i="37" s="1"/>
  <c r="M1299" i="37"/>
  <c r="L1299" i="37" s="1"/>
  <c r="Q1299" i="37"/>
  <c r="R1299" i="37" s="1"/>
  <c r="U1299" i="37"/>
  <c r="AB1299" i="37"/>
  <c r="AE1299" i="37"/>
  <c r="AF1299" i="37"/>
  <c r="AG1299" i="37" s="1"/>
  <c r="D1300" i="37"/>
  <c r="AD1300" i="37" s="1"/>
  <c r="M1300" i="37"/>
  <c r="L1300" i="37" s="1"/>
  <c r="Q1300" i="37"/>
  <c r="R1300" i="37" s="1"/>
  <c r="U1300" i="37"/>
  <c r="AB1300" i="37"/>
  <c r="AE1300" i="37"/>
  <c r="AF1300" i="37"/>
  <c r="AG1300" i="37" s="1"/>
  <c r="D1301" i="37"/>
  <c r="AD1301" i="37" s="1"/>
  <c r="M1301" i="37"/>
  <c r="L1301" i="37" s="1"/>
  <c r="Q1301" i="37"/>
  <c r="R1301" i="37" s="1"/>
  <c r="U1301" i="37"/>
  <c r="AB1301" i="37"/>
  <c r="AE1301" i="37"/>
  <c r="AF1301" i="37"/>
  <c r="AG1301" i="37" s="1"/>
  <c r="D1302" i="37"/>
  <c r="AD1302" i="37" s="1"/>
  <c r="M1302" i="37"/>
  <c r="L1302" i="37" s="1"/>
  <c r="Q1302" i="37"/>
  <c r="X1302" i="37" s="1"/>
  <c r="Y1302" i="37" s="1"/>
  <c r="U1302" i="37"/>
  <c r="AB1302" i="37"/>
  <c r="AE1302" i="37"/>
  <c r="AF1302" i="37"/>
  <c r="AG1302" i="37" s="1"/>
  <c r="D1303" i="37"/>
  <c r="AD1303" i="37" s="1"/>
  <c r="M1303" i="37"/>
  <c r="L1303" i="37" s="1"/>
  <c r="Q1303" i="37"/>
  <c r="R1303" i="37" s="1"/>
  <c r="U1303" i="37"/>
  <c r="AB1303" i="37"/>
  <c r="AE1303" i="37"/>
  <c r="AF1303" i="37"/>
  <c r="AG1303" i="37" s="1"/>
  <c r="D1304" i="37"/>
  <c r="AD1304" i="37" s="1"/>
  <c r="M1304" i="37"/>
  <c r="L1304" i="37" s="1"/>
  <c r="Q1304" i="37"/>
  <c r="R1304" i="37" s="1"/>
  <c r="U1304" i="37"/>
  <c r="AB1304" i="37"/>
  <c r="AE1304" i="37"/>
  <c r="AF1304" i="37"/>
  <c r="AG1304" i="37" s="1"/>
  <c r="D1305" i="37"/>
  <c r="AD1305" i="37" s="1"/>
  <c r="M1305" i="37"/>
  <c r="L1305" i="37" s="1"/>
  <c r="Q1305" i="37"/>
  <c r="U1305" i="37"/>
  <c r="AB1305" i="37"/>
  <c r="AE1305" i="37"/>
  <c r="AF1305" i="37"/>
  <c r="AG1305" i="37" s="1"/>
  <c r="D1306" i="37"/>
  <c r="AD1306" i="37" s="1"/>
  <c r="M1306" i="37"/>
  <c r="L1306" i="37" s="1"/>
  <c r="Q1306" i="37"/>
  <c r="R1306" i="37" s="1"/>
  <c r="U1306" i="37"/>
  <c r="AB1306" i="37"/>
  <c r="AE1306" i="37"/>
  <c r="AF1306" i="37"/>
  <c r="AG1306" i="37" s="1"/>
  <c r="D1307" i="37"/>
  <c r="AD1307" i="37" s="1"/>
  <c r="M1307" i="37"/>
  <c r="L1307" i="37" s="1"/>
  <c r="Q1307" i="37"/>
  <c r="R1307" i="37" s="1"/>
  <c r="U1307" i="37"/>
  <c r="AB1307" i="37"/>
  <c r="AE1307" i="37"/>
  <c r="AF1307" i="37"/>
  <c r="AG1307" i="37" s="1"/>
  <c r="D1308" i="37"/>
  <c r="AD1308" i="37" s="1"/>
  <c r="M1308" i="37"/>
  <c r="L1308" i="37" s="1"/>
  <c r="Q1308" i="37"/>
  <c r="R1308" i="37" s="1"/>
  <c r="U1308" i="37"/>
  <c r="AB1308" i="37"/>
  <c r="AE1308" i="37"/>
  <c r="AF1308" i="37"/>
  <c r="AG1308" i="37" s="1"/>
  <c r="D1309" i="37"/>
  <c r="AD1309" i="37" s="1"/>
  <c r="M1309" i="37"/>
  <c r="L1309" i="37" s="1"/>
  <c r="Q1309" i="37"/>
  <c r="R1309" i="37" s="1"/>
  <c r="U1309" i="37"/>
  <c r="AB1309" i="37"/>
  <c r="AE1309" i="37"/>
  <c r="AF1309" i="37"/>
  <c r="AG1309" i="37" s="1"/>
  <c r="D1310" i="37"/>
  <c r="AD1310" i="37" s="1"/>
  <c r="M1310" i="37"/>
  <c r="L1310" i="37" s="1"/>
  <c r="Q1310" i="37"/>
  <c r="R1310" i="37" s="1"/>
  <c r="U1310" i="37"/>
  <c r="AB1310" i="37"/>
  <c r="AE1310" i="37"/>
  <c r="AF1310" i="37"/>
  <c r="AG1310" i="37" s="1"/>
  <c r="D1311" i="37"/>
  <c r="AD1311" i="37" s="1"/>
  <c r="M1311" i="37"/>
  <c r="L1311" i="37" s="1"/>
  <c r="Q1311" i="37"/>
  <c r="R1311" i="37" s="1"/>
  <c r="U1311" i="37"/>
  <c r="AB1311" i="37"/>
  <c r="AE1311" i="37"/>
  <c r="AF1311" i="37"/>
  <c r="AG1311" i="37" s="1"/>
  <c r="D1312" i="37"/>
  <c r="AD1312" i="37" s="1"/>
  <c r="M1312" i="37"/>
  <c r="L1312" i="37" s="1"/>
  <c r="Q1312" i="37"/>
  <c r="R1312" i="37" s="1"/>
  <c r="U1312" i="37"/>
  <c r="AB1312" i="37"/>
  <c r="AE1312" i="37"/>
  <c r="AF1312" i="37"/>
  <c r="AG1312" i="37" s="1"/>
  <c r="D1313" i="37"/>
  <c r="AD1313" i="37" s="1"/>
  <c r="M1313" i="37"/>
  <c r="L1313" i="37" s="1"/>
  <c r="Q1313" i="37"/>
  <c r="X1313" i="37" s="1"/>
  <c r="Y1313" i="37" s="1"/>
  <c r="U1313" i="37"/>
  <c r="AB1313" i="37"/>
  <c r="AE1313" i="37"/>
  <c r="AF1313" i="37"/>
  <c r="AG1313" i="37" s="1"/>
  <c r="D1314" i="37"/>
  <c r="AD1314" i="37" s="1"/>
  <c r="M1314" i="37"/>
  <c r="L1314" i="37" s="1"/>
  <c r="Q1314" i="37"/>
  <c r="R1314" i="37" s="1"/>
  <c r="U1314" i="37"/>
  <c r="AB1314" i="37"/>
  <c r="AE1314" i="37"/>
  <c r="AF1314" i="37"/>
  <c r="AG1314" i="37" s="1"/>
  <c r="D1315" i="37"/>
  <c r="AD1315" i="37" s="1"/>
  <c r="M1315" i="37"/>
  <c r="L1315" i="37" s="1"/>
  <c r="Q1315" i="37"/>
  <c r="R1315" i="37" s="1"/>
  <c r="U1315" i="37"/>
  <c r="AB1315" i="37"/>
  <c r="AE1315" i="37"/>
  <c r="AF1315" i="37"/>
  <c r="AG1315" i="37" s="1"/>
  <c r="D1316" i="37"/>
  <c r="AD1316" i="37" s="1"/>
  <c r="M1316" i="37"/>
  <c r="L1316" i="37" s="1"/>
  <c r="Q1316" i="37"/>
  <c r="X1316" i="37" s="1"/>
  <c r="Y1316" i="37" s="1"/>
  <c r="U1316" i="37"/>
  <c r="AB1316" i="37"/>
  <c r="AE1316" i="37"/>
  <c r="AF1316" i="37"/>
  <c r="AG1316" i="37" s="1"/>
  <c r="D1317" i="37"/>
  <c r="AD1317" i="37" s="1"/>
  <c r="M1317" i="37"/>
  <c r="L1317" i="37" s="1"/>
  <c r="Q1317" i="37"/>
  <c r="R1317" i="37" s="1"/>
  <c r="U1317" i="37"/>
  <c r="AB1317" i="37"/>
  <c r="AE1317" i="37"/>
  <c r="AF1317" i="37"/>
  <c r="AG1317" i="37" s="1"/>
  <c r="D1318" i="37"/>
  <c r="AD1318" i="37" s="1"/>
  <c r="M1318" i="37"/>
  <c r="L1318" i="37" s="1"/>
  <c r="Q1318" i="37"/>
  <c r="X1318" i="37" s="1"/>
  <c r="Y1318" i="37" s="1"/>
  <c r="U1318" i="37"/>
  <c r="AB1318" i="37"/>
  <c r="AE1318" i="37"/>
  <c r="AF1318" i="37"/>
  <c r="AG1318" i="37" s="1"/>
  <c r="D1319" i="37"/>
  <c r="AD1319" i="37" s="1"/>
  <c r="M1319" i="37"/>
  <c r="L1319" i="37" s="1"/>
  <c r="Q1319" i="37"/>
  <c r="R1319" i="37" s="1"/>
  <c r="U1319" i="37"/>
  <c r="AB1319" i="37"/>
  <c r="AE1319" i="37"/>
  <c r="AF1319" i="37"/>
  <c r="AG1319" i="37" s="1"/>
  <c r="D1320" i="37"/>
  <c r="AD1320" i="37" s="1"/>
  <c r="M1320" i="37"/>
  <c r="L1320" i="37" s="1"/>
  <c r="Q1320" i="37"/>
  <c r="R1320" i="37" s="1"/>
  <c r="U1320" i="37"/>
  <c r="AB1320" i="37"/>
  <c r="AE1320" i="37"/>
  <c r="AF1320" i="37"/>
  <c r="AG1320" i="37" s="1"/>
  <c r="D1321" i="37"/>
  <c r="AD1321" i="37" s="1"/>
  <c r="M1321" i="37"/>
  <c r="L1321" i="37" s="1"/>
  <c r="Q1321" i="37"/>
  <c r="R1321" i="37" s="1"/>
  <c r="U1321" i="37"/>
  <c r="AB1321" i="37"/>
  <c r="AE1321" i="37"/>
  <c r="AF1321" i="37"/>
  <c r="AG1321" i="37" s="1"/>
  <c r="D1322" i="37"/>
  <c r="AD1322" i="37" s="1"/>
  <c r="M1322" i="37"/>
  <c r="L1322" i="37" s="1"/>
  <c r="Q1322" i="37"/>
  <c r="R1322" i="37" s="1"/>
  <c r="U1322" i="37"/>
  <c r="AB1322" i="37"/>
  <c r="AE1322" i="37"/>
  <c r="AF1322" i="37"/>
  <c r="AG1322" i="37" s="1"/>
  <c r="D1323" i="37"/>
  <c r="AD1323" i="37" s="1"/>
  <c r="M1323" i="37"/>
  <c r="L1323" i="37" s="1"/>
  <c r="Q1323" i="37"/>
  <c r="R1323" i="37" s="1"/>
  <c r="U1323" i="37"/>
  <c r="AB1323" i="37"/>
  <c r="AE1323" i="37"/>
  <c r="AF1323" i="37"/>
  <c r="AG1323" i="37" s="1"/>
  <c r="D1324" i="37"/>
  <c r="AD1324" i="37" s="1"/>
  <c r="M1324" i="37"/>
  <c r="L1324" i="37" s="1"/>
  <c r="Q1324" i="37"/>
  <c r="U1324" i="37"/>
  <c r="AB1324" i="37"/>
  <c r="AE1324" i="37"/>
  <c r="AF1324" i="37"/>
  <c r="AG1324" i="37" s="1"/>
  <c r="D1325" i="37"/>
  <c r="AD1325" i="37" s="1"/>
  <c r="M1325" i="37"/>
  <c r="L1325" i="37" s="1"/>
  <c r="Q1325" i="37"/>
  <c r="R1325" i="37" s="1"/>
  <c r="U1325" i="37"/>
  <c r="AB1325" i="37"/>
  <c r="AE1325" i="37"/>
  <c r="AF1325" i="37"/>
  <c r="AG1325" i="37" s="1"/>
  <c r="D1326" i="37"/>
  <c r="AD1326" i="37" s="1"/>
  <c r="M1326" i="37"/>
  <c r="L1326" i="37" s="1"/>
  <c r="Q1326" i="37"/>
  <c r="R1326" i="37" s="1"/>
  <c r="U1326" i="37"/>
  <c r="AB1326" i="37"/>
  <c r="AE1326" i="37"/>
  <c r="AF1326" i="37"/>
  <c r="AG1326" i="37" s="1"/>
  <c r="D1327" i="37"/>
  <c r="AD1327" i="37" s="1"/>
  <c r="M1327" i="37"/>
  <c r="L1327" i="37" s="1"/>
  <c r="Q1327" i="37"/>
  <c r="R1327" i="37" s="1"/>
  <c r="U1327" i="37"/>
  <c r="AB1327" i="37"/>
  <c r="AE1327" i="37"/>
  <c r="AF1327" i="37"/>
  <c r="AG1327" i="37" s="1"/>
  <c r="D1328" i="37"/>
  <c r="AD1328" i="37" s="1"/>
  <c r="M1328" i="37"/>
  <c r="L1328" i="37" s="1"/>
  <c r="Q1328" i="37"/>
  <c r="U1328" i="37"/>
  <c r="AB1328" i="37"/>
  <c r="AE1328" i="37"/>
  <c r="AF1328" i="37"/>
  <c r="AG1328" i="37" s="1"/>
  <c r="D1329" i="37"/>
  <c r="AD1329" i="37" s="1"/>
  <c r="M1329" i="37"/>
  <c r="L1329" i="37" s="1"/>
  <c r="Q1329" i="37"/>
  <c r="R1329" i="37" s="1"/>
  <c r="U1329" i="37"/>
  <c r="AB1329" i="37"/>
  <c r="AE1329" i="37"/>
  <c r="AF1329" i="37"/>
  <c r="AG1329" i="37" s="1"/>
  <c r="D1330" i="37"/>
  <c r="AD1330" i="37" s="1"/>
  <c r="M1330" i="37"/>
  <c r="L1330" i="37" s="1"/>
  <c r="Q1330" i="37"/>
  <c r="R1330" i="37" s="1"/>
  <c r="U1330" i="37"/>
  <c r="AB1330" i="37"/>
  <c r="AE1330" i="37"/>
  <c r="AF1330" i="37"/>
  <c r="AG1330" i="37" s="1"/>
  <c r="D1331" i="37"/>
  <c r="AD1331" i="37" s="1"/>
  <c r="M1331" i="37"/>
  <c r="L1331" i="37" s="1"/>
  <c r="Q1331" i="37"/>
  <c r="U1331" i="37"/>
  <c r="AB1331" i="37"/>
  <c r="AE1331" i="37"/>
  <c r="AF1331" i="37"/>
  <c r="AG1331" i="37" s="1"/>
  <c r="D1332" i="37"/>
  <c r="AD1332" i="37" s="1"/>
  <c r="M1332" i="37"/>
  <c r="L1332" i="37" s="1"/>
  <c r="Q1332" i="37"/>
  <c r="R1332" i="37" s="1"/>
  <c r="U1332" i="37"/>
  <c r="AB1332" i="37"/>
  <c r="AE1332" i="37"/>
  <c r="AF1332" i="37"/>
  <c r="AG1332" i="37" s="1"/>
  <c r="D1333" i="37"/>
  <c r="AD1333" i="37" s="1"/>
  <c r="M1333" i="37"/>
  <c r="L1333" i="37" s="1"/>
  <c r="Q1333" i="37"/>
  <c r="U1333" i="37"/>
  <c r="AB1333" i="37"/>
  <c r="AE1333" i="37"/>
  <c r="AF1333" i="37"/>
  <c r="AG1333" i="37" s="1"/>
  <c r="D1334" i="37"/>
  <c r="AD1334" i="37" s="1"/>
  <c r="M1334" i="37"/>
  <c r="L1334" i="37" s="1"/>
  <c r="Q1334" i="37"/>
  <c r="R1334" i="37" s="1"/>
  <c r="U1334" i="37"/>
  <c r="AB1334" i="37"/>
  <c r="AE1334" i="37"/>
  <c r="AF1334" i="37"/>
  <c r="AG1334" i="37" s="1"/>
  <c r="D1335" i="37"/>
  <c r="AD1335" i="37" s="1"/>
  <c r="M1335" i="37"/>
  <c r="L1335" i="37" s="1"/>
  <c r="Q1335" i="37"/>
  <c r="R1335" i="37" s="1"/>
  <c r="U1335" i="37"/>
  <c r="AB1335" i="37"/>
  <c r="AE1335" i="37"/>
  <c r="AF1335" i="37"/>
  <c r="AG1335" i="37" s="1"/>
  <c r="D1336" i="37"/>
  <c r="AD1336" i="37" s="1"/>
  <c r="M1336" i="37"/>
  <c r="L1336" i="37" s="1"/>
  <c r="Q1336" i="37"/>
  <c r="U1336" i="37"/>
  <c r="AB1336" i="37"/>
  <c r="AE1336" i="37"/>
  <c r="AF1336" i="37"/>
  <c r="AG1336" i="37" s="1"/>
  <c r="D1338" i="37"/>
  <c r="AD1338" i="37" s="1"/>
  <c r="M1338" i="37"/>
  <c r="L1338" i="37" s="1"/>
  <c r="Q1338" i="37"/>
  <c r="R1338" i="37" s="1"/>
  <c r="U1338" i="37"/>
  <c r="AB1338" i="37"/>
  <c r="AE1338" i="37"/>
  <c r="AF1338" i="37"/>
  <c r="AG1338" i="37" s="1"/>
  <c r="D1339" i="37"/>
  <c r="AD1339" i="37" s="1"/>
  <c r="M1339" i="37"/>
  <c r="L1339" i="37" s="1"/>
  <c r="Q1339" i="37"/>
  <c r="U1339" i="37"/>
  <c r="AB1339" i="37"/>
  <c r="AE1339" i="37"/>
  <c r="AF1339" i="37"/>
  <c r="AG1339" i="37" s="1"/>
  <c r="D1340" i="37"/>
  <c r="AD1340" i="37" s="1"/>
  <c r="M1340" i="37"/>
  <c r="L1340" i="37" s="1"/>
  <c r="Q1340" i="37"/>
  <c r="X1340" i="37" s="1"/>
  <c r="Y1340" i="37" s="1"/>
  <c r="U1340" i="37"/>
  <c r="AB1340" i="37"/>
  <c r="AE1340" i="37"/>
  <c r="AF1340" i="37"/>
  <c r="AG1340" i="37" s="1"/>
  <c r="D1341" i="37"/>
  <c r="AD1341" i="37" s="1"/>
  <c r="M1341" i="37"/>
  <c r="L1341" i="37" s="1"/>
  <c r="Q1341" i="37"/>
  <c r="U1341" i="37"/>
  <c r="AB1341" i="37"/>
  <c r="AE1341" i="37"/>
  <c r="AF1341" i="37"/>
  <c r="AG1341" i="37" s="1"/>
  <c r="D1342" i="37"/>
  <c r="AD1342" i="37" s="1"/>
  <c r="M1342" i="37"/>
  <c r="L1342" i="37" s="1"/>
  <c r="Q1342" i="37"/>
  <c r="R1342" i="37" s="1"/>
  <c r="U1342" i="37"/>
  <c r="AB1342" i="37"/>
  <c r="AE1342" i="37"/>
  <c r="AF1342" i="37"/>
  <c r="AG1342" i="37" s="1"/>
  <c r="D1343" i="37"/>
  <c r="AD1343" i="37" s="1"/>
  <c r="M1343" i="37"/>
  <c r="L1343" i="37" s="1"/>
  <c r="Q1343" i="37"/>
  <c r="U1343" i="37"/>
  <c r="AB1343" i="37"/>
  <c r="AE1343" i="37"/>
  <c r="AF1343" i="37"/>
  <c r="AG1343" i="37" s="1"/>
  <c r="D1344" i="37"/>
  <c r="AD1344" i="37" s="1"/>
  <c r="M1344" i="37"/>
  <c r="L1344" i="37" s="1"/>
  <c r="Q1344" i="37"/>
  <c r="U1344" i="37"/>
  <c r="AB1344" i="37"/>
  <c r="AE1344" i="37"/>
  <c r="AF1344" i="37"/>
  <c r="AG1344" i="37" s="1"/>
  <c r="D1354" i="37"/>
  <c r="AD1354" i="37" s="1"/>
  <c r="M1354" i="37"/>
  <c r="L1354" i="37" s="1"/>
  <c r="Q1354" i="37"/>
  <c r="X1354" i="37" s="1"/>
  <c r="Y1354" i="37" s="1"/>
  <c r="U1354" i="37"/>
  <c r="AB1354" i="37"/>
  <c r="AE1354" i="37"/>
  <c r="AF1354" i="37"/>
  <c r="AG1354" i="37" s="1"/>
  <c r="D1355" i="37"/>
  <c r="AD1355" i="37" s="1"/>
  <c r="M1355" i="37"/>
  <c r="L1355" i="37" s="1"/>
  <c r="Q1355" i="37"/>
  <c r="R1355" i="37" s="1"/>
  <c r="U1355" i="37"/>
  <c r="AB1355" i="37"/>
  <c r="AE1355" i="37"/>
  <c r="AF1355" i="37"/>
  <c r="AG1355" i="37" s="1"/>
  <c r="D1356" i="37"/>
  <c r="AD1356" i="37" s="1"/>
  <c r="M1356" i="37"/>
  <c r="L1356" i="37" s="1"/>
  <c r="Q1356" i="37"/>
  <c r="U1356" i="37"/>
  <c r="AB1356" i="37"/>
  <c r="AE1356" i="37"/>
  <c r="AF1356" i="37"/>
  <c r="AG1356" i="37" s="1"/>
  <c r="D1357" i="37"/>
  <c r="AD1357" i="37" s="1"/>
  <c r="M1357" i="37"/>
  <c r="L1357" i="37" s="1"/>
  <c r="Q1357" i="37"/>
  <c r="X1357" i="37" s="1"/>
  <c r="Y1357" i="37" s="1"/>
  <c r="U1357" i="37"/>
  <c r="AB1357" i="37"/>
  <c r="AE1357" i="37"/>
  <c r="AF1357" i="37"/>
  <c r="AG1357" i="37" s="1"/>
  <c r="D1358" i="37"/>
  <c r="AD1358" i="37" s="1"/>
  <c r="M1358" i="37"/>
  <c r="L1358" i="37" s="1"/>
  <c r="Q1358" i="37"/>
  <c r="U1358" i="37"/>
  <c r="AB1358" i="37"/>
  <c r="AE1358" i="37"/>
  <c r="AF1358" i="37"/>
  <c r="AG1358" i="37" s="1"/>
  <c r="D1359" i="37"/>
  <c r="AD1359" i="37" s="1"/>
  <c r="M1359" i="37"/>
  <c r="L1359" i="37" s="1"/>
  <c r="Q1359" i="37"/>
  <c r="X1359" i="37" s="1"/>
  <c r="Y1359" i="37" s="1"/>
  <c r="U1359" i="37"/>
  <c r="AB1359" i="37"/>
  <c r="AE1359" i="37"/>
  <c r="AF1359" i="37"/>
  <c r="AG1359" i="37" s="1"/>
  <c r="D1360" i="37"/>
  <c r="AD1360" i="37" s="1"/>
  <c r="M1360" i="37"/>
  <c r="L1360" i="37" s="1"/>
  <c r="Q1360" i="37"/>
  <c r="U1360" i="37"/>
  <c r="AB1360" i="37"/>
  <c r="AE1360" i="37"/>
  <c r="AF1360" i="37"/>
  <c r="AG1360" i="37" s="1"/>
  <c r="D1361" i="37"/>
  <c r="AD1361" i="37" s="1"/>
  <c r="M1361" i="37"/>
  <c r="L1361" i="37" s="1"/>
  <c r="Q1361" i="37"/>
  <c r="U1361" i="37"/>
  <c r="AB1361" i="37"/>
  <c r="AE1361" i="37"/>
  <c r="AF1361" i="37"/>
  <c r="AG1361" i="37" s="1"/>
  <c r="D1362" i="37"/>
  <c r="AD1362" i="37" s="1"/>
  <c r="M1362" i="37"/>
  <c r="E12" i="38" s="1"/>
  <c r="Q1362" i="37"/>
  <c r="R1362" i="37" s="1"/>
  <c r="U1362" i="37"/>
  <c r="AB1362" i="37"/>
  <c r="AE1362" i="37"/>
  <c r="AF1362" i="37"/>
  <c r="AG1362" i="37" s="1"/>
  <c r="D1363" i="37"/>
  <c r="AD1363" i="37" s="1"/>
  <c r="M1363" i="37"/>
  <c r="L1363" i="37" s="1"/>
  <c r="Q1363" i="37"/>
  <c r="U1363" i="37"/>
  <c r="AB1363" i="37"/>
  <c r="AE1363" i="37"/>
  <c r="AF1363" i="37"/>
  <c r="AG1363" i="37" s="1"/>
  <c r="D1370" i="37"/>
  <c r="AD1370" i="37" s="1"/>
  <c r="M1370" i="37"/>
  <c r="L1370" i="37" s="1"/>
  <c r="Q1370" i="37"/>
  <c r="U1370" i="37"/>
  <c r="AB1370" i="37"/>
  <c r="AE1370" i="37"/>
  <c r="AF1370" i="37"/>
  <c r="AG1370" i="37" s="1"/>
  <c r="D1373" i="37"/>
  <c r="AD1373" i="37" s="1"/>
  <c r="M1373" i="37"/>
  <c r="L1373" i="37" s="1"/>
  <c r="Q1373" i="37"/>
  <c r="R1373" i="37" s="1"/>
  <c r="U1373" i="37"/>
  <c r="AB1373" i="37"/>
  <c r="AE1373" i="37"/>
  <c r="AF1373" i="37"/>
  <c r="AG1373" i="37" s="1"/>
  <c r="D1377" i="37"/>
  <c r="AD1377" i="37" s="1"/>
  <c r="Q1377" i="37"/>
  <c r="AB1377" i="37"/>
  <c r="AE1377" i="37"/>
  <c r="D1382" i="37"/>
  <c r="AD1382" i="37" s="1"/>
  <c r="M1382" i="37"/>
  <c r="L1382" i="37" s="1"/>
  <c r="Q1382" i="37"/>
  <c r="R1382" i="37" s="1"/>
  <c r="U1382" i="37"/>
  <c r="AB1382" i="37"/>
  <c r="AE1382" i="37"/>
  <c r="AF1382" i="37"/>
  <c r="AG1382" i="37" s="1"/>
  <c r="D1404" i="37"/>
  <c r="AD1404" i="37" s="1"/>
  <c r="M1404" i="37"/>
  <c r="L1404" i="37" s="1"/>
  <c r="Q1404" i="37"/>
  <c r="R1404" i="37" s="1"/>
  <c r="U1404" i="37"/>
  <c r="AB1404" i="37"/>
  <c r="AE1404" i="37"/>
  <c r="AF1404" i="37"/>
  <c r="AG1404" i="37" s="1"/>
  <c r="D1414" i="37"/>
  <c r="AD1414" i="37" s="1"/>
  <c r="M1414" i="37"/>
  <c r="L1414" i="37" s="1"/>
  <c r="Q1414" i="37"/>
  <c r="R1414" i="37" s="1"/>
  <c r="U1414" i="37"/>
  <c r="AB1414" i="37"/>
  <c r="AE1414" i="37"/>
  <c r="AF1414" i="37"/>
  <c r="AG1414" i="37" s="1"/>
  <c r="D1423" i="37"/>
  <c r="AD1423" i="37" s="1"/>
  <c r="M1423" i="37"/>
  <c r="L1423" i="37" s="1"/>
  <c r="Q1423" i="37"/>
  <c r="U1423" i="37"/>
  <c r="AB1423" i="37"/>
  <c r="AE1423" i="37"/>
  <c r="AF1423" i="37"/>
  <c r="AG1423" i="37" s="1"/>
  <c r="D1433" i="37"/>
  <c r="AD1433" i="37" s="1"/>
  <c r="M1433" i="37"/>
  <c r="L1433" i="37" s="1"/>
  <c r="Q1433" i="37"/>
  <c r="R1433" i="37" s="1"/>
  <c r="U1433" i="37"/>
  <c r="AB1433" i="37"/>
  <c r="AE1433" i="37"/>
  <c r="AF1433" i="37"/>
  <c r="AG1433" i="37" s="1"/>
  <c r="D1442" i="37"/>
  <c r="AD1442" i="37" s="1"/>
  <c r="M1442" i="37"/>
  <c r="L1442" i="37" s="1"/>
  <c r="Q1442" i="37"/>
  <c r="U1442" i="37"/>
  <c r="AB1442" i="37"/>
  <c r="AE1442" i="37"/>
  <c r="AF1442" i="37"/>
  <c r="AG1442" i="37" s="1"/>
  <c r="D1447" i="37"/>
  <c r="AD1447" i="37" s="1"/>
  <c r="M1447" i="37"/>
  <c r="L1447" i="37" s="1"/>
  <c r="Q1447" i="37"/>
  <c r="R1447" i="37" s="1"/>
  <c r="U1447" i="37"/>
  <c r="AB1447" i="37"/>
  <c r="AE1447" i="37"/>
  <c r="AF1447" i="37"/>
  <c r="AG1447" i="37" s="1"/>
  <c r="D1448" i="37"/>
  <c r="AD1448" i="37" s="1"/>
  <c r="M1448" i="37"/>
  <c r="L1448" i="37" s="1"/>
  <c r="Q1448" i="37"/>
  <c r="R1448" i="37" s="1"/>
  <c r="U1448" i="37"/>
  <c r="AB1448" i="37"/>
  <c r="AE1448" i="37"/>
  <c r="AF1448" i="37"/>
  <c r="AG1448" i="37" s="1"/>
  <c r="D1449" i="37"/>
  <c r="AD1449" i="37" s="1"/>
  <c r="M1449" i="37"/>
  <c r="L1449" i="37" s="1"/>
  <c r="Q1449" i="37"/>
  <c r="X1449" i="37" s="1"/>
  <c r="Y1449" i="37" s="1"/>
  <c r="U1449" i="37"/>
  <c r="AB1449" i="37"/>
  <c r="AE1449" i="37"/>
  <c r="AF1449" i="37"/>
  <c r="AG1449" i="37" s="1"/>
  <c r="D1450" i="37"/>
  <c r="AD1450" i="37" s="1"/>
  <c r="M1450" i="37"/>
  <c r="L1450" i="37" s="1"/>
  <c r="Q1450" i="37"/>
  <c r="R1450" i="37" s="1"/>
  <c r="U1450" i="37"/>
  <c r="AB1450" i="37"/>
  <c r="AE1450" i="37"/>
  <c r="AF1450" i="37"/>
  <c r="AG1450" i="37" s="1"/>
  <c r="D1451" i="37"/>
  <c r="AD1451" i="37" s="1"/>
  <c r="M1451" i="37"/>
  <c r="L1451" i="37" s="1"/>
  <c r="Q1451" i="37"/>
  <c r="R1451" i="37" s="1"/>
  <c r="U1451" i="37"/>
  <c r="AB1451" i="37"/>
  <c r="AE1451" i="37"/>
  <c r="AF1451" i="37"/>
  <c r="AG1451" i="37" s="1"/>
  <c r="D1452" i="37"/>
  <c r="AD1452" i="37" s="1"/>
  <c r="M1452" i="37"/>
  <c r="L1452" i="37" s="1"/>
  <c r="Q1452" i="37"/>
  <c r="X1452" i="37" s="1"/>
  <c r="Y1452" i="37" s="1"/>
  <c r="U1452" i="37"/>
  <c r="AB1452" i="37"/>
  <c r="AE1452" i="37"/>
  <c r="AF1452" i="37"/>
  <c r="AG1452" i="37" s="1"/>
  <c r="D1453" i="37"/>
  <c r="AD1453" i="37" s="1"/>
  <c r="M1453" i="37"/>
  <c r="L1453" i="37" s="1"/>
  <c r="Q1453" i="37"/>
  <c r="R1453" i="37" s="1"/>
  <c r="U1453" i="37"/>
  <c r="AB1453" i="37"/>
  <c r="AE1453" i="37"/>
  <c r="AF1453" i="37"/>
  <c r="AG1453" i="37" s="1"/>
  <c r="D1454" i="37"/>
  <c r="AD1454" i="37" s="1"/>
  <c r="M1454" i="37"/>
  <c r="L1454" i="37" s="1"/>
  <c r="Q1454" i="37"/>
  <c r="U1454" i="37"/>
  <c r="AB1454" i="37"/>
  <c r="AE1454" i="37"/>
  <c r="AF1454" i="37"/>
  <c r="AG1454" i="37" s="1"/>
  <c r="D1455" i="37"/>
  <c r="AD1455" i="37" s="1"/>
  <c r="M1455" i="37"/>
  <c r="L1455" i="37" s="1"/>
  <c r="Q1455" i="37"/>
  <c r="R1455" i="37" s="1"/>
  <c r="U1455" i="37"/>
  <c r="AB1455" i="37"/>
  <c r="AE1455" i="37"/>
  <c r="AF1455" i="37"/>
  <c r="AG1455" i="37" s="1"/>
  <c r="D1456" i="37"/>
  <c r="AD1456" i="37" s="1"/>
  <c r="M1456" i="37"/>
  <c r="L1456" i="37" s="1"/>
  <c r="Q1456" i="37"/>
  <c r="R1456" i="37" s="1"/>
  <c r="U1456" i="37"/>
  <c r="AB1456" i="37"/>
  <c r="AE1456" i="37"/>
  <c r="AF1456" i="37"/>
  <c r="AG1456" i="37" s="1"/>
  <c r="D1457" i="37"/>
  <c r="AD1457" i="37" s="1"/>
  <c r="M1457" i="37"/>
  <c r="L1457" i="37" s="1"/>
  <c r="Q1457" i="37"/>
  <c r="R1457" i="37" s="1"/>
  <c r="U1457" i="37"/>
  <c r="AB1457" i="37"/>
  <c r="AE1457" i="37"/>
  <c r="AF1457" i="37"/>
  <c r="AG1457" i="37" s="1"/>
  <c r="D1458" i="37"/>
  <c r="AD1458" i="37" s="1"/>
  <c r="M1458" i="37"/>
  <c r="L1458" i="37" s="1"/>
  <c r="Q1458" i="37"/>
  <c r="U1458" i="37"/>
  <c r="AB1458" i="37"/>
  <c r="AE1458" i="37"/>
  <c r="AF1458" i="37"/>
  <c r="AG1458" i="37" s="1"/>
  <c r="D1459" i="37"/>
  <c r="AD1459" i="37" s="1"/>
  <c r="M1459" i="37"/>
  <c r="L1459" i="37" s="1"/>
  <c r="Q1459" i="37"/>
  <c r="R1459" i="37" s="1"/>
  <c r="U1459" i="37"/>
  <c r="AB1459" i="37"/>
  <c r="AE1459" i="37"/>
  <c r="AF1459" i="37"/>
  <c r="AG1459" i="37" s="1"/>
  <c r="D1473" i="37"/>
  <c r="AD1473" i="37" s="1"/>
  <c r="M1473" i="37"/>
  <c r="L1473" i="37" s="1"/>
  <c r="Q1473" i="37"/>
  <c r="R1473" i="37" s="1"/>
  <c r="U1473" i="37"/>
  <c r="AB1473" i="37"/>
  <c r="AE1473" i="37"/>
  <c r="AF1473" i="37"/>
  <c r="AG1473" i="37" s="1"/>
  <c r="D1474" i="37"/>
  <c r="AD1474" i="37" s="1"/>
  <c r="M1474" i="37"/>
  <c r="L1474" i="37" s="1"/>
  <c r="Q1474" i="37"/>
  <c r="U1474" i="37"/>
  <c r="AB1474" i="37"/>
  <c r="AE1474" i="37"/>
  <c r="AF1474" i="37"/>
  <c r="AG1474" i="37" s="1"/>
  <c r="D1475" i="37"/>
  <c r="AD1475" i="37" s="1"/>
  <c r="M1475" i="37"/>
  <c r="L1475" i="37" s="1"/>
  <c r="Q1475" i="37"/>
  <c r="U1475" i="37"/>
  <c r="AB1475" i="37"/>
  <c r="AE1475" i="37"/>
  <c r="AF1475" i="37"/>
  <c r="AG1475" i="37" s="1"/>
  <c r="D1476" i="37"/>
  <c r="AD1476" i="37" s="1"/>
  <c r="M1476" i="37"/>
  <c r="L1476" i="37" s="1"/>
  <c r="Q1476" i="37"/>
  <c r="U1476" i="37"/>
  <c r="AB1476" i="37"/>
  <c r="AE1476" i="37"/>
  <c r="AF1476" i="37"/>
  <c r="AG1476" i="37" s="1"/>
  <c r="D1481" i="37"/>
  <c r="AD1481" i="37" s="1"/>
  <c r="M1481" i="37"/>
  <c r="L1481" i="37" s="1"/>
  <c r="Q1481" i="37"/>
  <c r="R1481" i="37" s="1"/>
  <c r="U1481" i="37"/>
  <c r="AB1481" i="37"/>
  <c r="AE1481" i="37"/>
  <c r="AF1481" i="37"/>
  <c r="AG1481" i="37" s="1"/>
  <c r="D1482" i="37"/>
  <c r="AD1482" i="37" s="1"/>
  <c r="M1482" i="37"/>
  <c r="L1482" i="37" s="1"/>
  <c r="Q1482" i="37"/>
  <c r="X1482" i="37" s="1"/>
  <c r="Y1482" i="37" s="1"/>
  <c r="U1482" i="37"/>
  <c r="AB1482" i="37"/>
  <c r="AE1482" i="37"/>
  <c r="AF1482" i="37"/>
  <c r="AG1482" i="37" s="1"/>
  <c r="D1486" i="37"/>
  <c r="AD1486" i="37" s="1"/>
  <c r="M1486" i="37"/>
  <c r="L1486" i="37" s="1"/>
  <c r="Q1486" i="37"/>
  <c r="R1486" i="37" s="1"/>
  <c r="U1486" i="37"/>
  <c r="AB1486" i="37"/>
  <c r="AE1486" i="37"/>
  <c r="AF1486" i="37"/>
  <c r="AG1486" i="37" s="1"/>
  <c r="D1489" i="37"/>
  <c r="AD1489" i="37" s="1"/>
  <c r="M1489" i="37"/>
  <c r="L1489" i="37" s="1"/>
  <c r="Q1489" i="37"/>
  <c r="R1489" i="37" s="1"/>
  <c r="U1489" i="37"/>
  <c r="AB1489" i="37"/>
  <c r="AE1489" i="37"/>
  <c r="AF1489" i="37"/>
  <c r="AG1489" i="37" s="1"/>
  <c r="D1498" i="37"/>
  <c r="AD1498" i="37" s="1"/>
  <c r="M1498" i="37"/>
  <c r="L1498" i="37" s="1"/>
  <c r="Q1498" i="37"/>
  <c r="R1498" i="37" s="1"/>
  <c r="U1498" i="37"/>
  <c r="AB1498" i="37"/>
  <c r="G3" i="38" s="1"/>
  <c r="M3" i="38" s="1"/>
  <c r="AE1498" i="37"/>
  <c r="AF1498" i="37"/>
  <c r="AG1498" i="37" s="1"/>
  <c r="D1514" i="37"/>
  <c r="AD1514" i="37" s="1"/>
  <c r="M1514" i="37"/>
  <c r="L1514" i="37" s="1"/>
  <c r="Q1514" i="37"/>
  <c r="R1514" i="37" s="1"/>
  <c r="U1514" i="37"/>
  <c r="AB1514" i="37"/>
  <c r="AE1514" i="37"/>
  <c r="AF1514" i="37"/>
  <c r="AG1514" i="37" s="1"/>
  <c r="D1516" i="37"/>
  <c r="AD1516" i="37" s="1"/>
  <c r="M1516" i="37"/>
  <c r="L1516" i="37" s="1"/>
  <c r="Q1516" i="37"/>
  <c r="U1516" i="37"/>
  <c r="AB1516" i="37"/>
  <c r="AE1516" i="37"/>
  <c r="AF1516" i="37"/>
  <c r="AG1516" i="37" s="1"/>
  <c r="D1518" i="37"/>
  <c r="AD1518" i="37" s="1"/>
  <c r="M1518" i="37"/>
  <c r="L1518" i="37" s="1"/>
  <c r="Q1518" i="37"/>
  <c r="X1518" i="37" s="1"/>
  <c r="Y1518" i="37" s="1"/>
  <c r="U1518" i="37"/>
  <c r="AB1518" i="37"/>
  <c r="AE1518" i="37"/>
  <c r="AF1518" i="37"/>
  <c r="AG1518" i="37" s="1"/>
  <c r="D1519" i="37"/>
  <c r="AD1519" i="37" s="1"/>
  <c r="M1519" i="37"/>
  <c r="L1519" i="37" s="1"/>
  <c r="Q1519" i="37"/>
  <c r="R1519" i="37" s="1"/>
  <c r="U1519" i="37"/>
  <c r="AB1519" i="37"/>
  <c r="AE1519" i="37"/>
  <c r="AF1519" i="37"/>
  <c r="AG1519" i="37" s="1"/>
  <c r="D1557" i="37"/>
  <c r="AD1557" i="37" s="1"/>
  <c r="M1557" i="37"/>
  <c r="L1557" i="37" s="1"/>
  <c r="Q1557" i="37"/>
  <c r="R1557" i="37" s="1"/>
  <c r="U1557" i="37"/>
  <c r="AB1557" i="37"/>
  <c r="AE1557" i="37"/>
  <c r="AF1557" i="37"/>
  <c r="AG1557" i="37" s="1"/>
  <c r="D1558" i="37"/>
  <c r="AD1558" i="37" s="1"/>
  <c r="M1558" i="37"/>
  <c r="L1558" i="37" s="1"/>
  <c r="Q1558" i="37"/>
  <c r="R1558" i="37" s="1"/>
  <c r="U1558" i="37"/>
  <c r="AB1558" i="37"/>
  <c r="AE1558" i="37"/>
  <c r="AF1558" i="37"/>
  <c r="AG1558" i="37" s="1"/>
  <c r="D1559" i="37"/>
  <c r="AD1559" i="37" s="1"/>
  <c r="M1559" i="37"/>
  <c r="L1559" i="37" s="1"/>
  <c r="Q1559" i="37"/>
  <c r="X1559" i="37" s="1"/>
  <c r="Y1559" i="37" s="1"/>
  <c r="U1559" i="37"/>
  <c r="AB1559" i="37"/>
  <c r="AE1559" i="37"/>
  <c r="AF1559" i="37"/>
  <c r="AG1559" i="37" s="1"/>
  <c r="D1560" i="37"/>
  <c r="AD1560" i="37" s="1"/>
  <c r="M1560" i="37"/>
  <c r="L1560" i="37" s="1"/>
  <c r="Q1560" i="37"/>
  <c r="U1560" i="37"/>
  <c r="AB1560" i="37"/>
  <c r="AE1560" i="37"/>
  <c r="AF1560" i="37"/>
  <c r="AG1560" i="37" s="1"/>
  <c r="D1569" i="37"/>
  <c r="AD1569" i="37" s="1"/>
  <c r="M1569" i="37"/>
  <c r="L1569" i="37" s="1"/>
  <c r="Q1569" i="37"/>
  <c r="R1569" i="37" s="1"/>
  <c r="U1569" i="37"/>
  <c r="AB1569" i="37"/>
  <c r="AE1569" i="37"/>
  <c r="AF1569" i="37"/>
  <c r="AG1569" i="37" s="1"/>
  <c r="D1570" i="37"/>
  <c r="AD1570" i="37" s="1"/>
  <c r="M1570" i="37"/>
  <c r="L1570" i="37" s="1"/>
  <c r="Q1570" i="37"/>
  <c r="X1570" i="37" s="1"/>
  <c r="Y1570" i="37" s="1"/>
  <c r="U1570" i="37"/>
  <c r="AB1570" i="37"/>
  <c r="AE1570" i="37"/>
  <c r="AF1570" i="37"/>
  <c r="AG1570" i="37" s="1"/>
  <c r="D1572" i="37"/>
  <c r="AD1572" i="37" s="1"/>
  <c r="M1572" i="37"/>
  <c r="L1572" i="37" s="1"/>
  <c r="Q1572" i="37"/>
  <c r="R1572" i="37" s="1"/>
  <c r="U1572" i="37"/>
  <c r="AB1572" i="37"/>
  <c r="AE1572" i="37"/>
  <c r="AF1572" i="37"/>
  <c r="AG1572" i="37" s="1"/>
  <c r="D1573" i="37"/>
  <c r="AD1573" i="37" s="1"/>
  <c r="M1573" i="37"/>
  <c r="L1573" i="37" s="1"/>
  <c r="Q1573" i="37"/>
  <c r="U1573" i="37"/>
  <c r="AB1573" i="37"/>
  <c r="AE1573" i="37"/>
  <c r="AF1573" i="37"/>
  <c r="AG1573" i="37" s="1"/>
  <c r="D1574" i="37"/>
  <c r="AD1574" i="37" s="1"/>
  <c r="M1574" i="37"/>
  <c r="L1574" i="37" s="1"/>
  <c r="Q1574" i="37"/>
  <c r="X1574" i="37" s="1"/>
  <c r="Y1574" i="37" s="1"/>
  <c r="U1574" i="37"/>
  <c r="AB1574" i="37"/>
  <c r="AE1574" i="37"/>
  <c r="AF1574" i="37"/>
  <c r="AG1574" i="37" s="1"/>
  <c r="D1575" i="37"/>
  <c r="AD1575" i="37" s="1"/>
  <c r="M1575" i="37"/>
  <c r="L1575" i="37" s="1"/>
  <c r="Q1575" i="37"/>
  <c r="U1575" i="37"/>
  <c r="AB1575" i="37"/>
  <c r="AE1575" i="37"/>
  <c r="AF1575" i="37"/>
  <c r="AG1575" i="37" s="1"/>
  <c r="D1576" i="37"/>
  <c r="AD1576" i="37" s="1"/>
  <c r="M1576" i="37"/>
  <c r="L1576" i="37" s="1"/>
  <c r="Q1576" i="37"/>
  <c r="X1576" i="37" s="1"/>
  <c r="Y1576" i="37" s="1"/>
  <c r="U1576" i="37"/>
  <c r="AB1576" i="37"/>
  <c r="AE1576" i="37"/>
  <c r="AF1576" i="37"/>
  <c r="AG1576" i="37" s="1"/>
  <c r="D1577" i="37"/>
  <c r="AD1577" i="37" s="1"/>
  <c r="M1577" i="37"/>
  <c r="L1577" i="37" s="1"/>
  <c r="Q1577" i="37"/>
  <c r="R1577" i="37" s="1"/>
  <c r="U1577" i="37"/>
  <c r="AB1577" i="37"/>
  <c r="AE1577" i="37"/>
  <c r="AF1577" i="37"/>
  <c r="AG1577" i="37" s="1"/>
  <c r="D1578" i="37"/>
  <c r="AD1578" i="37" s="1"/>
  <c r="M1578" i="37"/>
  <c r="L1578" i="37" s="1"/>
  <c r="Q1578" i="37"/>
  <c r="X1578" i="37" s="1"/>
  <c r="Y1578" i="37" s="1"/>
  <c r="U1578" i="37"/>
  <c r="AB1578" i="37"/>
  <c r="AE1578" i="37"/>
  <c r="AF1578" i="37"/>
  <c r="AG1578" i="37" s="1"/>
  <c r="D1579" i="37"/>
  <c r="AD1579" i="37" s="1"/>
  <c r="M1579" i="37"/>
  <c r="L1579" i="37" s="1"/>
  <c r="Q1579" i="37"/>
  <c r="R1579" i="37" s="1"/>
  <c r="U1579" i="37"/>
  <c r="AB1579" i="37"/>
  <c r="AE1579" i="37"/>
  <c r="AF1579" i="37"/>
  <c r="AG1579" i="37" s="1"/>
  <c r="D1580" i="37"/>
  <c r="AD1580" i="37" s="1"/>
  <c r="M1580" i="37"/>
  <c r="L1580" i="37" s="1"/>
  <c r="Q1580" i="37"/>
  <c r="R1580" i="37" s="1"/>
  <c r="U1580" i="37"/>
  <c r="AB1580" i="37"/>
  <c r="AE1580" i="37"/>
  <c r="AF1580" i="37"/>
  <c r="AG1580" i="37" s="1"/>
  <c r="D1581" i="37"/>
  <c r="AD1581" i="37" s="1"/>
  <c r="M1581" i="37"/>
  <c r="L1581" i="37" s="1"/>
  <c r="Q1581" i="37"/>
  <c r="U1581" i="37"/>
  <c r="AB1581" i="37"/>
  <c r="AE1581" i="37"/>
  <c r="AF1581" i="37"/>
  <c r="AG1581" i="37" s="1"/>
  <c r="D1582" i="37"/>
  <c r="AD1582" i="37" s="1"/>
  <c r="M1582" i="37"/>
  <c r="L1582" i="37" s="1"/>
  <c r="Q1582" i="37"/>
  <c r="R1582" i="37" s="1"/>
  <c r="U1582" i="37"/>
  <c r="AB1582" i="37"/>
  <c r="AE1582" i="37"/>
  <c r="AF1582" i="37"/>
  <c r="AG1582" i="37" s="1"/>
  <c r="D1583" i="37"/>
  <c r="AD1583" i="37" s="1"/>
  <c r="M1583" i="37"/>
  <c r="L1583" i="37" s="1"/>
  <c r="Q1583" i="37"/>
  <c r="U1583" i="37"/>
  <c r="AB1583" i="37"/>
  <c r="AE1583" i="37"/>
  <c r="AF1583" i="37"/>
  <c r="AG1583" i="37" s="1"/>
  <c r="D1584" i="37"/>
  <c r="AD1584" i="37" s="1"/>
  <c r="M1584" i="37"/>
  <c r="L1584" i="37" s="1"/>
  <c r="Q1584" i="37"/>
  <c r="X1584" i="37" s="1"/>
  <c r="Y1584" i="37" s="1"/>
  <c r="U1584" i="37"/>
  <c r="AB1584" i="37"/>
  <c r="AE1584" i="37"/>
  <c r="AF1584" i="37"/>
  <c r="AG1584" i="37" s="1"/>
  <c r="D1585" i="37"/>
  <c r="AD1585" i="37" s="1"/>
  <c r="M1585" i="37"/>
  <c r="L1585" i="37" s="1"/>
  <c r="Q1585" i="37"/>
  <c r="U1585" i="37"/>
  <c r="AB1585" i="37"/>
  <c r="AE1585" i="37"/>
  <c r="AF1585" i="37"/>
  <c r="AG1585" i="37" s="1"/>
  <c r="D1586" i="37"/>
  <c r="AD1586" i="37" s="1"/>
  <c r="M1586" i="37"/>
  <c r="L1586" i="37" s="1"/>
  <c r="Q1586" i="37"/>
  <c r="X1586" i="37" s="1"/>
  <c r="Y1586" i="37" s="1"/>
  <c r="U1586" i="37"/>
  <c r="AB1586" i="37"/>
  <c r="AE1586" i="37"/>
  <c r="AF1586" i="37"/>
  <c r="AG1586" i="37" s="1"/>
  <c r="D1587" i="37"/>
  <c r="AD1587" i="37" s="1"/>
  <c r="M1587" i="37"/>
  <c r="L1587" i="37" s="1"/>
  <c r="Q1587" i="37"/>
  <c r="X1587" i="37" s="1"/>
  <c r="Y1587" i="37" s="1"/>
  <c r="U1587" i="37"/>
  <c r="AB1587" i="37"/>
  <c r="AE1587" i="37"/>
  <c r="AF1587" i="37"/>
  <c r="AG1587" i="37" s="1"/>
  <c r="D1588" i="37"/>
  <c r="AD1588" i="37" s="1"/>
  <c r="M1588" i="37"/>
  <c r="L1588" i="37" s="1"/>
  <c r="Q1588" i="37"/>
  <c r="R1588" i="37" s="1"/>
  <c r="U1588" i="37"/>
  <c r="AB1588" i="37"/>
  <c r="AE1588" i="37"/>
  <c r="AF1588" i="37"/>
  <c r="AG1588" i="37" s="1"/>
  <c r="D1589" i="37"/>
  <c r="AD1589" i="37" s="1"/>
  <c r="M1589" i="37"/>
  <c r="L1589" i="37" s="1"/>
  <c r="Q1589" i="37"/>
  <c r="U1589" i="37"/>
  <c r="AB1589" i="37"/>
  <c r="AE1589" i="37"/>
  <c r="AF1589" i="37"/>
  <c r="AG1589" i="37" s="1"/>
  <c r="D1590" i="37"/>
  <c r="AD1590" i="37" s="1"/>
  <c r="M1590" i="37"/>
  <c r="L1590" i="37" s="1"/>
  <c r="Q1590" i="37"/>
  <c r="X1590" i="37" s="1"/>
  <c r="Y1590" i="37" s="1"/>
  <c r="U1590" i="37"/>
  <c r="AB1590" i="37"/>
  <c r="AE1590" i="37"/>
  <c r="AF1590" i="37"/>
  <c r="AG1590" i="37" s="1"/>
  <c r="D1591" i="37"/>
  <c r="AD1591" i="37" s="1"/>
  <c r="M1591" i="37"/>
  <c r="L1591" i="37" s="1"/>
  <c r="Q1591" i="37"/>
  <c r="U1591" i="37"/>
  <c r="AB1591" i="37"/>
  <c r="AE1591" i="37"/>
  <c r="AF1591" i="37"/>
  <c r="AG1591" i="37" s="1"/>
  <c r="D1592" i="37"/>
  <c r="AD1592" i="37" s="1"/>
  <c r="M1592" i="37"/>
  <c r="L1592" i="37" s="1"/>
  <c r="Q1592" i="37"/>
  <c r="X1592" i="37" s="1"/>
  <c r="Y1592" i="37" s="1"/>
  <c r="U1592" i="37"/>
  <c r="AB1592" i="37"/>
  <c r="AE1592" i="37"/>
  <c r="AF1592" i="37"/>
  <c r="AG1592" i="37" s="1"/>
  <c r="D1593" i="37"/>
  <c r="AD1593" i="37" s="1"/>
  <c r="M1593" i="37"/>
  <c r="L1593" i="37" s="1"/>
  <c r="Q1593" i="37"/>
  <c r="R1593" i="37" s="1"/>
  <c r="U1593" i="37"/>
  <c r="AB1593" i="37"/>
  <c r="AE1593" i="37"/>
  <c r="AF1593" i="37"/>
  <c r="AG1593" i="37" s="1"/>
  <c r="D1594" i="37"/>
  <c r="AD1594" i="37" s="1"/>
  <c r="M1594" i="37"/>
  <c r="L1594" i="37" s="1"/>
  <c r="Q1594" i="37"/>
  <c r="X1594" i="37" s="1"/>
  <c r="Y1594" i="37" s="1"/>
  <c r="U1594" i="37"/>
  <c r="AB1594" i="37"/>
  <c r="AE1594" i="37"/>
  <c r="AF1594" i="37"/>
  <c r="AG1594" i="37" s="1"/>
  <c r="D1595" i="37"/>
  <c r="AD1595" i="37" s="1"/>
  <c r="M1595" i="37"/>
  <c r="L1595" i="37" s="1"/>
  <c r="Q1595" i="37"/>
  <c r="R1595" i="37" s="1"/>
  <c r="U1595" i="37"/>
  <c r="AB1595" i="37"/>
  <c r="AE1595" i="37"/>
  <c r="AF1595" i="37"/>
  <c r="AG1595" i="37" s="1"/>
  <c r="D1596" i="37"/>
  <c r="AD1596" i="37" s="1"/>
  <c r="M1596" i="37"/>
  <c r="L1596" i="37" s="1"/>
  <c r="Q1596" i="37"/>
  <c r="R1596" i="37" s="1"/>
  <c r="U1596" i="37"/>
  <c r="AB1596" i="37"/>
  <c r="AE1596" i="37"/>
  <c r="AF1596" i="37"/>
  <c r="AG1596" i="37" s="1"/>
  <c r="D1597" i="37"/>
  <c r="AD1597" i="37" s="1"/>
  <c r="M1597" i="37"/>
  <c r="L1597" i="37" s="1"/>
  <c r="Q1597" i="37"/>
  <c r="U1597" i="37"/>
  <c r="AB1597" i="37"/>
  <c r="AE1597" i="37"/>
  <c r="AF1597" i="37"/>
  <c r="AG1597" i="37" s="1"/>
  <c r="D1598" i="37"/>
  <c r="AD1598" i="37" s="1"/>
  <c r="M1598" i="37"/>
  <c r="L1598" i="37" s="1"/>
  <c r="Q1598" i="37"/>
  <c r="R1598" i="37" s="1"/>
  <c r="U1598" i="37"/>
  <c r="AB1598" i="37"/>
  <c r="AE1598" i="37"/>
  <c r="AF1598" i="37"/>
  <c r="AG1598" i="37" s="1"/>
  <c r="D1599" i="37"/>
  <c r="AD1599" i="37" s="1"/>
  <c r="M1599" i="37"/>
  <c r="L1599" i="37" s="1"/>
  <c r="Q1599" i="37"/>
  <c r="U1599" i="37"/>
  <c r="AB1599" i="37"/>
  <c r="AE1599" i="37"/>
  <c r="AF1599" i="37"/>
  <c r="AG1599" i="37" s="1"/>
  <c r="D1600" i="37"/>
  <c r="AD1600" i="37" s="1"/>
  <c r="M1600" i="37"/>
  <c r="L1600" i="37" s="1"/>
  <c r="Q1600" i="37"/>
  <c r="X1600" i="37" s="1"/>
  <c r="Y1600" i="37" s="1"/>
  <c r="U1600" i="37"/>
  <c r="AB1600" i="37"/>
  <c r="AE1600" i="37"/>
  <c r="AF1600" i="37"/>
  <c r="AG1600" i="37" s="1"/>
  <c r="D1601" i="37"/>
  <c r="AD1601" i="37" s="1"/>
  <c r="M1601" i="37"/>
  <c r="L1601" i="37" s="1"/>
  <c r="Q1601" i="37"/>
  <c r="R1601" i="37" s="1"/>
  <c r="U1601" i="37"/>
  <c r="AB1601" i="37"/>
  <c r="AE1601" i="37"/>
  <c r="AF1601" i="37"/>
  <c r="AG1601" i="37" s="1"/>
  <c r="D1602" i="37"/>
  <c r="AD1602" i="37" s="1"/>
  <c r="M1602" i="37"/>
  <c r="L1602" i="37" s="1"/>
  <c r="Q1602" i="37"/>
  <c r="X1602" i="37" s="1"/>
  <c r="Y1602" i="37" s="1"/>
  <c r="U1602" i="37"/>
  <c r="AB1602" i="37"/>
  <c r="AE1602" i="37"/>
  <c r="AF1602" i="37"/>
  <c r="AG1602" i="37" s="1"/>
  <c r="D1603" i="37"/>
  <c r="AD1603" i="37" s="1"/>
  <c r="M1603" i="37"/>
  <c r="L1603" i="37" s="1"/>
  <c r="Q1603" i="37"/>
  <c r="X1603" i="37" s="1"/>
  <c r="Y1603" i="37" s="1"/>
  <c r="U1603" i="37"/>
  <c r="AB1603" i="37"/>
  <c r="AE1603" i="37"/>
  <c r="AF1603" i="37"/>
  <c r="AG1603" i="37" s="1"/>
  <c r="D1604" i="37"/>
  <c r="AD1604" i="37" s="1"/>
  <c r="M1604" i="37"/>
  <c r="L1604" i="37" s="1"/>
  <c r="Q1604" i="37"/>
  <c r="R1604" i="37" s="1"/>
  <c r="U1604" i="37"/>
  <c r="AB1604" i="37"/>
  <c r="AE1604" i="37"/>
  <c r="AF1604" i="37"/>
  <c r="AG1604" i="37" s="1"/>
  <c r="D1605" i="37"/>
  <c r="AD1605" i="37" s="1"/>
  <c r="M1605" i="37"/>
  <c r="L1605" i="37" s="1"/>
  <c r="Q1605" i="37"/>
  <c r="U1605" i="37"/>
  <c r="AB1605" i="37"/>
  <c r="AE1605" i="37"/>
  <c r="AF1605" i="37"/>
  <c r="AG1605" i="37" s="1"/>
  <c r="D1606" i="37"/>
  <c r="AD1606" i="37" s="1"/>
  <c r="M1606" i="37"/>
  <c r="L1606" i="37" s="1"/>
  <c r="Q1606" i="37"/>
  <c r="R1606" i="37" s="1"/>
  <c r="U1606" i="37"/>
  <c r="AB1606" i="37"/>
  <c r="AE1606" i="37"/>
  <c r="AF1606" i="37"/>
  <c r="AG1606" i="37" s="1"/>
  <c r="D1607" i="37"/>
  <c r="AD1607" i="37" s="1"/>
  <c r="M1607" i="37"/>
  <c r="L1607" i="37" s="1"/>
  <c r="Q1607" i="37"/>
  <c r="U1607" i="37"/>
  <c r="AB1607" i="37"/>
  <c r="AE1607" i="37"/>
  <c r="AF1607" i="37"/>
  <c r="AG1607" i="37" s="1"/>
  <c r="D1608" i="37"/>
  <c r="AD1608" i="37" s="1"/>
  <c r="M1608" i="37"/>
  <c r="L1608" i="37" s="1"/>
  <c r="Q1608" i="37"/>
  <c r="X1608" i="37" s="1"/>
  <c r="Y1608" i="37" s="1"/>
  <c r="U1608" i="37"/>
  <c r="AB1608" i="37"/>
  <c r="AE1608" i="37"/>
  <c r="AF1608" i="37"/>
  <c r="AG1608" i="37" s="1"/>
  <c r="D1609" i="37"/>
  <c r="AD1609" i="37" s="1"/>
  <c r="M1609" i="37"/>
  <c r="L1609" i="37" s="1"/>
  <c r="Q1609" i="37"/>
  <c r="U1609" i="37"/>
  <c r="AB1609" i="37"/>
  <c r="AE1609" i="37"/>
  <c r="AF1609" i="37"/>
  <c r="AG1609" i="37" s="1"/>
  <c r="D1610" i="37"/>
  <c r="AD1610" i="37" s="1"/>
  <c r="M1610" i="37"/>
  <c r="L1610" i="37" s="1"/>
  <c r="Q1610" i="37"/>
  <c r="X1610" i="37" s="1"/>
  <c r="Y1610" i="37" s="1"/>
  <c r="U1610" i="37"/>
  <c r="AB1610" i="37"/>
  <c r="AE1610" i="37"/>
  <c r="AF1610" i="37"/>
  <c r="AG1610" i="37" s="1"/>
  <c r="D1611" i="37"/>
  <c r="AD1611" i="37" s="1"/>
  <c r="M1611" i="37"/>
  <c r="L1611" i="37" s="1"/>
  <c r="Q1611" i="37"/>
  <c r="X1611" i="37" s="1"/>
  <c r="Y1611" i="37" s="1"/>
  <c r="U1611" i="37"/>
  <c r="AB1611" i="37"/>
  <c r="AE1611" i="37"/>
  <c r="AF1611" i="37"/>
  <c r="AG1611" i="37" s="1"/>
  <c r="D1612" i="37"/>
  <c r="AD1612" i="37" s="1"/>
  <c r="M1612" i="37"/>
  <c r="L1612" i="37" s="1"/>
  <c r="Q1612" i="37"/>
  <c r="R1612" i="37" s="1"/>
  <c r="U1612" i="37"/>
  <c r="AB1612" i="37"/>
  <c r="AE1612" i="37"/>
  <c r="AF1612" i="37"/>
  <c r="AG1612" i="37" s="1"/>
  <c r="D1613" i="37"/>
  <c r="AD1613" i="37" s="1"/>
  <c r="M1613" i="37"/>
  <c r="L1613" i="37" s="1"/>
  <c r="Q1613" i="37"/>
  <c r="U1613" i="37"/>
  <c r="AB1613" i="37"/>
  <c r="AE1613" i="37"/>
  <c r="AF1613" i="37"/>
  <c r="AG1613" i="37" s="1"/>
  <c r="D1614" i="37"/>
  <c r="AD1614" i="37" s="1"/>
  <c r="M1614" i="37"/>
  <c r="L1614" i="37" s="1"/>
  <c r="Q1614" i="37"/>
  <c r="U1614" i="37"/>
  <c r="AB1614" i="37"/>
  <c r="AE1614" i="37"/>
  <c r="AF1614" i="37"/>
  <c r="AG1614" i="37" s="1"/>
  <c r="D1615" i="37"/>
  <c r="AD1615" i="37" s="1"/>
  <c r="M1615" i="37"/>
  <c r="L1615" i="37" s="1"/>
  <c r="Q1615" i="37"/>
  <c r="U1615" i="37"/>
  <c r="AB1615" i="37"/>
  <c r="AE1615" i="37"/>
  <c r="AF1615" i="37"/>
  <c r="AG1615" i="37" s="1"/>
  <c r="D1616" i="37"/>
  <c r="AD1616" i="37" s="1"/>
  <c r="M1616" i="37"/>
  <c r="L1616" i="37" s="1"/>
  <c r="Q1616" i="37"/>
  <c r="X1616" i="37" s="1"/>
  <c r="Y1616" i="37" s="1"/>
  <c r="U1616" i="37"/>
  <c r="AB1616" i="37"/>
  <c r="AE1616" i="37"/>
  <c r="AF1616" i="37"/>
  <c r="AG1616" i="37" s="1"/>
  <c r="D1617" i="37"/>
  <c r="AD1617" i="37" s="1"/>
  <c r="M1617" i="37"/>
  <c r="L1617" i="37" s="1"/>
  <c r="Q1617" i="37"/>
  <c r="R1617" i="37" s="1"/>
  <c r="U1617" i="37"/>
  <c r="AB1617" i="37"/>
  <c r="AE1617" i="37"/>
  <c r="AF1617" i="37"/>
  <c r="AG1617" i="37" s="1"/>
  <c r="D1618" i="37"/>
  <c r="AD1618" i="37" s="1"/>
  <c r="M1618" i="37"/>
  <c r="L1618" i="37" s="1"/>
  <c r="Q1618" i="37"/>
  <c r="X1618" i="37" s="1"/>
  <c r="Y1618" i="37" s="1"/>
  <c r="U1618" i="37"/>
  <c r="AB1618" i="37"/>
  <c r="AE1618" i="37"/>
  <c r="AF1618" i="37"/>
  <c r="AG1618" i="37" s="1"/>
  <c r="D1619" i="37"/>
  <c r="AD1619" i="37" s="1"/>
  <c r="M1619" i="37"/>
  <c r="L1619" i="37" s="1"/>
  <c r="Q1619" i="37"/>
  <c r="R1619" i="37" s="1"/>
  <c r="U1619" i="37"/>
  <c r="AB1619" i="37"/>
  <c r="AE1619" i="37"/>
  <c r="AF1619" i="37"/>
  <c r="AG1619" i="37" s="1"/>
  <c r="D1620" i="37"/>
  <c r="AD1620" i="37" s="1"/>
  <c r="M1620" i="37"/>
  <c r="L1620" i="37" s="1"/>
  <c r="Q1620" i="37"/>
  <c r="R1620" i="37" s="1"/>
  <c r="U1620" i="37"/>
  <c r="AB1620" i="37"/>
  <c r="AE1620" i="37"/>
  <c r="AF1620" i="37"/>
  <c r="AG1620" i="37" s="1"/>
  <c r="D1621" i="37"/>
  <c r="AD1621" i="37" s="1"/>
  <c r="M1621" i="37"/>
  <c r="L1621" i="37" s="1"/>
  <c r="Q1621" i="37"/>
  <c r="U1621" i="37"/>
  <c r="AB1621" i="37"/>
  <c r="AE1621" i="37"/>
  <c r="AF1621" i="37"/>
  <c r="AG1621" i="37" s="1"/>
  <c r="D1622" i="37"/>
  <c r="AD1622" i="37" s="1"/>
  <c r="M1622" i="37"/>
  <c r="L1622" i="37" s="1"/>
  <c r="Q1622" i="37"/>
  <c r="X1622" i="37" s="1"/>
  <c r="Y1622" i="37" s="1"/>
  <c r="U1622" i="37"/>
  <c r="AB1622" i="37"/>
  <c r="AE1622" i="37"/>
  <c r="AF1622" i="37"/>
  <c r="AG1622" i="37" s="1"/>
  <c r="D1623" i="37"/>
  <c r="AD1623" i="37" s="1"/>
  <c r="M1623" i="37"/>
  <c r="L1623" i="37" s="1"/>
  <c r="Q1623" i="37"/>
  <c r="U1623" i="37"/>
  <c r="AB1623" i="37"/>
  <c r="AE1623" i="37"/>
  <c r="AF1623" i="37"/>
  <c r="AG1623" i="37" s="1"/>
  <c r="D1624" i="37"/>
  <c r="AD1624" i="37" s="1"/>
  <c r="M1624" i="37"/>
  <c r="L1624" i="37" s="1"/>
  <c r="Q1624" i="37"/>
  <c r="X1624" i="37" s="1"/>
  <c r="Y1624" i="37" s="1"/>
  <c r="U1624" i="37"/>
  <c r="AB1624" i="37"/>
  <c r="AE1624" i="37"/>
  <c r="AF1624" i="37"/>
  <c r="AG1624" i="37" s="1"/>
  <c r="D1625" i="37"/>
  <c r="AD1625" i="37" s="1"/>
  <c r="M1625" i="37"/>
  <c r="L1625" i="37" s="1"/>
  <c r="Q1625" i="37"/>
  <c r="R1625" i="37" s="1"/>
  <c r="U1625" i="37"/>
  <c r="AB1625" i="37"/>
  <c r="AE1625" i="37"/>
  <c r="AF1625" i="37"/>
  <c r="AG1625" i="37" s="1"/>
  <c r="D1626" i="37"/>
  <c r="AD1626" i="37" s="1"/>
  <c r="M1626" i="37"/>
  <c r="L1626" i="37" s="1"/>
  <c r="Q1626" i="37"/>
  <c r="X1626" i="37" s="1"/>
  <c r="Y1626" i="37" s="1"/>
  <c r="U1626" i="37"/>
  <c r="AB1626" i="37"/>
  <c r="AE1626" i="37"/>
  <c r="AF1626" i="37"/>
  <c r="AG1626" i="37" s="1"/>
  <c r="D1627" i="37"/>
  <c r="AD1627" i="37" s="1"/>
  <c r="M1627" i="37"/>
  <c r="L1627" i="37" s="1"/>
  <c r="Q1627" i="37"/>
  <c r="R1627" i="37" s="1"/>
  <c r="U1627" i="37"/>
  <c r="AB1627" i="37"/>
  <c r="AE1627" i="37"/>
  <c r="AF1627" i="37"/>
  <c r="AG1627" i="37" s="1"/>
  <c r="D1628" i="37"/>
  <c r="AD1628" i="37" s="1"/>
  <c r="M1628" i="37"/>
  <c r="L1628" i="37" s="1"/>
  <c r="Q1628" i="37"/>
  <c r="R1628" i="37" s="1"/>
  <c r="U1628" i="37"/>
  <c r="AB1628" i="37"/>
  <c r="AE1628" i="37"/>
  <c r="AF1628" i="37"/>
  <c r="AG1628" i="37" s="1"/>
  <c r="D1629" i="37"/>
  <c r="AD1629" i="37" s="1"/>
  <c r="M1629" i="37"/>
  <c r="L1629" i="37" s="1"/>
  <c r="Q1629" i="37"/>
  <c r="U1629" i="37"/>
  <c r="AB1629" i="37"/>
  <c r="AE1629" i="37"/>
  <c r="AF1629" i="37"/>
  <c r="AG1629" i="37" s="1"/>
  <c r="D1630" i="37"/>
  <c r="AD1630" i="37" s="1"/>
  <c r="M1630" i="37"/>
  <c r="L1630" i="37" s="1"/>
  <c r="Q1630" i="37"/>
  <c r="R1630" i="37" s="1"/>
  <c r="U1630" i="37"/>
  <c r="AB1630" i="37"/>
  <c r="AE1630" i="37"/>
  <c r="AF1630" i="37"/>
  <c r="AG1630" i="37" s="1"/>
  <c r="D1631" i="37"/>
  <c r="AD1631" i="37" s="1"/>
  <c r="M1631" i="37"/>
  <c r="L1631" i="37" s="1"/>
  <c r="Q1631" i="37"/>
  <c r="R1631" i="37" s="1"/>
  <c r="U1631" i="37"/>
  <c r="AB1631" i="37"/>
  <c r="AE1631" i="37"/>
  <c r="AF1631" i="37"/>
  <c r="AG1631" i="37" s="1"/>
  <c r="D1632" i="37"/>
  <c r="AD1632" i="37" s="1"/>
  <c r="M1632" i="37"/>
  <c r="L1632" i="37" s="1"/>
  <c r="Q1632" i="37"/>
  <c r="U1632" i="37"/>
  <c r="AB1632" i="37"/>
  <c r="AE1632" i="37"/>
  <c r="AF1632" i="37"/>
  <c r="AG1632" i="37" s="1"/>
  <c r="D1633" i="37"/>
  <c r="AD1633" i="37" s="1"/>
  <c r="M1633" i="37"/>
  <c r="L1633" i="37" s="1"/>
  <c r="Q1633" i="37"/>
  <c r="R1633" i="37" s="1"/>
  <c r="U1633" i="37"/>
  <c r="AB1633" i="37"/>
  <c r="AE1633" i="37"/>
  <c r="AF1633" i="37"/>
  <c r="AG1633" i="37" s="1"/>
  <c r="D1634" i="37"/>
  <c r="AD1634" i="37" s="1"/>
  <c r="M1634" i="37"/>
  <c r="L1634" i="37" s="1"/>
  <c r="Q1634" i="37"/>
  <c r="U1634" i="37"/>
  <c r="AB1634" i="37"/>
  <c r="AE1634" i="37"/>
  <c r="AF1634" i="37"/>
  <c r="AG1634" i="37" s="1"/>
  <c r="D1635" i="37"/>
  <c r="AD1635" i="37" s="1"/>
  <c r="M1635" i="37"/>
  <c r="L1635" i="37" s="1"/>
  <c r="Q1635" i="37"/>
  <c r="X1635" i="37" s="1"/>
  <c r="Y1635" i="37" s="1"/>
  <c r="U1635" i="37"/>
  <c r="AB1635" i="37"/>
  <c r="AE1635" i="37"/>
  <c r="AF1635" i="37"/>
  <c r="AG1635" i="37" s="1"/>
  <c r="D1636" i="37"/>
  <c r="AD1636" i="37" s="1"/>
  <c r="M1636" i="37"/>
  <c r="L1636" i="37" s="1"/>
  <c r="Q1636" i="37"/>
  <c r="R1636" i="37" s="1"/>
  <c r="U1636" i="37"/>
  <c r="AB1636" i="37"/>
  <c r="AE1636" i="37"/>
  <c r="AF1636" i="37"/>
  <c r="AG1636" i="37" s="1"/>
  <c r="D1637" i="37"/>
  <c r="AD1637" i="37" s="1"/>
  <c r="M1637" i="37"/>
  <c r="L1637" i="37" s="1"/>
  <c r="Q1637" i="37"/>
  <c r="R1637" i="37" s="1"/>
  <c r="U1637" i="37"/>
  <c r="AB1637" i="37"/>
  <c r="AE1637" i="37"/>
  <c r="AF1637" i="37"/>
  <c r="AG1637" i="37" s="1"/>
  <c r="D1638" i="37"/>
  <c r="AD1638" i="37" s="1"/>
  <c r="M1638" i="37"/>
  <c r="L1638" i="37" s="1"/>
  <c r="Q1638" i="37"/>
  <c r="X1638" i="37" s="1"/>
  <c r="Y1638" i="37" s="1"/>
  <c r="U1638" i="37"/>
  <c r="AB1638" i="37"/>
  <c r="AE1638" i="37"/>
  <c r="AF1638" i="37"/>
  <c r="AG1638" i="37" s="1"/>
  <c r="D1639" i="37"/>
  <c r="AD1639" i="37" s="1"/>
  <c r="M1639" i="37"/>
  <c r="L1639" i="37" s="1"/>
  <c r="Q1639" i="37"/>
  <c r="R1639" i="37" s="1"/>
  <c r="U1639" i="37"/>
  <c r="AB1639" i="37"/>
  <c r="AE1639" i="37"/>
  <c r="AF1639" i="37"/>
  <c r="AG1639" i="37" s="1"/>
  <c r="D1640" i="37"/>
  <c r="AD1640" i="37" s="1"/>
  <c r="M1640" i="37"/>
  <c r="L1640" i="37" s="1"/>
  <c r="Q1640" i="37"/>
  <c r="R1640" i="37" s="1"/>
  <c r="U1640" i="37"/>
  <c r="AB1640" i="37"/>
  <c r="AE1640" i="37"/>
  <c r="AF1640" i="37"/>
  <c r="AG1640" i="37" s="1"/>
  <c r="D1641" i="37"/>
  <c r="AD1641" i="37" s="1"/>
  <c r="M1641" i="37"/>
  <c r="L1641" i="37" s="1"/>
  <c r="Q1641" i="37"/>
  <c r="R1641" i="37" s="1"/>
  <c r="U1641" i="37"/>
  <c r="AB1641" i="37"/>
  <c r="AE1641" i="37"/>
  <c r="AF1641" i="37"/>
  <c r="AG1641" i="37" s="1"/>
  <c r="D1642" i="37"/>
  <c r="AD1642" i="37" s="1"/>
  <c r="M1642" i="37"/>
  <c r="L1642" i="37" s="1"/>
  <c r="Q1642" i="37"/>
  <c r="U1642" i="37"/>
  <c r="AB1642" i="37"/>
  <c r="AE1642" i="37"/>
  <c r="AF1642" i="37"/>
  <c r="AG1642" i="37" s="1"/>
  <c r="D1643" i="37"/>
  <c r="AD1643" i="37" s="1"/>
  <c r="M1643" i="37"/>
  <c r="L1643" i="37" s="1"/>
  <c r="Q1643" i="37"/>
  <c r="X1643" i="37" s="1"/>
  <c r="Y1643" i="37" s="1"/>
  <c r="U1643" i="37"/>
  <c r="AB1643" i="37"/>
  <c r="AE1643" i="37"/>
  <c r="AF1643" i="37"/>
  <c r="AG1643" i="37" s="1"/>
  <c r="D1644" i="37"/>
  <c r="AD1644" i="37" s="1"/>
  <c r="M1644" i="37"/>
  <c r="L1644" i="37" s="1"/>
  <c r="Q1644" i="37"/>
  <c r="R1644" i="37" s="1"/>
  <c r="U1644" i="37"/>
  <c r="AB1644" i="37"/>
  <c r="AE1644" i="37"/>
  <c r="AF1644" i="37"/>
  <c r="AG1644" i="37" s="1"/>
  <c r="D1645" i="37"/>
  <c r="AD1645" i="37" s="1"/>
  <c r="M1645" i="37"/>
  <c r="L1645" i="37" s="1"/>
  <c r="Q1645" i="37"/>
  <c r="R1645" i="37" s="1"/>
  <c r="U1645" i="37"/>
  <c r="AB1645" i="37"/>
  <c r="AE1645" i="37"/>
  <c r="AF1645" i="37"/>
  <c r="AG1645" i="37" s="1"/>
  <c r="D1646" i="37"/>
  <c r="AD1646" i="37" s="1"/>
  <c r="M1646" i="37"/>
  <c r="L1646" i="37" s="1"/>
  <c r="Q1646" i="37"/>
  <c r="R1646" i="37" s="1"/>
  <c r="U1646" i="37"/>
  <c r="AB1646" i="37"/>
  <c r="AE1646" i="37"/>
  <c r="AF1646" i="37"/>
  <c r="AG1646" i="37" s="1"/>
  <c r="D1647" i="37"/>
  <c r="AD1647" i="37" s="1"/>
  <c r="M1647" i="37"/>
  <c r="L1647" i="37" s="1"/>
  <c r="Q1647" i="37"/>
  <c r="U1647" i="37"/>
  <c r="AB1647" i="37"/>
  <c r="AE1647" i="37"/>
  <c r="AF1647" i="37"/>
  <c r="AG1647" i="37" s="1"/>
  <c r="D1648" i="37"/>
  <c r="AD1648" i="37" s="1"/>
  <c r="M1648" i="37"/>
  <c r="L1648" i="37" s="1"/>
  <c r="Q1648" i="37"/>
  <c r="R1648" i="37" s="1"/>
  <c r="U1648" i="37"/>
  <c r="AB1648" i="37"/>
  <c r="AE1648" i="37"/>
  <c r="AF1648" i="37"/>
  <c r="AG1648" i="37" s="1"/>
  <c r="D1649" i="37"/>
  <c r="AD1649" i="37" s="1"/>
  <c r="M1649" i="37"/>
  <c r="L1649" i="37" s="1"/>
  <c r="Q1649" i="37"/>
  <c r="R1649" i="37" s="1"/>
  <c r="U1649" i="37"/>
  <c r="AB1649" i="37"/>
  <c r="AE1649" i="37"/>
  <c r="AF1649" i="37"/>
  <c r="AG1649" i="37" s="1"/>
  <c r="D1650" i="37"/>
  <c r="AD1650" i="37" s="1"/>
  <c r="M1650" i="37"/>
  <c r="L1650" i="37" s="1"/>
  <c r="Q1650" i="37"/>
  <c r="U1650" i="37"/>
  <c r="AB1650" i="37"/>
  <c r="AE1650" i="37"/>
  <c r="AF1650" i="37"/>
  <c r="AG1650" i="37" s="1"/>
  <c r="D1651" i="37"/>
  <c r="AD1651" i="37" s="1"/>
  <c r="M1651" i="37"/>
  <c r="L1651" i="37" s="1"/>
  <c r="Q1651" i="37"/>
  <c r="R1651" i="37" s="1"/>
  <c r="U1651" i="37"/>
  <c r="AB1651" i="37"/>
  <c r="AE1651" i="37"/>
  <c r="AF1651" i="37"/>
  <c r="AG1651" i="37" s="1"/>
  <c r="D1652" i="37"/>
  <c r="AD1652" i="37" s="1"/>
  <c r="M1652" i="37"/>
  <c r="L1652" i="37" s="1"/>
  <c r="Q1652" i="37"/>
  <c r="R1652" i="37" s="1"/>
  <c r="U1652" i="37"/>
  <c r="AB1652" i="37"/>
  <c r="AE1652" i="37"/>
  <c r="AF1652" i="37"/>
  <c r="AG1652" i="37" s="1"/>
  <c r="D1653" i="37"/>
  <c r="AD1653" i="37" s="1"/>
  <c r="M1653" i="37"/>
  <c r="L1653" i="37" s="1"/>
  <c r="Q1653" i="37"/>
  <c r="R1653" i="37" s="1"/>
  <c r="U1653" i="37"/>
  <c r="AB1653" i="37"/>
  <c r="AE1653" i="37"/>
  <c r="AF1653" i="37"/>
  <c r="AG1653" i="37" s="1"/>
  <c r="D1654" i="37"/>
  <c r="AD1654" i="37" s="1"/>
  <c r="M1654" i="37"/>
  <c r="L1654" i="37" s="1"/>
  <c r="Q1654" i="37"/>
  <c r="R1654" i="37" s="1"/>
  <c r="U1654" i="37"/>
  <c r="AB1654" i="37"/>
  <c r="AE1654" i="37"/>
  <c r="AF1654" i="37"/>
  <c r="AG1654" i="37" s="1"/>
  <c r="D1655" i="37"/>
  <c r="AD1655" i="37" s="1"/>
  <c r="M1655" i="37"/>
  <c r="L1655" i="37" s="1"/>
  <c r="Q1655" i="37"/>
  <c r="X1655" i="37" s="1"/>
  <c r="Y1655" i="37" s="1"/>
  <c r="U1655" i="37"/>
  <c r="AB1655" i="37"/>
  <c r="AE1655" i="37"/>
  <c r="AF1655" i="37"/>
  <c r="AG1655" i="37" s="1"/>
  <c r="D1656" i="37"/>
  <c r="AD1656" i="37" s="1"/>
  <c r="M1656" i="37"/>
  <c r="L1656" i="37" s="1"/>
  <c r="Q1656" i="37"/>
  <c r="R1656" i="37" s="1"/>
  <c r="U1656" i="37"/>
  <c r="AB1656" i="37"/>
  <c r="AE1656" i="37"/>
  <c r="AF1656" i="37"/>
  <c r="AG1656" i="37" s="1"/>
  <c r="D1657" i="37"/>
  <c r="AD1657" i="37" s="1"/>
  <c r="M1657" i="37"/>
  <c r="L1657" i="37" s="1"/>
  <c r="Q1657" i="37"/>
  <c r="R1657" i="37" s="1"/>
  <c r="U1657" i="37"/>
  <c r="AB1657" i="37"/>
  <c r="AE1657" i="37"/>
  <c r="AF1657" i="37"/>
  <c r="AG1657" i="37" s="1"/>
  <c r="D1658" i="37"/>
  <c r="AD1658" i="37" s="1"/>
  <c r="M1658" i="37"/>
  <c r="L1658" i="37" s="1"/>
  <c r="Q1658" i="37"/>
  <c r="U1658" i="37"/>
  <c r="AB1658" i="37"/>
  <c r="AE1658" i="37"/>
  <c r="AF1658" i="37"/>
  <c r="AG1658" i="37" s="1"/>
  <c r="D1659" i="37"/>
  <c r="AD1659" i="37" s="1"/>
  <c r="M1659" i="37"/>
  <c r="L1659" i="37" s="1"/>
  <c r="Q1659" i="37"/>
  <c r="X1659" i="37" s="1"/>
  <c r="Y1659" i="37" s="1"/>
  <c r="U1659" i="37"/>
  <c r="AB1659" i="37"/>
  <c r="AE1659" i="37"/>
  <c r="AF1659" i="37"/>
  <c r="AG1659" i="37" s="1"/>
  <c r="D1660" i="37"/>
  <c r="AD1660" i="37" s="1"/>
  <c r="M1660" i="37"/>
  <c r="L1660" i="37" s="1"/>
  <c r="Q1660" i="37"/>
  <c r="R1660" i="37" s="1"/>
  <c r="U1660" i="37"/>
  <c r="AB1660" i="37"/>
  <c r="AE1660" i="37"/>
  <c r="AF1660" i="37"/>
  <c r="AG1660" i="37" s="1"/>
  <c r="D1661" i="37"/>
  <c r="AD1661" i="37" s="1"/>
  <c r="M1661" i="37"/>
  <c r="L1661" i="37" s="1"/>
  <c r="Q1661" i="37"/>
  <c r="R1661" i="37" s="1"/>
  <c r="U1661" i="37"/>
  <c r="AB1661" i="37"/>
  <c r="AE1661" i="37"/>
  <c r="AF1661" i="37"/>
  <c r="AG1661" i="37" s="1"/>
  <c r="D1662" i="37"/>
  <c r="AD1662" i="37" s="1"/>
  <c r="M1662" i="37"/>
  <c r="L1662" i="37" s="1"/>
  <c r="Q1662" i="37"/>
  <c r="R1662" i="37" s="1"/>
  <c r="U1662" i="37"/>
  <c r="AB1662" i="37"/>
  <c r="AE1662" i="37"/>
  <c r="AF1662" i="37"/>
  <c r="AG1662" i="37" s="1"/>
  <c r="D1663" i="37"/>
  <c r="AD1663" i="37" s="1"/>
  <c r="M1663" i="37"/>
  <c r="L1663" i="37" s="1"/>
  <c r="Q1663" i="37"/>
  <c r="X1663" i="37" s="1"/>
  <c r="Y1663" i="37" s="1"/>
  <c r="U1663" i="37"/>
  <c r="AB1663" i="37"/>
  <c r="AE1663" i="37"/>
  <c r="AF1663" i="37"/>
  <c r="AG1663" i="37" s="1"/>
  <c r="D1664" i="37"/>
  <c r="AD1664" i="37" s="1"/>
  <c r="M1664" i="37"/>
  <c r="L1664" i="37" s="1"/>
  <c r="Q1664" i="37"/>
  <c r="R1664" i="37" s="1"/>
  <c r="U1664" i="37"/>
  <c r="AB1664" i="37"/>
  <c r="AE1664" i="37"/>
  <c r="AF1664" i="37"/>
  <c r="AG1664" i="37" s="1"/>
  <c r="D1665" i="37"/>
  <c r="AD1665" i="37" s="1"/>
  <c r="M1665" i="37"/>
  <c r="L1665" i="37" s="1"/>
  <c r="Q1665" i="37"/>
  <c r="R1665" i="37" s="1"/>
  <c r="U1665" i="37"/>
  <c r="AB1665" i="37"/>
  <c r="AE1665" i="37"/>
  <c r="AF1665" i="37"/>
  <c r="AG1665" i="37" s="1"/>
  <c r="D1666" i="37"/>
  <c r="AD1666" i="37" s="1"/>
  <c r="M1666" i="37"/>
  <c r="L1666" i="37" s="1"/>
  <c r="Q1666" i="37"/>
  <c r="X1666" i="37" s="1"/>
  <c r="Y1666" i="37" s="1"/>
  <c r="U1666" i="37"/>
  <c r="AB1666" i="37"/>
  <c r="AE1666" i="37"/>
  <c r="AF1666" i="37"/>
  <c r="AG1666" i="37" s="1"/>
  <c r="D1667" i="37"/>
  <c r="AD1667" i="37" s="1"/>
  <c r="M1667" i="37"/>
  <c r="L1667" i="37" s="1"/>
  <c r="Q1667" i="37"/>
  <c r="R1667" i="37" s="1"/>
  <c r="U1667" i="37"/>
  <c r="AB1667" i="37"/>
  <c r="AE1667" i="37"/>
  <c r="AF1667" i="37"/>
  <c r="AG1667" i="37" s="1"/>
  <c r="D1668" i="37"/>
  <c r="AD1668" i="37" s="1"/>
  <c r="M1668" i="37"/>
  <c r="L1668" i="37" s="1"/>
  <c r="Q1668" i="37"/>
  <c r="R1668" i="37" s="1"/>
  <c r="U1668" i="37"/>
  <c r="AB1668" i="37"/>
  <c r="AE1668" i="37"/>
  <c r="AF1668" i="37"/>
  <c r="AG1668" i="37" s="1"/>
  <c r="D1669" i="37"/>
  <c r="AD1669" i="37" s="1"/>
  <c r="M1669" i="37"/>
  <c r="L1669" i="37" s="1"/>
  <c r="Q1669" i="37"/>
  <c r="R1669" i="37" s="1"/>
  <c r="U1669" i="37"/>
  <c r="AB1669" i="37"/>
  <c r="AE1669" i="37"/>
  <c r="AF1669" i="37"/>
  <c r="AG1669" i="37" s="1"/>
  <c r="D1670" i="37"/>
  <c r="AD1670" i="37" s="1"/>
  <c r="M1670" i="37"/>
  <c r="L1670" i="37" s="1"/>
  <c r="Q1670" i="37"/>
  <c r="R1670" i="37" s="1"/>
  <c r="U1670" i="37"/>
  <c r="AB1670" i="37"/>
  <c r="AE1670" i="37"/>
  <c r="AF1670" i="37"/>
  <c r="AG1670" i="37" s="1"/>
  <c r="D1671" i="37"/>
  <c r="AD1671" i="37" s="1"/>
  <c r="M1671" i="37"/>
  <c r="L1671" i="37" s="1"/>
  <c r="Q1671" i="37"/>
  <c r="X1671" i="37" s="1"/>
  <c r="Y1671" i="37" s="1"/>
  <c r="U1671" i="37"/>
  <c r="AB1671" i="37"/>
  <c r="AE1671" i="37"/>
  <c r="AF1671" i="37"/>
  <c r="AG1671" i="37" s="1"/>
  <c r="D1672" i="37"/>
  <c r="AD1672" i="37" s="1"/>
  <c r="M1672" i="37"/>
  <c r="L1672" i="37" s="1"/>
  <c r="Q1672" i="37"/>
  <c r="R1672" i="37" s="1"/>
  <c r="U1672" i="37"/>
  <c r="AB1672" i="37"/>
  <c r="AE1672" i="37"/>
  <c r="AF1672" i="37"/>
  <c r="AG1672" i="37" s="1"/>
  <c r="D1673" i="37"/>
  <c r="AD1673" i="37" s="1"/>
  <c r="M1673" i="37"/>
  <c r="L1673" i="37" s="1"/>
  <c r="Q1673" i="37"/>
  <c r="R1673" i="37" s="1"/>
  <c r="U1673" i="37"/>
  <c r="AB1673" i="37"/>
  <c r="AE1673" i="37"/>
  <c r="AF1673" i="37"/>
  <c r="AG1673" i="37" s="1"/>
  <c r="D1674" i="37"/>
  <c r="AD1674" i="37" s="1"/>
  <c r="M1674" i="37"/>
  <c r="L1674" i="37" s="1"/>
  <c r="Q1674" i="37"/>
  <c r="X1674" i="37" s="1"/>
  <c r="Y1674" i="37" s="1"/>
  <c r="U1674" i="37"/>
  <c r="AB1674" i="37"/>
  <c r="AE1674" i="37"/>
  <c r="AF1674" i="37"/>
  <c r="AG1674" i="37" s="1"/>
  <c r="D1675" i="37"/>
  <c r="AD1675" i="37" s="1"/>
  <c r="M1675" i="37"/>
  <c r="L1675" i="37" s="1"/>
  <c r="Q1675" i="37"/>
  <c r="R1675" i="37" s="1"/>
  <c r="U1675" i="37"/>
  <c r="AB1675" i="37"/>
  <c r="AE1675" i="37"/>
  <c r="AF1675" i="37"/>
  <c r="AG1675" i="37" s="1"/>
  <c r="D1676" i="37"/>
  <c r="AD1676" i="37" s="1"/>
  <c r="M1676" i="37"/>
  <c r="L1676" i="37" s="1"/>
  <c r="Q1676" i="37"/>
  <c r="R1676" i="37" s="1"/>
  <c r="U1676" i="37"/>
  <c r="AB1676" i="37"/>
  <c r="AE1676" i="37"/>
  <c r="AF1676" i="37"/>
  <c r="AG1676" i="37" s="1"/>
  <c r="D1677" i="37"/>
  <c r="AD1677" i="37" s="1"/>
  <c r="M1677" i="37"/>
  <c r="L1677" i="37" s="1"/>
  <c r="Q1677" i="37"/>
  <c r="R1677" i="37" s="1"/>
  <c r="U1677" i="37"/>
  <c r="AB1677" i="37"/>
  <c r="AE1677" i="37"/>
  <c r="AF1677" i="37"/>
  <c r="AG1677" i="37" s="1"/>
  <c r="D1678" i="37"/>
  <c r="AD1678" i="37" s="1"/>
  <c r="M1678" i="37"/>
  <c r="L1678" i="37" s="1"/>
  <c r="Q1678" i="37"/>
  <c r="R1678" i="37" s="1"/>
  <c r="U1678" i="37"/>
  <c r="AB1678" i="37"/>
  <c r="AE1678" i="37"/>
  <c r="AF1678" i="37"/>
  <c r="AG1678" i="37" s="1"/>
  <c r="D1679" i="37"/>
  <c r="AD1679" i="37" s="1"/>
  <c r="M1679" i="37"/>
  <c r="L1679" i="37" s="1"/>
  <c r="Q1679" i="37"/>
  <c r="X1679" i="37" s="1"/>
  <c r="Y1679" i="37" s="1"/>
  <c r="U1679" i="37"/>
  <c r="AB1679" i="37"/>
  <c r="AE1679" i="37"/>
  <c r="AF1679" i="37"/>
  <c r="AG1679" i="37" s="1"/>
  <c r="D1680" i="37"/>
  <c r="AD1680" i="37" s="1"/>
  <c r="M1680" i="37"/>
  <c r="L1680" i="37" s="1"/>
  <c r="Q1680" i="37"/>
  <c r="R1680" i="37" s="1"/>
  <c r="U1680" i="37"/>
  <c r="AB1680" i="37"/>
  <c r="AE1680" i="37"/>
  <c r="AF1680" i="37"/>
  <c r="AG1680" i="37" s="1"/>
  <c r="D1681" i="37"/>
  <c r="AD1681" i="37" s="1"/>
  <c r="M1681" i="37"/>
  <c r="L1681" i="37" s="1"/>
  <c r="Q1681" i="37"/>
  <c r="R1681" i="37" s="1"/>
  <c r="U1681" i="37"/>
  <c r="AB1681" i="37"/>
  <c r="AE1681" i="37"/>
  <c r="AF1681" i="37"/>
  <c r="AG1681" i="37" s="1"/>
  <c r="D1682" i="37"/>
  <c r="AD1682" i="37" s="1"/>
  <c r="M1682" i="37"/>
  <c r="L1682" i="37" s="1"/>
  <c r="Q1682" i="37"/>
  <c r="X1682" i="37" s="1"/>
  <c r="Y1682" i="37" s="1"/>
  <c r="U1682" i="37"/>
  <c r="AB1682" i="37"/>
  <c r="AE1682" i="37"/>
  <c r="AF1682" i="37"/>
  <c r="AG1682" i="37" s="1"/>
  <c r="D1683" i="37"/>
  <c r="AD1683" i="37" s="1"/>
  <c r="M1683" i="37"/>
  <c r="L1683" i="37" s="1"/>
  <c r="Q1683" i="37"/>
  <c r="R1683" i="37" s="1"/>
  <c r="U1683" i="37"/>
  <c r="AB1683" i="37"/>
  <c r="AE1683" i="37"/>
  <c r="AF1683" i="37"/>
  <c r="AG1683" i="37" s="1"/>
  <c r="D1684" i="37"/>
  <c r="AD1684" i="37" s="1"/>
  <c r="M1684" i="37"/>
  <c r="L1684" i="37" s="1"/>
  <c r="Q1684" i="37"/>
  <c r="R1684" i="37" s="1"/>
  <c r="U1684" i="37"/>
  <c r="AB1684" i="37"/>
  <c r="AE1684" i="37"/>
  <c r="AF1684" i="37"/>
  <c r="AG1684" i="37" s="1"/>
  <c r="D1685" i="37"/>
  <c r="AD1685" i="37" s="1"/>
  <c r="M1685" i="37"/>
  <c r="L1685" i="37" s="1"/>
  <c r="Q1685" i="37"/>
  <c r="X1685" i="37" s="1"/>
  <c r="Y1685" i="37" s="1"/>
  <c r="U1685" i="37"/>
  <c r="AB1685" i="37"/>
  <c r="AE1685" i="37"/>
  <c r="AF1685" i="37"/>
  <c r="AG1685" i="37" s="1"/>
  <c r="D1686" i="37"/>
  <c r="AD1686" i="37" s="1"/>
  <c r="M1686" i="37"/>
  <c r="L1686" i="37" s="1"/>
  <c r="Q1686" i="37"/>
  <c r="R1686" i="37" s="1"/>
  <c r="U1686" i="37"/>
  <c r="AB1686" i="37"/>
  <c r="AE1686" i="37"/>
  <c r="AF1686" i="37"/>
  <c r="AG1686" i="37" s="1"/>
  <c r="D1687" i="37"/>
  <c r="AD1687" i="37" s="1"/>
  <c r="M1687" i="37"/>
  <c r="L1687" i="37" s="1"/>
  <c r="Q1687" i="37"/>
  <c r="R1687" i="37" s="1"/>
  <c r="U1687" i="37"/>
  <c r="AB1687" i="37"/>
  <c r="AE1687" i="37"/>
  <c r="AF1687" i="37"/>
  <c r="AG1687" i="37" s="1"/>
  <c r="D1688" i="37"/>
  <c r="AD1688" i="37" s="1"/>
  <c r="M1688" i="37"/>
  <c r="L1688" i="37" s="1"/>
  <c r="Q1688" i="37"/>
  <c r="X1688" i="37" s="1"/>
  <c r="Y1688" i="37" s="1"/>
  <c r="U1688" i="37"/>
  <c r="AB1688" i="37"/>
  <c r="AE1688" i="37"/>
  <c r="AF1688" i="37"/>
  <c r="AG1688" i="37" s="1"/>
  <c r="D1689" i="37"/>
  <c r="AD1689" i="37" s="1"/>
  <c r="M1689" i="37"/>
  <c r="L1689" i="37" s="1"/>
  <c r="Q1689" i="37"/>
  <c r="R1689" i="37" s="1"/>
  <c r="U1689" i="37"/>
  <c r="AB1689" i="37"/>
  <c r="AE1689" i="37"/>
  <c r="AF1689" i="37"/>
  <c r="AG1689" i="37" s="1"/>
  <c r="D1690" i="37"/>
  <c r="AD1690" i="37" s="1"/>
  <c r="M1690" i="37"/>
  <c r="L1690" i="37" s="1"/>
  <c r="Q1690" i="37"/>
  <c r="X1690" i="37" s="1"/>
  <c r="Y1690" i="37" s="1"/>
  <c r="U1690" i="37"/>
  <c r="AB1690" i="37"/>
  <c r="AE1690" i="37"/>
  <c r="AF1690" i="37"/>
  <c r="AG1690" i="37" s="1"/>
  <c r="D1691" i="37"/>
  <c r="AD1691" i="37" s="1"/>
  <c r="M1691" i="37"/>
  <c r="L1691" i="37" s="1"/>
  <c r="Q1691" i="37"/>
  <c r="X1691" i="37" s="1"/>
  <c r="Y1691" i="37" s="1"/>
  <c r="U1691" i="37"/>
  <c r="AB1691" i="37"/>
  <c r="AE1691" i="37"/>
  <c r="AF1691" i="37"/>
  <c r="AG1691" i="37" s="1"/>
  <c r="D1692" i="37"/>
  <c r="AD1692" i="37" s="1"/>
  <c r="M1692" i="37"/>
  <c r="L1692" i="37" s="1"/>
  <c r="Q1692" i="37"/>
  <c r="X1692" i="37" s="1"/>
  <c r="Y1692" i="37" s="1"/>
  <c r="U1692" i="37"/>
  <c r="AB1692" i="37"/>
  <c r="AE1692" i="37"/>
  <c r="AF1692" i="37"/>
  <c r="AG1692" i="37" s="1"/>
  <c r="D1693" i="37"/>
  <c r="AD1693" i="37" s="1"/>
  <c r="M1693" i="37"/>
  <c r="L1693" i="37" s="1"/>
  <c r="Q1693" i="37"/>
  <c r="R1693" i="37" s="1"/>
  <c r="U1693" i="37"/>
  <c r="AB1693" i="37"/>
  <c r="AE1693" i="37"/>
  <c r="AF1693" i="37"/>
  <c r="AG1693" i="37" s="1"/>
  <c r="D1694" i="37"/>
  <c r="AD1694" i="37" s="1"/>
  <c r="M1694" i="37"/>
  <c r="L1694" i="37" s="1"/>
  <c r="Q1694" i="37"/>
  <c r="X1694" i="37" s="1"/>
  <c r="Y1694" i="37" s="1"/>
  <c r="U1694" i="37"/>
  <c r="AB1694" i="37"/>
  <c r="AE1694" i="37"/>
  <c r="AF1694" i="37"/>
  <c r="AG1694" i="37" s="1"/>
  <c r="D1695" i="37"/>
  <c r="AD1695" i="37" s="1"/>
  <c r="M1695" i="37"/>
  <c r="L1695" i="37" s="1"/>
  <c r="Q1695" i="37"/>
  <c r="R1695" i="37" s="1"/>
  <c r="U1695" i="37"/>
  <c r="AB1695" i="37"/>
  <c r="AE1695" i="37"/>
  <c r="AF1695" i="37"/>
  <c r="AG1695" i="37" s="1"/>
  <c r="D1696" i="37"/>
  <c r="AD1696" i="37" s="1"/>
  <c r="M1696" i="37"/>
  <c r="L1696" i="37" s="1"/>
  <c r="Q1696" i="37"/>
  <c r="X1696" i="37" s="1"/>
  <c r="Y1696" i="37" s="1"/>
  <c r="U1696" i="37"/>
  <c r="AB1696" i="37"/>
  <c r="AE1696" i="37"/>
  <c r="AF1696" i="37"/>
  <c r="AG1696" i="37" s="1"/>
  <c r="D1697" i="37"/>
  <c r="AD1697" i="37" s="1"/>
  <c r="M1697" i="37"/>
  <c r="L1697" i="37" s="1"/>
  <c r="Q1697" i="37"/>
  <c r="R1697" i="37" s="1"/>
  <c r="U1697" i="37"/>
  <c r="AB1697" i="37"/>
  <c r="AE1697" i="37"/>
  <c r="AF1697" i="37"/>
  <c r="AG1697" i="37" s="1"/>
  <c r="D1698" i="37"/>
  <c r="AD1698" i="37" s="1"/>
  <c r="M1698" i="37"/>
  <c r="L1698" i="37" s="1"/>
  <c r="Q1698" i="37"/>
  <c r="R1698" i="37" s="1"/>
  <c r="U1698" i="37"/>
  <c r="AB1698" i="37"/>
  <c r="AE1698" i="37"/>
  <c r="AF1698" i="37"/>
  <c r="AG1698" i="37" s="1"/>
  <c r="D1699" i="37"/>
  <c r="AD1699" i="37" s="1"/>
  <c r="M1699" i="37"/>
  <c r="L1699" i="37" s="1"/>
  <c r="Q1699" i="37"/>
  <c r="X1699" i="37" s="1"/>
  <c r="Y1699" i="37" s="1"/>
  <c r="U1699" i="37"/>
  <c r="AB1699" i="37"/>
  <c r="AE1699" i="37"/>
  <c r="AF1699" i="37"/>
  <c r="AG1699" i="37" s="1"/>
  <c r="D1700" i="37"/>
  <c r="AD1700" i="37" s="1"/>
  <c r="M1700" i="37"/>
  <c r="L1700" i="37" s="1"/>
  <c r="Q1700" i="37"/>
  <c r="X1700" i="37" s="1"/>
  <c r="Y1700" i="37" s="1"/>
  <c r="U1700" i="37"/>
  <c r="AB1700" i="37"/>
  <c r="AE1700" i="37"/>
  <c r="AF1700" i="37"/>
  <c r="AG1700" i="37" s="1"/>
  <c r="D1701" i="37"/>
  <c r="AD1701" i="37" s="1"/>
  <c r="M1701" i="37"/>
  <c r="L1701" i="37" s="1"/>
  <c r="Q1701" i="37"/>
  <c r="X1701" i="37" s="1"/>
  <c r="Y1701" i="37" s="1"/>
  <c r="U1701" i="37"/>
  <c r="AB1701" i="37"/>
  <c r="AE1701" i="37"/>
  <c r="AF1701" i="37"/>
  <c r="AG1701" i="37" s="1"/>
  <c r="D1702" i="37"/>
  <c r="AD1702" i="37" s="1"/>
  <c r="M1702" i="37"/>
  <c r="L1702" i="37" s="1"/>
  <c r="Q1702" i="37"/>
  <c r="X1702" i="37" s="1"/>
  <c r="Y1702" i="37" s="1"/>
  <c r="U1702" i="37"/>
  <c r="AB1702" i="37"/>
  <c r="AE1702" i="37"/>
  <c r="AF1702" i="37"/>
  <c r="AG1702" i="37" s="1"/>
  <c r="D1703" i="37"/>
  <c r="AD1703" i="37" s="1"/>
  <c r="M1703" i="37"/>
  <c r="L1703" i="37" s="1"/>
  <c r="Q1703" i="37"/>
  <c r="R1703" i="37" s="1"/>
  <c r="U1703" i="37"/>
  <c r="AB1703" i="37"/>
  <c r="AE1703" i="37"/>
  <c r="AF1703" i="37"/>
  <c r="AG1703" i="37" s="1"/>
  <c r="D1704" i="37"/>
  <c r="AD1704" i="37" s="1"/>
  <c r="M1704" i="37"/>
  <c r="L1704" i="37" s="1"/>
  <c r="Q1704" i="37"/>
  <c r="X1704" i="37" s="1"/>
  <c r="Y1704" i="37" s="1"/>
  <c r="U1704" i="37"/>
  <c r="AB1704" i="37"/>
  <c r="AE1704" i="37"/>
  <c r="AF1704" i="37"/>
  <c r="AG1704" i="37" s="1"/>
  <c r="D1705" i="37"/>
  <c r="AD1705" i="37" s="1"/>
  <c r="M1705" i="37"/>
  <c r="L1705" i="37" s="1"/>
  <c r="Q1705" i="37"/>
  <c r="R1705" i="37" s="1"/>
  <c r="U1705" i="37"/>
  <c r="AB1705" i="37"/>
  <c r="AE1705" i="37"/>
  <c r="AF1705" i="37"/>
  <c r="AG1705" i="37" s="1"/>
  <c r="D1706" i="37"/>
  <c r="AD1706" i="37" s="1"/>
  <c r="M1706" i="37"/>
  <c r="L1706" i="37" s="1"/>
  <c r="Q1706" i="37"/>
  <c r="X1706" i="37" s="1"/>
  <c r="Y1706" i="37" s="1"/>
  <c r="U1706" i="37"/>
  <c r="AB1706" i="37"/>
  <c r="AE1706" i="37"/>
  <c r="AF1706" i="37"/>
  <c r="AG1706" i="37" s="1"/>
  <c r="D1707" i="37"/>
  <c r="AD1707" i="37" s="1"/>
  <c r="M1707" i="37"/>
  <c r="L1707" i="37" s="1"/>
  <c r="Q1707" i="37"/>
  <c r="X1707" i="37" s="1"/>
  <c r="Y1707" i="37" s="1"/>
  <c r="U1707" i="37"/>
  <c r="AB1707" i="37"/>
  <c r="AE1707" i="37"/>
  <c r="AF1707" i="37"/>
  <c r="AG1707" i="37" s="1"/>
  <c r="D1708" i="37"/>
  <c r="AD1708" i="37" s="1"/>
  <c r="M1708" i="37"/>
  <c r="L1708" i="37" s="1"/>
  <c r="Q1708" i="37"/>
  <c r="X1708" i="37" s="1"/>
  <c r="Y1708" i="37" s="1"/>
  <c r="U1708" i="37"/>
  <c r="AB1708" i="37"/>
  <c r="AE1708" i="37"/>
  <c r="AF1708" i="37"/>
  <c r="AG1708" i="37" s="1"/>
  <c r="D1709" i="37"/>
  <c r="AD1709" i="37" s="1"/>
  <c r="M1709" i="37"/>
  <c r="L1709" i="37" s="1"/>
  <c r="Q1709" i="37"/>
  <c r="R1709" i="37" s="1"/>
  <c r="U1709" i="37"/>
  <c r="AB1709" i="37"/>
  <c r="AE1709" i="37"/>
  <c r="AF1709" i="37"/>
  <c r="AG1709" i="37" s="1"/>
  <c r="D1710" i="37"/>
  <c r="AD1710" i="37" s="1"/>
  <c r="M1710" i="37"/>
  <c r="L1710" i="37" s="1"/>
  <c r="Q1710" i="37"/>
  <c r="X1710" i="37" s="1"/>
  <c r="Y1710" i="37" s="1"/>
  <c r="U1710" i="37"/>
  <c r="AB1710" i="37"/>
  <c r="AE1710" i="37"/>
  <c r="AF1710" i="37"/>
  <c r="AG1710" i="37" s="1"/>
  <c r="D1711" i="37"/>
  <c r="AD1711" i="37" s="1"/>
  <c r="M1711" i="37"/>
  <c r="L1711" i="37" s="1"/>
  <c r="Q1711" i="37"/>
  <c r="R1711" i="37" s="1"/>
  <c r="U1711" i="37"/>
  <c r="AB1711" i="37"/>
  <c r="AE1711" i="37"/>
  <c r="AF1711" i="37"/>
  <c r="AG1711" i="37" s="1"/>
  <c r="D1712" i="37"/>
  <c r="AD1712" i="37" s="1"/>
  <c r="M1712" i="37"/>
  <c r="L1712" i="37" s="1"/>
  <c r="Q1712" i="37"/>
  <c r="X1712" i="37" s="1"/>
  <c r="Y1712" i="37" s="1"/>
  <c r="U1712" i="37"/>
  <c r="AB1712" i="37"/>
  <c r="AE1712" i="37"/>
  <c r="AF1712" i="37"/>
  <c r="AG1712" i="37" s="1"/>
  <c r="D1713" i="37"/>
  <c r="AD1713" i="37" s="1"/>
  <c r="M1713" i="37"/>
  <c r="L1713" i="37" s="1"/>
  <c r="Q1713" i="37"/>
  <c r="R1713" i="37" s="1"/>
  <c r="U1713" i="37"/>
  <c r="AB1713" i="37"/>
  <c r="AE1713" i="37"/>
  <c r="AF1713" i="37"/>
  <c r="AG1713" i="37" s="1"/>
  <c r="D1714" i="37"/>
  <c r="AD1714" i="37" s="1"/>
  <c r="M1714" i="37"/>
  <c r="L1714" i="37" s="1"/>
  <c r="Q1714" i="37"/>
  <c r="X1714" i="37" s="1"/>
  <c r="Y1714" i="37" s="1"/>
  <c r="U1714" i="37"/>
  <c r="AB1714" i="37"/>
  <c r="AE1714" i="37"/>
  <c r="AF1714" i="37"/>
  <c r="AG1714" i="37" s="1"/>
  <c r="D1715" i="37"/>
  <c r="AD1715" i="37" s="1"/>
  <c r="M1715" i="37"/>
  <c r="L1715" i="37" s="1"/>
  <c r="Q1715" i="37"/>
  <c r="X1715" i="37" s="1"/>
  <c r="Y1715" i="37" s="1"/>
  <c r="U1715" i="37"/>
  <c r="AB1715" i="37"/>
  <c r="AE1715" i="37"/>
  <c r="AF1715" i="37"/>
  <c r="AG1715" i="37" s="1"/>
  <c r="D1716" i="37"/>
  <c r="AD1716" i="37" s="1"/>
  <c r="M1716" i="37"/>
  <c r="L1716" i="37" s="1"/>
  <c r="Q1716" i="37"/>
  <c r="X1716" i="37" s="1"/>
  <c r="Y1716" i="37" s="1"/>
  <c r="U1716" i="37"/>
  <c r="AB1716" i="37"/>
  <c r="AE1716" i="37"/>
  <c r="AF1716" i="37"/>
  <c r="AG1716" i="37" s="1"/>
  <c r="D1717" i="37"/>
  <c r="AD1717" i="37" s="1"/>
  <c r="M1717" i="37"/>
  <c r="L1717" i="37" s="1"/>
  <c r="Q1717" i="37"/>
  <c r="R1717" i="37" s="1"/>
  <c r="U1717" i="37"/>
  <c r="AB1717" i="37"/>
  <c r="AE1717" i="37"/>
  <c r="AF1717" i="37"/>
  <c r="AG1717" i="37" s="1"/>
  <c r="D1718" i="37"/>
  <c r="AD1718" i="37" s="1"/>
  <c r="M1718" i="37"/>
  <c r="L1718" i="37" s="1"/>
  <c r="Q1718" i="37"/>
  <c r="X1718" i="37" s="1"/>
  <c r="Y1718" i="37" s="1"/>
  <c r="U1718" i="37"/>
  <c r="AB1718" i="37"/>
  <c r="AE1718" i="37"/>
  <c r="AF1718" i="37"/>
  <c r="AG1718" i="37" s="1"/>
  <c r="D1719" i="37"/>
  <c r="AD1719" i="37" s="1"/>
  <c r="M1719" i="37"/>
  <c r="L1719" i="37" s="1"/>
  <c r="Q1719" i="37"/>
  <c r="R1719" i="37" s="1"/>
  <c r="U1719" i="37"/>
  <c r="AB1719" i="37"/>
  <c r="AE1719" i="37"/>
  <c r="AF1719" i="37"/>
  <c r="AG1719" i="37" s="1"/>
  <c r="D1720" i="37"/>
  <c r="AD1720" i="37" s="1"/>
  <c r="M1720" i="37"/>
  <c r="L1720" i="37" s="1"/>
  <c r="Q1720" i="37"/>
  <c r="X1720" i="37" s="1"/>
  <c r="Y1720" i="37" s="1"/>
  <c r="U1720" i="37"/>
  <c r="AB1720" i="37"/>
  <c r="AE1720" i="37"/>
  <c r="AF1720" i="37"/>
  <c r="AG1720" i="37" s="1"/>
  <c r="D1721" i="37"/>
  <c r="AD1721" i="37" s="1"/>
  <c r="M1721" i="37"/>
  <c r="L1721" i="37" s="1"/>
  <c r="Q1721" i="37"/>
  <c r="R1721" i="37" s="1"/>
  <c r="U1721" i="37"/>
  <c r="AB1721" i="37"/>
  <c r="AE1721" i="37"/>
  <c r="AF1721" i="37"/>
  <c r="AG1721" i="37" s="1"/>
  <c r="D1722" i="37"/>
  <c r="AD1722" i="37" s="1"/>
  <c r="M1722" i="37"/>
  <c r="L1722" i="37" s="1"/>
  <c r="Q1722" i="37"/>
  <c r="R1722" i="37" s="1"/>
  <c r="U1722" i="37"/>
  <c r="AB1722" i="37"/>
  <c r="AE1722" i="37"/>
  <c r="AF1722" i="37"/>
  <c r="AG1722" i="37" s="1"/>
  <c r="D1723" i="37"/>
  <c r="AD1723" i="37" s="1"/>
  <c r="M1723" i="37"/>
  <c r="L1723" i="37" s="1"/>
  <c r="Q1723" i="37"/>
  <c r="X1723" i="37" s="1"/>
  <c r="Y1723" i="37" s="1"/>
  <c r="U1723" i="37"/>
  <c r="AB1723" i="37"/>
  <c r="AE1723" i="37"/>
  <c r="AF1723" i="37"/>
  <c r="AG1723" i="37" s="1"/>
  <c r="D1724" i="37"/>
  <c r="AD1724" i="37" s="1"/>
  <c r="M1724" i="37"/>
  <c r="L1724" i="37" s="1"/>
  <c r="Q1724" i="37"/>
  <c r="X1724" i="37" s="1"/>
  <c r="Y1724" i="37" s="1"/>
  <c r="U1724" i="37"/>
  <c r="AB1724" i="37"/>
  <c r="AE1724" i="37"/>
  <c r="AF1724" i="37"/>
  <c r="AG1724" i="37" s="1"/>
  <c r="D1725" i="37"/>
  <c r="AD1725" i="37" s="1"/>
  <c r="M1725" i="37"/>
  <c r="L1725" i="37" s="1"/>
  <c r="Q1725" i="37"/>
  <c r="R1725" i="37" s="1"/>
  <c r="U1725" i="37"/>
  <c r="AB1725" i="37"/>
  <c r="AE1725" i="37"/>
  <c r="AF1725" i="37"/>
  <c r="AG1725" i="37" s="1"/>
  <c r="D1726" i="37"/>
  <c r="AD1726" i="37" s="1"/>
  <c r="M1726" i="37"/>
  <c r="L1726" i="37" s="1"/>
  <c r="Q1726" i="37"/>
  <c r="X1726" i="37" s="1"/>
  <c r="Y1726" i="37" s="1"/>
  <c r="U1726" i="37"/>
  <c r="AB1726" i="37"/>
  <c r="AE1726" i="37"/>
  <c r="AF1726" i="37"/>
  <c r="AG1726" i="37" s="1"/>
  <c r="D1727" i="37"/>
  <c r="AD1727" i="37" s="1"/>
  <c r="M1727" i="37"/>
  <c r="L1727" i="37" s="1"/>
  <c r="Q1727" i="37"/>
  <c r="R1727" i="37" s="1"/>
  <c r="U1727" i="37"/>
  <c r="AB1727" i="37"/>
  <c r="AE1727" i="37"/>
  <c r="AF1727" i="37"/>
  <c r="AG1727" i="37" s="1"/>
  <c r="D1728" i="37"/>
  <c r="AD1728" i="37" s="1"/>
  <c r="M1728" i="37"/>
  <c r="L1728" i="37" s="1"/>
  <c r="Q1728" i="37"/>
  <c r="X1728" i="37" s="1"/>
  <c r="Y1728" i="37" s="1"/>
  <c r="U1728" i="37"/>
  <c r="AB1728" i="37"/>
  <c r="AE1728" i="37"/>
  <c r="AF1728" i="37"/>
  <c r="AG1728" i="37" s="1"/>
  <c r="D1729" i="37"/>
  <c r="AD1729" i="37" s="1"/>
  <c r="M1729" i="37"/>
  <c r="L1729" i="37" s="1"/>
  <c r="Q1729" i="37"/>
  <c r="R1729" i="37" s="1"/>
  <c r="U1729" i="37"/>
  <c r="AB1729" i="37"/>
  <c r="AE1729" i="37"/>
  <c r="AF1729" i="37"/>
  <c r="AG1729" i="37" s="1"/>
  <c r="D1730" i="37"/>
  <c r="AD1730" i="37" s="1"/>
  <c r="M1730" i="37"/>
  <c r="L1730" i="37" s="1"/>
  <c r="Q1730" i="37"/>
  <c r="R1730" i="37" s="1"/>
  <c r="U1730" i="37"/>
  <c r="AB1730" i="37"/>
  <c r="AE1730" i="37"/>
  <c r="AF1730" i="37"/>
  <c r="AG1730" i="37" s="1"/>
  <c r="D1731" i="37"/>
  <c r="AD1731" i="37" s="1"/>
  <c r="M1731" i="37"/>
  <c r="L1731" i="37" s="1"/>
  <c r="Q1731" i="37"/>
  <c r="X1731" i="37" s="1"/>
  <c r="Y1731" i="37" s="1"/>
  <c r="U1731" i="37"/>
  <c r="AB1731" i="37"/>
  <c r="AE1731" i="37"/>
  <c r="AF1731" i="37"/>
  <c r="AG1731" i="37" s="1"/>
  <c r="AL1589" i="37"/>
  <c r="AL1588" i="37"/>
  <c r="AL1587" i="37"/>
  <c r="AL1586" i="37"/>
  <c r="AL1585" i="37"/>
  <c r="AL1584" i="37"/>
  <c r="AL1583" i="37"/>
  <c r="AL1582" i="37"/>
  <c r="AL1581" i="37"/>
  <c r="AL1580" i="37"/>
  <c r="AL1579" i="37"/>
  <c r="AL1578" i="37"/>
  <c r="AL1577" i="37"/>
  <c r="AL1576" i="37"/>
  <c r="AL1575" i="37"/>
  <c r="AL1574" i="37"/>
  <c r="AL1573" i="37"/>
  <c r="AL1572" i="37"/>
  <c r="AL1570" i="37"/>
  <c r="AL1569" i="37"/>
  <c r="AL1560" i="37"/>
  <c r="AL1559" i="37"/>
  <c r="AL1558" i="37"/>
  <c r="AL1557" i="37"/>
  <c r="AL1519" i="37"/>
  <c r="AL1518" i="37"/>
  <c r="AL1516" i="37"/>
  <c r="AL1514" i="37"/>
  <c r="AL1498" i="37"/>
  <c r="AL1489" i="37"/>
  <c r="AL1486" i="37"/>
  <c r="AL1482" i="37"/>
  <c r="AL1481" i="37"/>
  <c r="AL1476" i="37"/>
  <c r="AL1475" i="37"/>
  <c r="AL1474" i="37"/>
  <c r="AL1473" i="37"/>
  <c r="AL1459" i="37"/>
  <c r="AL1458" i="37"/>
  <c r="AL1457" i="37"/>
  <c r="AL1456" i="37"/>
  <c r="AL1455" i="37"/>
  <c r="AL1454" i="37"/>
  <c r="AL1453" i="37"/>
  <c r="AL1452" i="37"/>
  <c r="AL1451" i="37"/>
  <c r="AL1450" i="37"/>
  <c r="AL1449" i="37"/>
  <c r="AL1448" i="37"/>
  <c r="AL1447" i="37"/>
  <c r="AL1442" i="37"/>
  <c r="AL1433" i="37"/>
  <c r="AL1423" i="37"/>
  <c r="AL1414" i="37"/>
  <c r="AL1404" i="37"/>
  <c r="AL1382" i="37"/>
  <c r="AL1377" i="37"/>
  <c r="AL1373" i="37"/>
  <c r="AL1370" i="37"/>
  <c r="AL1363" i="37"/>
  <c r="AL1362" i="37"/>
  <c r="AL1361" i="37"/>
  <c r="AL1360" i="37"/>
  <c r="AL1359" i="37"/>
  <c r="AL1358" i="37"/>
  <c r="AL1357" i="37"/>
  <c r="AL1356" i="37"/>
  <c r="AL1355" i="37"/>
  <c r="AL1354" i="37"/>
  <c r="AL1725" i="37"/>
  <c r="AL1724" i="37"/>
  <c r="AL1723" i="37"/>
  <c r="AL1722" i="37"/>
  <c r="AL1721" i="37"/>
  <c r="AL1720" i="37"/>
  <c r="AL1719" i="37"/>
  <c r="AL1718" i="37"/>
  <c r="AL1717" i="37"/>
  <c r="AL1716" i="37"/>
  <c r="AL1715" i="37"/>
  <c r="AL1714" i="37"/>
  <c r="AL1713" i="37"/>
  <c r="AL1712" i="37"/>
  <c r="AL1711" i="37"/>
  <c r="AL1710" i="37"/>
  <c r="AL1709" i="37"/>
  <c r="AL1708" i="37"/>
  <c r="AL1707" i="37"/>
  <c r="AL1706" i="37"/>
  <c r="AL1705" i="37"/>
  <c r="AL1704" i="37"/>
  <c r="AL1703" i="37"/>
  <c r="AL1702" i="37"/>
  <c r="AL1701" i="37"/>
  <c r="AL1700" i="37"/>
  <c r="AL1699" i="37"/>
  <c r="AL1698" i="37"/>
  <c r="AL1697" i="37"/>
  <c r="AL1696" i="37"/>
  <c r="AL1695" i="37"/>
  <c r="AL1694" i="37"/>
  <c r="AL1693" i="37"/>
  <c r="AL1692" i="37"/>
  <c r="AL1691" i="37"/>
  <c r="AL1690" i="37"/>
  <c r="AL1689" i="37"/>
  <c r="AL1688" i="37"/>
  <c r="AL1687" i="37"/>
  <c r="AL1686" i="37"/>
  <c r="AL1685" i="37"/>
  <c r="AL1684" i="37"/>
  <c r="AL1683" i="37"/>
  <c r="AL1682" i="37"/>
  <c r="AL1681" i="37"/>
  <c r="AL1680" i="37"/>
  <c r="AL1679" i="37"/>
  <c r="AL1678" i="37"/>
  <c r="AL1677" i="37"/>
  <c r="AL1676" i="37"/>
  <c r="AL1675" i="37"/>
  <c r="AL1674" i="37"/>
  <c r="AL1673" i="37"/>
  <c r="AL1672" i="37"/>
  <c r="AL1671" i="37"/>
  <c r="AL1670" i="37"/>
  <c r="AL1669" i="37"/>
  <c r="AL1668" i="37"/>
  <c r="AL1667" i="37"/>
  <c r="AL1666" i="37"/>
  <c r="AL1665" i="37"/>
  <c r="AL1664" i="37"/>
  <c r="AL1663" i="37"/>
  <c r="AL1662" i="37"/>
  <c r="AL1661" i="37"/>
  <c r="AL1660" i="37"/>
  <c r="AL1659" i="37"/>
  <c r="AL1658" i="37"/>
  <c r="AL1657" i="37"/>
  <c r="AL1656" i="37"/>
  <c r="AL1655" i="37"/>
  <c r="AL1654" i="37"/>
  <c r="AL1653" i="37"/>
  <c r="AL1652" i="37"/>
  <c r="AL1651" i="37"/>
  <c r="AL1650" i="37"/>
  <c r="AL1649" i="37"/>
  <c r="AL1648" i="37"/>
  <c r="AL1647" i="37"/>
  <c r="AL1646" i="37"/>
  <c r="AL1645" i="37"/>
  <c r="AL1644" i="37"/>
  <c r="AL1643" i="37"/>
  <c r="AL1642" i="37"/>
  <c r="AL1641" i="37"/>
  <c r="AL1640" i="37"/>
  <c r="AL1639" i="37"/>
  <c r="AL1638" i="37"/>
  <c r="AL1637" i="37"/>
  <c r="AL1636" i="37"/>
  <c r="AL1635" i="37"/>
  <c r="AL1634" i="37"/>
  <c r="AL1633" i="37"/>
  <c r="AL1632" i="37"/>
  <c r="AL1631" i="37"/>
  <c r="AL1630" i="37"/>
  <c r="AL1629" i="37"/>
  <c r="AL1628" i="37"/>
  <c r="AL1627" i="37"/>
  <c r="AL1626" i="37"/>
  <c r="AL1625" i="37"/>
  <c r="AL1624" i="37"/>
  <c r="AL1623" i="37"/>
  <c r="AL1622" i="37"/>
  <c r="AL1621" i="37"/>
  <c r="AL1620" i="37"/>
  <c r="AL1619" i="37"/>
  <c r="AL1618" i="37"/>
  <c r="AL1617" i="37"/>
  <c r="AL1616" i="37"/>
  <c r="AL1615" i="37"/>
  <c r="AL1614" i="37"/>
  <c r="AL1613" i="37"/>
  <c r="AL1612" i="37"/>
  <c r="AL1611" i="37"/>
  <c r="AL1610" i="37"/>
  <c r="AL1609" i="37"/>
  <c r="AL1608" i="37"/>
  <c r="AL1607" i="37"/>
  <c r="AL1606" i="37"/>
  <c r="AL1605" i="37"/>
  <c r="AL1604" i="37"/>
  <c r="AL1603" i="37"/>
  <c r="AL1602" i="37"/>
  <c r="AL1601" i="37"/>
  <c r="AL1600" i="37"/>
  <c r="AL1599" i="37"/>
  <c r="AL1598" i="37"/>
  <c r="AL1597" i="37"/>
  <c r="AL1596" i="37"/>
  <c r="AL1595" i="37"/>
  <c r="AL1594" i="37"/>
  <c r="AL1593" i="37"/>
  <c r="AL1592" i="37"/>
  <c r="AL1591" i="37"/>
  <c r="AL1590" i="37"/>
  <c r="D7" i="38"/>
  <c r="H7" i="38"/>
  <c r="N7" i="38" s="1"/>
  <c r="D8" i="38"/>
  <c r="H8" i="38"/>
  <c r="N8" i="38" s="1"/>
  <c r="D9" i="38"/>
  <c r="H9" i="38"/>
  <c r="N9" i="38" s="1"/>
  <c r="D10" i="38"/>
  <c r="H10" i="38"/>
  <c r="N10" i="38" s="1"/>
  <c r="D11" i="38"/>
  <c r="H11" i="38"/>
  <c r="N11" i="38" s="1"/>
  <c r="D12" i="38"/>
  <c r="H12" i="38"/>
  <c r="N12" i="38" s="1"/>
  <c r="D13" i="38"/>
  <c r="H13" i="38"/>
  <c r="N13" i="38" s="1"/>
  <c r="D14" i="38"/>
  <c r="H14" i="38"/>
  <c r="N14" i="38" s="1"/>
  <c r="N31" i="38"/>
  <c r="O31" i="38" s="1"/>
  <c r="J20" i="38"/>
  <c r="J18" i="38"/>
  <c r="K7" i="13"/>
  <c r="K5" i="13"/>
  <c r="P21" i="38"/>
  <c r="P20" i="38"/>
  <c r="P19" i="38"/>
  <c r="P18" i="38"/>
  <c r="N22" i="38"/>
  <c r="O22" i="38"/>
  <c r="L19" i="38"/>
  <c r="L20" i="38"/>
  <c r="L21" i="38"/>
  <c r="L18" i="38"/>
  <c r="D4" i="38"/>
  <c r="D5" i="38"/>
  <c r="D6" i="38"/>
  <c r="D3" i="38"/>
  <c r="C15" i="38"/>
  <c r="G9" i="8"/>
  <c r="AE1345" i="37"/>
  <c r="AB1345" i="37"/>
  <c r="H4" i="38"/>
  <c r="N4" i="38" s="1"/>
  <c r="H5" i="38"/>
  <c r="N5" i="38" s="1"/>
  <c r="H6" i="38"/>
  <c r="N6" i="38" s="1"/>
  <c r="H3" i="38"/>
  <c r="N3" i="38" s="1"/>
  <c r="G4" i="38"/>
  <c r="M4" i="38" s="1"/>
  <c r="G5" i="38"/>
  <c r="M5" i="38" s="1"/>
  <c r="G6" i="38"/>
  <c r="M6" i="38" s="1"/>
  <c r="D1345" i="37"/>
  <c r="AD1345" i="37" s="1"/>
  <c r="AL1731" i="37"/>
  <c r="AL1730" i="37"/>
  <c r="AL1729" i="37"/>
  <c r="AL1728" i="37"/>
  <c r="AL1727" i="37"/>
  <c r="AL1726" i="37"/>
  <c r="AL1345" i="37"/>
  <c r="AF1345" i="37"/>
  <c r="AG1345" i="37" s="1"/>
  <c r="U1345" i="37"/>
  <c r="Q1345" i="37"/>
  <c r="R1345" i="37" s="1"/>
  <c r="AL1344" i="37"/>
  <c r="AL1343" i="37"/>
  <c r="AL1342" i="37"/>
  <c r="AL1341" i="37"/>
  <c r="AL1340" i="37"/>
  <c r="AL1339" i="37"/>
  <c r="AL1338" i="37"/>
  <c r="AL1336" i="37"/>
  <c r="AL1335" i="37"/>
  <c r="AL1334" i="37"/>
  <c r="AL1333" i="37"/>
  <c r="AL1332" i="37"/>
  <c r="AL1331" i="37"/>
  <c r="AL1330" i="37"/>
  <c r="AL1329" i="37"/>
  <c r="AL1328" i="37"/>
  <c r="AL1327" i="37"/>
  <c r="AL1326" i="37"/>
  <c r="AL1325" i="37"/>
  <c r="AL1324" i="37"/>
  <c r="AL1323" i="37"/>
  <c r="AL1322" i="37"/>
  <c r="AL1321" i="37"/>
  <c r="AL1320" i="37"/>
  <c r="AL1319" i="37"/>
  <c r="AL1318" i="37"/>
  <c r="AL1317" i="37"/>
  <c r="AL1316" i="37"/>
  <c r="AL1315" i="37"/>
  <c r="AL1314" i="37"/>
  <c r="AL1313" i="37"/>
  <c r="AL1312" i="37"/>
  <c r="AL1311" i="37"/>
  <c r="AL1310" i="37"/>
  <c r="AL1309" i="37"/>
  <c r="AL1308" i="37"/>
  <c r="AL1307" i="37"/>
  <c r="AL1306" i="37"/>
  <c r="AL1305" i="37"/>
  <c r="AL1304" i="37"/>
  <c r="AL1303" i="37"/>
  <c r="AL1302" i="37"/>
  <c r="AL1301" i="37"/>
  <c r="AL1300" i="37"/>
  <c r="AL1299" i="37"/>
  <c r="AL1298" i="37"/>
  <c r="AL1297" i="37"/>
  <c r="AL1296" i="37"/>
  <c r="AL1295" i="37"/>
  <c r="AL1294" i="37"/>
  <c r="AL1293" i="37"/>
  <c r="AL1292" i="37"/>
  <c r="AL1291" i="37"/>
  <c r="AL1290" i="37"/>
  <c r="AL1289" i="37"/>
  <c r="AL1288" i="37"/>
  <c r="AL1287" i="37"/>
  <c r="AL1286" i="37"/>
  <c r="AL1285" i="37"/>
  <c r="AL1284" i="37"/>
  <c r="AL1283" i="37"/>
  <c r="AL1282" i="37"/>
  <c r="AL1281" i="37"/>
  <c r="AL1280" i="37"/>
  <c r="AL1279" i="37"/>
  <c r="AL1278" i="37"/>
  <c r="AL1277" i="37"/>
  <c r="AL1276" i="37"/>
  <c r="AL1275" i="37"/>
  <c r="AL1274" i="37"/>
  <c r="AL1273" i="37"/>
  <c r="AL1272" i="37"/>
  <c r="AL1271" i="37"/>
  <c r="AL1270" i="37"/>
  <c r="AL1269" i="37"/>
  <c r="AL1268" i="37"/>
  <c r="AL1267" i="37"/>
  <c r="AL1266" i="37"/>
  <c r="AL1265" i="37"/>
  <c r="AL1264" i="37"/>
  <c r="AL1263" i="37"/>
  <c r="AL1262" i="37"/>
  <c r="AL1261" i="37"/>
  <c r="AL1260" i="37"/>
  <c r="AL1259" i="37"/>
  <c r="AL1258" i="37"/>
  <c r="AL1257" i="37"/>
  <c r="AL1256" i="37"/>
  <c r="AL1255" i="37"/>
  <c r="AL1254" i="37"/>
  <c r="AL1253" i="37"/>
  <c r="AL1252" i="37"/>
  <c r="AL1251" i="37"/>
  <c r="AL1250" i="37"/>
  <c r="AL1249" i="37"/>
  <c r="AL1248" i="37"/>
  <c r="AL1247" i="37"/>
  <c r="AL1246" i="37"/>
  <c r="AL1245" i="37"/>
  <c r="AL1244" i="37"/>
  <c r="AL1243" i="37"/>
  <c r="AL1242" i="37"/>
  <c r="AL1241" i="37"/>
  <c r="AL1240" i="37"/>
  <c r="AL1239" i="37"/>
  <c r="AL1238" i="37"/>
  <c r="AL1237" i="37"/>
  <c r="AL1236" i="37"/>
  <c r="AL1235" i="37"/>
  <c r="AL1234" i="37"/>
  <c r="AL1233" i="37"/>
  <c r="AL1232" i="37"/>
  <c r="AL1231" i="37"/>
  <c r="AL1230" i="37"/>
  <c r="AL1229" i="37"/>
  <c r="AL1228" i="37"/>
  <c r="AL1227" i="37"/>
  <c r="AL1226" i="37"/>
  <c r="AL1225" i="37"/>
  <c r="AL1224" i="37"/>
  <c r="AL1223" i="37"/>
  <c r="AL1222" i="37"/>
  <c r="AL1221" i="37"/>
  <c r="AL1220" i="37"/>
  <c r="AL1219" i="37"/>
  <c r="AL1218" i="37"/>
  <c r="AL1217" i="37"/>
  <c r="AL1216" i="37"/>
  <c r="AL1215" i="37"/>
  <c r="AL1214" i="37"/>
  <c r="AL1213" i="37"/>
  <c r="AL1212" i="37"/>
  <c r="AL1211" i="37"/>
  <c r="AL1210" i="37"/>
  <c r="AL1209" i="37"/>
  <c r="AL1208" i="37"/>
  <c r="AL1207" i="37"/>
  <c r="AL1206" i="37"/>
  <c r="AL1205" i="37"/>
  <c r="AL1204" i="37"/>
  <c r="AL1203" i="37"/>
  <c r="AL1202" i="37"/>
  <c r="AL1201" i="37"/>
  <c r="AL1200" i="37"/>
  <c r="AL1199" i="37"/>
  <c r="AL1198" i="37"/>
  <c r="AL1197" i="37"/>
  <c r="AL1196" i="37"/>
  <c r="AL1195" i="37"/>
  <c r="AL1194" i="37"/>
  <c r="AL1193" i="37"/>
  <c r="AL1192" i="37"/>
  <c r="AL1191" i="37"/>
  <c r="AL1190" i="37"/>
  <c r="AL1189" i="37"/>
  <c r="AL1188" i="37"/>
  <c r="AL1187" i="37"/>
  <c r="AL1186" i="37"/>
  <c r="AL1185" i="37"/>
  <c r="AL1184" i="37"/>
  <c r="AL1183" i="37"/>
  <c r="AL1182" i="37"/>
  <c r="AL1181" i="37"/>
  <c r="AL1180" i="37"/>
  <c r="AL1179" i="37"/>
  <c r="AL1178" i="37"/>
  <c r="AL1177" i="37"/>
  <c r="AL1176" i="37"/>
  <c r="AL1175" i="37"/>
  <c r="AL1174" i="37"/>
  <c r="AL1173" i="37"/>
  <c r="AL1172" i="37"/>
  <c r="AL1171" i="37"/>
  <c r="AL1170" i="37"/>
  <c r="AL1169" i="37"/>
  <c r="AL1168" i="37"/>
  <c r="AL1167" i="37"/>
  <c r="AL1166" i="37"/>
  <c r="AL1165" i="37"/>
  <c r="AL1164" i="37"/>
  <c r="AL1163" i="37"/>
  <c r="AL1162" i="37"/>
  <c r="AL1161" i="37"/>
  <c r="AL1160" i="37"/>
  <c r="AL1159" i="37"/>
  <c r="AL1158" i="37"/>
  <c r="AL1157" i="37"/>
  <c r="AL1156" i="37"/>
  <c r="AL1155" i="37"/>
  <c r="AL1154" i="37"/>
  <c r="AL1153" i="37"/>
  <c r="AL1152" i="37"/>
  <c r="AL1151" i="37"/>
  <c r="AL1150" i="37"/>
  <c r="AL1149" i="37"/>
  <c r="AL1148" i="37"/>
  <c r="AL1147" i="37"/>
  <c r="AL1146" i="37"/>
  <c r="AL1145" i="37"/>
  <c r="AL1144" i="37"/>
  <c r="AL1143" i="37"/>
  <c r="AL1142" i="37"/>
  <c r="AL1141" i="37"/>
  <c r="AL1140" i="37"/>
  <c r="AL1139" i="37"/>
  <c r="AL1138" i="37"/>
  <c r="AL1137" i="37"/>
  <c r="AL1136" i="37"/>
  <c r="AL1135" i="37"/>
  <c r="AL1134" i="37"/>
  <c r="AL1133" i="37"/>
  <c r="AL1132" i="37"/>
  <c r="AL1131" i="37"/>
  <c r="AL1130" i="37"/>
  <c r="AL1129" i="37"/>
  <c r="AL1128" i="37"/>
  <c r="AL1127" i="37"/>
  <c r="AL1126" i="37"/>
  <c r="AL1125" i="37"/>
  <c r="AL1124" i="37"/>
  <c r="AL1123" i="37"/>
  <c r="AL1122" i="37"/>
  <c r="AL1121" i="37"/>
  <c r="AL1120" i="37"/>
  <c r="AL1119" i="37"/>
  <c r="AL1118" i="37"/>
  <c r="AL1117" i="37"/>
  <c r="AL1116" i="37"/>
  <c r="AL1115" i="37"/>
  <c r="AL1114" i="37"/>
  <c r="AL1113" i="37"/>
  <c r="AL1112" i="37"/>
  <c r="AL1111" i="37"/>
  <c r="AL1110" i="37"/>
  <c r="AL1109" i="37"/>
  <c r="AL1108" i="37"/>
  <c r="AL1107" i="37"/>
  <c r="AL1106" i="37"/>
  <c r="AL1105" i="37"/>
  <c r="AL1104" i="37"/>
  <c r="AL1103" i="37"/>
  <c r="AL1102" i="37"/>
  <c r="AL1101" i="37"/>
  <c r="AL1100" i="37"/>
  <c r="AL1099" i="37"/>
  <c r="AL1098" i="37"/>
  <c r="AL1097" i="37"/>
  <c r="AL1096" i="37"/>
  <c r="AL1095" i="37"/>
  <c r="AL1094" i="37"/>
  <c r="AL1093" i="37"/>
  <c r="AL1092" i="37"/>
  <c r="AL1091" i="37"/>
  <c r="AL1090" i="37"/>
  <c r="AL1089" i="37"/>
  <c r="AL1088" i="37"/>
  <c r="AL1087" i="37"/>
  <c r="AL1086" i="37"/>
  <c r="AL1085" i="37"/>
  <c r="AL1084" i="37"/>
  <c r="AL1083" i="37"/>
  <c r="AL1082" i="37"/>
  <c r="AL1081" i="37"/>
  <c r="AL1080" i="37"/>
  <c r="AL1079" i="37"/>
  <c r="AL1078" i="37"/>
  <c r="AL1077" i="37"/>
  <c r="AL1076" i="37"/>
  <c r="AL1075" i="37"/>
  <c r="AL1074" i="37"/>
  <c r="AL1073" i="37"/>
  <c r="AL1072" i="37"/>
  <c r="AL1071" i="37"/>
  <c r="AL1070" i="37"/>
  <c r="AL1069" i="37"/>
  <c r="AL1068" i="37"/>
  <c r="AL1067" i="37"/>
  <c r="AL1066" i="37"/>
  <c r="AL1065" i="37"/>
  <c r="AL1064" i="37"/>
  <c r="AL1063" i="37"/>
  <c r="AL1062" i="37"/>
  <c r="AL1061" i="37"/>
  <c r="AL1060" i="37"/>
  <c r="AL1059" i="37"/>
  <c r="AL1058" i="37"/>
  <c r="AL1057" i="37"/>
  <c r="AL1056" i="37"/>
  <c r="AL1055" i="37"/>
  <c r="AL1054" i="37"/>
  <c r="AL1053" i="37"/>
  <c r="AL1052" i="37"/>
  <c r="AL1051" i="37"/>
  <c r="AL1050" i="37"/>
  <c r="AL1049" i="37"/>
  <c r="AL1048" i="37"/>
  <c r="AL1047" i="37"/>
  <c r="AL1046" i="37"/>
  <c r="AL1045" i="37"/>
  <c r="AL1044" i="37"/>
  <c r="AL1043" i="37"/>
  <c r="AL1042" i="37"/>
  <c r="AL1041" i="37"/>
  <c r="AL1040" i="37"/>
  <c r="AL1039" i="37"/>
  <c r="AL1038" i="37"/>
  <c r="AL1037" i="37"/>
  <c r="AL1036" i="37"/>
  <c r="AL1035" i="37"/>
  <c r="AL1034" i="37"/>
  <c r="AL1033" i="37"/>
  <c r="AL1032" i="37"/>
  <c r="AL1031" i="37"/>
  <c r="AL1030" i="37"/>
  <c r="AL1029" i="37"/>
  <c r="AL1028" i="37"/>
  <c r="AL1027" i="37"/>
  <c r="AL1026" i="37"/>
  <c r="AL1025" i="37"/>
  <c r="AL1024" i="37"/>
  <c r="AL1023" i="37"/>
  <c r="AL1022" i="37"/>
  <c r="AL1021" i="37"/>
  <c r="AL1020" i="37"/>
  <c r="AL1019" i="37"/>
  <c r="AL1018" i="37"/>
  <c r="AL1017" i="37"/>
  <c r="AL1016" i="37"/>
  <c r="AL1015" i="37"/>
  <c r="AL1014" i="37"/>
  <c r="AL1013" i="37"/>
  <c r="AL1012" i="37"/>
  <c r="AL1011" i="37"/>
  <c r="AL1010" i="37"/>
  <c r="AL1009" i="37"/>
  <c r="AL1008" i="37"/>
  <c r="AL1007" i="37"/>
  <c r="AL1006" i="37"/>
  <c r="AL1005" i="37"/>
  <c r="AL1004" i="37"/>
  <c r="AL1003" i="37"/>
  <c r="AL1002" i="37"/>
  <c r="AL1001" i="37"/>
  <c r="AL1000" i="37"/>
  <c r="AL999" i="37"/>
  <c r="AL998" i="37"/>
  <c r="AL997" i="37"/>
  <c r="AL996" i="37"/>
  <c r="AL995" i="37"/>
  <c r="AL994" i="37"/>
  <c r="AL993" i="37"/>
  <c r="AL992" i="37"/>
  <c r="AL991" i="37"/>
  <c r="AL990" i="37"/>
  <c r="AL989" i="37"/>
  <c r="AL988" i="37"/>
  <c r="AL987" i="37"/>
  <c r="AL986" i="37"/>
  <c r="AL985" i="37"/>
  <c r="AL984" i="37"/>
  <c r="AL983" i="37"/>
  <c r="AL982" i="37"/>
  <c r="AL981" i="37"/>
  <c r="AL980" i="37"/>
  <c r="AL979" i="37"/>
  <c r="AL978" i="37"/>
  <c r="AL977" i="37"/>
  <c r="AL976" i="37"/>
  <c r="AL975" i="37"/>
  <c r="AL974" i="37"/>
  <c r="AL973" i="37"/>
  <c r="AL972" i="37"/>
  <c r="AL971" i="37"/>
  <c r="AL970" i="37"/>
  <c r="AL969" i="37"/>
  <c r="AL968" i="37"/>
  <c r="AL967" i="37"/>
  <c r="AL966" i="37"/>
  <c r="AL965" i="37"/>
  <c r="AL964" i="37"/>
  <c r="AL963" i="37"/>
  <c r="AL962" i="37"/>
  <c r="AL961" i="37"/>
  <c r="AL960" i="37"/>
  <c r="AL959" i="37"/>
  <c r="AL958" i="37"/>
  <c r="AL957" i="37"/>
  <c r="AL956" i="37"/>
  <c r="AL955" i="37"/>
  <c r="AL954" i="37"/>
  <c r="AL953" i="37"/>
  <c r="AL952" i="37"/>
  <c r="AL951" i="37"/>
  <c r="AL950" i="37"/>
  <c r="AL949" i="37"/>
  <c r="AL948" i="37"/>
  <c r="AL947" i="37"/>
  <c r="AL946" i="37"/>
  <c r="AL945" i="37"/>
  <c r="AL944" i="37"/>
  <c r="AL943" i="37"/>
  <c r="AL942" i="37"/>
  <c r="AL941" i="37"/>
  <c r="AL940" i="37"/>
  <c r="AL939" i="37"/>
  <c r="AL938" i="37"/>
  <c r="AL937" i="37"/>
  <c r="AL936" i="37"/>
  <c r="AL935" i="37"/>
  <c r="AL934" i="37"/>
  <c r="AL933" i="37"/>
  <c r="AL932" i="37"/>
  <c r="AL931" i="37"/>
  <c r="AL930" i="37"/>
  <c r="AL929" i="37"/>
  <c r="AL928" i="37"/>
  <c r="AL927" i="37"/>
  <c r="AL926" i="37"/>
  <c r="AL925" i="37"/>
  <c r="AL924" i="37"/>
  <c r="AL923" i="37"/>
  <c r="AL922" i="37"/>
  <c r="AL921" i="37"/>
  <c r="AL920" i="37"/>
  <c r="AL919" i="37"/>
  <c r="AL918" i="37"/>
  <c r="AL917" i="37"/>
  <c r="AL916" i="37"/>
  <c r="AL915" i="37"/>
  <c r="AL914" i="37"/>
  <c r="AL913" i="37"/>
  <c r="AL912" i="37"/>
  <c r="AL911" i="37"/>
  <c r="AL910" i="37"/>
  <c r="AL909" i="37"/>
  <c r="AL908" i="37"/>
  <c r="AL907" i="37"/>
  <c r="AL906" i="37"/>
  <c r="AL905" i="37"/>
  <c r="AL904" i="37"/>
  <c r="AL903" i="37"/>
  <c r="AL902" i="37"/>
  <c r="AL901" i="37"/>
  <c r="AL900" i="37"/>
  <c r="AL899" i="37"/>
  <c r="AL898" i="37"/>
  <c r="AL897" i="37"/>
  <c r="AL896" i="37"/>
  <c r="AL895" i="37"/>
  <c r="AL894" i="37"/>
  <c r="AL893" i="37"/>
  <c r="AL892" i="37"/>
  <c r="AL891" i="37"/>
  <c r="AL890" i="37"/>
  <c r="AL889" i="37"/>
  <c r="AL888" i="37"/>
  <c r="AL887" i="37"/>
  <c r="AL886" i="37"/>
  <c r="AL885" i="37"/>
  <c r="AL884" i="37"/>
  <c r="AL883" i="37"/>
  <c r="AL882" i="37"/>
  <c r="AL881" i="37"/>
  <c r="AL880" i="37"/>
  <c r="AL879" i="37"/>
  <c r="AL878" i="37"/>
  <c r="AL877" i="37"/>
  <c r="AL876" i="37"/>
  <c r="AL875" i="37"/>
  <c r="AL874" i="37"/>
  <c r="AL873" i="37"/>
  <c r="AL872" i="37"/>
  <c r="AL871" i="37"/>
  <c r="AL870" i="37"/>
  <c r="AL869" i="37"/>
  <c r="AL868" i="37"/>
  <c r="AL867" i="37"/>
  <c r="AL866" i="37"/>
  <c r="AL865" i="37"/>
  <c r="AL864" i="37"/>
  <c r="AL863" i="37"/>
  <c r="AL862" i="37"/>
  <c r="AL861" i="37"/>
  <c r="AL860" i="37"/>
  <c r="AL859" i="37"/>
  <c r="AL858" i="37"/>
  <c r="AL857" i="37"/>
  <c r="AL856" i="37"/>
  <c r="AL855" i="37"/>
  <c r="AL854" i="37"/>
  <c r="AL853" i="37"/>
  <c r="AL852" i="37"/>
  <c r="AL851" i="37"/>
  <c r="AL850" i="37"/>
  <c r="AL849" i="37"/>
  <c r="AL848" i="37"/>
  <c r="AL847" i="37"/>
  <c r="AL846" i="37"/>
  <c r="AL845" i="37"/>
  <c r="AL844" i="37"/>
  <c r="AL843" i="37"/>
  <c r="AL842" i="37"/>
  <c r="AL841" i="37"/>
  <c r="AL840" i="37"/>
  <c r="AL839" i="37"/>
  <c r="AL838" i="37"/>
  <c r="AL837" i="37"/>
  <c r="AL836" i="37"/>
  <c r="AL835" i="37"/>
  <c r="AL834" i="37"/>
  <c r="AL833" i="37"/>
  <c r="AL832" i="37"/>
  <c r="AL831" i="37"/>
  <c r="AL830" i="37"/>
  <c r="AL829" i="37"/>
  <c r="AL828" i="37"/>
  <c r="AL827" i="37"/>
  <c r="AL826" i="37"/>
  <c r="AL825" i="37"/>
  <c r="AL824" i="37"/>
  <c r="AL823" i="37"/>
  <c r="AL822" i="37"/>
  <c r="AL821" i="37"/>
  <c r="AL820" i="37"/>
  <c r="AL819" i="37"/>
  <c r="AL818" i="37"/>
  <c r="AL817" i="37"/>
  <c r="AL816" i="37"/>
  <c r="AL815" i="37"/>
  <c r="AL814" i="37"/>
  <c r="AL813" i="37"/>
  <c r="AL812" i="37"/>
  <c r="AL811" i="37"/>
  <c r="AL810" i="37"/>
  <c r="AL809" i="37"/>
  <c r="AL808" i="37"/>
  <c r="AL807" i="37"/>
  <c r="AL806" i="37"/>
  <c r="AL805" i="37"/>
  <c r="AL804" i="37"/>
  <c r="AL803" i="37"/>
  <c r="AL802" i="37"/>
  <c r="AL801" i="37"/>
  <c r="AL800" i="37"/>
  <c r="AL799" i="37"/>
  <c r="AL798" i="37"/>
  <c r="AL797" i="37"/>
  <c r="AL796" i="37"/>
  <c r="AL795" i="37"/>
  <c r="AL794" i="37"/>
  <c r="AL793" i="37"/>
  <c r="AL792" i="37"/>
  <c r="AL791" i="37"/>
  <c r="AL790" i="37"/>
  <c r="AL789" i="37"/>
  <c r="AL788" i="37"/>
  <c r="AL787" i="37"/>
  <c r="AL786" i="37"/>
  <c r="AL785" i="37"/>
  <c r="AL784" i="37"/>
  <c r="AL783" i="37"/>
  <c r="AL782" i="37"/>
  <c r="AL781" i="37"/>
  <c r="AL780" i="37"/>
  <c r="AL779" i="37"/>
  <c r="AL778" i="37"/>
  <c r="AL777" i="37"/>
  <c r="AL776" i="37"/>
  <c r="AL775" i="37"/>
  <c r="AL774" i="37"/>
  <c r="AL773" i="37"/>
  <c r="AL772" i="37"/>
  <c r="AL771" i="37"/>
  <c r="AL770" i="37"/>
  <c r="AL769" i="37"/>
  <c r="AL768" i="37"/>
  <c r="AL767" i="37"/>
  <c r="AL766" i="37"/>
  <c r="AL765" i="37"/>
  <c r="AL764" i="37"/>
  <c r="AL763" i="37"/>
  <c r="AL762" i="37"/>
  <c r="AL761" i="37"/>
  <c r="AL760" i="37"/>
  <c r="AL759" i="37"/>
  <c r="AL758" i="37"/>
  <c r="AL757" i="37"/>
  <c r="AL756" i="37"/>
  <c r="AL755" i="37"/>
  <c r="AL754" i="37"/>
  <c r="AL753" i="37"/>
  <c r="AL752" i="37"/>
  <c r="AL751" i="37"/>
  <c r="AL750" i="37"/>
  <c r="AL749" i="37"/>
  <c r="AL748" i="37"/>
  <c r="AL747" i="37"/>
  <c r="AL746" i="37"/>
  <c r="AL745" i="37"/>
  <c r="AL744" i="37"/>
  <c r="AL743" i="37"/>
  <c r="AL742" i="37"/>
  <c r="AL741" i="37"/>
  <c r="AL740" i="37"/>
  <c r="AL739" i="37"/>
  <c r="AL738" i="37"/>
  <c r="AL737" i="37"/>
  <c r="AL736" i="37"/>
  <c r="AL735" i="37"/>
  <c r="AL734" i="37"/>
  <c r="AL733" i="37"/>
  <c r="AL732" i="37"/>
  <c r="AL731" i="37"/>
  <c r="AL730" i="37"/>
  <c r="AL729" i="37"/>
  <c r="AL728" i="37"/>
  <c r="AL727" i="37"/>
  <c r="AL726" i="37"/>
  <c r="AL725" i="37"/>
  <c r="AL724" i="37"/>
  <c r="AL723" i="37"/>
  <c r="AL722" i="37"/>
  <c r="AL721" i="37"/>
  <c r="AL720" i="37"/>
  <c r="AL719" i="37"/>
  <c r="AL718" i="37"/>
  <c r="AL717" i="37"/>
  <c r="AL716" i="37"/>
  <c r="AL715" i="37"/>
  <c r="AL714" i="37"/>
  <c r="AL713" i="37"/>
  <c r="AL712" i="37"/>
  <c r="AL711" i="37"/>
  <c r="AL710" i="37"/>
  <c r="AL709" i="37"/>
  <c r="AL708" i="37"/>
  <c r="AL707" i="37"/>
  <c r="AL706" i="37"/>
  <c r="AL705" i="37"/>
  <c r="AL704" i="37"/>
  <c r="AL703" i="37"/>
  <c r="AL702" i="37"/>
  <c r="AL701" i="37"/>
  <c r="AL700" i="37"/>
  <c r="AL699" i="37"/>
  <c r="AL698" i="37"/>
  <c r="AL697" i="37"/>
  <c r="AL696" i="37"/>
  <c r="AL695" i="37"/>
  <c r="AL694" i="37"/>
  <c r="AL693" i="37"/>
  <c r="AL692" i="37"/>
  <c r="AL691" i="37"/>
  <c r="AL690" i="37"/>
  <c r="AL689" i="37"/>
  <c r="AL688" i="37"/>
  <c r="AL687" i="37"/>
  <c r="AL686" i="37"/>
  <c r="AL685" i="37"/>
  <c r="AL684" i="37"/>
  <c r="AL683" i="37"/>
  <c r="AL682" i="37"/>
  <c r="AL681" i="37"/>
  <c r="AL680" i="37"/>
  <c r="AL679" i="37"/>
  <c r="AL678" i="37"/>
  <c r="AL677" i="37"/>
  <c r="AL676" i="37"/>
  <c r="AL675" i="37"/>
  <c r="AL674" i="37"/>
  <c r="AL673" i="37"/>
  <c r="AL672" i="37"/>
  <c r="AL671" i="37"/>
  <c r="AL670" i="37"/>
  <c r="AL669" i="37"/>
  <c r="AL668" i="37"/>
  <c r="AL667" i="37"/>
  <c r="AL666" i="37"/>
  <c r="AL665" i="37"/>
  <c r="AL664" i="37"/>
  <c r="AL663" i="37"/>
  <c r="AL662" i="37"/>
  <c r="AL661" i="37"/>
  <c r="AL660" i="37"/>
  <c r="AL659" i="37"/>
  <c r="AL658" i="37"/>
  <c r="AL657" i="37"/>
  <c r="AL656" i="37"/>
  <c r="AL655" i="37"/>
  <c r="AL654" i="37"/>
  <c r="AL653" i="37"/>
  <c r="AL652" i="37"/>
  <c r="AL651" i="37"/>
  <c r="AL650" i="37"/>
  <c r="AL649" i="37"/>
  <c r="AL648" i="37"/>
  <c r="AL647" i="37"/>
  <c r="AL646" i="37"/>
  <c r="AL645" i="37"/>
  <c r="AL644" i="37"/>
  <c r="AL643" i="37"/>
  <c r="AL642" i="37"/>
  <c r="AL641" i="37"/>
  <c r="AL640" i="37"/>
  <c r="AL639" i="37"/>
  <c r="AL638" i="37"/>
  <c r="AL637" i="37"/>
  <c r="AL636" i="37"/>
  <c r="AL635" i="37"/>
  <c r="AL634" i="37"/>
  <c r="AL633" i="37"/>
  <c r="AL632" i="37"/>
  <c r="AL631" i="37"/>
  <c r="AL630" i="37"/>
  <c r="AL629" i="37"/>
  <c r="AL628" i="37"/>
  <c r="AL627" i="37"/>
  <c r="AL626" i="37"/>
  <c r="AL625" i="37"/>
  <c r="AL624" i="37"/>
  <c r="AL623" i="37"/>
  <c r="AL622" i="37"/>
  <c r="AL621" i="37"/>
  <c r="AL620" i="37"/>
  <c r="AL619" i="37"/>
  <c r="AL618" i="37"/>
  <c r="AL617" i="37"/>
  <c r="AL616" i="37"/>
  <c r="AL615" i="37"/>
  <c r="AL614" i="37"/>
  <c r="AL613" i="37"/>
  <c r="AL612" i="37"/>
  <c r="AL611" i="37"/>
  <c r="AL610" i="37"/>
  <c r="AL609" i="37"/>
  <c r="AL608" i="37"/>
  <c r="AL607" i="37"/>
  <c r="AL606" i="37"/>
  <c r="AL605" i="37"/>
  <c r="AL604" i="37"/>
  <c r="AL603" i="37"/>
  <c r="AL602" i="37"/>
  <c r="AL601" i="37"/>
  <c r="AL600" i="37"/>
  <c r="AL599" i="37"/>
  <c r="AL598" i="37"/>
  <c r="AL597" i="37"/>
  <c r="AL596" i="37"/>
  <c r="AL595" i="37"/>
  <c r="AL594" i="37"/>
  <c r="AL593" i="37"/>
  <c r="AL592" i="37"/>
  <c r="AL591" i="37"/>
  <c r="AL590" i="37"/>
  <c r="AL589" i="37"/>
  <c r="AL588" i="37"/>
  <c r="AL587" i="37"/>
  <c r="AL586" i="37"/>
  <c r="AL585" i="37"/>
  <c r="AL584" i="37"/>
  <c r="AL583" i="37"/>
  <c r="AL582" i="37"/>
  <c r="AL581" i="37"/>
  <c r="AL580" i="37"/>
  <c r="AL579" i="37"/>
  <c r="AL578" i="37"/>
  <c r="AL577" i="37"/>
  <c r="AL576" i="37"/>
  <c r="AL575" i="37"/>
  <c r="AL574" i="37"/>
  <c r="AL573" i="37"/>
  <c r="AL572" i="37"/>
  <c r="AL571" i="37"/>
  <c r="AL570" i="37"/>
  <c r="AL569" i="37"/>
  <c r="AL568" i="37"/>
  <c r="AL567" i="37"/>
  <c r="AL566" i="37"/>
  <c r="AL565" i="37"/>
  <c r="AL564" i="37"/>
  <c r="AL563" i="37"/>
  <c r="AL562" i="37"/>
  <c r="AL561" i="37"/>
  <c r="AL560" i="37"/>
  <c r="AL559" i="37"/>
  <c r="AL558" i="37"/>
  <c r="AL557" i="37"/>
  <c r="AL556" i="37"/>
  <c r="AL555" i="37"/>
  <c r="AL554" i="37"/>
  <c r="AL553" i="37"/>
  <c r="AL552" i="37"/>
  <c r="AL551" i="37"/>
  <c r="AL550" i="37"/>
  <c r="AL549" i="37"/>
  <c r="AL548" i="37"/>
  <c r="AL547" i="37"/>
  <c r="AL546" i="37"/>
  <c r="AL545" i="37"/>
  <c r="AL544" i="37"/>
  <c r="AL543" i="37"/>
  <c r="AL542" i="37"/>
  <c r="AL541" i="37"/>
  <c r="AL540" i="37"/>
  <c r="AL539" i="37"/>
  <c r="AL538" i="37"/>
  <c r="AL537" i="37"/>
  <c r="AL536" i="37"/>
  <c r="AL535" i="37"/>
  <c r="AL534" i="37"/>
  <c r="AL533" i="37"/>
  <c r="AL532" i="37"/>
  <c r="AL531" i="37"/>
  <c r="AL530" i="37"/>
  <c r="AL529" i="37"/>
  <c r="AL528" i="37"/>
  <c r="AL527" i="37"/>
  <c r="AL526" i="37"/>
  <c r="AL525" i="37"/>
  <c r="AL524" i="37"/>
  <c r="AL523" i="37"/>
  <c r="AL522" i="37"/>
  <c r="AL521" i="37"/>
  <c r="AL520" i="37"/>
  <c r="AL519" i="37"/>
  <c r="AL518" i="37"/>
  <c r="AL517" i="37"/>
  <c r="AL516" i="37"/>
  <c r="AL515" i="37"/>
  <c r="AL514" i="37"/>
  <c r="AL513" i="37"/>
  <c r="AL512" i="37"/>
  <c r="AL511" i="37"/>
  <c r="AL510" i="37"/>
  <c r="AL509" i="37"/>
  <c r="AL508" i="37"/>
  <c r="AL507" i="37"/>
  <c r="AL506" i="37"/>
  <c r="AL505" i="37"/>
  <c r="AL504" i="37"/>
  <c r="AL503" i="37"/>
  <c r="AL502" i="37"/>
  <c r="AL501" i="37"/>
  <c r="AL500" i="37"/>
  <c r="AL499" i="37"/>
  <c r="AL498" i="37"/>
  <c r="AL497" i="37"/>
  <c r="AL496" i="37"/>
  <c r="AL495" i="37"/>
  <c r="AL494" i="37"/>
  <c r="AL493" i="37"/>
  <c r="AL492" i="37"/>
  <c r="AL491" i="37"/>
  <c r="AL490" i="37"/>
  <c r="AL489" i="37"/>
  <c r="AL488" i="37"/>
  <c r="AL487" i="37"/>
  <c r="AL486" i="37"/>
  <c r="AL485" i="37"/>
  <c r="AL484" i="37"/>
  <c r="AL483" i="37"/>
  <c r="AL482" i="37"/>
  <c r="AL481" i="37"/>
  <c r="AL480" i="37"/>
  <c r="AL479" i="37"/>
  <c r="AL478" i="37"/>
  <c r="AL477" i="37"/>
  <c r="AL476" i="37"/>
  <c r="AL475" i="37"/>
  <c r="AL474" i="37"/>
  <c r="AL473" i="37"/>
  <c r="AL472" i="37"/>
  <c r="AL471" i="37"/>
  <c r="AL470" i="37"/>
  <c r="AL469" i="37"/>
  <c r="AL468" i="37"/>
  <c r="AL467" i="37"/>
  <c r="AL466" i="37"/>
  <c r="AL465" i="37"/>
  <c r="AL464" i="37"/>
  <c r="AL463" i="37"/>
  <c r="AL462" i="37"/>
  <c r="AL461" i="37"/>
  <c r="AL460" i="37"/>
  <c r="AL459" i="37"/>
  <c r="AL458" i="37"/>
  <c r="AL457" i="37"/>
  <c r="AL456" i="37"/>
  <c r="AL455" i="37"/>
  <c r="AL454" i="37"/>
  <c r="AL453" i="37"/>
  <c r="AL452" i="37"/>
  <c r="AL451" i="37"/>
  <c r="AL450" i="37"/>
  <c r="AL449" i="37"/>
  <c r="AL448" i="37"/>
  <c r="AL447" i="37"/>
  <c r="AL446" i="37"/>
  <c r="AL445" i="37"/>
  <c r="AL444" i="37"/>
  <c r="AL443" i="37"/>
  <c r="AL442" i="37"/>
  <c r="AL441" i="37"/>
  <c r="AL440" i="37"/>
  <c r="AL439" i="37"/>
  <c r="AL438" i="37"/>
  <c r="AL437" i="37"/>
  <c r="AL436" i="37"/>
  <c r="AL435" i="37"/>
  <c r="AL434" i="37"/>
  <c r="AL433" i="37"/>
  <c r="AL432" i="37"/>
  <c r="AL431" i="37"/>
  <c r="AL430" i="37"/>
  <c r="AL429" i="37"/>
  <c r="AL428" i="37"/>
  <c r="AL427" i="37"/>
  <c r="AL426" i="37"/>
  <c r="AL425" i="37"/>
  <c r="AL424" i="37"/>
  <c r="AL423" i="37"/>
  <c r="AL422" i="37"/>
  <c r="AL421" i="37"/>
  <c r="AL420" i="37"/>
  <c r="AL419" i="37"/>
  <c r="AL418" i="37"/>
  <c r="AL417" i="37"/>
  <c r="AL416" i="37"/>
  <c r="AL415" i="37"/>
  <c r="AL414" i="37"/>
  <c r="AL413" i="37"/>
  <c r="AL412" i="37"/>
  <c r="AL411" i="37"/>
  <c r="AL410" i="37"/>
  <c r="AL409" i="37"/>
  <c r="AL408" i="37"/>
  <c r="AL407" i="37"/>
  <c r="AL406" i="37"/>
  <c r="AL405" i="37"/>
  <c r="AL404" i="37"/>
  <c r="AL403" i="37"/>
  <c r="AL402" i="37"/>
  <c r="AL401" i="37"/>
  <c r="AL400" i="37"/>
  <c r="AL399" i="37"/>
  <c r="AL398" i="37"/>
  <c r="AL397" i="37"/>
  <c r="AL396" i="37"/>
  <c r="AL395" i="37"/>
  <c r="AL394" i="37"/>
  <c r="AL393" i="37"/>
  <c r="AL392" i="37"/>
  <c r="AL391" i="37"/>
  <c r="AL390" i="37"/>
  <c r="AL389" i="37"/>
  <c r="AL388" i="37"/>
  <c r="AL387" i="37"/>
  <c r="AL386" i="37"/>
  <c r="AL385" i="37"/>
  <c r="AL384" i="37"/>
  <c r="AL383" i="37"/>
  <c r="AL382" i="37"/>
  <c r="AL381" i="37"/>
  <c r="AL380" i="37"/>
  <c r="AL379" i="37"/>
  <c r="AL378" i="37"/>
  <c r="AL377" i="37"/>
  <c r="AL376" i="37"/>
  <c r="AL375" i="37"/>
  <c r="AL374" i="37"/>
  <c r="AL373" i="37"/>
  <c r="AL372" i="37"/>
  <c r="AL371" i="37"/>
  <c r="AL370" i="37"/>
  <c r="AL369" i="37"/>
  <c r="AL368" i="37"/>
  <c r="AL367" i="37"/>
  <c r="AL366" i="37"/>
  <c r="AL365" i="37"/>
  <c r="AL364" i="37"/>
  <c r="AL363" i="37"/>
  <c r="AL362" i="37"/>
  <c r="AL361" i="37"/>
  <c r="AL360" i="37"/>
  <c r="AL359" i="37"/>
  <c r="AL358" i="37"/>
  <c r="AL357" i="37"/>
  <c r="AL356" i="37"/>
  <c r="AL355" i="37"/>
  <c r="AL354" i="37"/>
  <c r="AL353" i="37"/>
  <c r="AL352" i="37"/>
  <c r="AL351" i="37"/>
  <c r="AL350" i="37"/>
  <c r="AL349" i="37"/>
  <c r="AL348" i="37"/>
  <c r="AL347" i="37"/>
  <c r="AL346" i="37"/>
  <c r="AL345" i="37"/>
  <c r="AL344" i="37"/>
  <c r="AL343" i="37"/>
  <c r="AL342" i="37"/>
  <c r="AL341" i="37"/>
  <c r="AL340" i="37"/>
  <c r="AL339" i="37"/>
  <c r="AL338" i="37"/>
  <c r="AL337" i="37"/>
  <c r="AL336" i="37"/>
  <c r="AL335" i="37"/>
  <c r="AL334" i="37"/>
  <c r="AL333" i="37"/>
  <c r="AL332" i="37"/>
  <c r="AL331" i="37"/>
  <c r="AL330" i="37"/>
  <c r="AL329" i="37"/>
  <c r="AL328" i="37"/>
  <c r="AL327" i="37"/>
  <c r="AL326" i="37"/>
  <c r="AL325" i="37"/>
  <c r="AL324" i="37"/>
  <c r="AL323" i="37"/>
  <c r="AL322" i="37"/>
  <c r="AL321" i="37"/>
  <c r="AL320" i="37"/>
  <c r="AL319" i="37"/>
  <c r="AL318" i="37"/>
  <c r="AL317" i="37"/>
  <c r="AL316" i="37"/>
  <c r="AL315" i="37"/>
  <c r="AL314" i="37"/>
  <c r="AL313" i="37"/>
  <c r="AL312" i="37"/>
  <c r="AL311" i="37"/>
  <c r="AL310" i="37"/>
  <c r="AL309" i="37"/>
  <c r="AL308" i="37"/>
  <c r="AL307" i="37"/>
  <c r="AL306" i="37"/>
  <c r="AL305" i="37"/>
  <c r="AL304" i="37"/>
  <c r="AL303" i="37"/>
  <c r="AL302" i="37"/>
  <c r="AL301" i="37"/>
  <c r="AL300" i="37"/>
  <c r="AL299" i="37"/>
  <c r="AL298" i="37"/>
  <c r="AL297" i="37"/>
  <c r="AL296" i="37"/>
  <c r="AL295" i="37"/>
  <c r="AL294" i="37"/>
  <c r="AL293" i="37"/>
  <c r="AL292" i="37"/>
  <c r="AL291" i="37"/>
  <c r="AL290" i="37"/>
  <c r="AL289" i="37"/>
  <c r="AL288" i="37"/>
  <c r="AL287" i="37"/>
  <c r="AL286" i="37"/>
  <c r="AL285" i="37"/>
  <c r="AL284" i="37"/>
  <c r="AL283" i="37"/>
  <c r="AL282" i="37"/>
  <c r="AL281" i="37"/>
  <c r="AL280" i="37"/>
  <c r="AL279" i="37"/>
  <c r="AL278" i="37"/>
  <c r="AL277" i="37"/>
  <c r="AL276" i="37"/>
  <c r="AL275" i="37"/>
  <c r="AL274" i="37"/>
  <c r="AL273" i="37"/>
  <c r="AL272" i="37"/>
  <c r="AL271" i="37"/>
  <c r="AL270" i="37"/>
  <c r="AL269" i="37"/>
  <c r="AL268" i="37"/>
  <c r="AL267" i="37"/>
  <c r="AL266" i="37"/>
  <c r="AL265" i="37"/>
  <c r="AL264" i="37"/>
  <c r="AL263" i="37"/>
  <c r="AL262" i="37"/>
  <c r="AL261" i="37"/>
  <c r="AL260" i="37"/>
  <c r="AL259" i="37"/>
  <c r="AL258" i="37"/>
  <c r="AL257" i="37"/>
  <c r="AL256" i="37"/>
  <c r="AL255" i="37"/>
  <c r="AL254" i="37"/>
  <c r="AL253" i="37"/>
  <c r="AL252" i="37"/>
  <c r="AL251" i="37"/>
  <c r="AL250" i="37"/>
  <c r="AL249" i="37"/>
  <c r="AL248" i="37"/>
  <c r="AL247" i="37"/>
  <c r="AL246" i="37"/>
  <c r="AL245" i="37"/>
  <c r="AL244" i="37"/>
  <c r="AL243" i="37"/>
  <c r="AL242" i="37"/>
  <c r="AL241" i="37"/>
  <c r="AL240" i="37"/>
  <c r="AL239" i="37"/>
  <c r="AL238" i="37"/>
  <c r="AL237" i="37"/>
  <c r="AL236" i="37"/>
  <c r="AL235" i="37"/>
  <c r="AL234" i="37"/>
  <c r="AL233" i="37"/>
  <c r="AL232" i="37"/>
  <c r="AL231" i="37"/>
  <c r="AL230" i="37"/>
  <c r="AL229" i="37"/>
  <c r="AL228" i="37"/>
  <c r="AL227" i="37"/>
  <c r="AL226" i="37"/>
  <c r="AL225" i="37"/>
  <c r="AL224" i="37"/>
  <c r="AL223" i="37"/>
  <c r="AL222" i="37"/>
  <c r="AL221" i="37"/>
  <c r="AL220" i="37"/>
  <c r="AL219" i="37"/>
  <c r="AL218" i="37"/>
  <c r="AL217" i="37"/>
  <c r="AL216" i="37"/>
  <c r="AL215" i="37"/>
  <c r="AL214" i="37"/>
  <c r="AL213" i="37"/>
  <c r="AL212" i="37"/>
  <c r="AL211" i="37"/>
  <c r="AL210" i="37"/>
  <c r="AL209" i="37"/>
  <c r="AL208" i="37"/>
  <c r="AL207" i="37"/>
  <c r="AL206" i="37"/>
  <c r="AL205" i="37"/>
  <c r="AL204" i="37"/>
  <c r="AL203" i="37"/>
  <c r="AL202" i="37"/>
  <c r="AL201" i="37"/>
  <c r="AL200" i="37"/>
  <c r="AL199" i="37"/>
  <c r="AL198" i="37"/>
  <c r="AL197" i="37"/>
  <c r="AL196" i="37"/>
  <c r="AL195" i="37"/>
  <c r="AL194" i="37"/>
  <c r="AL193" i="37"/>
  <c r="AL192" i="37"/>
  <c r="AL191" i="37"/>
  <c r="AL190" i="37"/>
  <c r="AL189" i="37"/>
  <c r="AL188" i="37"/>
  <c r="AL187" i="37"/>
  <c r="AL186" i="37"/>
  <c r="AL185" i="37"/>
  <c r="AL184" i="37"/>
  <c r="AL183" i="37"/>
  <c r="AL182" i="37"/>
  <c r="AL181" i="37"/>
  <c r="AL180" i="37"/>
  <c r="AL179" i="37"/>
  <c r="AL178" i="37"/>
  <c r="AL177" i="37"/>
  <c r="AL176" i="37"/>
  <c r="AL175" i="37"/>
  <c r="AL174" i="37"/>
  <c r="AL173" i="37"/>
  <c r="AL172" i="37"/>
  <c r="AL171" i="37"/>
  <c r="AL170" i="37"/>
  <c r="AL169" i="37"/>
  <c r="AL168" i="37"/>
  <c r="AL167" i="37"/>
  <c r="AL166" i="37"/>
  <c r="AL165" i="37"/>
  <c r="AL164" i="37"/>
  <c r="AL163" i="37"/>
  <c r="AL162" i="37"/>
  <c r="AL161" i="37"/>
  <c r="AL160" i="37"/>
  <c r="AL159" i="37"/>
  <c r="AL158" i="37"/>
  <c r="AL157" i="37"/>
  <c r="AL156" i="37"/>
  <c r="AL155" i="37"/>
  <c r="AL154" i="37"/>
  <c r="AL153" i="37"/>
  <c r="AL152" i="37"/>
  <c r="AL151" i="37"/>
  <c r="AL150" i="37"/>
  <c r="AL149" i="37"/>
  <c r="AL148" i="37"/>
  <c r="AL147" i="37"/>
  <c r="AL146" i="37"/>
  <c r="AL145" i="37"/>
  <c r="AL144" i="37"/>
  <c r="AL143" i="37"/>
  <c r="AL142" i="37"/>
  <c r="AL141" i="37"/>
  <c r="AL140" i="37"/>
  <c r="AL139" i="37"/>
  <c r="AL138" i="37"/>
  <c r="AL137" i="37"/>
  <c r="AL136" i="37"/>
  <c r="AL135" i="37"/>
  <c r="AL134" i="37"/>
  <c r="AL133" i="37"/>
  <c r="AL132" i="37"/>
  <c r="AL131" i="37"/>
  <c r="AL130" i="37"/>
  <c r="AL129" i="37"/>
  <c r="AL128" i="37"/>
  <c r="AL127" i="37"/>
  <c r="AL126" i="37"/>
  <c r="AL125" i="37"/>
  <c r="AL124" i="37"/>
  <c r="AL123" i="37"/>
  <c r="AL122" i="37"/>
  <c r="AL121" i="37"/>
  <c r="AL120" i="37"/>
  <c r="AL119" i="37"/>
  <c r="AL118" i="37"/>
  <c r="AL117" i="37"/>
  <c r="AL116" i="37"/>
  <c r="AL115" i="37"/>
  <c r="AL114" i="37"/>
  <c r="AL113" i="37"/>
  <c r="AL112" i="37"/>
  <c r="AL111" i="37"/>
  <c r="AL110" i="37"/>
  <c r="AL109" i="37"/>
  <c r="AL108" i="37"/>
  <c r="AL107" i="37"/>
  <c r="AL106" i="37"/>
  <c r="AL105" i="37"/>
  <c r="AL104" i="37"/>
  <c r="AL103" i="37"/>
  <c r="AL102" i="37"/>
  <c r="AL101" i="37"/>
  <c r="AL100" i="37"/>
  <c r="AL99" i="37"/>
  <c r="AL98" i="37"/>
  <c r="AL97" i="37"/>
  <c r="AL96" i="37"/>
  <c r="AL95" i="37"/>
  <c r="AL94" i="37"/>
  <c r="AL93" i="37"/>
  <c r="AL92" i="37"/>
  <c r="AL91" i="37"/>
  <c r="AL90" i="37"/>
  <c r="AL89" i="37"/>
  <c r="AL88" i="37"/>
  <c r="AL87" i="37"/>
  <c r="AL86" i="37"/>
  <c r="AL85" i="37"/>
  <c r="AL84" i="37"/>
  <c r="AL83" i="37"/>
  <c r="AL82" i="37"/>
  <c r="AL81" i="37"/>
  <c r="AL80" i="37"/>
  <c r="AL79" i="37"/>
  <c r="AL78" i="37"/>
  <c r="AL77" i="37"/>
  <c r="AL76" i="37"/>
  <c r="AL75" i="37"/>
  <c r="AL74" i="37"/>
  <c r="AL73" i="37"/>
  <c r="AL72" i="37"/>
  <c r="AL71" i="37"/>
  <c r="AL70" i="37"/>
  <c r="AL69" i="37"/>
  <c r="AL68" i="37"/>
  <c r="AL67" i="37"/>
  <c r="AL66" i="37"/>
  <c r="AL65" i="37"/>
  <c r="AL64" i="37"/>
  <c r="AL63" i="37"/>
  <c r="AL62" i="37"/>
  <c r="AL61" i="37"/>
  <c r="AL60" i="37"/>
  <c r="AL59" i="37"/>
  <c r="AL58" i="37"/>
  <c r="AL57" i="37"/>
  <c r="AL56" i="37"/>
  <c r="AL55" i="37"/>
  <c r="AL54" i="37"/>
  <c r="AL53" i="37"/>
  <c r="AL52" i="37"/>
  <c r="AL51" i="37"/>
  <c r="AL50" i="37"/>
  <c r="AL49" i="37"/>
  <c r="AL48" i="37"/>
  <c r="AL47" i="37"/>
  <c r="AL46" i="37"/>
  <c r="AL45" i="37"/>
  <c r="AL44" i="37"/>
  <c r="AL43" i="37"/>
  <c r="AL42" i="37"/>
  <c r="AL41" i="37"/>
  <c r="AL40" i="37"/>
  <c r="AL39" i="37"/>
  <c r="AL38" i="37"/>
  <c r="AL37" i="37"/>
  <c r="AL36" i="37"/>
  <c r="AL35" i="37"/>
  <c r="AL34" i="37"/>
  <c r="AL33" i="37"/>
  <c r="AL32" i="37"/>
  <c r="AL31" i="37"/>
  <c r="AL30" i="37"/>
  <c r="AL29" i="37"/>
  <c r="AL28" i="37"/>
  <c r="AL27" i="37"/>
  <c r="AL26" i="37"/>
  <c r="AL25" i="37"/>
  <c r="AL24" i="37"/>
  <c r="AL23" i="37"/>
  <c r="AL22" i="37"/>
  <c r="AL21" i="37"/>
  <c r="AL20" i="37"/>
  <c r="AL19" i="37"/>
  <c r="AL18" i="37"/>
  <c r="AL17" i="37"/>
  <c r="AL16" i="37"/>
  <c r="AL15" i="37"/>
  <c r="AL14" i="37"/>
  <c r="AL13" i="37"/>
  <c r="AL12" i="37"/>
  <c r="AL11" i="37"/>
  <c r="AL10" i="37"/>
  <c r="AL9" i="37"/>
  <c r="AL8" i="37"/>
  <c r="AL7" i="37"/>
  <c r="AL6" i="37"/>
  <c r="AL5" i="37"/>
  <c r="AL4" i="37"/>
  <c r="AL3" i="37"/>
  <c r="AL2" i="37"/>
  <c r="O13" i="36"/>
  <c r="I13" i="36"/>
  <c r="K13" i="36" s="1"/>
  <c r="L13" i="36" s="1"/>
  <c r="H13" i="36"/>
  <c r="O6" i="36"/>
  <c r="Q6" i="36" s="1"/>
  <c r="S6" i="36" s="1"/>
  <c r="S9" i="36" s="1"/>
  <c r="B3" i="31" s="1"/>
  <c r="L6" i="36"/>
  <c r="K6" i="36"/>
  <c r="J6" i="36"/>
  <c r="I6" i="36"/>
  <c r="H6" i="36"/>
  <c r="B33" i="35"/>
  <c r="C32" i="35"/>
  <c r="B31" i="35"/>
  <c r="C31" i="35" s="1"/>
  <c r="C34" i="35" s="1"/>
  <c r="D26" i="35"/>
  <c r="D25" i="35"/>
  <c r="D24" i="35"/>
  <c r="D23" i="35"/>
  <c r="D22" i="35"/>
  <c r="D21" i="35"/>
  <c r="D20" i="35"/>
  <c r="D19" i="35"/>
  <c r="D18" i="35"/>
  <c r="D17" i="35"/>
  <c r="D27" i="35" s="1"/>
  <c r="D12" i="35"/>
  <c r="E6" i="35"/>
  <c r="B6" i="35"/>
  <c r="C12" i="34"/>
  <c r="F15" i="33"/>
  <c r="D14" i="33"/>
  <c r="F14" i="33" s="1"/>
  <c r="F13" i="33"/>
  <c r="D13" i="33"/>
  <c r="D12" i="33"/>
  <c r="F12" i="33" s="1"/>
  <c r="F11" i="33"/>
  <c r="D11" i="33"/>
  <c r="F10" i="33"/>
  <c r="D9" i="33"/>
  <c r="F9" i="33" s="1"/>
  <c r="E2" i="30" s="1"/>
  <c r="E3" i="30" s="1"/>
  <c r="E4" i="30" s="1"/>
  <c r="E5" i="30" s="1"/>
  <c r="E6" i="30" s="1"/>
  <c r="B9" i="33"/>
  <c r="F8" i="33"/>
  <c r="F7" i="33"/>
  <c r="F6" i="33"/>
  <c r="F5" i="33"/>
  <c r="F4" i="33"/>
  <c r="F3" i="33"/>
  <c r="F2" i="33"/>
  <c r="W42" i="32"/>
  <c r="V42" i="32"/>
  <c r="U42" i="32"/>
  <c r="P42" i="32"/>
  <c r="O42" i="32"/>
  <c r="N42" i="32"/>
  <c r="K42" i="32"/>
  <c r="Y42" i="32" s="1"/>
  <c r="W41" i="32"/>
  <c r="V41" i="32"/>
  <c r="U41" i="32"/>
  <c r="P41" i="32"/>
  <c r="O41" i="32"/>
  <c r="N41" i="32"/>
  <c r="K41" i="32"/>
  <c r="Y41" i="32" s="1"/>
  <c r="W40" i="32"/>
  <c r="V40" i="32"/>
  <c r="U40" i="32"/>
  <c r="R40" i="32"/>
  <c r="P40" i="32"/>
  <c r="O40" i="32"/>
  <c r="N40" i="32"/>
  <c r="K40" i="32"/>
  <c r="Y40" i="32" s="1"/>
  <c r="W39" i="32"/>
  <c r="V39" i="32"/>
  <c r="U39" i="32"/>
  <c r="P39" i="32"/>
  <c r="O39" i="32"/>
  <c r="N39" i="32"/>
  <c r="K39" i="32"/>
  <c r="Y39" i="32" s="1"/>
  <c r="W38" i="32"/>
  <c r="V38" i="32"/>
  <c r="U38" i="32"/>
  <c r="P38" i="32"/>
  <c r="O38" i="32"/>
  <c r="N38" i="32"/>
  <c r="K38" i="32"/>
  <c r="Y38" i="32" s="1"/>
  <c r="W37" i="32"/>
  <c r="V37" i="32"/>
  <c r="U37" i="32"/>
  <c r="P37" i="32"/>
  <c r="O37" i="32"/>
  <c r="N37" i="32"/>
  <c r="K37" i="32"/>
  <c r="R37" i="32" s="1"/>
  <c r="Y36" i="32"/>
  <c r="W36" i="32"/>
  <c r="V36" i="32"/>
  <c r="U36" i="32"/>
  <c r="R36" i="32"/>
  <c r="P36" i="32"/>
  <c r="O36" i="32"/>
  <c r="N36" i="32"/>
  <c r="K36" i="32"/>
  <c r="Y35" i="32"/>
  <c r="W35" i="32"/>
  <c r="V35" i="32"/>
  <c r="U35" i="32"/>
  <c r="P35" i="32"/>
  <c r="O35" i="32"/>
  <c r="N35" i="32"/>
  <c r="K35" i="32"/>
  <c r="R35" i="32" s="1"/>
  <c r="W34" i="32"/>
  <c r="V34" i="32"/>
  <c r="U34" i="32"/>
  <c r="P34" i="32"/>
  <c r="O34" i="32"/>
  <c r="N34" i="32"/>
  <c r="K34" i="32"/>
  <c r="Y34" i="32" s="1"/>
  <c r="W33" i="32"/>
  <c r="V33" i="32"/>
  <c r="U33" i="32"/>
  <c r="P33" i="32"/>
  <c r="O33" i="32"/>
  <c r="N33" i="32"/>
  <c r="K33" i="32"/>
  <c r="Y33" i="32" s="1"/>
  <c r="W32" i="32"/>
  <c r="V32" i="32"/>
  <c r="U32" i="32"/>
  <c r="R32" i="32"/>
  <c r="P32" i="32"/>
  <c r="O32" i="32"/>
  <c r="N32" i="32"/>
  <c r="K32" i="32"/>
  <c r="Y32" i="32" s="1"/>
  <c r="W31" i="32"/>
  <c r="V31" i="32"/>
  <c r="U31" i="32"/>
  <c r="P31" i="32"/>
  <c r="O31" i="32"/>
  <c r="N31" i="32"/>
  <c r="K31" i="32"/>
  <c r="Y31" i="32" s="1"/>
  <c r="W30" i="32"/>
  <c r="V30" i="32"/>
  <c r="U30" i="32"/>
  <c r="P30" i="32"/>
  <c r="O30" i="32"/>
  <c r="N30" i="32"/>
  <c r="K30" i="32"/>
  <c r="Y30" i="32" s="1"/>
  <c r="Y29" i="32"/>
  <c r="W29" i="32"/>
  <c r="V29" i="32"/>
  <c r="U29" i="32"/>
  <c r="P29" i="32"/>
  <c r="O29" i="32"/>
  <c r="N29" i="32"/>
  <c r="K29" i="32"/>
  <c r="R29" i="32" s="1"/>
  <c r="Y28" i="32"/>
  <c r="W28" i="32"/>
  <c r="V28" i="32"/>
  <c r="U28" i="32"/>
  <c r="R28" i="32"/>
  <c r="P28" i="32"/>
  <c r="O28" i="32"/>
  <c r="N28" i="32"/>
  <c r="K28" i="32"/>
  <c r="Y27" i="32"/>
  <c r="W27" i="32"/>
  <c r="V27" i="32"/>
  <c r="U27" i="32"/>
  <c r="P27" i="32"/>
  <c r="O27" i="32"/>
  <c r="N27" i="32"/>
  <c r="K27" i="32"/>
  <c r="R27" i="32" s="1"/>
  <c r="W26" i="32"/>
  <c r="V26" i="32"/>
  <c r="U26" i="32"/>
  <c r="P26" i="32"/>
  <c r="O26" i="32"/>
  <c r="N26" i="32"/>
  <c r="K26" i="32"/>
  <c r="Y26" i="32" s="1"/>
  <c r="W25" i="32"/>
  <c r="V25" i="32"/>
  <c r="U25" i="32"/>
  <c r="P25" i="32"/>
  <c r="O25" i="32"/>
  <c r="N25" i="32"/>
  <c r="K25" i="32"/>
  <c r="Y25" i="32" s="1"/>
  <c r="W24" i="32"/>
  <c r="V24" i="32"/>
  <c r="U24" i="32"/>
  <c r="R24" i="32"/>
  <c r="P24" i="32"/>
  <c r="O24" i="32"/>
  <c r="N24" i="32"/>
  <c r="K24" i="32"/>
  <c r="Y24" i="32" s="1"/>
  <c r="W23" i="32"/>
  <c r="V23" i="32"/>
  <c r="U23" i="32"/>
  <c r="P23" i="32"/>
  <c r="O23" i="32"/>
  <c r="N23" i="32"/>
  <c r="K23" i="32"/>
  <c r="Y23" i="32" s="1"/>
  <c r="W22" i="32"/>
  <c r="V22" i="32"/>
  <c r="U22" i="32"/>
  <c r="P22" i="32"/>
  <c r="O22" i="32"/>
  <c r="N22" i="32"/>
  <c r="K22" i="32"/>
  <c r="Y22" i="32" s="1"/>
  <c r="Y21" i="32"/>
  <c r="W21" i="32"/>
  <c r="V21" i="32"/>
  <c r="U21" i="32"/>
  <c r="P21" i="32"/>
  <c r="O21" i="32"/>
  <c r="N21" i="32"/>
  <c r="K21" i="32"/>
  <c r="R21" i="32" s="1"/>
  <c r="Y20" i="32"/>
  <c r="W20" i="32"/>
  <c r="V20" i="32"/>
  <c r="U20" i="32"/>
  <c r="R20" i="32"/>
  <c r="P20" i="32"/>
  <c r="O20" i="32"/>
  <c r="N20" i="32"/>
  <c r="K20" i="32"/>
  <c r="Y19" i="32"/>
  <c r="W19" i="32"/>
  <c r="V19" i="32"/>
  <c r="U19" i="32"/>
  <c r="P19" i="32"/>
  <c r="O19" i="32"/>
  <c r="N19" i="32"/>
  <c r="K19" i="32"/>
  <c r="R19" i="32" s="1"/>
  <c r="W18" i="32"/>
  <c r="V18" i="32"/>
  <c r="U18" i="32"/>
  <c r="P18" i="32"/>
  <c r="O18" i="32"/>
  <c r="N18" i="32"/>
  <c r="K18" i="32"/>
  <c r="Y18" i="32" s="1"/>
  <c r="W17" i="32"/>
  <c r="V17" i="32"/>
  <c r="U17" i="32"/>
  <c r="P17" i="32"/>
  <c r="O17" i="32"/>
  <c r="N17" i="32"/>
  <c r="K17" i="32"/>
  <c r="Y17" i="32" s="1"/>
  <c r="W16" i="32"/>
  <c r="V16" i="32"/>
  <c r="U16" i="32"/>
  <c r="R16" i="32"/>
  <c r="P16" i="32"/>
  <c r="O16" i="32"/>
  <c r="N16" i="32"/>
  <c r="K16" i="32"/>
  <c r="Y16" i="32" s="1"/>
  <c r="W15" i="32"/>
  <c r="V15" i="32"/>
  <c r="U15" i="32"/>
  <c r="P15" i="32"/>
  <c r="O15" i="32"/>
  <c r="N15" i="32"/>
  <c r="K15" i="32"/>
  <c r="Y15" i="32" s="1"/>
  <c r="W14" i="32"/>
  <c r="V14" i="32"/>
  <c r="U14" i="32"/>
  <c r="P14" i="32"/>
  <c r="O14" i="32"/>
  <c r="N14" i="32"/>
  <c r="K14" i="32"/>
  <c r="Y14" i="32" s="1"/>
  <c r="Y13" i="32"/>
  <c r="W13" i="32"/>
  <c r="V13" i="32"/>
  <c r="U13" i="32"/>
  <c r="P13" i="32"/>
  <c r="O13" i="32"/>
  <c r="N13" i="32"/>
  <c r="K13" i="32"/>
  <c r="R13" i="32" s="1"/>
  <c r="W12" i="32"/>
  <c r="V12" i="32"/>
  <c r="U12" i="32"/>
  <c r="P12" i="32"/>
  <c r="O12" i="32"/>
  <c r="N12" i="32"/>
  <c r="W11" i="32"/>
  <c r="V11" i="32"/>
  <c r="U11" i="32"/>
  <c r="P11" i="32"/>
  <c r="O11" i="32"/>
  <c r="N11" i="32"/>
  <c r="W10" i="32"/>
  <c r="V10" i="32"/>
  <c r="U10" i="32"/>
  <c r="P10" i="32"/>
  <c r="O10" i="32"/>
  <c r="N10" i="32"/>
  <c r="W9" i="32"/>
  <c r="V9" i="32"/>
  <c r="U9" i="32"/>
  <c r="P9" i="32"/>
  <c r="O9" i="32"/>
  <c r="N9" i="32"/>
  <c r="W8" i="32"/>
  <c r="V8" i="32"/>
  <c r="U8" i="32"/>
  <c r="P8" i="32"/>
  <c r="O8" i="32"/>
  <c r="N8" i="32"/>
  <c r="W7" i="32"/>
  <c r="V7" i="32"/>
  <c r="U7" i="32"/>
  <c r="P7" i="32"/>
  <c r="O7" i="32"/>
  <c r="N7" i="32"/>
  <c r="W6" i="32"/>
  <c r="V6" i="32"/>
  <c r="U6" i="32"/>
  <c r="P6" i="32"/>
  <c r="O6" i="32"/>
  <c r="N6" i="32"/>
  <c r="W5" i="32"/>
  <c r="V5" i="32"/>
  <c r="U5" i="32"/>
  <c r="P5" i="32"/>
  <c r="O5" i="32"/>
  <c r="N5" i="32"/>
  <c r="W4" i="32"/>
  <c r="V4" i="32"/>
  <c r="U4" i="32"/>
  <c r="P4" i="32"/>
  <c r="O4" i="32"/>
  <c r="N4" i="32"/>
  <c r="W3" i="32"/>
  <c r="V3" i="32"/>
  <c r="U3" i="32"/>
  <c r="P3" i="32"/>
  <c r="O3" i="32"/>
  <c r="N3" i="32"/>
  <c r="C1" i="32"/>
  <c r="L6" i="30"/>
  <c r="L5" i="30"/>
  <c r="L4" i="30"/>
  <c r="L3" i="30"/>
  <c r="B2" i="30"/>
  <c r="C2" i="30" s="1"/>
  <c r="F6" i="29"/>
  <c r="C6" i="29"/>
  <c r="D6" i="29" s="1"/>
  <c r="B6" i="29"/>
  <c r="F5" i="29"/>
  <c r="B5" i="29"/>
  <c r="F4" i="29"/>
  <c r="D4" i="29"/>
  <c r="C4" i="29"/>
  <c r="B4" i="29"/>
  <c r="F3" i="29"/>
  <c r="C3" i="29"/>
  <c r="D3" i="29" s="1"/>
  <c r="B3" i="29"/>
  <c r="F2" i="29"/>
  <c r="B2" i="29"/>
  <c r="C2" i="29" s="1"/>
  <c r="D2" i="29" s="1"/>
  <c r="AB3" i="9"/>
  <c r="AB4" i="9"/>
  <c r="AB5" i="9"/>
  <c r="AB6" i="9"/>
  <c r="AB7" i="9"/>
  <c r="AB8" i="9"/>
  <c r="AB9" i="9"/>
  <c r="AB10" i="9"/>
  <c r="AB11" i="9"/>
  <c r="AB12" i="9"/>
  <c r="AB13" i="9"/>
  <c r="AB14" i="9"/>
  <c r="AB15" i="9"/>
  <c r="AB16" i="9"/>
  <c r="AB17" i="9"/>
  <c r="AB18" i="9"/>
  <c r="AB19" i="9"/>
  <c r="AB20" i="9"/>
  <c r="AB21" i="9"/>
  <c r="AB22" i="9"/>
  <c r="AB23" i="9"/>
  <c r="AB24" i="9"/>
  <c r="AB25" i="9"/>
  <c r="AB26" i="9"/>
  <c r="AB27" i="9"/>
  <c r="AB28" i="9"/>
  <c r="AB29" i="9"/>
  <c r="AB30" i="9"/>
  <c r="AB31" i="9"/>
  <c r="AB32" i="9"/>
  <c r="AB33" i="9"/>
  <c r="AB34" i="9"/>
  <c r="AB35" i="9"/>
  <c r="AB36" i="9"/>
  <c r="AB37" i="9"/>
  <c r="AB38" i="9"/>
  <c r="AB39" i="9"/>
  <c r="AB40" i="9"/>
  <c r="AB41" i="9"/>
  <c r="AB42" i="9"/>
  <c r="AB43" i="9"/>
  <c r="AB44" i="9"/>
  <c r="AB45" i="9"/>
  <c r="AB46" i="9"/>
  <c r="AB47" i="9"/>
  <c r="AB48" i="9"/>
  <c r="AB49" i="9"/>
  <c r="AB50" i="9"/>
  <c r="AB51" i="9"/>
  <c r="AB52" i="9"/>
  <c r="AB53" i="9"/>
  <c r="AB54" i="9"/>
  <c r="AB55" i="9"/>
  <c r="AB56" i="9"/>
  <c r="AB57" i="9"/>
  <c r="AB58" i="9"/>
  <c r="AB59" i="9"/>
  <c r="AB60" i="9"/>
  <c r="AB61" i="9"/>
  <c r="AB62" i="9"/>
  <c r="AB63" i="9"/>
  <c r="AB64" i="9"/>
  <c r="AB65" i="9"/>
  <c r="AB66" i="9"/>
  <c r="AB67" i="9"/>
  <c r="AB68" i="9"/>
  <c r="AB69" i="9"/>
  <c r="AB70" i="9"/>
  <c r="AB71" i="9"/>
  <c r="AB72" i="9"/>
  <c r="AB73" i="9"/>
  <c r="AB74" i="9"/>
  <c r="AB75" i="9"/>
  <c r="AB76" i="9"/>
  <c r="AB77" i="9"/>
  <c r="AB78" i="9"/>
  <c r="AB79" i="9"/>
  <c r="AB80" i="9"/>
  <c r="AB81" i="9"/>
  <c r="AB82" i="9"/>
  <c r="AB83" i="9"/>
  <c r="AB84" i="9"/>
  <c r="AB85" i="9"/>
  <c r="AB86" i="9"/>
  <c r="AB87" i="9"/>
  <c r="AB88" i="9"/>
  <c r="AB89" i="9"/>
  <c r="AB90" i="9"/>
  <c r="AB91" i="9"/>
  <c r="AB92" i="9"/>
  <c r="AB93" i="9"/>
  <c r="AB94" i="9"/>
  <c r="AB95" i="9"/>
  <c r="AB96" i="9"/>
  <c r="AB97" i="9"/>
  <c r="AB98" i="9"/>
  <c r="AB99" i="9"/>
  <c r="AB100" i="9"/>
  <c r="AB101" i="9"/>
  <c r="AB102" i="9"/>
  <c r="AB103" i="9"/>
  <c r="AB104" i="9"/>
  <c r="AB105" i="9"/>
  <c r="AB106" i="9"/>
  <c r="AB107" i="9"/>
  <c r="AB108" i="9"/>
  <c r="AB109" i="9"/>
  <c r="AB110" i="9"/>
  <c r="AB111" i="9"/>
  <c r="AB112" i="9"/>
  <c r="AB113" i="9"/>
  <c r="AB114" i="9"/>
  <c r="AB115" i="9"/>
  <c r="AB116" i="9"/>
  <c r="AB117" i="9"/>
  <c r="AB118" i="9"/>
  <c r="AB119" i="9"/>
  <c r="AB120" i="9"/>
  <c r="AB121" i="9"/>
  <c r="AB122" i="9"/>
  <c r="AB123" i="9"/>
  <c r="AB124" i="9"/>
  <c r="AB125" i="9"/>
  <c r="AB126" i="9"/>
  <c r="AB127" i="9"/>
  <c r="AB128" i="9"/>
  <c r="AB129" i="9"/>
  <c r="AB130" i="9"/>
  <c r="AB131" i="9"/>
  <c r="AB132" i="9"/>
  <c r="AB133" i="9"/>
  <c r="AB134" i="9"/>
  <c r="AB135" i="9"/>
  <c r="AB136" i="9"/>
  <c r="AB137" i="9"/>
  <c r="AB138" i="9"/>
  <c r="AB139" i="9"/>
  <c r="AB140" i="9"/>
  <c r="AB141" i="9"/>
  <c r="AB142" i="9"/>
  <c r="AB143" i="9"/>
  <c r="AB144" i="9"/>
  <c r="AB145" i="9"/>
  <c r="AB146" i="9"/>
  <c r="AB147" i="9"/>
  <c r="AB148" i="9"/>
  <c r="AB149" i="9"/>
  <c r="AB150" i="9"/>
  <c r="AB151" i="9"/>
  <c r="AB152" i="9"/>
  <c r="AB153" i="9"/>
  <c r="AB154" i="9"/>
  <c r="AB155" i="9"/>
  <c r="AB156" i="9"/>
  <c r="AB157" i="9"/>
  <c r="AB158" i="9"/>
  <c r="AB159" i="9"/>
  <c r="AB160" i="9"/>
  <c r="AB161" i="9"/>
  <c r="AB162" i="9"/>
  <c r="AB163" i="9"/>
  <c r="AB164" i="9"/>
  <c r="AB165" i="9"/>
  <c r="AB166" i="9"/>
  <c r="AB167" i="9"/>
  <c r="AB168" i="9"/>
  <c r="AB169" i="9"/>
  <c r="AB170" i="9"/>
  <c r="AB171" i="9"/>
  <c r="AB172" i="9"/>
  <c r="AB173" i="9"/>
  <c r="AB174" i="9"/>
  <c r="AB175" i="9"/>
  <c r="AB176" i="9"/>
  <c r="AB177" i="9"/>
  <c r="AB178" i="9"/>
  <c r="AB179" i="9"/>
  <c r="AB180" i="9"/>
  <c r="AB181" i="9"/>
  <c r="AB182" i="9"/>
  <c r="AB183" i="9"/>
  <c r="AB184" i="9"/>
  <c r="AB185" i="9"/>
  <c r="AB186" i="9"/>
  <c r="AB187" i="9"/>
  <c r="AB188" i="9"/>
  <c r="AB189" i="9"/>
  <c r="AB190" i="9"/>
  <c r="AB191" i="9"/>
  <c r="AB192" i="9"/>
  <c r="AB193" i="9"/>
  <c r="AB194" i="9"/>
  <c r="AB195" i="9"/>
  <c r="AB196" i="9"/>
  <c r="AB197" i="9"/>
  <c r="AB198" i="9"/>
  <c r="AB199" i="9"/>
  <c r="AB200" i="9"/>
  <c r="AB201" i="9"/>
  <c r="AB202" i="9"/>
  <c r="AB203" i="9"/>
  <c r="AB204" i="9"/>
  <c r="AB205" i="9"/>
  <c r="AB206" i="9"/>
  <c r="AB207" i="9"/>
  <c r="AB208" i="9"/>
  <c r="AB209" i="9"/>
  <c r="AB210" i="9"/>
  <c r="AB211" i="9"/>
  <c r="AB212" i="9"/>
  <c r="AB213" i="9"/>
  <c r="AB214" i="9"/>
  <c r="AB215" i="9"/>
  <c r="AB216" i="9"/>
  <c r="AB217" i="9"/>
  <c r="AB218" i="9"/>
  <c r="AB219" i="9"/>
  <c r="AB220" i="9"/>
  <c r="AB221" i="9"/>
  <c r="AB222" i="9"/>
  <c r="AB223" i="9"/>
  <c r="AB224" i="9"/>
  <c r="AB225" i="9"/>
  <c r="AB226" i="9"/>
  <c r="AB227" i="9"/>
  <c r="AB228" i="9"/>
  <c r="AB229" i="9"/>
  <c r="AB230" i="9"/>
  <c r="AB231" i="9"/>
  <c r="AB232" i="9"/>
  <c r="AB233" i="9"/>
  <c r="AB234" i="9"/>
  <c r="AB235" i="9"/>
  <c r="AB236" i="9"/>
  <c r="AB237" i="9"/>
  <c r="AB238" i="9"/>
  <c r="AB239" i="9"/>
  <c r="AB240" i="9"/>
  <c r="AB241" i="9"/>
  <c r="AB242" i="9"/>
  <c r="AB243" i="9"/>
  <c r="AB244" i="9"/>
  <c r="AB245" i="9"/>
  <c r="AB246" i="9"/>
  <c r="AB247" i="9"/>
  <c r="AB248" i="9"/>
  <c r="AB249" i="9"/>
  <c r="AB250" i="9"/>
  <c r="AB251" i="9"/>
  <c r="AB252" i="9"/>
  <c r="AB253" i="9"/>
  <c r="AB254" i="9"/>
  <c r="AB255" i="9"/>
  <c r="AB256" i="9"/>
  <c r="AB257" i="9"/>
  <c r="AB258" i="9"/>
  <c r="AB259" i="9"/>
  <c r="AB260" i="9"/>
  <c r="AB261" i="9"/>
  <c r="AB262" i="9"/>
  <c r="AB263" i="9"/>
  <c r="AB264" i="9"/>
  <c r="AB265" i="9"/>
  <c r="AB266" i="9"/>
  <c r="AB267" i="9"/>
  <c r="AB268" i="9"/>
  <c r="AB269" i="9"/>
  <c r="AB270" i="9"/>
  <c r="AB271" i="9"/>
  <c r="AB272" i="9"/>
  <c r="AB273" i="9"/>
  <c r="AB274" i="9"/>
  <c r="AB275" i="9"/>
  <c r="AB276" i="9"/>
  <c r="AB277" i="9"/>
  <c r="AB278" i="9"/>
  <c r="AB279" i="9"/>
  <c r="AB280" i="9"/>
  <c r="AB281" i="9"/>
  <c r="AB282" i="9"/>
  <c r="AB283" i="9"/>
  <c r="AB284" i="9"/>
  <c r="AB285" i="9"/>
  <c r="AB286" i="9"/>
  <c r="AB287" i="9"/>
  <c r="AB288" i="9"/>
  <c r="AB289" i="9"/>
  <c r="AB290" i="9"/>
  <c r="AB291" i="9"/>
  <c r="AB292" i="9"/>
  <c r="AB293" i="9"/>
  <c r="AB294" i="9"/>
  <c r="AB295" i="9"/>
  <c r="AB296" i="9"/>
  <c r="AB297" i="9"/>
  <c r="AB298" i="9"/>
  <c r="AB299" i="9"/>
  <c r="AB300" i="9"/>
  <c r="AB301" i="9"/>
  <c r="AB302" i="9"/>
  <c r="AB303" i="9"/>
  <c r="AB304" i="9"/>
  <c r="AB305" i="9"/>
  <c r="AB306" i="9"/>
  <c r="AB307" i="9"/>
  <c r="AB308" i="9"/>
  <c r="AB309" i="9"/>
  <c r="AB310" i="9"/>
  <c r="AB311" i="9"/>
  <c r="AB312" i="9"/>
  <c r="AB313" i="9"/>
  <c r="AB314" i="9"/>
  <c r="AB315" i="9"/>
  <c r="AB316" i="9"/>
  <c r="AB317" i="9"/>
  <c r="AB318" i="9"/>
  <c r="AB319" i="9"/>
  <c r="AB320" i="9"/>
  <c r="AB321" i="9"/>
  <c r="AB322" i="9"/>
  <c r="AB323" i="9"/>
  <c r="AB324" i="9"/>
  <c r="AB325" i="9"/>
  <c r="AB326" i="9"/>
  <c r="AB327" i="9"/>
  <c r="AB328" i="9"/>
  <c r="AB329" i="9"/>
  <c r="AB330" i="9"/>
  <c r="AB331" i="9"/>
  <c r="AB332" i="9"/>
  <c r="AB333" i="9"/>
  <c r="AB334" i="9"/>
  <c r="AB335" i="9"/>
  <c r="AB336" i="9"/>
  <c r="AB337" i="9"/>
  <c r="AB338" i="9"/>
  <c r="AB339" i="9"/>
  <c r="AB340" i="9"/>
  <c r="AB341" i="9"/>
  <c r="AB342" i="9"/>
  <c r="AB343" i="9"/>
  <c r="AB344" i="9"/>
  <c r="AB345" i="9"/>
  <c r="AB346" i="9"/>
  <c r="AB347" i="9"/>
  <c r="AB348" i="9"/>
  <c r="AB349" i="9"/>
  <c r="AB350" i="9"/>
  <c r="AB351" i="9"/>
  <c r="AB352" i="9"/>
  <c r="AB353" i="9"/>
  <c r="AB354" i="9"/>
  <c r="AB355" i="9"/>
  <c r="AB356" i="9"/>
  <c r="AB357" i="9"/>
  <c r="AB358" i="9"/>
  <c r="AB359" i="9"/>
  <c r="AB360" i="9"/>
  <c r="AB361" i="9"/>
  <c r="AB362" i="9"/>
  <c r="AB363" i="9"/>
  <c r="AB364" i="9"/>
  <c r="AB365" i="9"/>
  <c r="AB366" i="9"/>
  <c r="AB367" i="9"/>
  <c r="AB368" i="9"/>
  <c r="AB369" i="9"/>
  <c r="AB370" i="9"/>
  <c r="AB371" i="9"/>
  <c r="AB372" i="9"/>
  <c r="AB373" i="9"/>
  <c r="AB374" i="9"/>
  <c r="AB375" i="9"/>
  <c r="AB376" i="9"/>
  <c r="AB377" i="9"/>
  <c r="AB378" i="9"/>
  <c r="AB379" i="9"/>
  <c r="AB380" i="9"/>
  <c r="AB381" i="9"/>
  <c r="AB382" i="9"/>
  <c r="AB383" i="9"/>
  <c r="AB384" i="9"/>
  <c r="AB385" i="9"/>
  <c r="AB386" i="9"/>
  <c r="AB387" i="9"/>
  <c r="AB388" i="9"/>
  <c r="AB389" i="9"/>
  <c r="AB390" i="9"/>
  <c r="AB391" i="9"/>
  <c r="AB392" i="9"/>
  <c r="AB393" i="9"/>
  <c r="AB394" i="9"/>
  <c r="AB395" i="9"/>
  <c r="AB396" i="9"/>
  <c r="AB397" i="9"/>
  <c r="AB398" i="9"/>
  <c r="AB399" i="9"/>
  <c r="AB400" i="9"/>
  <c r="AB401" i="9"/>
  <c r="AB402" i="9"/>
  <c r="AB403" i="9"/>
  <c r="AB404" i="9"/>
  <c r="AB405" i="9"/>
  <c r="AB406" i="9"/>
  <c r="AB407" i="9"/>
  <c r="AB408" i="9"/>
  <c r="AB409" i="9"/>
  <c r="AB410" i="9"/>
  <c r="AB411" i="9"/>
  <c r="AB412" i="9"/>
  <c r="AB413" i="9"/>
  <c r="AB414" i="9"/>
  <c r="AB415" i="9"/>
  <c r="AB416" i="9"/>
  <c r="AB417" i="9"/>
  <c r="AB418" i="9"/>
  <c r="AB419" i="9"/>
  <c r="AB420" i="9"/>
  <c r="AB421" i="9"/>
  <c r="AB422" i="9"/>
  <c r="AB423" i="9"/>
  <c r="AB424" i="9"/>
  <c r="AB425" i="9"/>
  <c r="AB426" i="9"/>
  <c r="AB427" i="9"/>
  <c r="AB428" i="9"/>
  <c r="AB429" i="9"/>
  <c r="AB430" i="9"/>
  <c r="AB431" i="9"/>
  <c r="AB432" i="9"/>
  <c r="AB433" i="9"/>
  <c r="AB434" i="9"/>
  <c r="AB435" i="9"/>
  <c r="AB436" i="9"/>
  <c r="AB437" i="9"/>
  <c r="AB438" i="9"/>
  <c r="AB439" i="9"/>
  <c r="AB440" i="9"/>
  <c r="AB441" i="9"/>
  <c r="AB442" i="9"/>
  <c r="AB443" i="9"/>
  <c r="AB444" i="9"/>
  <c r="AB445" i="9"/>
  <c r="AB446" i="9"/>
  <c r="AB447" i="9"/>
  <c r="AB448" i="9"/>
  <c r="AB449" i="9"/>
  <c r="AB450" i="9"/>
  <c r="AB451" i="9"/>
  <c r="AB452" i="9"/>
  <c r="AB453" i="9"/>
  <c r="AB454" i="9"/>
  <c r="AB455" i="9"/>
  <c r="AB456" i="9"/>
  <c r="AB457" i="9"/>
  <c r="AB458" i="9"/>
  <c r="AB459" i="9"/>
  <c r="AB460" i="9"/>
  <c r="AB461" i="9"/>
  <c r="AB462" i="9"/>
  <c r="AB463" i="9"/>
  <c r="AB464" i="9"/>
  <c r="AB465" i="9"/>
  <c r="AB466" i="9"/>
  <c r="AB467" i="9"/>
  <c r="AB468" i="9"/>
  <c r="AB469" i="9"/>
  <c r="AB470" i="9"/>
  <c r="AB471" i="9"/>
  <c r="AB472" i="9"/>
  <c r="AB473" i="9"/>
  <c r="AB474" i="9"/>
  <c r="AB475" i="9"/>
  <c r="AB476" i="9"/>
  <c r="AB477" i="9"/>
  <c r="AB478" i="9"/>
  <c r="AB479" i="9"/>
  <c r="AB480" i="9"/>
  <c r="AB481" i="9"/>
  <c r="AB482" i="9"/>
  <c r="AB483" i="9"/>
  <c r="AB484" i="9"/>
  <c r="AB485" i="9"/>
  <c r="AB486" i="9"/>
  <c r="AB487" i="9"/>
  <c r="AB488" i="9"/>
  <c r="AB489" i="9"/>
  <c r="AB490" i="9"/>
  <c r="AB491" i="9"/>
  <c r="AB492" i="9"/>
  <c r="AB493" i="9"/>
  <c r="AB494" i="9"/>
  <c r="AB495" i="9"/>
  <c r="AB496" i="9"/>
  <c r="AB497" i="9"/>
  <c r="AB498" i="9"/>
  <c r="AB499" i="9"/>
  <c r="AB500" i="9"/>
  <c r="AB501" i="9"/>
  <c r="AB502" i="9"/>
  <c r="AB503" i="9"/>
  <c r="AB504" i="9"/>
  <c r="AB505" i="9"/>
  <c r="AB506" i="9"/>
  <c r="AB507" i="9"/>
  <c r="AB508" i="9"/>
  <c r="AB509" i="9"/>
  <c r="AB510" i="9"/>
  <c r="AB511" i="9"/>
  <c r="AB512" i="9"/>
  <c r="AB513" i="9"/>
  <c r="AB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AA427" i="9" s="1"/>
  <c r="C428" i="9"/>
  <c r="C429" i="9"/>
  <c r="C430" i="9"/>
  <c r="C431" i="9"/>
  <c r="AD431" i="9" s="1"/>
  <c r="AE431" i="9" s="1"/>
  <c r="C432" i="9"/>
  <c r="AD432" i="9" s="1"/>
  <c r="AE432" i="9" s="1"/>
  <c r="C433" i="9"/>
  <c r="AD433" i="9" s="1"/>
  <c r="AE433" i="9" s="1"/>
  <c r="C434" i="9"/>
  <c r="AD434" i="9" s="1"/>
  <c r="AE434" i="9" s="1"/>
  <c r="C435" i="9"/>
  <c r="AD435" i="9" s="1"/>
  <c r="AE435" i="9" s="1"/>
  <c r="C436" i="9"/>
  <c r="AD436" i="9" s="1"/>
  <c r="AE436" i="9" s="1"/>
  <c r="C437" i="9"/>
  <c r="AD437" i="9" s="1"/>
  <c r="AE437" i="9" s="1"/>
  <c r="C438" i="9"/>
  <c r="AD438" i="9" s="1"/>
  <c r="AE438" i="9" s="1"/>
  <c r="C439" i="9"/>
  <c r="AD439" i="9" s="1"/>
  <c r="AE439" i="9" s="1"/>
  <c r="C440" i="9"/>
  <c r="AA440" i="9" s="1"/>
  <c r="C441" i="9"/>
  <c r="AD441" i="9" s="1"/>
  <c r="AE441" i="9" s="1"/>
  <c r="C442" i="9"/>
  <c r="AD442" i="9" s="1"/>
  <c r="AE442" i="9" s="1"/>
  <c r="C443" i="9"/>
  <c r="AD443" i="9" s="1"/>
  <c r="AE443" i="9" s="1"/>
  <c r="C444" i="9"/>
  <c r="AD444" i="9" s="1"/>
  <c r="AE444" i="9" s="1"/>
  <c r="C445" i="9"/>
  <c r="AD445" i="9" s="1"/>
  <c r="AE445" i="9" s="1"/>
  <c r="C446" i="9"/>
  <c r="AD446" i="9" s="1"/>
  <c r="AE446" i="9" s="1"/>
  <c r="C447" i="9"/>
  <c r="AD447" i="9" s="1"/>
  <c r="AE447" i="9" s="1"/>
  <c r="C448" i="9"/>
  <c r="AD448" i="9" s="1"/>
  <c r="AE448" i="9" s="1"/>
  <c r="C449" i="9"/>
  <c r="AD449" i="9" s="1"/>
  <c r="AE449" i="9" s="1"/>
  <c r="C450" i="9"/>
  <c r="AA450" i="9" s="1"/>
  <c r="C451" i="9"/>
  <c r="AD451" i="9" s="1"/>
  <c r="AE451" i="9" s="1"/>
  <c r="C452" i="9"/>
  <c r="AD452" i="9" s="1"/>
  <c r="AE452" i="9" s="1"/>
  <c r="C453" i="9"/>
  <c r="AA453" i="9" s="1"/>
  <c r="C454" i="9"/>
  <c r="AD454" i="9" s="1"/>
  <c r="AE454" i="9" s="1"/>
  <c r="C455" i="9"/>
  <c r="AD455" i="9" s="1"/>
  <c r="AE455" i="9" s="1"/>
  <c r="C456" i="9"/>
  <c r="AD456" i="9" s="1"/>
  <c r="AE456" i="9" s="1"/>
  <c r="C457" i="9"/>
  <c r="AD457" i="9" s="1"/>
  <c r="AE457" i="9" s="1"/>
  <c r="C458" i="9"/>
  <c r="AD458" i="9" s="1"/>
  <c r="AE458" i="9" s="1"/>
  <c r="C459" i="9"/>
  <c r="AA459" i="9" s="1"/>
  <c r="C460" i="9"/>
  <c r="AD460" i="9" s="1"/>
  <c r="AE460" i="9" s="1"/>
  <c r="C461" i="9"/>
  <c r="AD461" i="9" s="1"/>
  <c r="AE461" i="9" s="1"/>
  <c r="C462" i="9"/>
  <c r="AA462" i="9" s="1"/>
  <c r="C463" i="9"/>
  <c r="AD463" i="9" s="1"/>
  <c r="AE463" i="9" s="1"/>
  <c r="C464" i="9"/>
  <c r="AD464" i="9" s="1"/>
  <c r="AE464" i="9" s="1"/>
  <c r="C465" i="9"/>
  <c r="AD465" i="9" s="1"/>
  <c r="AE465" i="9" s="1"/>
  <c r="C466" i="9"/>
  <c r="AD466" i="9" s="1"/>
  <c r="AE466" i="9" s="1"/>
  <c r="C467" i="9"/>
  <c r="AA467" i="9" s="1"/>
  <c r="C468" i="9"/>
  <c r="AD468" i="9" s="1"/>
  <c r="AE468" i="9" s="1"/>
  <c r="C469" i="9"/>
  <c r="AA469" i="9" s="1"/>
  <c r="C470" i="9"/>
  <c r="AD470" i="9" s="1"/>
  <c r="AE470" i="9" s="1"/>
  <c r="C471" i="9"/>
  <c r="AD471" i="9" s="1"/>
  <c r="AE471" i="9" s="1"/>
  <c r="C472" i="9"/>
  <c r="AD472" i="9" s="1"/>
  <c r="AE472" i="9" s="1"/>
  <c r="C473" i="9"/>
  <c r="AD473" i="9" s="1"/>
  <c r="AE473" i="9" s="1"/>
  <c r="C474" i="9"/>
  <c r="AD474" i="9" s="1"/>
  <c r="AE474" i="9" s="1"/>
  <c r="C475" i="9"/>
  <c r="AD475" i="9" s="1"/>
  <c r="AE475" i="9" s="1"/>
  <c r="C476" i="9"/>
  <c r="AD476" i="9" s="1"/>
  <c r="AE476" i="9" s="1"/>
  <c r="C477" i="9"/>
  <c r="AD477" i="9" s="1"/>
  <c r="AE477" i="9" s="1"/>
  <c r="C478" i="9"/>
  <c r="AA478" i="9" s="1"/>
  <c r="C479" i="9"/>
  <c r="AD479" i="9" s="1"/>
  <c r="AE479" i="9" s="1"/>
  <c r="C480" i="9"/>
  <c r="AD480" i="9" s="1"/>
  <c r="AE480" i="9" s="1"/>
  <c r="C481" i="9"/>
  <c r="AD481" i="9" s="1"/>
  <c r="AE481" i="9" s="1"/>
  <c r="C482" i="9"/>
  <c r="AD482" i="9" s="1"/>
  <c r="AE482" i="9" s="1"/>
  <c r="C483" i="9"/>
  <c r="AD483" i="9" s="1"/>
  <c r="AE483" i="9" s="1"/>
  <c r="C484" i="9"/>
  <c r="AD484" i="9" s="1"/>
  <c r="AE484" i="9" s="1"/>
  <c r="C485" i="9"/>
  <c r="AD485" i="9" s="1"/>
  <c r="AE485" i="9" s="1"/>
  <c r="C486" i="9"/>
  <c r="AD486" i="9" s="1"/>
  <c r="AE486" i="9" s="1"/>
  <c r="C487" i="9"/>
  <c r="AD487" i="9" s="1"/>
  <c r="AE487" i="9" s="1"/>
  <c r="C488" i="9"/>
  <c r="AA488" i="9" s="1"/>
  <c r="C489" i="9"/>
  <c r="AD489" i="9" s="1"/>
  <c r="AE489" i="9" s="1"/>
  <c r="C490" i="9"/>
  <c r="AD490" i="9" s="1"/>
  <c r="AE490" i="9" s="1"/>
  <c r="C491" i="9"/>
  <c r="AD491" i="9" s="1"/>
  <c r="AE491" i="9" s="1"/>
  <c r="C492" i="9"/>
  <c r="AD492" i="9" s="1"/>
  <c r="AE492" i="9" s="1"/>
  <c r="C493" i="9"/>
  <c r="AA493" i="9" s="1"/>
  <c r="C494" i="9"/>
  <c r="AD494" i="9" s="1"/>
  <c r="AE494" i="9" s="1"/>
  <c r="C495" i="9"/>
  <c r="AD495" i="9" s="1"/>
  <c r="AE495" i="9" s="1"/>
  <c r="C496" i="9"/>
  <c r="AD496" i="9" s="1"/>
  <c r="AE496" i="9" s="1"/>
  <c r="C497" i="9"/>
  <c r="AD497" i="9" s="1"/>
  <c r="AE497" i="9" s="1"/>
  <c r="C498" i="9"/>
  <c r="AD498" i="9" s="1"/>
  <c r="AE498" i="9" s="1"/>
  <c r="C499" i="9"/>
  <c r="AD499" i="9" s="1"/>
  <c r="AE499" i="9" s="1"/>
  <c r="C500" i="9"/>
  <c r="AD500" i="9" s="1"/>
  <c r="AE500" i="9" s="1"/>
  <c r="C501" i="9"/>
  <c r="AA501" i="9" s="1"/>
  <c r="C502" i="9"/>
  <c r="AD502" i="9" s="1"/>
  <c r="AE502" i="9" s="1"/>
  <c r="C503" i="9"/>
  <c r="AD503" i="9" s="1"/>
  <c r="AE503" i="9" s="1"/>
  <c r="C504" i="9"/>
  <c r="AD504" i="9" s="1"/>
  <c r="AE504" i="9" s="1"/>
  <c r="C505" i="9"/>
  <c r="AD505" i="9" s="1"/>
  <c r="AE505" i="9" s="1"/>
  <c r="C506" i="9"/>
  <c r="AA506" i="9" s="1"/>
  <c r="C507" i="9"/>
  <c r="AD507" i="9" s="1"/>
  <c r="AE507" i="9" s="1"/>
  <c r="C508" i="9"/>
  <c r="AD508" i="9" s="1"/>
  <c r="AE508" i="9" s="1"/>
  <c r="C509" i="9"/>
  <c r="AD509" i="9" s="1"/>
  <c r="AE509" i="9" s="1"/>
  <c r="C510" i="9"/>
  <c r="AD510" i="9" s="1"/>
  <c r="AE510" i="9" s="1"/>
  <c r="C511" i="9"/>
  <c r="AD511" i="9" s="1"/>
  <c r="AE511" i="9" s="1"/>
  <c r="C512" i="9"/>
  <c r="AD512" i="9" s="1"/>
  <c r="AE512" i="9" s="1"/>
  <c r="C513" i="9"/>
  <c r="AD513" i="9" s="1"/>
  <c r="AE513" i="9" s="1"/>
  <c r="C2" i="9"/>
  <c r="W512" i="9"/>
  <c r="X512" i="9" s="1"/>
  <c r="T512" i="9"/>
  <c r="Q512" i="9"/>
  <c r="M512" i="9"/>
  <c r="N512" i="9" s="1"/>
  <c r="W511" i="9"/>
  <c r="X511" i="9" s="1"/>
  <c r="T511" i="9"/>
  <c r="Q511" i="9"/>
  <c r="M511" i="9"/>
  <c r="N511" i="9" s="1"/>
  <c r="W510" i="9"/>
  <c r="X510" i="9" s="1"/>
  <c r="T510" i="9"/>
  <c r="Q510" i="9"/>
  <c r="M510" i="9"/>
  <c r="N510" i="9" s="1"/>
  <c r="W509" i="9"/>
  <c r="X509" i="9" s="1"/>
  <c r="T509" i="9"/>
  <c r="Q509" i="9"/>
  <c r="M509" i="9"/>
  <c r="N509" i="9" s="1"/>
  <c r="W508" i="9"/>
  <c r="X508" i="9" s="1"/>
  <c r="T508" i="9"/>
  <c r="Q508" i="9"/>
  <c r="M508" i="9"/>
  <c r="N508" i="9" s="1"/>
  <c r="W507" i="9"/>
  <c r="X507" i="9" s="1"/>
  <c r="T507" i="9"/>
  <c r="Q507" i="9"/>
  <c r="M507" i="9"/>
  <c r="N507" i="9" s="1"/>
  <c r="W506" i="9"/>
  <c r="X506" i="9" s="1"/>
  <c r="T506" i="9"/>
  <c r="Q506" i="9"/>
  <c r="M506" i="9"/>
  <c r="N506" i="9" s="1"/>
  <c r="W513" i="9"/>
  <c r="X513" i="9" s="1"/>
  <c r="T513" i="9"/>
  <c r="Q513" i="9"/>
  <c r="M513" i="9"/>
  <c r="N513" i="9" s="1"/>
  <c r="W505" i="9"/>
  <c r="X505" i="9" s="1"/>
  <c r="T505" i="9"/>
  <c r="Q505" i="9"/>
  <c r="M505" i="9"/>
  <c r="N505" i="9" s="1"/>
  <c r="W504" i="9"/>
  <c r="X504" i="9" s="1"/>
  <c r="T504" i="9"/>
  <c r="Q504" i="9"/>
  <c r="M504" i="9"/>
  <c r="N504" i="9" s="1"/>
  <c r="W503" i="9"/>
  <c r="X503" i="9" s="1"/>
  <c r="T503" i="9"/>
  <c r="Q503" i="9"/>
  <c r="M503" i="9"/>
  <c r="N503" i="9" s="1"/>
  <c r="W502" i="9"/>
  <c r="X502" i="9" s="1"/>
  <c r="T502" i="9"/>
  <c r="Q502" i="9"/>
  <c r="M502" i="9"/>
  <c r="N502" i="9" s="1"/>
  <c r="W501" i="9"/>
  <c r="X501" i="9" s="1"/>
  <c r="T501" i="9"/>
  <c r="Q501" i="9"/>
  <c r="M501" i="9"/>
  <c r="N501" i="9" s="1"/>
  <c r="W500" i="9"/>
  <c r="X500" i="9" s="1"/>
  <c r="T500" i="9"/>
  <c r="Q500" i="9"/>
  <c r="M500" i="9"/>
  <c r="N500" i="9" s="1"/>
  <c r="W499" i="9"/>
  <c r="X499" i="9" s="1"/>
  <c r="T499" i="9"/>
  <c r="Q499" i="9"/>
  <c r="M499" i="9"/>
  <c r="N499" i="9" s="1"/>
  <c r="W498" i="9"/>
  <c r="X498" i="9" s="1"/>
  <c r="T498" i="9"/>
  <c r="Q498" i="9"/>
  <c r="M498" i="9"/>
  <c r="N498" i="9" s="1"/>
  <c r="W497" i="9"/>
  <c r="X497" i="9" s="1"/>
  <c r="T497" i="9"/>
  <c r="Q497" i="9"/>
  <c r="M497" i="9"/>
  <c r="N497" i="9" s="1"/>
  <c r="W496" i="9"/>
  <c r="X496" i="9" s="1"/>
  <c r="T496" i="9"/>
  <c r="Q496" i="9"/>
  <c r="M496" i="9"/>
  <c r="N496" i="9" s="1"/>
  <c r="W495" i="9"/>
  <c r="X495" i="9" s="1"/>
  <c r="T495" i="9"/>
  <c r="Q495" i="9"/>
  <c r="M495" i="9"/>
  <c r="N495" i="9" s="1"/>
  <c r="W494" i="9"/>
  <c r="X494" i="9" s="1"/>
  <c r="T494" i="9"/>
  <c r="Q494" i="9"/>
  <c r="M494" i="9"/>
  <c r="N494" i="9" s="1"/>
  <c r="W493" i="9"/>
  <c r="X493" i="9" s="1"/>
  <c r="T493" i="9"/>
  <c r="Q493" i="9"/>
  <c r="M493" i="9"/>
  <c r="N493" i="9" s="1"/>
  <c r="W492" i="9"/>
  <c r="X492" i="9" s="1"/>
  <c r="T492" i="9"/>
  <c r="Q492" i="9"/>
  <c r="M492" i="9"/>
  <c r="N492" i="9" s="1"/>
  <c r="W491" i="9"/>
  <c r="X491" i="9" s="1"/>
  <c r="T491" i="9"/>
  <c r="Q491" i="9"/>
  <c r="M491" i="9"/>
  <c r="N491" i="9" s="1"/>
  <c r="W490" i="9"/>
  <c r="X490" i="9" s="1"/>
  <c r="T490" i="9"/>
  <c r="Q490" i="9"/>
  <c r="M490" i="9"/>
  <c r="N490" i="9" s="1"/>
  <c r="W489" i="9"/>
  <c r="X489" i="9" s="1"/>
  <c r="T489" i="9"/>
  <c r="Q489" i="9"/>
  <c r="M489" i="9"/>
  <c r="N489" i="9" s="1"/>
  <c r="W488" i="9"/>
  <c r="X488" i="9" s="1"/>
  <c r="T488" i="9"/>
  <c r="Q488" i="9"/>
  <c r="M488" i="9"/>
  <c r="N488" i="9" s="1"/>
  <c r="W487" i="9"/>
  <c r="X487" i="9" s="1"/>
  <c r="T487" i="9"/>
  <c r="Q487" i="9"/>
  <c r="M487" i="9"/>
  <c r="N487" i="9" s="1"/>
  <c r="W486" i="9"/>
  <c r="X486" i="9" s="1"/>
  <c r="T486" i="9"/>
  <c r="Q486" i="9"/>
  <c r="M486" i="9"/>
  <c r="N486" i="9" s="1"/>
  <c r="W485" i="9"/>
  <c r="X485" i="9" s="1"/>
  <c r="T485" i="9"/>
  <c r="Q485" i="9"/>
  <c r="M485" i="9"/>
  <c r="N485" i="9" s="1"/>
  <c r="W484" i="9"/>
  <c r="X484" i="9" s="1"/>
  <c r="T484" i="9"/>
  <c r="Q484" i="9"/>
  <c r="M484" i="9"/>
  <c r="N484" i="9" s="1"/>
  <c r="W483" i="9"/>
  <c r="X483" i="9" s="1"/>
  <c r="T483" i="9"/>
  <c r="Q483" i="9"/>
  <c r="M483" i="9"/>
  <c r="N483" i="9" s="1"/>
  <c r="W482" i="9"/>
  <c r="X482" i="9" s="1"/>
  <c r="T482" i="9"/>
  <c r="Q482" i="9"/>
  <c r="M482" i="9"/>
  <c r="N482" i="9" s="1"/>
  <c r="W481" i="9"/>
  <c r="X481" i="9" s="1"/>
  <c r="T481" i="9"/>
  <c r="Q481" i="9"/>
  <c r="M481" i="9"/>
  <c r="N481" i="9" s="1"/>
  <c r="W480" i="9"/>
  <c r="X480" i="9" s="1"/>
  <c r="T480" i="9"/>
  <c r="Q480" i="9"/>
  <c r="M480" i="9"/>
  <c r="N480" i="9" s="1"/>
  <c r="W479" i="9"/>
  <c r="X479" i="9" s="1"/>
  <c r="T479" i="9"/>
  <c r="Q479" i="9"/>
  <c r="M479" i="9"/>
  <c r="N479" i="9" s="1"/>
  <c r="W478" i="9"/>
  <c r="X478" i="9" s="1"/>
  <c r="T478" i="9"/>
  <c r="Q478" i="9"/>
  <c r="M478" i="9"/>
  <c r="N478" i="9" s="1"/>
  <c r="W477" i="9"/>
  <c r="X477" i="9" s="1"/>
  <c r="T477" i="9"/>
  <c r="Q477" i="9"/>
  <c r="M477" i="9"/>
  <c r="N477" i="9" s="1"/>
  <c r="W476" i="9"/>
  <c r="X476" i="9" s="1"/>
  <c r="T476" i="9"/>
  <c r="Q476" i="9"/>
  <c r="M476" i="9"/>
  <c r="N476" i="9" s="1"/>
  <c r="W475" i="9"/>
  <c r="X475" i="9" s="1"/>
  <c r="T475" i="9"/>
  <c r="Q475" i="9"/>
  <c r="M475" i="9"/>
  <c r="N475" i="9" s="1"/>
  <c r="W474" i="9"/>
  <c r="X474" i="9" s="1"/>
  <c r="T474" i="9"/>
  <c r="Q474" i="9"/>
  <c r="M474" i="9"/>
  <c r="N474" i="9" s="1"/>
  <c r="W473" i="9"/>
  <c r="X473" i="9" s="1"/>
  <c r="T473" i="9"/>
  <c r="Q473" i="9"/>
  <c r="M473" i="9"/>
  <c r="N473" i="9" s="1"/>
  <c r="W472" i="9"/>
  <c r="X472" i="9" s="1"/>
  <c r="T472" i="9"/>
  <c r="Q472" i="9"/>
  <c r="M472" i="9"/>
  <c r="N472" i="9" s="1"/>
  <c r="W471" i="9"/>
  <c r="X471" i="9" s="1"/>
  <c r="T471" i="9"/>
  <c r="Q471" i="9"/>
  <c r="M471" i="9"/>
  <c r="N471" i="9" s="1"/>
  <c r="W470" i="9"/>
  <c r="X470" i="9" s="1"/>
  <c r="T470" i="9"/>
  <c r="Q470" i="9"/>
  <c r="M470" i="9"/>
  <c r="N470" i="9" s="1"/>
  <c r="W469" i="9"/>
  <c r="X469" i="9" s="1"/>
  <c r="T469" i="9"/>
  <c r="Q469" i="9"/>
  <c r="M469" i="9"/>
  <c r="N469" i="9" s="1"/>
  <c r="W468" i="9"/>
  <c r="X468" i="9" s="1"/>
  <c r="T468" i="9"/>
  <c r="Q468" i="9"/>
  <c r="M468" i="9"/>
  <c r="N468" i="9" s="1"/>
  <c r="W467" i="9"/>
  <c r="X467" i="9" s="1"/>
  <c r="T467" i="9"/>
  <c r="Q467" i="9"/>
  <c r="M467" i="9"/>
  <c r="N467" i="9" s="1"/>
  <c r="W466" i="9"/>
  <c r="X466" i="9" s="1"/>
  <c r="T466" i="9"/>
  <c r="Q466" i="9"/>
  <c r="M466" i="9"/>
  <c r="N466" i="9" s="1"/>
  <c r="W465" i="9"/>
  <c r="X465" i="9" s="1"/>
  <c r="T465" i="9"/>
  <c r="Q465" i="9"/>
  <c r="M465" i="9"/>
  <c r="N465" i="9" s="1"/>
  <c r="W464" i="9"/>
  <c r="X464" i="9" s="1"/>
  <c r="T464" i="9"/>
  <c r="Q464" i="9"/>
  <c r="M464" i="9"/>
  <c r="N464" i="9" s="1"/>
  <c r="W463" i="9"/>
  <c r="X463" i="9" s="1"/>
  <c r="T463" i="9"/>
  <c r="Q463" i="9"/>
  <c r="M463" i="9"/>
  <c r="N463" i="9" s="1"/>
  <c r="W462" i="9"/>
  <c r="X462" i="9" s="1"/>
  <c r="T462" i="9"/>
  <c r="Q462" i="9"/>
  <c r="M462" i="9"/>
  <c r="N462" i="9" s="1"/>
  <c r="W461" i="9"/>
  <c r="X461" i="9" s="1"/>
  <c r="T461" i="9"/>
  <c r="Q461" i="9"/>
  <c r="M461" i="9"/>
  <c r="N461" i="9" s="1"/>
  <c r="W460" i="9"/>
  <c r="X460" i="9" s="1"/>
  <c r="T460" i="9"/>
  <c r="Q460" i="9"/>
  <c r="M460" i="9"/>
  <c r="N460" i="9" s="1"/>
  <c r="W459" i="9"/>
  <c r="X459" i="9" s="1"/>
  <c r="T459" i="9"/>
  <c r="Q459" i="9"/>
  <c r="M459" i="9"/>
  <c r="N459" i="9" s="1"/>
  <c r="W458" i="9"/>
  <c r="X458" i="9" s="1"/>
  <c r="T458" i="9"/>
  <c r="Q458" i="9"/>
  <c r="M458" i="9"/>
  <c r="N458" i="9" s="1"/>
  <c r="W457" i="9"/>
  <c r="X457" i="9" s="1"/>
  <c r="T457" i="9"/>
  <c r="Q457" i="9"/>
  <c r="M457" i="9"/>
  <c r="N457" i="9" s="1"/>
  <c r="W456" i="9"/>
  <c r="X456" i="9" s="1"/>
  <c r="T456" i="9"/>
  <c r="Q456" i="9"/>
  <c r="M456" i="9"/>
  <c r="N456" i="9" s="1"/>
  <c r="W455" i="9"/>
  <c r="X455" i="9" s="1"/>
  <c r="T455" i="9"/>
  <c r="Q455" i="9"/>
  <c r="M455" i="9"/>
  <c r="N455" i="9" s="1"/>
  <c r="W454" i="9"/>
  <c r="X454" i="9" s="1"/>
  <c r="T454" i="9"/>
  <c r="Q454" i="9"/>
  <c r="M454" i="9"/>
  <c r="N454" i="9" s="1"/>
  <c r="W453" i="9"/>
  <c r="X453" i="9" s="1"/>
  <c r="T453" i="9"/>
  <c r="Q453" i="9"/>
  <c r="M453" i="9"/>
  <c r="N453" i="9" s="1"/>
  <c r="W452" i="9"/>
  <c r="X452" i="9" s="1"/>
  <c r="T452" i="9"/>
  <c r="Q452" i="9"/>
  <c r="M452" i="9"/>
  <c r="N452" i="9" s="1"/>
  <c r="W451" i="9"/>
  <c r="X451" i="9" s="1"/>
  <c r="T451" i="9"/>
  <c r="Q451" i="9"/>
  <c r="M451" i="9"/>
  <c r="N451" i="9" s="1"/>
  <c r="W450" i="9"/>
  <c r="X450" i="9" s="1"/>
  <c r="T450" i="9"/>
  <c r="Q450" i="9"/>
  <c r="M450" i="9"/>
  <c r="N450" i="9" s="1"/>
  <c r="W449" i="9"/>
  <c r="X449" i="9" s="1"/>
  <c r="T449" i="9"/>
  <c r="Q449" i="9"/>
  <c r="M449" i="9"/>
  <c r="N449" i="9" s="1"/>
  <c r="W448" i="9"/>
  <c r="X448" i="9" s="1"/>
  <c r="T448" i="9"/>
  <c r="Q448" i="9"/>
  <c r="M448" i="9"/>
  <c r="N448" i="9" s="1"/>
  <c r="W447" i="9"/>
  <c r="X447" i="9" s="1"/>
  <c r="T447" i="9"/>
  <c r="Q447" i="9"/>
  <c r="M447" i="9"/>
  <c r="N447" i="9" s="1"/>
  <c r="W446" i="9"/>
  <c r="X446" i="9" s="1"/>
  <c r="T446" i="9"/>
  <c r="Q446" i="9"/>
  <c r="M446" i="9"/>
  <c r="N446" i="9" s="1"/>
  <c r="W445" i="9"/>
  <c r="X445" i="9" s="1"/>
  <c r="T445" i="9"/>
  <c r="Q445" i="9"/>
  <c r="M445" i="9"/>
  <c r="N445" i="9" s="1"/>
  <c r="W444" i="9"/>
  <c r="X444" i="9" s="1"/>
  <c r="T444" i="9"/>
  <c r="Q444" i="9"/>
  <c r="M444" i="9"/>
  <c r="N444" i="9" s="1"/>
  <c r="W443" i="9"/>
  <c r="X443" i="9" s="1"/>
  <c r="T443" i="9"/>
  <c r="Q443" i="9"/>
  <c r="M443" i="9"/>
  <c r="N443" i="9" s="1"/>
  <c r="W442" i="9"/>
  <c r="X442" i="9" s="1"/>
  <c r="T442" i="9"/>
  <c r="Q442" i="9"/>
  <c r="M442" i="9"/>
  <c r="N442" i="9" s="1"/>
  <c r="W441" i="9"/>
  <c r="X441" i="9" s="1"/>
  <c r="T441" i="9"/>
  <c r="Q441" i="9"/>
  <c r="M441" i="9"/>
  <c r="N441" i="9" s="1"/>
  <c r="W440" i="9"/>
  <c r="X440" i="9" s="1"/>
  <c r="T440" i="9"/>
  <c r="Q440" i="9"/>
  <c r="M440" i="9"/>
  <c r="N440" i="9" s="1"/>
  <c r="W439" i="9"/>
  <c r="X439" i="9" s="1"/>
  <c r="T439" i="9"/>
  <c r="Q439" i="9"/>
  <c r="M439" i="9"/>
  <c r="N439" i="9" s="1"/>
  <c r="W438" i="9"/>
  <c r="X438" i="9" s="1"/>
  <c r="T438" i="9"/>
  <c r="Q438" i="9"/>
  <c r="M438" i="9"/>
  <c r="N438" i="9" s="1"/>
  <c r="W437" i="9"/>
  <c r="X437" i="9" s="1"/>
  <c r="T437" i="9"/>
  <c r="Q437" i="9"/>
  <c r="M437" i="9"/>
  <c r="N437" i="9" s="1"/>
  <c r="W436" i="9"/>
  <c r="X436" i="9" s="1"/>
  <c r="T436" i="9"/>
  <c r="Q436" i="9"/>
  <c r="M436" i="9"/>
  <c r="N436" i="9" s="1"/>
  <c r="W435" i="9"/>
  <c r="X435" i="9" s="1"/>
  <c r="T435" i="9"/>
  <c r="Q435" i="9"/>
  <c r="M435" i="9"/>
  <c r="N435" i="9" s="1"/>
  <c r="W434" i="9"/>
  <c r="X434" i="9" s="1"/>
  <c r="T434" i="9"/>
  <c r="Q434" i="9"/>
  <c r="M434" i="9"/>
  <c r="N434" i="9" s="1"/>
  <c r="W433" i="9"/>
  <c r="X433" i="9" s="1"/>
  <c r="T433" i="9"/>
  <c r="Q433" i="9"/>
  <c r="M433" i="9"/>
  <c r="N433" i="9" s="1"/>
  <c r="W432" i="9"/>
  <c r="X432" i="9" s="1"/>
  <c r="T432" i="9"/>
  <c r="Q432" i="9"/>
  <c r="M432" i="9"/>
  <c r="N432" i="9" s="1"/>
  <c r="W431" i="9"/>
  <c r="X431" i="9" s="1"/>
  <c r="T431" i="9"/>
  <c r="Q431" i="9"/>
  <c r="M431" i="9"/>
  <c r="N431" i="9" s="1"/>
  <c r="W427" i="9"/>
  <c r="X427" i="9" s="1"/>
  <c r="T427" i="9"/>
  <c r="Q427" i="9"/>
  <c r="M427" i="9"/>
  <c r="N427" i="9" s="1"/>
  <c r="AF1377" i="37" l="1"/>
  <c r="AG1377" i="37" s="1"/>
  <c r="G7" i="38"/>
  <c r="M7" i="38" s="1"/>
  <c r="U1377" i="37"/>
  <c r="M1377" i="37"/>
  <c r="T1483" i="37"/>
  <c r="T1484" i="37"/>
  <c r="T1479" i="37"/>
  <c r="T1478" i="37"/>
  <c r="G10" i="38"/>
  <c r="M10" i="38" s="1"/>
  <c r="K21" i="38"/>
  <c r="M21" i="38" s="1"/>
  <c r="X1464" i="37"/>
  <c r="Y1464" i="37" s="1"/>
  <c r="E11" i="38"/>
  <c r="K11" i="38" s="1"/>
  <c r="T1490" i="37"/>
  <c r="T1497" i="37"/>
  <c r="T1496" i="37"/>
  <c r="T1493" i="37"/>
  <c r="T1487" i="37"/>
  <c r="X1465" i="37"/>
  <c r="Y1465" i="37" s="1"/>
  <c r="T1465" i="37"/>
  <c r="T1472" i="37"/>
  <c r="G8" i="38"/>
  <c r="M8" i="38" s="1"/>
  <c r="X1472" i="37"/>
  <c r="Y1472" i="37" s="1"/>
  <c r="T1462" i="37"/>
  <c r="T1464" i="37"/>
  <c r="R1461" i="37"/>
  <c r="T1461" i="37" s="1"/>
  <c r="T1471" i="37"/>
  <c r="G9" i="38"/>
  <c r="M9" i="38" s="1"/>
  <c r="T114" i="37"/>
  <c r="X1462" i="37"/>
  <c r="Y1462" i="37" s="1"/>
  <c r="R1470" i="37"/>
  <c r="X1471" i="37"/>
  <c r="Y1471" i="37" s="1"/>
  <c r="X1443" i="37"/>
  <c r="Y1443" i="37" s="1"/>
  <c r="R1460" i="37"/>
  <c r="T1460" i="37" s="1"/>
  <c r="R1463" i="37"/>
  <c r="T1463" i="37" s="1"/>
  <c r="X1466" i="37"/>
  <c r="Y1466" i="37" s="1"/>
  <c r="T1466" i="37"/>
  <c r="T1469" i="37"/>
  <c r="R1468" i="37"/>
  <c r="X1469" i="37"/>
  <c r="Y1469" i="37" s="1"/>
  <c r="X1436" i="37"/>
  <c r="Y1436" i="37" s="1"/>
  <c r="R1467" i="37"/>
  <c r="X1439" i="37"/>
  <c r="Y1439" i="37" s="1"/>
  <c r="T1443" i="37"/>
  <c r="T1446" i="37"/>
  <c r="R1445" i="37"/>
  <c r="X1446" i="37"/>
  <c r="Y1446" i="37" s="1"/>
  <c r="R1438" i="37"/>
  <c r="T1438" i="37" s="1"/>
  <c r="R1444" i="37"/>
  <c r="R1435" i="37"/>
  <c r="T1435" i="37" s="1"/>
  <c r="T1436" i="37"/>
  <c r="R1434" i="37"/>
  <c r="T1434" i="37" s="1"/>
  <c r="T1439" i="37"/>
  <c r="R1441" i="37"/>
  <c r="R1437" i="37"/>
  <c r="R1440" i="37"/>
  <c r="X1432" i="37"/>
  <c r="Y1432" i="37" s="1"/>
  <c r="R1427" i="37"/>
  <c r="T1427" i="37" s="1"/>
  <c r="T1426" i="37"/>
  <c r="T1432" i="37"/>
  <c r="E14" i="38"/>
  <c r="K14" i="38" s="1"/>
  <c r="R1425" i="37"/>
  <c r="T1425" i="37" s="1"/>
  <c r="X1428" i="37"/>
  <c r="Y1428" i="37" s="1"/>
  <c r="R1424" i="37"/>
  <c r="T1424" i="37" s="1"/>
  <c r="T1428" i="37"/>
  <c r="T1431" i="37"/>
  <c r="R1430" i="37"/>
  <c r="X1431" i="37"/>
  <c r="Y1431" i="37" s="1"/>
  <c r="R1429" i="37"/>
  <c r="X1410" i="37"/>
  <c r="Y1410" i="37" s="1"/>
  <c r="X1419" i="37"/>
  <c r="Y1419" i="37" s="1"/>
  <c r="X294" i="37"/>
  <c r="Y294" i="37" s="1"/>
  <c r="X472" i="37"/>
  <c r="Y472" i="37" s="1"/>
  <c r="T1419" i="37"/>
  <c r="T1416" i="37"/>
  <c r="X1416" i="37"/>
  <c r="Y1416" i="37" s="1"/>
  <c r="T418" i="37"/>
  <c r="X1034" i="37"/>
  <c r="Y1034" i="37" s="1"/>
  <c r="X1420" i="37"/>
  <c r="Y1420" i="37" s="1"/>
  <c r="R672" i="37"/>
  <c r="T672" i="37" s="1"/>
  <c r="T1420" i="37"/>
  <c r="R1422" i="37"/>
  <c r="R1415" i="37"/>
  <c r="U1378" i="37"/>
  <c r="T1378" i="37" s="1"/>
  <c r="R1418" i="37"/>
  <c r="X1407" i="37"/>
  <c r="Y1407" i="37" s="1"/>
  <c r="R1421" i="37"/>
  <c r="R1590" i="37"/>
  <c r="T1590" i="37" s="1"/>
  <c r="R1417" i="37"/>
  <c r="X1617" i="37"/>
  <c r="Y1617" i="37" s="1"/>
  <c r="X822" i="37"/>
  <c r="Y822" i="37" s="1"/>
  <c r="R1408" i="37"/>
  <c r="T1408" i="37" s="1"/>
  <c r="T1410" i="37"/>
  <c r="R1405" i="37"/>
  <c r="T1405" i="37" s="1"/>
  <c r="X1412" i="37"/>
  <c r="Y1412" i="37" s="1"/>
  <c r="R1406" i="37"/>
  <c r="T1406" i="37" s="1"/>
  <c r="R1409" i="37"/>
  <c r="T1409" i="37" s="1"/>
  <c r="T747" i="37"/>
  <c r="R1411" i="37"/>
  <c r="T1411" i="37" s="1"/>
  <c r="M1380" i="37"/>
  <c r="L1380" i="37" s="1"/>
  <c r="T222" i="37"/>
  <c r="T1450" i="37"/>
  <c r="X1387" i="37"/>
  <c r="Y1387" i="37" s="1"/>
  <c r="X912" i="37"/>
  <c r="Y912" i="37" s="1"/>
  <c r="X139" i="37"/>
  <c r="Y139" i="37" s="1"/>
  <c r="R1611" i="37"/>
  <c r="T1611" i="37" s="1"/>
  <c r="T1407" i="37"/>
  <c r="T1412" i="37"/>
  <c r="G11" i="38"/>
  <c r="M11" i="38" s="1"/>
  <c r="R1413" i="37"/>
  <c r="X1386" i="37"/>
  <c r="Y1386" i="37" s="1"/>
  <c r="G14" i="38"/>
  <c r="M14" i="38" s="1"/>
  <c r="X1388" i="37"/>
  <c r="Y1388" i="37" s="1"/>
  <c r="T3" i="37"/>
  <c r="R1594" i="37"/>
  <c r="T1594" i="37" s="1"/>
  <c r="X442" i="37"/>
  <c r="Y442" i="37" s="1"/>
  <c r="R253" i="37"/>
  <c r="T253" i="37" s="1"/>
  <c r="T1210" i="37"/>
  <c r="R909" i="37"/>
  <c r="T909" i="37" s="1"/>
  <c r="R706" i="37"/>
  <c r="T706" i="37" s="1"/>
  <c r="T1414" i="37"/>
  <c r="X366" i="37"/>
  <c r="Y366" i="37" s="1"/>
  <c r="X1218" i="37"/>
  <c r="Y1218" i="37" s="1"/>
  <c r="R621" i="37"/>
  <c r="T621" i="37" s="1"/>
  <c r="T1398" i="37"/>
  <c r="X1398" i="37"/>
  <c r="Y1398" i="37" s="1"/>
  <c r="R1397" i="37"/>
  <c r="T1397" i="37" s="1"/>
  <c r="T1403" i="37"/>
  <c r="X609" i="37"/>
  <c r="Y609" i="37" s="1"/>
  <c r="T45" i="37"/>
  <c r="R1392" i="37"/>
  <c r="T1392" i="37" s="1"/>
  <c r="X1403" i="37"/>
  <c r="Y1403" i="37" s="1"/>
  <c r="T713" i="37"/>
  <c r="T609" i="37"/>
  <c r="R140" i="37"/>
  <c r="T140" i="37" s="1"/>
  <c r="T552" i="37"/>
  <c r="X1384" i="37"/>
  <c r="Y1384" i="37" s="1"/>
  <c r="R1359" i="37"/>
  <c r="T1359" i="37" s="1"/>
  <c r="R1316" i="37"/>
  <c r="T1316" i="37" s="1"/>
  <c r="T178" i="37"/>
  <c r="T1386" i="37"/>
  <c r="X1389" i="37"/>
  <c r="Y1389" i="37" s="1"/>
  <c r="U1381" i="37"/>
  <c r="T1381" i="37" s="1"/>
  <c r="X1063" i="37"/>
  <c r="Y1063" i="37" s="1"/>
  <c r="X567" i="37"/>
  <c r="Y567" i="37" s="1"/>
  <c r="X474" i="37"/>
  <c r="Y474" i="37" s="1"/>
  <c r="R1391" i="37"/>
  <c r="T1391" i="37" s="1"/>
  <c r="R71" i="37"/>
  <c r="T71" i="37" s="1"/>
  <c r="T551" i="37"/>
  <c r="R494" i="37"/>
  <c r="T494" i="37" s="1"/>
  <c r="R1393" i="37"/>
  <c r="T1393" i="37" s="1"/>
  <c r="T1165" i="37"/>
  <c r="T9" i="37"/>
  <c r="R782" i="37"/>
  <c r="T782" i="37" s="1"/>
  <c r="T530" i="37"/>
  <c r="R462" i="37"/>
  <c r="T462" i="37" s="1"/>
  <c r="T170" i="37"/>
  <c r="T1399" i="37"/>
  <c r="T1402" i="37"/>
  <c r="X1649" i="37"/>
  <c r="Y1649" i="37" s="1"/>
  <c r="X1595" i="37"/>
  <c r="Y1595" i="37" s="1"/>
  <c r="X1399" i="37"/>
  <c r="Y1399" i="37" s="1"/>
  <c r="T1725" i="37"/>
  <c r="X1327" i="37"/>
  <c r="Y1327" i="37" s="1"/>
  <c r="R850" i="37"/>
  <c r="T850" i="37" s="1"/>
  <c r="R742" i="37"/>
  <c r="T742" i="37" s="1"/>
  <c r="R697" i="37"/>
  <c r="T697" i="37" s="1"/>
  <c r="R661" i="37"/>
  <c r="T661" i="37" s="1"/>
  <c r="R601" i="37"/>
  <c r="T601" i="37" s="1"/>
  <c r="T590" i="37"/>
  <c r="T88" i="37"/>
  <c r="R1383" i="37"/>
  <c r="T1383" i="37" s="1"/>
  <c r="R1401" i="37"/>
  <c r="X1402" i="37"/>
  <c r="Y1402" i="37" s="1"/>
  <c r="T325" i="37"/>
  <c r="X130" i="37"/>
  <c r="Y130" i="37" s="1"/>
  <c r="X132" i="37"/>
  <c r="Y132" i="37" s="1"/>
  <c r="T1709" i="37"/>
  <c r="R1682" i="37"/>
  <c r="T1682" i="37" s="1"/>
  <c r="X1619" i="37"/>
  <c r="Y1619" i="37" s="1"/>
  <c r="X1457" i="37"/>
  <c r="Y1457" i="37" s="1"/>
  <c r="X1455" i="37"/>
  <c r="Y1455" i="37" s="1"/>
  <c r="R1155" i="37"/>
  <c r="T1155" i="37" s="1"/>
  <c r="T981" i="37"/>
  <c r="T789" i="37"/>
  <c r="R701" i="37"/>
  <c r="T701" i="37" s="1"/>
  <c r="R219" i="37"/>
  <c r="T219" i="37" s="1"/>
  <c r="X147" i="37"/>
  <c r="Y147" i="37" s="1"/>
  <c r="T49" i="37"/>
  <c r="AF1378" i="37"/>
  <c r="AG1378" i="37" s="1"/>
  <c r="R629" i="37"/>
  <c r="T629" i="37" s="1"/>
  <c r="T578" i="37"/>
  <c r="T297" i="37"/>
  <c r="M1379" i="37"/>
  <c r="L1379" i="37" s="1"/>
  <c r="R1400" i="37"/>
  <c r="X1675" i="37"/>
  <c r="Y1675" i="37" s="1"/>
  <c r="X1657" i="37"/>
  <c r="Y1657" i="37" s="1"/>
  <c r="X1247" i="37"/>
  <c r="Y1247" i="37" s="1"/>
  <c r="T42" i="37"/>
  <c r="R1297" i="37"/>
  <c r="T1297" i="37" s="1"/>
  <c r="X928" i="37"/>
  <c r="Y928" i="37" s="1"/>
  <c r="M1381" i="37"/>
  <c r="L1381" i="37" s="1"/>
  <c r="T1388" i="37"/>
  <c r="R1706" i="37"/>
  <c r="T1706" i="37" s="1"/>
  <c r="R272" i="37"/>
  <c r="T272" i="37" s="1"/>
  <c r="R118" i="37"/>
  <c r="T118" i="37" s="1"/>
  <c r="T44" i="37"/>
  <c r="R903" i="37"/>
  <c r="T903" i="37" s="1"/>
  <c r="R826" i="37"/>
  <c r="T826" i="37" s="1"/>
  <c r="T624" i="37"/>
  <c r="T566" i="37"/>
  <c r="X102" i="37"/>
  <c r="Y102" i="37" s="1"/>
  <c r="X1219" i="37"/>
  <c r="Y1219" i="37" s="1"/>
  <c r="T941" i="37"/>
  <c r="R595" i="37"/>
  <c r="T595" i="37" s="1"/>
  <c r="X278" i="37"/>
  <c r="Y278" i="37" s="1"/>
  <c r="T1387" i="37"/>
  <c r="X731" i="37"/>
  <c r="Y731" i="37" s="1"/>
  <c r="X617" i="37"/>
  <c r="Y617" i="37" s="1"/>
  <c r="X343" i="37"/>
  <c r="Y343" i="37" s="1"/>
  <c r="X159" i="37"/>
  <c r="Y159" i="37" s="1"/>
  <c r="R148" i="37"/>
  <c r="T148" i="37" s="1"/>
  <c r="T146" i="37"/>
  <c r="R1638" i="37"/>
  <c r="T1638" i="37" s="1"/>
  <c r="T1262" i="37"/>
  <c r="R1079" i="37"/>
  <c r="T1079" i="37" s="1"/>
  <c r="X977" i="37"/>
  <c r="Y977" i="37" s="1"/>
  <c r="T959" i="37"/>
  <c r="X812" i="37"/>
  <c r="Y812" i="37" s="1"/>
  <c r="R810" i="37"/>
  <c r="T810" i="37" s="1"/>
  <c r="R677" i="37"/>
  <c r="X619" i="37"/>
  <c r="Y619" i="37" s="1"/>
  <c r="T1389" i="37"/>
  <c r="T1396" i="37"/>
  <c r="T1384" i="37"/>
  <c r="R236" i="37"/>
  <c r="T236" i="37" s="1"/>
  <c r="T1656" i="37"/>
  <c r="T844" i="37"/>
  <c r="R98" i="37"/>
  <c r="T98" i="37" s="1"/>
  <c r="T96" i="37"/>
  <c r="U1380" i="37"/>
  <c r="R1395" i="37"/>
  <c r="X1396" i="37"/>
  <c r="Y1396" i="37" s="1"/>
  <c r="T1017" i="37"/>
  <c r="T967" i="37"/>
  <c r="T911" i="37"/>
  <c r="T1640" i="37"/>
  <c r="T1332" i="37"/>
  <c r="R156" i="37"/>
  <c r="T156" i="37" s="1"/>
  <c r="T130" i="37"/>
  <c r="R115" i="37"/>
  <c r="T115" i="37" s="1"/>
  <c r="R51" i="37"/>
  <c r="T51" i="37" s="1"/>
  <c r="M1378" i="37"/>
  <c r="L1378" i="37" s="1"/>
  <c r="R1385" i="37"/>
  <c r="X1673" i="37"/>
  <c r="Y1673" i="37" s="1"/>
  <c r="X1310" i="37"/>
  <c r="Y1310" i="37" s="1"/>
  <c r="T969" i="37"/>
  <c r="R915" i="37"/>
  <c r="T915" i="37" s="1"/>
  <c r="T797" i="37"/>
  <c r="T567" i="37"/>
  <c r="T538" i="37"/>
  <c r="R465" i="37"/>
  <c r="T465" i="37" s="1"/>
  <c r="X383" i="37"/>
  <c r="Y383" i="37" s="1"/>
  <c r="X191" i="37"/>
  <c r="Y191" i="37" s="1"/>
  <c r="X1054" i="37"/>
  <c r="Y1054" i="37" s="1"/>
  <c r="R937" i="37"/>
  <c r="T937" i="37" s="1"/>
  <c r="X823" i="37"/>
  <c r="Y823" i="37" s="1"/>
  <c r="X438" i="37"/>
  <c r="Y438" i="37" s="1"/>
  <c r="T233" i="37"/>
  <c r="R149" i="37"/>
  <c r="T149" i="37" s="1"/>
  <c r="R106" i="37"/>
  <c r="T106" i="37" s="1"/>
  <c r="X1450" i="37"/>
  <c r="Y1450" i="37" s="1"/>
  <c r="X1265" i="37"/>
  <c r="Y1265" i="37" s="1"/>
  <c r="X33" i="37"/>
  <c r="Y33" i="37" s="1"/>
  <c r="R1394" i="37"/>
  <c r="E9" i="38"/>
  <c r="K9" i="38" s="1"/>
  <c r="R1626" i="37"/>
  <c r="T1626" i="37" s="1"/>
  <c r="X1314" i="37"/>
  <c r="Y1314" i="37" s="1"/>
  <c r="R1225" i="37"/>
  <c r="T1225" i="37" s="1"/>
  <c r="R906" i="37"/>
  <c r="T906" i="37" s="1"/>
  <c r="R783" i="37"/>
  <c r="T783" i="37" s="1"/>
  <c r="X652" i="37"/>
  <c r="Y652" i="37" s="1"/>
  <c r="R562" i="37"/>
  <c r="T562" i="37" s="1"/>
  <c r="R341" i="37"/>
  <c r="T341" i="37" s="1"/>
  <c r="R339" i="37"/>
  <c r="T339" i="37" s="1"/>
  <c r="R319" i="37"/>
  <c r="T319" i="37" s="1"/>
  <c r="R301" i="37"/>
  <c r="T301" i="37" s="1"/>
  <c r="R226" i="37"/>
  <c r="T226" i="37" s="1"/>
  <c r="R224" i="37"/>
  <c r="T224" i="37" s="1"/>
  <c r="T84" i="37"/>
  <c r="R1452" i="37"/>
  <c r="T1452" i="37" s="1"/>
  <c r="G12" i="38"/>
  <c r="M12" i="38" s="1"/>
  <c r="R1036" i="37"/>
  <c r="T1036" i="37" s="1"/>
  <c r="R281" i="37"/>
  <c r="T281" i="37" s="1"/>
  <c r="X1641" i="37"/>
  <c r="Y1641" i="37" s="1"/>
  <c r="T1216" i="37"/>
  <c r="X1102" i="37"/>
  <c r="Y1102" i="37" s="1"/>
  <c r="R1082" i="37"/>
  <c r="T1082" i="37" s="1"/>
  <c r="R881" i="37"/>
  <c r="T881" i="37" s="1"/>
  <c r="T617" i="37"/>
  <c r="R358" i="37"/>
  <c r="T358" i="37" s="1"/>
  <c r="R208" i="37"/>
  <c r="T208" i="37" s="1"/>
  <c r="R1390" i="37"/>
  <c r="X1473" i="37"/>
  <c r="Y1473" i="37" s="1"/>
  <c r="X1062" i="37"/>
  <c r="Y1062" i="37" s="1"/>
  <c r="R1126" i="37"/>
  <c r="T1126" i="37" s="1"/>
  <c r="T586" i="37"/>
  <c r="X492" i="37"/>
  <c r="Y492" i="37" s="1"/>
  <c r="T477" i="37"/>
  <c r="T161" i="37"/>
  <c r="X1300" i="37"/>
  <c r="Y1300" i="37" s="1"/>
  <c r="X1374" i="37"/>
  <c r="Y1374" i="37" s="1"/>
  <c r="R612" i="37"/>
  <c r="T612" i="37" s="1"/>
  <c r="T362" i="37"/>
  <c r="X225" i="37"/>
  <c r="Y225" i="37" s="1"/>
  <c r="X1667" i="37"/>
  <c r="Y1667" i="37" s="1"/>
  <c r="R1603" i="37"/>
  <c r="T1603" i="37" s="1"/>
  <c r="R1586" i="37"/>
  <c r="T1586" i="37" s="1"/>
  <c r="R1357" i="37"/>
  <c r="T1357" i="37" s="1"/>
  <c r="X1319" i="37"/>
  <c r="Y1319" i="37" s="1"/>
  <c r="R1302" i="37"/>
  <c r="T1302" i="37" s="1"/>
  <c r="R929" i="37"/>
  <c r="T929" i="37" s="1"/>
  <c r="R664" i="37"/>
  <c r="T664" i="37" s="1"/>
  <c r="X651" i="37"/>
  <c r="Y651" i="37" s="1"/>
  <c r="X592" i="37"/>
  <c r="Y592" i="37" s="1"/>
  <c r="R342" i="37"/>
  <c r="T342" i="37" s="1"/>
  <c r="R300" i="37"/>
  <c r="T300" i="37" s="1"/>
  <c r="AF1379" i="37"/>
  <c r="AG1379" i="37" s="1"/>
  <c r="AF1380" i="37"/>
  <c r="AG1380" i="37" s="1"/>
  <c r="AF1381" i="37"/>
  <c r="AG1381" i="37" s="1"/>
  <c r="U1379" i="37"/>
  <c r="X1378" i="37"/>
  <c r="Y1378" i="37" s="1"/>
  <c r="X233" i="37"/>
  <c r="Y233" i="37" s="1"/>
  <c r="R1622" i="37"/>
  <c r="T1622" i="37" s="1"/>
  <c r="X1582" i="37"/>
  <c r="Y1582" i="37" s="1"/>
  <c r="R1354" i="37"/>
  <c r="T1354" i="37" s="1"/>
  <c r="X1231" i="37"/>
  <c r="Y1231" i="37" s="1"/>
  <c r="R1179" i="37"/>
  <c r="T1179" i="37" s="1"/>
  <c r="T1161" i="37"/>
  <c r="R831" i="37"/>
  <c r="T831" i="37" s="1"/>
  <c r="R814" i="37"/>
  <c r="T814" i="37" s="1"/>
  <c r="X778" i="37"/>
  <c r="Y778" i="37" s="1"/>
  <c r="T738" i="37"/>
  <c r="X698" i="37"/>
  <c r="Y698" i="37" s="1"/>
  <c r="X570" i="37"/>
  <c r="Y570" i="37" s="1"/>
  <c r="X508" i="37"/>
  <c r="Y508" i="37" s="1"/>
  <c r="T447" i="37"/>
  <c r="T378" i="37"/>
  <c r="T311" i="37"/>
  <c r="X120" i="37"/>
  <c r="Y120" i="37" s="1"/>
  <c r="R22" i="37"/>
  <c r="T22" i="37" s="1"/>
  <c r="T5" i="37"/>
  <c r="R1380" i="37"/>
  <c r="X1381" i="37"/>
  <c r="Y1381" i="37" s="1"/>
  <c r="X1630" i="37"/>
  <c r="Y1630" i="37" s="1"/>
  <c r="X1447" i="37"/>
  <c r="Y1447" i="37" s="1"/>
  <c r="X1334" i="37"/>
  <c r="Y1334" i="37" s="1"/>
  <c r="X1139" i="37"/>
  <c r="Y1139" i="37" s="1"/>
  <c r="X1051" i="37"/>
  <c r="Y1051" i="37" s="1"/>
  <c r="X1030" i="37"/>
  <c r="Y1030" i="37" s="1"/>
  <c r="X997" i="37"/>
  <c r="Y997" i="37" s="1"/>
  <c r="X953" i="37"/>
  <c r="Y953" i="37" s="1"/>
  <c r="X876" i="37"/>
  <c r="Y876" i="37" s="1"/>
  <c r="X679" i="37"/>
  <c r="Y679" i="37" s="1"/>
  <c r="X596" i="37"/>
  <c r="Y596" i="37" s="1"/>
  <c r="X566" i="37"/>
  <c r="Y566" i="37" s="1"/>
  <c r="X549" i="37"/>
  <c r="Y549" i="37" s="1"/>
  <c r="R75" i="37"/>
  <c r="T75" i="37" s="1"/>
  <c r="X11" i="37"/>
  <c r="Y11" i="37" s="1"/>
  <c r="R1714" i="37"/>
  <c r="T1714" i="37" s="1"/>
  <c r="X1596" i="37"/>
  <c r="Y1596" i="37" s="1"/>
  <c r="R1578" i="37"/>
  <c r="T1578" i="37" s="1"/>
  <c r="R1292" i="37"/>
  <c r="T1292" i="37" s="1"/>
  <c r="X1250" i="37"/>
  <c r="Y1250" i="37" s="1"/>
  <c r="X1053" i="37"/>
  <c r="Y1053" i="37" s="1"/>
  <c r="R776" i="37"/>
  <c r="T776" i="37" s="1"/>
  <c r="X681" i="37"/>
  <c r="Y681" i="37" s="1"/>
  <c r="R568" i="37"/>
  <c r="T568" i="37" s="1"/>
  <c r="R534" i="37"/>
  <c r="T534" i="37" s="1"/>
  <c r="R369" i="37"/>
  <c r="T369" i="37" s="1"/>
  <c r="T367" i="37"/>
  <c r="X304" i="37"/>
  <c r="Y304" i="37" s="1"/>
  <c r="T302" i="37"/>
  <c r="T278" i="37"/>
  <c r="R235" i="37"/>
  <c r="T235" i="37" s="1"/>
  <c r="T207" i="37"/>
  <c r="T139" i="37"/>
  <c r="R267" i="37"/>
  <c r="T267" i="37" s="1"/>
  <c r="T1285" i="37"/>
  <c r="T540" i="37"/>
  <c r="T925" i="37"/>
  <c r="T574" i="37"/>
  <c r="R1379" i="37"/>
  <c r="T1604" i="37"/>
  <c r="T1239" i="37"/>
  <c r="X1232" i="37"/>
  <c r="Y1232" i="37" s="1"/>
  <c r="X1226" i="37"/>
  <c r="Y1226" i="37" s="1"/>
  <c r="X1224" i="37"/>
  <c r="Y1224" i="37" s="1"/>
  <c r="T1176" i="37"/>
  <c r="X1123" i="37"/>
  <c r="Y1123" i="37" s="1"/>
  <c r="X1121" i="37"/>
  <c r="Y1121" i="37" s="1"/>
  <c r="T1001" i="37"/>
  <c r="T990" i="37"/>
  <c r="T979" i="37"/>
  <c r="X871" i="37"/>
  <c r="Y871" i="37" s="1"/>
  <c r="R869" i="37"/>
  <c r="T869" i="37" s="1"/>
  <c r="R845" i="37"/>
  <c r="T845" i="37" s="1"/>
  <c r="X796" i="37"/>
  <c r="Y796" i="37" s="1"/>
  <c r="R794" i="37"/>
  <c r="T794" i="37" s="1"/>
  <c r="T731" i="37"/>
  <c r="X716" i="37"/>
  <c r="Y716" i="37" s="1"/>
  <c r="X714" i="37"/>
  <c r="Y714" i="37" s="1"/>
  <c r="T655" i="37"/>
  <c r="T480" i="37"/>
  <c r="R478" i="37"/>
  <c r="T478" i="37" s="1"/>
  <c r="R457" i="37"/>
  <c r="T457" i="37" s="1"/>
  <c r="R425" i="37"/>
  <c r="T425" i="37" s="1"/>
  <c r="R332" i="37"/>
  <c r="T332" i="37" s="1"/>
  <c r="T330" i="37"/>
  <c r="T198" i="37"/>
  <c r="R188" i="37"/>
  <c r="T188" i="37" s="1"/>
  <c r="T126" i="37"/>
  <c r="X42" i="37"/>
  <c r="Y42" i="37" s="1"/>
  <c r="T1254" i="37"/>
  <c r="T1209" i="37"/>
  <c r="X1086" i="37"/>
  <c r="Y1086" i="37" s="1"/>
  <c r="X994" i="37"/>
  <c r="Y994" i="37" s="1"/>
  <c r="X860" i="37"/>
  <c r="Y860" i="37" s="1"/>
  <c r="R858" i="37"/>
  <c r="T858" i="37" s="1"/>
  <c r="R847" i="37"/>
  <c r="T847" i="37" s="1"/>
  <c r="X720" i="37"/>
  <c r="Y720" i="37" s="1"/>
  <c r="X431" i="37"/>
  <c r="Y431" i="37" s="1"/>
  <c r="R334" i="37"/>
  <c r="T334" i="37" s="1"/>
  <c r="X243" i="37"/>
  <c r="Y243" i="37" s="1"/>
  <c r="T232" i="37"/>
  <c r="R134" i="37"/>
  <c r="T134" i="37" s="1"/>
  <c r="T72" i="37"/>
  <c r="X70" i="37"/>
  <c r="Y70" i="37" s="1"/>
  <c r="X1711" i="37"/>
  <c r="Y1711" i="37" s="1"/>
  <c r="X1625" i="37"/>
  <c r="Y1625" i="37" s="1"/>
  <c r="X1579" i="37"/>
  <c r="Y1579" i="37" s="1"/>
  <c r="X1005" i="37"/>
  <c r="Y1005" i="37" s="1"/>
  <c r="R769" i="37"/>
  <c r="T769" i="37" s="1"/>
  <c r="X695" i="37"/>
  <c r="Y695" i="37" s="1"/>
  <c r="X676" i="37"/>
  <c r="Y676" i="37" s="1"/>
  <c r="X659" i="37"/>
  <c r="Y659" i="37" s="1"/>
  <c r="T527" i="37"/>
  <c r="R390" i="37"/>
  <c r="T390" i="37" s="1"/>
  <c r="R157" i="37"/>
  <c r="T157" i="37" s="1"/>
  <c r="X1612" i="37"/>
  <c r="Y1612" i="37" s="1"/>
  <c r="X1140" i="37"/>
  <c r="Y1140" i="37" s="1"/>
  <c r="T1080" i="37"/>
  <c r="R1046" i="37"/>
  <c r="T1046" i="37" s="1"/>
  <c r="T983" i="37"/>
  <c r="X922" i="37"/>
  <c r="Y922" i="37" s="1"/>
  <c r="R851" i="37"/>
  <c r="T851" i="37" s="1"/>
  <c r="R777" i="37"/>
  <c r="T777" i="37" s="1"/>
  <c r="R722" i="37"/>
  <c r="T722" i="37" s="1"/>
  <c r="X163" i="37"/>
  <c r="Y163" i="37" s="1"/>
  <c r="R550" i="37"/>
  <c r="T550" i="37" s="1"/>
  <c r="T172" i="37"/>
  <c r="X165" i="37"/>
  <c r="Y165" i="37" s="1"/>
  <c r="R27" i="37"/>
  <c r="T27" i="37" s="1"/>
  <c r="R12" i="37"/>
  <c r="T12" i="37" s="1"/>
  <c r="T1717" i="37"/>
  <c r="T1595" i="37"/>
  <c r="T1258" i="37"/>
  <c r="X1648" i="37"/>
  <c r="Y1648" i="37" s="1"/>
  <c r="X1601" i="37"/>
  <c r="Y1601" i="37" s="1"/>
  <c r="X1277" i="37"/>
  <c r="Y1277" i="37" s="1"/>
  <c r="X1105" i="37"/>
  <c r="Y1105" i="37" s="1"/>
  <c r="R1035" i="37"/>
  <c r="T1035" i="37" s="1"/>
  <c r="X1022" i="37"/>
  <c r="Y1022" i="37" s="1"/>
  <c r="X989" i="37"/>
  <c r="Y989" i="37" s="1"/>
  <c r="R987" i="37"/>
  <c r="T987" i="37" s="1"/>
  <c r="X938" i="37"/>
  <c r="Y938" i="37" s="1"/>
  <c r="T728" i="37"/>
  <c r="X605" i="37"/>
  <c r="Y605" i="37" s="1"/>
  <c r="X500" i="37"/>
  <c r="Y500" i="37" s="1"/>
  <c r="T398" i="37"/>
  <c r="R374" i="37"/>
  <c r="T374" i="37" s="1"/>
  <c r="T372" i="37"/>
  <c r="T318" i="37"/>
  <c r="T305" i="37"/>
  <c r="R1348" i="37"/>
  <c r="T1348" i="37" s="1"/>
  <c r="X1572" i="37"/>
  <c r="Y1572" i="37" s="1"/>
  <c r="X1557" i="37"/>
  <c r="Y1557" i="37" s="1"/>
  <c r="X1279" i="37"/>
  <c r="Y1279" i="37" s="1"/>
  <c r="X991" i="37"/>
  <c r="Y991" i="37" s="1"/>
  <c r="X980" i="37"/>
  <c r="Y980" i="37" s="1"/>
  <c r="R947" i="37"/>
  <c r="T947" i="37" s="1"/>
  <c r="X844" i="37"/>
  <c r="Y844" i="37" s="1"/>
  <c r="X791" i="37"/>
  <c r="Y791" i="37" s="1"/>
  <c r="R734" i="37"/>
  <c r="T734" i="37" s="1"/>
  <c r="R709" i="37"/>
  <c r="T709" i="37" s="1"/>
  <c r="R620" i="37"/>
  <c r="T620" i="37" s="1"/>
  <c r="T500" i="37"/>
  <c r="R479" i="37"/>
  <c r="T479" i="37" s="1"/>
  <c r="X477" i="37"/>
  <c r="Y477" i="37" s="1"/>
  <c r="T294" i="37"/>
  <c r="T214" i="37"/>
  <c r="R127" i="37"/>
  <c r="T127" i="37" s="1"/>
  <c r="E7" i="38"/>
  <c r="K7" i="38" s="1"/>
  <c r="R1559" i="37"/>
  <c r="T1559" i="37" s="1"/>
  <c r="T1159" i="37"/>
  <c r="X1083" i="37"/>
  <c r="Y1083" i="37" s="1"/>
  <c r="R793" i="37"/>
  <c r="T793" i="37" s="1"/>
  <c r="X738" i="37"/>
  <c r="Y738" i="37" s="1"/>
  <c r="X447" i="37"/>
  <c r="Y447" i="37" s="1"/>
  <c r="R441" i="37"/>
  <c r="T441" i="37" s="1"/>
  <c r="R247" i="37"/>
  <c r="T247" i="37" s="1"/>
  <c r="R197" i="37"/>
  <c r="T197" i="37" s="1"/>
  <c r="R195" i="37"/>
  <c r="T195" i="37" s="1"/>
  <c r="R152" i="37"/>
  <c r="T152" i="37" s="1"/>
  <c r="R110" i="37"/>
  <c r="T110" i="37" s="1"/>
  <c r="T65" i="37"/>
  <c r="T56" i="37"/>
  <c r="T37" i="37"/>
  <c r="T33" i="37"/>
  <c r="T1373" i="37"/>
  <c r="X1719" i="37"/>
  <c r="Y1719" i="37" s="1"/>
  <c r="X1686" i="37"/>
  <c r="Y1686" i="37" s="1"/>
  <c r="R1587" i="37"/>
  <c r="T1587" i="37" s="1"/>
  <c r="X1256" i="37"/>
  <c r="Y1256" i="37" s="1"/>
  <c r="X1242" i="37"/>
  <c r="Y1242" i="37" s="1"/>
  <c r="X1234" i="37"/>
  <c r="Y1234" i="37" s="1"/>
  <c r="X1216" i="37"/>
  <c r="Y1216" i="37" s="1"/>
  <c r="R1163" i="37"/>
  <c r="T1163" i="37" s="1"/>
  <c r="R1107" i="37"/>
  <c r="T1107" i="37" s="1"/>
  <c r="X1097" i="37"/>
  <c r="Y1097" i="37" s="1"/>
  <c r="R1047" i="37"/>
  <c r="T1047" i="37" s="1"/>
  <c r="R1039" i="37"/>
  <c r="T1039" i="37" s="1"/>
  <c r="X1029" i="37"/>
  <c r="Y1029" i="37" s="1"/>
  <c r="X975" i="37"/>
  <c r="Y975" i="37" s="1"/>
  <c r="X969" i="37"/>
  <c r="Y969" i="37" s="1"/>
  <c r="R963" i="37"/>
  <c r="T963" i="37" s="1"/>
  <c r="X893" i="37"/>
  <c r="Y893" i="37" s="1"/>
  <c r="R893" i="37"/>
  <c r="T893" i="37" s="1"/>
  <c r="R785" i="37"/>
  <c r="T785" i="37" s="1"/>
  <c r="X758" i="37"/>
  <c r="Y758" i="37" s="1"/>
  <c r="R758" i="37"/>
  <c r="T758" i="37" s="1"/>
  <c r="X1660" i="37"/>
  <c r="Y1660" i="37" s="1"/>
  <c r="X1652" i="37"/>
  <c r="Y1652" i="37" s="1"/>
  <c r="X1628" i="37"/>
  <c r="Y1628" i="37" s="1"/>
  <c r="T1152" i="37"/>
  <c r="R1115" i="37"/>
  <c r="T1115" i="37" s="1"/>
  <c r="R1075" i="37"/>
  <c r="T1075" i="37" s="1"/>
  <c r="X1075" i="37"/>
  <c r="Y1075" i="37" s="1"/>
  <c r="R884" i="37"/>
  <c r="T884" i="37" s="1"/>
  <c r="R835" i="37"/>
  <c r="T835" i="37" s="1"/>
  <c r="X835" i="37"/>
  <c r="Y835" i="37" s="1"/>
  <c r="R816" i="37"/>
  <c r="T816" i="37" s="1"/>
  <c r="X760" i="37"/>
  <c r="Y760" i="37" s="1"/>
  <c r="R760" i="37"/>
  <c r="T760" i="37" s="1"/>
  <c r="R710" i="37"/>
  <c r="T710" i="37" s="1"/>
  <c r="R1690" i="37"/>
  <c r="T1690" i="37" s="1"/>
  <c r="X1099" i="37"/>
  <c r="Y1099" i="37" s="1"/>
  <c r="R1099" i="37"/>
  <c r="T1099" i="37" s="1"/>
  <c r="X668" i="37"/>
  <c r="Y668" i="37" s="1"/>
  <c r="R668" i="37"/>
  <c r="T668" i="37" s="1"/>
  <c r="T1628" i="37"/>
  <c r="T1448" i="37"/>
  <c r="T1274" i="37"/>
  <c r="T1167" i="37"/>
  <c r="T989" i="37"/>
  <c r="X762" i="37"/>
  <c r="Y762" i="37" s="1"/>
  <c r="R762" i="37"/>
  <c r="T762" i="37" s="1"/>
  <c r="T1684" i="37"/>
  <c r="R1602" i="37"/>
  <c r="T1602" i="37" s="1"/>
  <c r="X1342" i="37"/>
  <c r="Y1342" i="37" s="1"/>
  <c r="X1332" i="37"/>
  <c r="Y1332" i="37" s="1"/>
  <c r="R1313" i="37"/>
  <c r="T1313" i="37" s="1"/>
  <c r="R1171" i="37"/>
  <c r="T1171" i="37" s="1"/>
  <c r="X843" i="37"/>
  <c r="Y843" i="37" s="1"/>
  <c r="R843" i="37"/>
  <c r="T843" i="37" s="1"/>
  <c r="R724" i="37"/>
  <c r="T724" i="37" s="1"/>
  <c r="X724" i="37"/>
  <c r="Y724" i="37" s="1"/>
  <c r="X1577" i="37"/>
  <c r="Y1577" i="37" s="1"/>
  <c r="X1322" i="37"/>
  <c r="Y1322" i="37" s="1"/>
  <c r="X1131" i="37"/>
  <c r="Y1131" i="37" s="1"/>
  <c r="R1131" i="37"/>
  <c r="T1131" i="37" s="1"/>
  <c r="T860" i="37"/>
  <c r="R753" i="37"/>
  <c r="T753" i="37" s="1"/>
  <c r="X753" i="37"/>
  <c r="Y753" i="37" s="1"/>
  <c r="R1340" i="37"/>
  <c r="T1340" i="37" s="1"/>
  <c r="X1338" i="37"/>
  <c r="Y1338" i="37" s="1"/>
  <c r="X1330" i="37"/>
  <c r="Y1330" i="37" s="1"/>
  <c r="R1318" i="37"/>
  <c r="T1318" i="37" s="1"/>
  <c r="T1282" i="37"/>
  <c r="R1267" i="37"/>
  <c r="T1267" i="37" s="1"/>
  <c r="X1137" i="37"/>
  <c r="Y1137" i="37" s="1"/>
  <c r="X1110" i="37"/>
  <c r="Y1110" i="37" s="1"/>
  <c r="X1094" i="37"/>
  <c r="Y1094" i="37" s="1"/>
  <c r="R1058" i="37"/>
  <c r="T1058" i="37" s="1"/>
  <c r="R1052" i="37"/>
  <c r="T1052" i="37" s="1"/>
  <c r="X921" i="37"/>
  <c r="Y921" i="37" s="1"/>
  <c r="R921" i="37"/>
  <c r="T921" i="37" s="1"/>
  <c r="R807" i="37"/>
  <c r="T807" i="37" s="1"/>
  <c r="X807" i="37"/>
  <c r="Y807" i="37" s="1"/>
  <c r="X1569" i="37"/>
  <c r="Y1569" i="37" s="1"/>
  <c r="X1382" i="37"/>
  <c r="Y1382" i="37" s="1"/>
  <c r="X1243" i="37"/>
  <c r="Y1243" i="37" s="1"/>
  <c r="X1239" i="37"/>
  <c r="Y1239" i="37" s="1"/>
  <c r="X1209" i="37"/>
  <c r="Y1209" i="37" s="1"/>
  <c r="X1080" i="37"/>
  <c r="Y1080" i="37" s="1"/>
  <c r="X1072" i="37"/>
  <c r="Y1072" i="37" s="1"/>
  <c r="X1050" i="37"/>
  <c r="Y1050" i="37" s="1"/>
  <c r="X941" i="37"/>
  <c r="Y941" i="37" s="1"/>
  <c r="R933" i="37"/>
  <c r="T933" i="37" s="1"/>
  <c r="X933" i="37"/>
  <c r="Y933" i="37" s="1"/>
  <c r="X892" i="37"/>
  <c r="Y892" i="37" s="1"/>
  <c r="R892" i="37"/>
  <c r="T892" i="37" s="1"/>
  <c r="R730" i="37"/>
  <c r="T730" i="37" s="1"/>
  <c r="X730" i="37"/>
  <c r="Y730" i="37" s="1"/>
  <c r="X1633" i="37"/>
  <c r="Y1633" i="37" s="1"/>
  <c r="T1330" i="37"/>
  <c r="R1259" i="37"/>
  <c r="T1259" i="37" s="1"/>
  <c r="X1257" i="37"/>
  <c r="Y1257" i="37" s="1"/>
  <c r="R1147" i="37"/>
  <c r="T1147" i="37" s="1"/>
  <c r="T1137" i="37"/>
  <c r="T1062" i="37"/>
  <c r="X1028" i="37"/>
  <c r="Y1028" i="37" s="1"/>
  <c r="X1026" i="37"/>
  <c r="Y1026" i="37" s="1"/>
  <c r="X949" i="37"/>
  <c r="Y949" i="37" s="1"/>
  <c r="X945" i="37"/>
  <c r="Y945" i="37" s="1"/>
  <c r="R834" i="37"/>
  <c r="T834" i="37" s="1"/>
  <c r="X834" i="37"/>
  <c r="Y834" i="37" s="1"/>
  <c r="X817" i="37"/>
  <c r="Y817" i="37" s="1"/>
  <c r="R817" i="37"/>
  <c r="T817" i="37" s="1"/>
  <c r="R786" i="37"/>
  <c r="T786" i="37" s="1"/>
  <c r="R1724" i="37"/>
  <c r="T1724" i="37" s="1"/>
  <c r="R1716" i="37"/>
  <c r="T1716" i="37" s="1"/>
  <c r="R1215" i="37"/>
  <c r="T1215" i="37" s="1"/>
  <c r="R868" i="37"/>
  <c r="T868" i="37" s="1"/>
  <c r="R798" i="37"/>
  <c r="T798" i="37" s="1"/>
  <c r="R788" i="37"/>
  <c r="T788" i="37" s="1"/>
  <c r="R717" i="37"/>
  <c r="T717" i="37" s="1"/>
  <c r="T1374" i="37"/>
  <c r="T1519" i="37"/>
  <c r="T1498" i="37"/>
  <c r="T1433" i="37"/>
  <c r="X836" i="37"/>
  <c r="Y836" i="37" s="1"/>
  <c r="R836" i="37"/>
  <c r="T836" i="37" s="1"/>
  <c r="X802" i="37"/>
  <c r="Y802" i="37" s="1"/>
  <c r="R802" i="37"/>
  <c r="T802" i="37" s="1"/>
  <c r="X790" i="37"/>
  <c r="Y790" i="37" s="1"/>
  <c r="R790" i="37"/>
  <c r="T790" i="37" s="1"/>
  <c r="X761" i="37"/>
  <c r="Y761" i="37" s="1"/>
  <c r="R761" i="37"/>
  <c r="T761" i="37" s="1"/>
  <c r="R746" i="37"/>
  <c r="T746" i="37" s="1"/>
  <c r="X746" i="37"/>
  <c r="Y746" i="37" s="1"/>
  <c r="T1376" i="37"/>
  <c r="T1637" i="37"/>
  <c r="T1619" i="37"/>
  <c r="T1580" i="37"/>
  <c r="T1459" i="37"/>
  <c r="T1447" i="37"/>
  <c r="T1124" i="37"/>
  <c r="R951" i="37"/>
  <c r="T951" i="37" s="1"/>
  <c r="X951" i="37"/>
  <c r="Y951" i="37" s="1"/>
  <c r="T796" i="37"/>
  <c r="T1681" i="37"/>
  <c r="T1665" i="37"/>
  <c r="T1453" i="37"/>
  <c r="T1279" i="37"/>
  <c r="T1223" i="37"/>
  <c r="R1009" i="37"/>
  <c r="T1009" i="37" s="1"/>
  <c r="X1009" i="37"/>
  <c r="Y1009" i="37" s="1"/>
  <c r="R955" i="37"/>
  <c r="T955" i="37" s="1"/>
  <c r="R825" i="37"/>
  <c r="T825" i="37" s="1"/>
  <c r="R750" i="37"/>
  <c r="T750" i="37" s="1"/>
  <c r="X750" i="37"/>
  <c r="Y750" i="37" s="1"/>
  <c r="T1300" i="37"/>
  <c r="T1231" i="37"/>
  <c r="T1191" i="37"/>
  <c r="X1134" i="37"/>
  <c r="Y1134" i="37" s="1"/>
  <c r="R1013" i="37"/>
  <c r="T1013" i="37" s="1"/>
  <c r="X1013" i="37"/>
  <c r="Y1013" i="37" s="1"/>
  <c r="R827" i="37"/>
  <c r="T827" i="37" s="1"/>
  <c r="X827" i="37"/>
  <c r="Y827" i="37" s="1"/>
  <c r="X1727" i="37"/>
  <c r="Y1727" i="37" s="1"/>
  <c r="X1593" i="37"/>
  <c r="Y1593" i="37" s="1"/>
  <c r="R1574" i="37"/>
  <c r="T1574" i="37" s="1"/>
  <c r="T1572" i="37"/>
  <c r="R1570" i="37"/>
  <c r="T1570" i="37" s="1"/>
  <c r="X1308" i="37"/>
  <c r="Y1308" i="37" s="1"/>
  <c r="R1294" i="37"/>
  <c r="T1294" i="37" s="1"/>
  <c r="R1283" i="37"/>
  <c r="T1283" i="37" s="1"/>
  <c r="X1262" i="37"/>
  <c r="Y1262" i="37" s="1"/>
  <c r="X1089" i="37"/>
  <c r="Y1089" i="37" s="1"/>
  <c r="T1057" i="37"/>
  <c r="X1041" i="37"/>
  <c r="Y1041" i="37" s="1"/>
  <c r="X965" i="37"/>
  <c r="Y965" i="37" s="1"/>
  <c r="T957" i="37"/>
  <c r="T852" i="37"/>
  <c r="X1486" i="37"/>
  <c r="Y1486" i="37" s="1"/>
  <c r="X1254" i="37"/>
  <c r="Y1254" i="37" s="1"/>
  <c r="X1240" i="37"/>
  <c r="Y1240" i="37" s="1"/>
  <c r="R1195" i="37"/>
  <c r="T1195" i="37" s="1"/>
  <c r="X967" i="37"/>
  <c r="Y967" i="37" s="1"/>
  <c r="X942" i="37"/>
  <c r="Y942" i="37" s="1"/>
  <c r="R898" i="37"/>
  <c r="T898" i="37" s="1"/>
  <c r="T876" i="37"/>
  <c r="R766" i="37"/>
  <c r="T766" i="37" s="1"/>
  <c r="R712" i="37"/>
  <c r="T712" i="37" s="1"/>
  <c r="X687" i="37"/>
  <c r="Y687" i="37" s="1"/>
  <c r="X644" i="37"/>
  <c r="Y644" i="37" s="1"/>
  <c r="X624" i="37"/>
  <c r="Y624" i="37" s="1"/>
  <c r="X571" i="37"/>
  <c r="Y571" i="37" s="1"/>
  <c r="X544" i="37"/>
  <c r="Y544" i="37" s="1"/>
  <c r="R522" i="37"/>
  <c r="T522" i="37" s="1"/>
  <c r="X512" i="37"/>
  <c r="Y512" i="37" s="1"/>
  <c r="X485" i="37"/>
  <c r="Y485" i="37" s="1"/>
  <c r="R428" i="37"/>
  <c r="T428" i="37" s="1"/>
  <c r="X426" i="37"/>
  <c r="Y426" i="37" s="1"/>
  <c r="X414" i="37"/>
  <c r="Y414" i="37" s="1"/>
  <c r="X313" i="37"/>
  <c r="Y313" i="37" s="1"/>
  <c r="X311" i="37"/>
  <c r="Y311" i="37" s="1"/>
  <c r="X201" i="37"/>
  <c r="Y201" i="37" s="1"/>
  <c r="R689" i="37"/>
  <c r="T689" i="37" s="1"/>
  <c r="R648" i="37"/>
  <c r="T648" i="37" s="1"/>
  <c r="R628" i="37"/>
  <c r="T628" i="37" s="1"/>
  <c r="R587" i="37"/>
  <c r="T587" i="37" s="1"/>
  <c r="R542" i="37"/>
  <c r="T542" i="37" s="1"/>
  <c r="R516" i="37"/>
  <c r="T516" i="37" s="1"/>
  <c r="R422" i="37"/>
  <c r="T422" i="37" s="1"/>
  <c r="R402" i="37"/>
  <c r="T402" i="37" s="1"/>
  <c r="X398" i="37"/>
  <c r="Y398" i="37" s="1"/>
  <c r="X350" i="37"/>
  <c r="Y350" i="37" s="1"/>
  <c r="X325" i="37"/>
  <c r="Y325" i="37" s="1"/>
  <c r="X305" i="37"/>
  <c r="Y305" i="37" s="1"/>
  <c r="X295" i="37"/>
  <c r="Y295" i="37" s="1"/>
  <c r="X240" i="37"/>
  <c r="Y240" i="37" s="1"/>
  <c r="X228" i="37"/>
  <c r="Y228" i="37" s="1"/>
  <c r="T111" i="37"/>
  <c r="R94" i="37"/>
  <c r="T94" i="37" s="1"/>
  <c r="T92" i="37"/>
  <c r="T53" i="37"/>
  <c r="T47" i="37"/>
  <c r="T31" i="37"/>
  <c r="X21" i="37"/>
  <c r="Y21" i="37" s="1"/>
  <c r="X2" i="37"/>
  <c r="Y2" i="37" s="1"/>
  <c r="R1375" i="37"/>
  <c r="X1376" i="37"/>
  <c r="Y1376" i="37" s="1"/>
  <c r="T548" i="37"/>
  <c r="R481" i="37"/>
  <c r="T481" i="37" s="1"/>
  <c r="R408" i="37"/>
  <c r="T408" i="37" s="1"/>
  <c r="R376" i="37"/>
  <c r="T376" i="37" s="1"/>
  <c r="R360" i="37"/>
  <c r="T360" i="37" s="1"/>
  <c r="X354" i="37"/>
  <c r="Y354" i="37" s="1"/>
  <c r="R329" i="37"/>
  <c r="T329" i="37" s="1"/>
  <c r="R242" i="37"/>
  <c r="T242" i="37" s="1"/>
  <c r="R179" i="37"/>
  <c r="T179" i="37" s="1"/>
  <c r="R175" i="37"/>
  <c r="T175" i="37" s="1"/>
  <c r="R109" i="37"/>
  <c r="T109" i="37" s="1"/>
  <c r="X107" i="37"/>
  <c r="Y107" i="37" s="1"/>
  <c r="R63" i="37"/>
  <c r="T63" i="37" s="1"/>
  <c r="T17" i="37"/>
  <c r="T191" i="37"/>
  <c r="T136" i="37"/>
  <c r="T107" i="37"/>
  <c r="T1005" i="37"/>
  <c r="R867" i="37"/>
  <c r="T867" i="37" s="1"/>
  <c r="R853" i="37"/>
  <c r="T853" i="37" s="1"/>
  <c r="R849" i="37"/>
  <c r="T849" i="37" s="1"/>
  <c r="X561" i="37"/>
  <c r="Y561" i="37" s="1"/>
  <c r="R439" i="37"/>
  <c r="T439" i="37" s="1"/>
  <c r="X433" i="37"/>
  <c r="Y433" i="37" s="1"/>
  <c r="X318" i="37"/>
  <c r="Y318" i="37" s="1"/>
  <c r="T185" i="37"/>
  <c r="T11" i="37"/>
  <c r="R1353" i="37"/>
  <c r="T1353" i="37" s="1"/>
  <c r="X943" i="37"/>
  <c r="Y943" i="37" s="1"/>
  <c r="R857" i="37"/>
  <c r="T857" i="37" s="1"/>
  <c r="R775" i="37"/>
  <c r="T775" i="37" s="1"/>
  <c r="R773" i="37"/>
  <c r="T773" i="37" s="1"/>
  <c r="X713" i="37"/>
  <c r="Y713" i="37" s="1"/>
  <c r="R694" i="37"/>
  <c r="T694" i="37" s="1"/>
  <c r="X637" i="37"/>
  <c r="Y637" i="37" s="1"/>
  <c r="R604" i="37"/>
  <c r="T604" i="37" s="1"/>
  <c r="X590" i="37"/>
  <c r="Y590" i="37" s="1"/>
  <c r="X519" i="37"/>
  <c r="Y519" i="37" s="1"/>
  <c r="R475" i="37"/>
  <c r="T475" i="37" s="1"/>
  <c r="R435" i="37"/>
  <c r="T435" i="37" s="1"/>
  <c r="R293" i="37"/>
  <c r="T293" i="37" s="1"/>
  <c r="R291" i="37"/>
  <c r="T291" i="37" s="1"/>
  <c r="X289" i="37"/>
  <c r="Y289" i="37" s="1"/>
  <c r="X257" i="37"/>
  <c r="Y257" i="37" s="1"/>
  <c r="X222" i="37"/>
  <c r="Y222" i="37" s="1"/>
  <c r="R164" i="37"/>
  <c r="T164" i="37" s="1"/>
  <c r="T162" i="37"/>
  <c r="R101" i="37"/>
  <c r="T101" i="37" s="1"/>
  <c r="T69" i="37"/>
  <c r="X58" i="37"/>
  <c r="Y58" i="37" s="1"/>
  <c r="X56" i="37"/>
  <c r="Y56" i="37" s="1"/>
  <c r="X767" i="37"/>
  <c r="Y767" i="37" s="1"/>
  <c r="X330" i="37"/>
  <c r="Y330" i="37" s="1"/>
  <c r="X124" i="37"/>
  <c r="Y124" i="37" s="1"/>
  <c r="X114" i="37"/>
  <c r="Y114" i="37" s="1"/>
  <c r="X3" i="37"/>
  <c r="Y3" i="37" s="1"/>
  <c r="R837" i="37"/>
  <c r="T837" i="37" s="1"/>
  <c r="R765" i="37"/>
  <c r="T765" i="37" s="1"/>
  <c r="X728" i="37"/>
  <c r="Y728" i="37" s="1"/>
  <c r="X726" i="37"/>
  <c r="Y726" i="37" s="1"/>
  <c r="X711" i="37"/>
  <c r="Y711" i="37" s="1"/>
  <c r="X625" i="37"/>
  <c r="Y625" i="37" s="1"/>
  <c r="X588" i="37"/>
  <c r="Y588" i="37" s="1"/>
  <c r="X582" i="37"/>
  <c r="Y582" i="37" s="1"/>
  <c r="X578" i="37"/>
  <c r="Y578" i="37" s="1"/>
  <c r="T557" i="37"/>
  <c r="X551" i="37"/>
  <c r="Y551" i="37" s="1"/>
  <c r="R545" i="37"/>
  <c r="T545" i="37" s="1"/>
  <c r="X527" i="37"/>
  <c r="Y527" i="37" s="1"/>
  <c r="T450" i="37"/>
  <c r="X399" i="37"/>
  <c r="Y399" i="37" s="1"/>
  <c r="X391" i="37"/>
  <c r="Y391" i="37" s="1"/>
  <c r="X379" i="37"/>
  <c r="Y379" i="37" s="1"/>
  <c r="X287" i="37"/>
  <c r="Y287" i="37" s="1"/>
  <c r="T275" i="37"/>
  <c r="X263" i="37"/>
  <c r="Y263" i="37" s="1"/>
  <c r="X248" i="37"/>
  <c r="Y248" i="37" s="1"/>
  <c r="X237" i="37"/>
  <c r="Y237" i="37" s="1"/>
  <c r="X198" i="37"/>
  <c r="Y198" i="37" s="1"/>
  <c r="X54" i="37"/>
  <c r="Y54" i="37" s="1"/>
  <c r="X50" i="37"/>
  <c r="Y50" i="37" s="1"/>
  <c r="X48" i="37"/>
  <c r="Y48" i="37" s="1"/>
  <c r="R24" i="37"/>
  <c r="T24" i="37" s="1"/>
  <c r="R688" i="37"/>
  <c r="T688" i="37" s="1"/>
  <c r="R665" i="37"/>
  <c r="T665" i="37" s="1"/>
  <c r="X643" i="37"/>
  <c r="Y643" i="37" s="1"/>
  <c r="X576" i="37"/>
  <c r="Y576" i="37" s="1"/>
  <c r="X535" i="37"/>
  <c r="Y535" i="37" s="1"/>
  <c r="X525" i="37"/>
  <c r="Y525" i="37" s="1"/>
  <c r="X480" i="37"/>
  <c r="Y480" i="37" s="1"/>
  <c r="R444" i="37"/>
  <c r="T444" i="37" s="1"/>
  <c r="R427" i="37"/>
  <c r="T427" i="37" s="1"/>
  <c r="R417" i="37"/>
  <c r="T417" i="37" s="1"/>
  <c r="R316" i="37"/>
  <c r="T316" i="37" s="1"/>
  <c r="X306" i="37"/>
  <c r="Y306" i="37" s="1"/>
  <c r="X271" i="37"/>
  <c r="Y271" i="37" s="1"/>
  <c r="R93" i="37"/>
  <c r="T93" i="37" s="1"/>
  <c r="T48" i="37"/>
  <c r="X18" i="37"/>
  <c r="Y18" i="37" s="1"/>
  <c r="X16" i="37"/>
  <c r="Y16" i="37" s="1"/>
  <c r="X1372" i="37"/>
  <c r="Y1372" i="37" s="1"/>
  <c r="R653" i="37"/>
  <c r="T653" i="37" s="1"/>
  <c r="R421" i="37"/>
  <c r="T421" i="37" s="1"/>
  <c r="R328" i="37"/>
  <c r="T328" i="37" s="1"/>
  <c r="R269" i="37"/>
  <c r="T269" i="37" s="1"/>
  <c r="R174" i="37"/>
  <c r="T174" i="37" s="1"/>
  <c r="R20" i="37"/>
  <c r="T20" i="37" s="1"/>
  <c r="R365" i="37"/>
  <c r="T365" i="37" s="1"/>
  <c r="R349" i="37"/>
  <c r="T349" i="37" s="1"/>
  <c r="T182" i="37"/>
  <c r="T74" i="37"/>
  <c r="R1350" i="37"/>
  <c r="T1350" i="37" s="1"/>
  <c r="T671" i="37"/>
  <c r="T615" i="37"/>
  <c r="T492" i="37"/>
  <c r="T490" i="37"/>
  <c r="T343" i="37"/>
  <c r="R333" i="37"/>
  <c r="T333" i="37" s="1"/>
  <c r="X245" i="37"/>
  <c r="Y245" i="37" s="1"/>
  <c r="X84" i="37"/>
  <c r="Y84" i="37" s="1"/>
  <c r="T80" i="37"/>
  <c r="X10" i="37"/>
  <c r="Y10" i="37" s="1"/>
  <c r="T438" i="37"/>
  <c r="X215" i="37"/>
  <c r="Y215" i="37" s="1"/>
  <c r="X211" i="37"/>
  <c r="Y211" i="37" s="1"/>
  <c r="T190" i="37"/>
  <c r="T186" i="37"/>
  <c r="T102" i="37"/>
  <c r="X96" i="37"/>
  <c r="Y96" i="37" s="1"/>
  <c r="X41" i="37"/>
  <c r="Y41" i="37" s="1"/>
  <c r="X39" i="37"/>
  <c r="Y39" i="37" s="1"/>
  <c r="T934" i="37"/>
  <c r="T908" i="37"/>
  <c r="X900" i="37"/>
  <c r="Y900" i="37" s="1"/>
  <c r="T772" i="37"/>
  <c r="R768" i="37"/>
  <c r="T768" i="37" s="1"/>
  <c r="X640" i="37"/>
  <c r="Y640" i="37" s="1"/>
  <c r="T607" i="37"/>
  <c r="R579" i="37"/>
  <c r="T579" i="37" s="1"/>
  <c r="T508" i="37"/>
  <c r="T506" i="37"/>
  <c r="X449" i="37"/>
  <c r="Y449" i="37" s="1"/>
  <c r="R445" i="37"/>
  <c r="T445" i="37" s="1"/>
  <c r="R430" i="37"/>
  <c r="T430" i="37" s="1"/>
  <c r="X400" i="37"/>
  <c r="Y400" i="37" s="1"/>
  <c r="R288" i="37"/>
  <c r="T288" i="37" s="1"/>
  <c r="X284" i="37"/>
  <c r="Y284" i="37" s="1"/>
  <c r="R217" i="37"/>
  <c r="T217" i="37" s="1"/>
  <c r="T213" i="37"/>
  <c r="X207" i="37"/>
  <c r="Y207" i="37" s="1"/>
  <c r="X203" i="37"/>
  <c r="Y203" i="37" s="1"/>
  <c r="X171" i="37"/>
  <c r="Y171" i="37" s="1"/>
  <c r="R167" i="37"/>
  <c r="T167" i="37" s="1"/>
  <c r="R119" i="37"/>
  <c r="T119" i="37" s="1"/>
  <c r="X111" i="37"/>
  <c r="Y111" i="37" s="1"/>
  <c r="T86" i="37"/>
  <c r="T82" i="37"/>
  <c r="R59" i="37"/>
  <c r="T59" i="37" s="1"/>
  <c r="R35" i="37"/>
  <c r="T35" i="37" s="1"/>
  <c r="X29" i="37"/>
  <c r="Y29" i="37" s="1"/>
  <c r="X8" i="37"/>
  <c r="Y8" i="37" s="1"/>
  <c r="X4" i="37"/>
  <c r="Y4" i="37" s="1"/>
  <c r="T1372" i="37"/>
  <c r="R1371" i="37"/>
  <c r="R1634" i="37"/>
  <c r="T1634" i="37" s="1"/>
  <c r="X1634" i="37"/>
  <c r="Y1634" i="37" s="1"/>
  <c r="R1278" i="37"/>
  <c r="T1278" i="37" s="1"/>
  <c r="X1278" i="37"/>
  <c r="Y1278" i="37" s="1"/>
  <c r="R973" i="37"/>
  <c r="T973" i="37" s="1"/>
  <c r="X973" i="37"/>
  <c r="Y973" i="37" s="1"/>
  <c r="X353" i="37"/>
  <c r="Y353" i="37" s="1"/>
  <c r="R353" i="37"/>
  <c r="T353" i="37" s="1"/>
  <c r="R1726" i="37"/>
  <c r="T1726" i="37" s="1"/>
  <c r="R1701" i="37"/>
  <c r="T1701" i="37" s="1"/>
  <c r="R1674" i="37"/>
  <c r="T1674" i="37" s="1"/>
  <c r="R1659" i="37"/>
  <c r="T1659" i="37" s="1"/>
  <c r="X1295" i="37"/>
  <c r="Y1295" i="37" s="1"/>
  <c r="R1295" i="37"/>
  <c r="T1295" i="37" s="1"/>
  <c r="R1609" i="37"/>
  <c r="T1609" i="37" s="1"/>
  <c r="X1609" i="37"/>
  <c r="Y1609" i="37" s="1"/>
  <c r="X1284" i="37"/>
  <c r="Y1284" i="37" s="1"/>
  <c r="R1284" i="37"/>
  <c r="T1284" i="37" s="1"/>
  <c r="R993" i="37"/>
  <c r="T993" i="37" s="1"/>
  <c r="X993" i="37"/>
  <c r="Y993" i="37" s="1"/>
  <c r="X1709" i="37"/>
  <c r="Y1709" i="37" s="1"/>
  <c r="X1695" i="37"/>
  <c r="Y1695" i="37" s="1"/>
  <c r="T1672" i="37"/>
  <c r="X1651" i="37"/>
  <c r="Y1651" i="37" s="1"/>
  <c r="R1475" i="37"/>
  <c r="T1475" i="37" s="1"/>
  <c r="X1475" i="37"/>
  <c r="Y1475" i="37" s="1"/>
  <c r="R1343" i="37"/>
  <c r="T1343" i="37" s="1"/>
  <c r="X1343" i="37"/>
  <c r="Y1343" i="37" s="1"/>
  <c r="X1044" i="37"/>
  <c r="Y1044" i="37" s="1"/>
  <c r="R1044" i="37"/>
  <c r="T1044" i="37" s="1"/>
  <c r="R611" i="37"/>
  <c r="T611" i="37" s="1"/>
  <c r="X611" i="37"/>
  <c r="Y611" i="37" s="1"/>
  <c r="R504" i="37"/>
  <c r="T504" i="37" s="1"/>
  <c r="X504" i="37"/>
  <c r="Y504" i="37" s="1"/>
  <c r="R1692" i="37"/>
  <c r="T1692" i="37" s="1"/>
  <c r="X1681" i="37"/>
  <c r="Y1681" i="37" s="1"/>
  <c r="X1458" i="37"/>
  <c r="Y1458" i="37" s="1"/>
  <c r="R1458" i="37"/>
  <c r="T1458" i="37" s="1"/>
  <c r="X1423" i="37"/>
  <c r="Y1423" i="37" s="1"/>
  <c r="R1423" i="37"/>
  <c r="T1423" i="37" s="1"/>
  <c r="R1113" i="37"/>
  <c r="T1113" i="37" s="1"/>
  <c r="X1113" i="37"/>
  <c r="Y1113" i="37" s="1"/>
  <c r="X733" i="37"/>
  <c r="Y733" i="37" s="1"/>
  <c r="R733" i="37"/>
  <c r="T733" i="37" s="1"/>
  <c r="R1702" i="37"/>
  <c r="T1702" i="37" s="1"/>
  <c r="R1666" i="37"/>
  <c r="T1666" i="37" s="1"/>
  <c r="X958" i="37"/>
  <c r="Y958" i="37" s="1"/>
  <c r="R764" i="37"/>
  <c r="T764" i="37" s="1"/>
  <c r="X764" i="37"/>
  <c r="Y764" i="37" s="1"/>
  <c r="X1217" i="37"/>
  <c r="Y1217" i="37" s="1"/>
  <c r="R1217" i="37"/>
  <c r="T1217" i="37" s="1"/>
  <c r="R1129" i="37"/>
  <c r="T1129" i="37" s="1"/>
  <c r="X1129" i="37"/>
  <c r="Y1129" i="37" s="1"/>
  <c r="T1677" i="37"/>
  <c r="T1664" i="37"/>
  <c r="T1645" i="37"/>
  <c r="X1614" i="37"/>
  <c r="Y1614" i="37" s="1"/>
  <c r="R1614" i="37"/>
  <c r="T1614" i="37" s="1"/>
  <c r="T1160" i="37"/>
  <c r="X1722" i="37"/>
  <c r="Y1722" i="37" s="1"/>
  <c r="X1717" i="37"/>
  <c r="Y1717" i="37" s="1"/>
  <c r="X1693" i="37"/>
  <c r="Y1693" i="37" s="1"/>
  <c r="R1647" i="37"/>
  <c r="T1647" i="37" s="1"/>
  <c r="X1647" i="37"/>
  <c r="Y1647" i="37" s="1"/>
  <c r="R1635" i="37"/>
  <c r="T1635" i="37" s="1"/>
  <c r="X1627" i="37"/>
  <c r="Y1627" i="37" s="1"/>
  <c r="T1308" i="37"/>
  <c r="R1298" i="37"/>
  <c r="T1298" i="37" s="1"/>
  <c r="X1298" i="37"/>
  <c r="Y1298" i="37" s="1"/>
  <c r="R1710" i="37"/>
  <c r="T1710" i="37" s="1"/>
  <c r="R1629" i="37"/>
  <c r="T1629" i="37" s="1"/>
  <c r="X1629" i="37"/>
  <c r="Y1629" i="37" s="1"/>
  <c r="X1606" i="37"/>
  <c r="Y1606" i="37" s="1"/>
  <c r="R1560" i="37"/>
  <c r="T1560" i="37" s="1"/>
  <c r="X1560" i="37"/>
  <c r="Y1560" i="37" s="1"/>
  <c r="X1498" i="37"/>
  <c r="Y1498" i="37" s="1"/>
  <c r="X1281" i="37"/>
  <c r="Y1281" i="37" s="1"/>
  <c r="R1281" i="37"/>
  <c r="T1281" i="37" s="1"/>
  <c r="X863" i="37"/>
  <c r="Y863" i="37" s="1"/>
  <c r="R863" i="37"/>
  <c r="T863" i="37" s="1"/>
  <c r="X1703" i="37"/>
  <c r="Y1703" i="37" s="1"/>
  <c r="R1700" i="37"/>
  <c r="T1700" i="37" s="1"/>
  <c r="X1698" i="37"/>
  <c r="Y1698" i="37" s="1"/>
  <c r="R1516" i="37"/>
  <c r="T1516" i="37" s="1"/>
  <c r="X1516" i="37"/>
  <c r="Y1516" i="37" s="1"/>
  <c r="X1187" i="37"/>
  <c r="Y1187" i="37" s="1"/>
  <c r="R1187" i="37"/>
  <c r="T1187" i="37" s="1"/>
  <c r="X907" i="37"/>
  <c r="Y907" i="37" s="1"/>
  <c r="R907" i="37"/>
  <c r="T907" i="37" s="1"/>
  <c r="X875" i="37"/>
  <c r="Y875" i="37" s="1"/>
  <c r="R875" i="37"/>
  <c r="T875" i="37" s="1"/>
  <c r="X1658" i="37"/>
  <c r="Y1658" i="37" s="1"/>
  <c r="R1658" i="37"/>
  <c r="T1658" i="37" s="1"/>
  <c r="X917" i="37"/>
  <c r="Y917" i="37" s="1"/>
  <c r="R917" i="37"/>
  <c r="T917" i="37" s="1"/>
  <c r="X1725" i="37"/>
  <c r="Y1725" i="37" s="1"/>
  <c r="T1673" i="37"/>
  <c r="X1598" i="37"/>
  <c r="Y1598" i="37" s="1"/>
  <c r="R1476" i="37"/>
  <c r="T1476" i="37" s="1"/>
  <c r="X1476" i="37"/>
  <c r="Y1476" i="37" s="1"/>
  <c r="X1303" i="37"/>
  <c r="Y1303" i="37" s="1"/>
  <c r="R1208" i="37"/>
  <c r="T1208" i="37" s="1"/>
  <c r="X1208" i="37"/>
  <c r="Y1208" i="37" s="1"/>
  <c r="X1730" i="37"/>
  <c r="Y1730" i="37" s="1"/>
  <c r="X1650" i="37"/>
  <c r="Y1650" i="37" s="1"/>
  <c r="R1650" i="37"/>
  <c r="T1650" i="37" s="1"/>
  <c r="R1324" i="37"/>
  <c r="T1324" i="37" s="1"/>
  <c r="X1324" i="37"/>
  <c r="Y1324" i="37" s="1"/>
  <c r="R1305" i="37"/>
  <c r="T1305" i="37" s="1"/>
  <c r="X1305" i="37"/>
  <c r="Y1305" i="37" s="1"/>
  <c r="R1270" i="37"/>
  <c r="T1270" i="37" s="1"/>
  <c r="X1270" i="37"/>
  <c r="Y1270" i="37" s="1"/>
  <c r="X1118" i="37"/>
  <c r="Y1118" i="37" s="1"/>
  <c r="R1118" i="37"/>
  <c r="T1118" i="37" s="1"/>
  <c r="X1068" i="37"/>
  <c r="Y1068" i="37" s="1"/>
  <c r="X1056" i="37"/>
  <c r="Y1056" i="37" s="1"/>
  <c r="R1056" i="37"/>
  <c r="T1056" i="37" s="1"/>
  <c r="X891" i="37"/>
  <c r="Y891" i="37" s="1"/>
  <c r="R891" i="37"/>
  <c r="T891" i="37" s="1"/>
  <c r="R1718" i="37"/>
  <c r="T1718" i="37" s="1"/>
  <c r="R1694" i="37"/>
  <c r="T1694" i="37" s="1"/>
  <c r="T1680" i="37"/>
  <c r="X1665" i="37"/>
  <c r="Y1665" i="37" s="1"/>
  <c r="X1644" i="37"/>
  <c r="Y1644" i="37" s="1"/>
  <c r="X1642" i="37"/>
  <c r="Y1642" i="37" s="1"/>
  <c r="R1642" i="37"/>
  <c r="T1642" i="37" s="1"/>
  <c r="T1455" i="37"/>
  <c r="X883" i="37"/>
  <c r="Y883" i="37" s="1"/>
  <c r="R883" i="37"/>
  <c r="T883" i="37" s="1"/>
  <c r="R1708" i="37"/>
  <c r="T1708" i="37" s="1"/>
  <c r="R1585" i="37"/>
  <c r="T1585" i="37" s="1"/>
  <c r="X1585" i="37"/>
  <c r="Y1585" i="37" s="1"/>
  <c r="X971" i="37"/>
  <c r="Y971" i="37" s="1"/>
  <c r="R971" i="37"/>
  <c r="T971" i="37" s="1"/>
  <c r="T1588" i="37"/>
  <c r="T1451" i="37"/>
  <c r="X1252" i="37"/>
  <c r="Y1252" i="37" s="1"/>
  <c r="T1224" i="37"/>
  <c r="T1183" i="37"/>
  <c r="T1181" i="37"/>
  <c r="T1162" i="37"/>
  <c r="X1091" i="37"/>
  <c r="Y1091" i="37" s="1"/>
  <c r="T1025" i="37"/>
  <c r="X1021" i="37"/>
  <c r="Y1021" i="37" s="1"/>
  <c r="T949" i="37"/>
  <c r="X861" i="37"/>
  <c r="Y861" i="37" s="1"/>
  <c r="R842" i="37"/>
  <c r="T842" i="37" s="1"/>
  <c r="X632" i="37"/>
  <c r="Y632" i="37" s="1"/>
  <c r="R632" i="37"/>
  <c r="T632" i="37" s="1"/>
  <c r="R756" i="37"/>
  <c r="T756" i="37" s="1"/>
  <c r="X756" i="37"/>
  <c r="Y756" i="37" s="1"/>
  <c r="R520" i="37"/>
  <c r="T520" i="37" s="1"/>
  <c r="X520" i="37"/>
  <c r="Y520" i="37" s="1"/>
  <c r="R1064" i="37"/>
  <c r="T1064" i="37" s="1"/>
  <c r="T1061" i="37"/>
  <c r="X1042" i="37"/>
  <c r="Y1042" i="37" s="1"/>
  <c r="T1021" i="37"/>
  <c r="T998" i="37"/>
  <c r="R873" i="37"/>
  <c r="T873" i="37" s="1"/>
  <c r="X852" i="37"/>
  <c r="Y852" i="37" s="1"/>
  <c r="R838" i="37"/>
  <c r="T838" i="37" s="1"/>
  <c r="X1362" i="37"/>
  <c r="Y1362" i="37" s="1"/>
  <c r="X1326" i="37"/>
  <c r="Y1326" i="37" s="1"/>
  <c r="X1321" i="37"/>
  <c r="Y1321" i="37" s="1"/>
  <c r="X1311" i="37"/>
  <c r="Y1311" i="37" s="1"/>
  <c r="T1250" i="37"/>
  <c r="T1229" i="37"/>
  <c r="T1175" i="37"/>
  <c r="T1173" i="37"/>
  <c r="T1156" i="37"/>
  <c r="T1143" i="37"/>
  <c r="T1141" i="37"/>
  <c r="X913" i="37"/>
  <c r="Y913" i="37" s="1"/>
  <c r="X704" i="37"/>
  <c r="Y704" i="37" s="1"/>
  <c r="R704" i="37"/>
  <c r="T704" i="37" s="1"/>
  <c r="R532" i="37"/>
  <c r="T532" i="37" s="1"/>
  <c r="X532" i="37"/>
  <c r="Y532" i="37" s="1"/>
  <c r="X514" i="37"/>
  <c r="Y514" i="37" s="1"/>
  <c r="R514" i="37"/>
  <c r="T514" i="37" s="1"/>
  <c r="X451" i="37"/>
  <c r="Y451" i="37" s="1"/>
  <c r="R451" i="37"/>
  <c r="T451" i="37" s="1"/>
  <c r="R404" i="37"/>
  <c r="T404" i="37" s="1"/>
  <c r="X404" i="37"/>
  <c r="Y404" i="37" s="1"/>
  <c r="T1657" i="37"/>
  <c r="T1633" i="37"/>
  <c r="T1612" i="37"/>
  <c r="T1596" i="37"/>
  <c r="R1518" i="37"/>
  <c r="T1518" i="37" s="1"/>
  <c r="R1482" i="37"/>
  <c r="T1482" i="37" s="1"/>
  <c r="T1321" i="37"/>
  <c r="X1306" i="37"/>
  <c r="Y1306" i="37" s="1"/>
  <c r="X1282" i="37"/>
  <c r="Y1282" i="37" s="1"/>
  <c r="T1266" i="37"/>
  <c r="X1264" i="37"/>
  <c r="Y1264" i="37" s="1"/>
  <c r="R1248" i="37"/>
  <c r="T1248" i="37" s="1"/>
  <c r="T1154" i="37"/>
  <c r="T1145" i="37"/>
  <c r="X1057" i="37"/>
  <c r="Y1057" i="37" s="1"/>
  <c r="X908" i="37"/>
  <c r="Y908" i="37" s="1"/>
  <c r="R899" i="37"/>
  <c r="T899" i="37" s="1"/>
  <c r="R889" i="37"/>
  <c r="T889" i="37" s="1"/>
  <c r="R866" i="37"/>
  <c r="T866" i="37" s="1"/>
  <c r="R819" i="37"/>
  <c r="T819" i="37" s="1"/>
  <c r="X819" i="37"/>
  <c r="Y819" i="37" s="1"/>
  <c r="X656" i="37"/>
  <c r="Y656" i="37" s="1"/>
  <c r="R656" i="37"/>
  <c r="T656" i="37" s="1"/>
  <c r="X495" i="37"/>
  <c r="Y495" i="37" s="1"/>
  <c r="R495" i="37"/>
  <c r="T495" i="37" s="1"/>
  <c r="X420" i="37"/>
  <c r="Y420" i="37" s="1"/>
  <c r="R420" i="37"/>
  <c r="T420" i="37" s="1"/>
  <c r="R394" i="37"/>
  <c r="T394" i="37" s="1"/>
  <c r="X394" i="37"/>
  <c r="Y394" i="37" s="1"/>
  <c r="T1089" i="37"/>
  <c r="R1071" i="37"/>
  <c r="T1071" i="37" s="1"/>
  <c r="R1040" i="37"/>
  <c r="T1040" i="37" s="1"/>
  <c r="T994" i="37"/>
  <c r="X992" i="37"/>
  <c r="Y992" i="37" s="1"/>
  <c r="X985" i="37"/>
  <c r="Y985" i="37" s="1"/>
  <c r="X983" i="37"/>
  <c r="Y983" i="37" s="1"/>
  <c r="T965" i="37"/>
  <c r="X950" i="37"/>
  <c r="Y950" i="37" s="1"/>
  <c r="X927" i="37"/>
  <c r="Y927" i="37" s="1"/>
  <c r="X887" i="37"/>
  <c r="Y887" i="37" s="1"/>
  <c r="X879" i="37"/>
  <c r="Y879" i="37" s="1"/>
  <c r="X809" i="37"/>
  <c r="Y809" i="37" s="1"/>
  <c r="R809" i="37"/>
  <c r="T809" i="37" s="1"/>
  <c r="X406" i="37"/>
  <c r="Y406" i="37" s="1"/>
  <c r="R406" i="37"/>
  <c r="T406" i="37" s="1"/>
  <c r="X911" i="37"/>
  <c r="Y911" i="37" s="1"/>
  <c r="X859" i="37"/>
  <c r="Y859" i="37" s="1"/>
  <c r="R859" i="37"/>
  <c r="T859" i="37" s="1"/>
  <c r="R616" i="37"/>
  <c r="T616" i="37" s="1"/>
  <c r="X616" i="37"/>
  <c r="Y616" i="37" s="1"/>
  <c r="R270" i="37"/>
  <c r="T270" i="37" s="1"/>
  <c r="X270" i="37"/>
  <c r="Y270" i="37" s="1"/>
  <c r="X1329" i="37"/>
  <c r="Y1329" i="37" s="1"/>
  <c r="X1260" i="37"/>
  <c r="Y1260" i="37" s="1"/>
  <c r="T1232" i="37"/>
  <c r="X1223" i="37"/>
  <c r="Y1223" i="37" s="1"/>
  <c r="R1207" i="37"/>
  <c r="T1207" i="37" s="1"/>
  <c r="T1121" i="37"/>
  <c r="T1105" i="37"/>
  <c r="X1069" i="37"/>
  <c r="Y1069" i="37" s="1"/>
  <c r="X1045" i="37"/>
  <c r="Y1045" i="37" s="1"/>
  <c r="X1043" i="37"/>
  <c r="Y1043" i="37" s="1"/>
  <c r="X990" i="37"/>
  <c r="Y990" i="37" s="1"/>
  <c r="X961" i="37"/>
  <c r="Y961" i="37" s="1"/>
  <c r="X939" i="37"/>
  <c r="Y939" i="37" s="1"/>
  <c r="X925" i="37"/>
  <c r="Y925" i="37" s="1"/>
  <c r="R897" i="37"/>
  <c r="T897" i="37" s="1"/>
  <c r="X895" i="37"/>
  <c r="Y895" i="37" s="1"/>
  <c r="X877" i="37"/>
  <c r="Y877" i="37" s="1"/>
  <c r="R832" i="37"/>
  <c r="T832" i="37" s="1"/>
  <c r="R732" i="37"/>
  <c r="T732" i="37" s="1"/>
  <c r="X732" i="37"/>
  <c r="Y732" i="37" s="1"/>
  <c r="X696" i="37"/>
  <c r="Y696" i="37" s="1"/>
  <c r="R696" i="37"/>
  <c r="T696" i="37" s="1"/>
  <c r="X559" i="37"/>
  <c r="Y559" i="37" s="1"/>
  <c r="R559" i="37"/>
  <c r="T559" i="37" s="1"/>
  <c r="T1617" i="37"/>
  <c r="X1580" i="37"/>
  <c r="Y1580" i="37" s="1"/>
  <c r="X1558" i="37"/>
  <c r="Y1558" i="37" s="1"/>
  <c r="X1489" i="37"/>
  <c r="Y1489" i="37" s="1"/>
  <c r="T1457" i="37"/>
  <c r="T1329" i="37"/>
  <c r="X1280" i="37"/>
  <c r="Y1280" i="37" s="1"/>
  <c r="X1253" i="37"/>
  <c r="Y1253" i="37" s="1"/>
  <c r="X1235" i="37"/>
  <c r="Y1235" i="37" s="1"/>
  <c r="T1184" i="37"/>
  <c r="T1148" i="37"/>
  <c r="X1124" i="37"/>
  <c r="Y1124" i="37" s="1"/>
  <c r="X1038" i="37"/>
  <c r="Y1038" i="37" s="1"/>
  <c r="X1031" i="37"/>
  <c r="Y1031" i="37" s="1"/>
  <c r="X1018" i="37"/>
  <c r="Y1018" i="37" s="1"/>
  <c r="X1001" i="37"/>
  <c r="Y1001" i="37" s="1"/>
  <c r="X979" i="37"/>
  <c r="Y979" i="37" s="1"/>
  <c r="X957" i="37"/>
  <c r="Y957" i="37" s="1"/>
  <c r="X930" i="37"/>
  <c r="Y930" i="37" s="1"/>
  <c r="X923" i="37"/>
  <c r="Y923" i="37" s="1"/>
  <c r="X885" i="37"/>
  <c r="Y885" i="37" s="1"/>
  <c r="X855" i="37"/>
  <c r="Y855" i="37" s="1"/>
  <c r="R780" i="37"/>
  <c r="T780" i="37" s="1"/>
  <c r="X780" i="37"/>
  <c r="Y780" i="37" s="1"/>
  <c r="R594" i="37"/>
  <c r="T594" i="37" s="1"/>
  <c r="X594" i="37"/>
  <c r="Y594" i="37" s="1"/>
  <c r="R463" i="37"/>
  <c r="T463" i="37" s="1"/>
  <c r="X463" i="37"/>
  <c r="Y463" i="37" s="1"/>
  <c r="R303" i="37"/>
  <c r="T303" i="37" s="1"/>
  <c r="X303" i="37"/>
  <c r="Y303" i="37" s="1"/>
  <c r="T1649" i="37"/>
  <c r="T1636" i="37"/>
  <c r="X1373" i="37"/>
  <c r="Y1373" i="37" s="1"/>
  <c r="X1212" i="37"/>
  <c r="Y1212" i="37" s="1"/>
  <c r="R1060" i="37"/>
  <c r="T1060" i="37" s="1"/>
  <c r="R1048" i="37"/>
  <c r="T1048" i="37" s="1"/>
  <c r="X1014" i="37"/>
  <c r="Y1014" i="37" s="1"/>
  <c r="X988" i="37"/>
  <c r="Y988" i="37" s="1"/>
  <c r="X916" i="37"/>
  <c r="Y916" i="37" s="1"/>
  <c r="R874" i="37"/>
  <c r="T874" i="37" s="1"/>
  <c r="X841" i="37"/>
  <c r="Y841" i="37" s="1"/>
  <c r="R841" i="37"/>
  <c r="T841" i="37" s="1"/>
  <c r="R830" i="37"/>
  <c r="T830" i="37" s="1"/>
  <c r="X804" i="37"/>
  <c r="Y804" i="37" s="1"/>
  <c r="X684" i="37"/>
  <c r="Y684" i="37" s="1"/>
  <c r="R684" i="37"/>
  <c r="T684" i="37" s="1"/>
  <c r="X580" i="37"/>
  <c r="Y580" i="37" s="1"/>
  <c r="R580" i="37"/>
  <c r="T580" i="37" s="1"/>
  <c r="R890" i="37"/>
  <c r="T890" i="37" s="1"/>
  <c r="R882" i="37"/>
  <c r="T882" i="37" s="1"/>
  <c r="R774" i="37"/>
  <c r="T774" i="37" s="1"/>
  <c r="X774" i="37"/>
  <c r="Y774" i="37" s="1"/>
  <c r="X645" i="37"/>
  <c r="Y645" i="37" s="1"/>
  <c r="R645" i="37"/>
  <c r="T645" i="37" s="1"/>
  <c r="X511" i="37"/>
  <c r="Y511" i="37" s="1"/>
  <c r="R511" i="37"/>
  <c r="T511" i="37" s="1"/>
  <c r="R818" i="37"/>
  <c r="T818" i="37" s="1"/>
  <c r="X818" i="37"/>
  <c r="Y818" i="37" s="1"/>
  <c r="R806" i="37"/>
  <c r="T806" i="37" s="1"/>
  <c r="X806" i="37"/>
  <c r="Y806" i="37" s="1"/>
  <c r="X584" i="37"/>
  <c r="Y584" i="37" s="1"/>
  <c r="R584" i="37"/>
  <c r="T584" i="37" s="1"/>
  <c r="X572" i="37"/>
  <c r="Y572" i="37" s="1"/>
  <c r="R572" i="37"/>
  <c r="T572" i="37" s="1"/>
  <c r="R484" i="37"/>
  <c r="T484" i="37" s="1"/>
  <c r="X484" i="37"/>
  <c r="Y484" i="37" s="1"/>
  <c r="T1242" i="37"/>
  <c r="T1240" i="37"/>
  <c r="T997" i="37"/>
  <c r="R770" i="37"/>
  <c r="T770" i="37" s="1"/>
  <c r="T705" i="37"/>
  <c r="X613" i="37"/>
  <c r="Y613" i="37" s="1"/>
  <c r="R613" i="37"/>
  <c r="T613" i="37" s="1"/>
  <c r="X498" i="37"/>
  <c r="Y498" i="37" s="1"/>
  <c r="R498" i="37"/>
  <c r="T498" i="37" s="1"/>
  <c r="R454" i="37"/>
  <c r="T454" i="37" s="1"/>
  <c r="X454" i="37"/>
  <c r="Y454" i="37" s="1"/>
  <c r="X415" i="37"/>
  <c r="Y415" i="37" s="1"/>
  <c r="R415" i="37"/>
  <c r="T415" i="37" s="1"/>
  <c r="R283" i="37"/>
  <c r="T283" i="37" s="1"/>
  <c r="X283" i="37"/>
  <c r="Y283" i="37" s="1"/>
  <c r="T1153" i="37"/>
  <c r="T1029" i="37"/>
  <c r="X824" i="37"/>
  <c r="Y824" i="37" s="1"/>
  <c r="R824" i="37"/>
  <c r="T824" i="37" s="1"/>
  <c r="X502" i="37"/>
  <c r="Y502" i="37" s="1"/>
  <c r="R502" i="37"/>
  <c r="T502" i="37" s="1"/>
  <c r="R312" i="37"/>
  <c r="T312" i="37" s="1"/>
  <c r="X312" i="37"/>
  <c r="Y312" i="37" s="1"/>
  <c r="T1625" i="37"/>
  <c r="X1588" i="37"/>
  <c r="Y1588" i="37" s="1"/>
  <c r="T1325" i="37"/>
  <c r="T1290" i="37"/>
  <c r="T1168" i="37"/>
  <c r="T1151" i="37"/>
  <c r="T1097" i="37"/>
  <c r="T1041" i="37"/>
  <c r="T977" i="37"/>
  <c r="T975" i="37"/>
  <c r="X865" i="37"/>
  <c r="Y865" i="37" s="1"/>
  <c r="R865" i="37"/>
  <c r="T865" i="37" s="1"/>
  <c r="X453" i="37"/>
  <c r="Y453" i="37" s="1"/>
  <c r="R453" i="37"/>
  <c r="T453" i="37" s="1"/>
  <c r="X751" i="37"/>
  <c r="Y751" i="37" s="1"/>
  <c r="T739" i="37"/>
  <c r="T667" i="37"/>
  <c r="T647" i="37"/>
  <c r="X608" i="37"/>
  <c r="Y608" i="37" s="1"/>
  <c r="X603" i="37"/>
  <c r="Y603" i="37" s="1"/>
  <c r="X556" i="37"/>
  <c r="Y556" i="37" s="1"/>
  <c r="T351" i="37"/>
  <c r="X326" i="37"/>
  <c r="Y326" i="37" s="1"/>
  <c r="R321" i="37"/>
  <c r="T321" i="37" s="1"/>
  <c r="X321" i="37"/>
  <c r="Y321" i="37" s="1"/>
  <c r="X265" i="37"/>
  <c r="Y265" i="37" s="1"/>
  <c r="R801" i="37"/>
  <c r="T801" i="37" s="1"/>
  <c r="T751" i="37"/>
  <c r="R707" i="37"/>
  <c r="T707" i="37" s="1"/>
  <c r="R691" i="37"/>
  <c r="T691" i="37" s="1"/>
  <c r="R686" i="37"/>
  <c r="T686" i="37" s="1"/>
  <c r="T623" i="37"/>
  <c r="R554" i="37"/>
  <c r="T554" i="37" s="1"/>
  <c r="R518" i="37"/>
  <c r="T518" i="37" s="1"/>
  <c r="R469" i="37"/>
  <c r="T469" i="37" s="1"/>
  <c r="X469" i="37"/>
  <c r="Y469" i="37" s="1"/>
  <c r="X418" i="37"/>
  <c r="Y418" i="37" s="1"/>
  <c r="X392" i="37"/>
  <c r="Y392" i="37" s="1"/>
  <c r="R392" i="37"/>
  <c r="T392" i="37" s="1"/>
  <c r="X363" i="37"/>
  <c r="Y363" i="37" s="1"/>
  <c r="X317" i="37"/>
  <c r="Y317" i="37" s="1"/>
  <c r="R314" i="37"/>
  <c r="T314" i="37" s="1"/>
  <c r="X314" i="37"/>
  <c r="Y314" i="37" s="1"/>
  <c r="X575" i="37"/>
  <c r="Y575" i="37" s="1"/>
  <c r="R575" i="37"/>
  <c r="T575" i="37" s="1"/>
  <c r="X467" i="37"/>
  <c r="Y467" i="37" s="1"/>
  <c r="R467" i="37"/>
  <c r="T467" i="37" s="1"/>
  <c r="R370" i="37"/>
  <c r="T370" i="37" s="1"/>
  <c r="X370" i="37"/>
  <c r="Y370" i="37" s="1"/>
  <c r="X345" i="37"/>
  <c r="Y345" i="37" s="1"/>
  <c r="X275" i="37"/>
  <c r="Y275" i="37" s="1"/>
  <c r="R230" i="37"/>
  <c r="T230" i="37" s="1"/>
  <c r="X230" i="37"/>
  <c r="Y230" i="37" s="1"/>
  <c r="T663" i="37"/>
  <c r="T570" i="37"/>
  <c r="X437" i="37"/>
  <c r="Y437" i="37" s="1"/>
  <c r="R437" i="37"/>
  <c r="T437" i="37" s="1"/>
  <c r="X423" i="37"/>
  <c r="Y423" i="37" s="1"/>
  <c r="X384" i="37"/>
  <c r="Y384" i="37" s="1"/>
  <c r="R377" i="37"/>
  <c r="T377" i="37" s="1"/>
  <c r="X361" i="37"/>
  <c r="Y361" i="37" s="1"/>
  <c r="R336" i="37"/>
  <c r="T336" i="37" s="1"/>
  <c r="R308" i="37"/>
  <c r="T308" i="37" s="1"/>
  <c r="X828" i="37"/>
  <c r="Y828" i="37" s="1"/>
  <c r="X799" i="37"/>
  <c r="Y799" i="37" s="1"/>
  <c r="X754" i="37"/>
  <c r="Y754" i="37" s="1"/>
  <c r="X705" i="37"/>
  <c r="Y705" i="37" s="1"/>
  <c r="T635" i="37"/>
  <c r="X633" i="37"/>
  <c r="Y633" i="37" s="1"/>
  <c r="X626" i="37"/>
  <c r="Y626" i="37" s="1"/>
  <c r="T582" i="37"/>
  <c r="X496" i="37"/>
  <c r="Y496" i="37" s="1"/>
  <c r="X476" i="37"/>
  <c r="Y476" i="37" s="1"/>
  <c r="R476" i="37"/>
  <c r="T476" i="37" s="1"/>
  <c r="R273" i="37"/>
  <c r="T273" i="37" s="1"/>
  <c r="X273" i="37"/>
  <c r="Y273" i="37" s="1"/>
  <c r="T4" i="37"/>
  <c r="R331" i="37"/>
  <c r="T331" i="37" s="1"/>
  <c r="X322" i="37"/>
  <c r="Y322" i="37" s="1"/>
  <c r="R286" i="37"/>
  <c r="T286" i="37" s="1"/>
  <c r="R268" i="37"/>
  <c r="T268" i="37" s="1"/>
  <c r="X740" i="37"/>
  <c r="Y740" i="37" s="1"/>
  <c r="X700" i="37"/>
  <c r="Y700" i="37" s="1"/>
  <c r="T626" i="37"/>
  <c r="X382" i="37"/>
  <c r="Y382" i="37" s="1"/>
  <c r="X324" i="37"/>
  <c r="Y324" i="37" s="1"/>
  <c r="R324" i="37"/>
  <c r="T324" i="37" s="1"/>
  <c r="R254" i="37"/>
  <c r="T254" i="37" s="1"/>
  <c r="X772" i="37"/>
  <c r="Y772" i="37" s="1"/>
  <c r="X708" i="37"/>
  <c r="Y708" i="37" s="1"/>
  <c r="X703" i="37"/>
  <c r="Y703" i="37" s="1"/>
  <c r="X692" i="37"/>
  <c r="Y692" i="37" s="1"/>
  <c r="R682" i="37"/>
  <c r="T682" i="37" s="1"/>
  <c r="X675" i="37"/>
  <c r="Y675" i="37" s="1"/>
  <c r="R673" i="37"/>
  <c r="T673" i="37" s="1"/>
  <c r="T659" i="37"/>
  <c r="R583" i="37"/>
  <c r="T583" i="37" s="1"/>
  <c r="R510" i="37"/>
  <c r="T510" i="37" s="1"/>
  <c r="R503" i="37"/>
  <c r="T503" i="37" s="1"/>
  <c r="R482" i="37"/>
  <c r="T482" i="37" s="1"/>
  <c r="X482" i="37"/>
  <c r="Y482" i="37" s="1"/>
  <c r="X450" i="37"/>
  <c r="Y450" i="37" s="1"/>
  <c r="X395" i="37"/>
  <c r="Y395" i="37" s="1"/>
  <c r="R395" i="37"/>
  <c r="T395" i="37" s="1"/>
  <c r="X380" i="37"/>
  <c r="Y380" i="37" s="1"/>
  <c r="T375" i="37"/>
  <c r="T350" i="37"/>
  <c r="R260" i="37"/>
  <c r="T260" i="37" s="1"/>
  <c r="X260" i="37"/>
  <c r="Y260" i="37" s="1"/>
  <c r="R371" i="37"/>
  <c r="T371" i="37" s="1"/>
  <c r="R264" i="37"/>
  <c r="T264" i="37" s="1"/>
  <c r="X264" i="37"/>
  <c r="Y264" i="37" s="1"/>
  <c r="X216" i="37"/>
  <c r="Y216" i="37" s="1"/>
  <c r="R216" i="37"/>
  <c r="T216" i="37" s="1"/>
  <c r="N4" i="37"/>
  <c r="O3" i="37"/>
  <c r="T708" i="37"/>
  <c r="T675" i="37"/>
  <c r="X419" i="37"/>
  <c r="Y419" i="37" s="1"/>
  <c r="R419" i="37"/>
  <c r="T419" i="37" s="1"/>
  <c r="X815" i="37"/>
  <c r="Y815" i="37" s="1"/>
  <c r="R792" i="37"/>
  <c r="T792" i="37" s="1"/>
  <c r="R784" i="37"/>
  <c r="T784" i="37" s="1"/>
  <c r="T743" i="37"/>
  <c r="X685" i="37"/>
  <c r="Y685" i="37" s="1"/>
  <c r="R680" i="37"/>
  <c r="T680" i="37" s="1"/>
  <c r="R669" i="37"/>
  <c r="T669" i="37" s="1"/>
  <c r="X634" i="37"/>
  <c r="Y634" i="37" s="1"/>
  <c r="T619" i="37"/>
  <c r="R553" i="37"/>
  <c r="T553" i="37" s="1"/>
  <c r="X553" i="37"/>
  <c r="Y553" i="37" s="1"/>
  <c r="R468" i="37"/>
  <c r="T468" i="37" s="1"/>
  <c r="X455" i="37"/>
  <c r="Y455" i="37" s="1"/>
  <c r="R455" i="37"/>
  <c r="T455" i="37" s="1"/>
  <c r="R448" i="37"/>
  <c r="T448" i="37" s="1"/>
  <c r="X448" i="37"/>
  <c r="Y448" i="37" s="1"/>
  <c r="T426" i="37"/>
  <c r="R337" i="37"/>
  <c r="T337" i="37" s="1"/>
  <c r="R309" i="37"/>
  <c r="T309" i="37" s="1"/>
  <c r="R280" i="37"/>
  <c r="T280" i="37" s="1"/>
  <c r="X280" i="37"/>
  <c r="Y280" i="37" s="1"/>
  <c r="R829" i="37"/>
  <c r="T829" i="37" s="1"/>
  <c r="R781" i="37"/>
  <c r="T781" i="37" s="1"/>
  <c r="X693" i="37"/>
  <c r="Y693" i="37" s="1"/>
  <c r="X690" i="37"/>
  <c r="Y690" i="37" s="1"/>
  <c r="X660" i="37"/>
  <c r="Y660" i="37" s="1"/>
  <c r="X600" i="37"/>
  <c r="Y600" i="37" s="1"/>
  <c r="X586" i="37"/>
  <c r="Y586" i="37" s="1"/>
  <c r="X574" i="37"/>
  <c r="Y574" i="37" s="1"/>
  <c r="X506" i="37"/>
  <c r="Y506" i="37" s="1"/>
  <c r="X490" i="37"/>
  <c r="Y490" i="37" s="1"/>
  <c r="X401" i="37"/>
  <c r="Y401" i="37" s="1"/>
  <c r="R298" i="37"/>
  <c r="T298" i="37" s="1"/>
  <c r="X298" i="37"/>
  <c r="Y298" i="37" s="1"/>
  <c r="R276" i="37"/>
  <c r="T276" i="37" s="1"/>
  <c r="X276" i="37"/>
  <c r="Y276" i="37" s="1"/>
  <c r="R231" i="37"/>
  <c r="T231" i="37" s="1"/>
  <c r="X231" i="37"/>
  <c r="Y231" i="37" s="1"/>
  <c r="R560" i="37"/>
  <c r="T560" i="37" s="1"/>
  <c r="X560" i="37"/>
  <c r="Y560" i="37" s="1"/>
  <c r="X540" i="37"/>
  <c r="Y540" i="37" s="1"/>
  <c r="R446" i="37"/>
  <c r="T446" i="37" s="1"/>
  <c r="R436" i="37"/>
  <c r="T436" i="37" s="1"/>
  <c r="R429" i="37"/>
  <c r="T429" i="37" s="1"/>
  <c r="X367" i="37"/>
  <c r="Y367" i="37" s="1"/>
  <c r="X357" i="37"/>
  <c r="Y357" i="37" s="1"/>
  <c r="R357" i="37"/>
  <c r="T357" i="37" s="1"/>
  <c r="X335" i="37"/>
  <c r="Y335" i="37" s="1"/>
  <c r="X683" i="37"/>
  <c r="Y683" i="37" s="1"/>
  <c r="X667" i="37"/>
  <c r="Y667" i="37" s="1"/>
  <c r="T651" i="37"/>
  <c r="T627" i="37"/>
  <c r="R591" i="37"/>
  <c r="T591" i="37" s="1"/>
  <c r="X536" i="37"/>
  <c r="Y536" i="37" s="1"/>
  <c r="X488" i="37"/>
  <c r="Y488" i="37" s="1"/>
  <c r="R483" i="37"/>
  <c r="T483" i="37" s="1"/>
  <c r="R412" i="37"/>
  <c r="T412" i="37" s="1"/>
  <c r="X396" i="37"/>
  <c r="Y396" i="37" s="1"/>
  <c r="R251" i="37"/>
  <c r="T251" i="37" s="1"/>
  <c r="X251" i="37"/>
  <c r="Y251" i="37" s="1"/>
  <c r="X190" i="37"/>
  <c r="Y190" i="37" s="1"/>
  <c r="X123" i="37"/>
  <c r="Y123" i="37" s="1"/>
  <c r="T103" i="37"/>
  <c r="T66" i="37"/>
  <c r="T64" i="37"/>
  <c r="R55" i="37"/>
  <c r="T55" i="37" s="1"/>
  <c r="R19" i="37"/>
  <c r="T19" i="37" s="1"/>
  <c r="T474" i="37"/>
  <c r="T458" i="37"/>
  <c r="T238" i="37"/>
  <c r="X202" i="37"/>
  <c r="Y202" i="37" s="1"/>
  <c r="R150" i="37"/>
  <c r="T150" i="37" s="1"/>
  <c r="R141" i="37"/>
  <c r="T141" i="37" s="1"/>
  <c r="R128" i="37"/>
  <c r="T128" i="37" s="1"/>
  <c r="X91" i="37"/>
  <c r="Y91" i="37" s="1"/>
  <c r="R25" i="37"/>
  <c r="T25" i="37" s="1"/>
  <c r="R15" i="37"/>
  <c r="T15" i="37" s="1"/>
  <c r="R7" i="37"/>
  <c r="T7" i="37" s="1"/>
  <c r="O2" i="37"/>
  <c r="S2" i="37" s="1"/>
  <c r="V2" i="37" s="1"/>
  <c r="T240" i="37"/>
  <c r="X214" i="37"/>
  <c r="Y214" i="37" s="1"/>
  <c r="R209" i="37"/>
  <c r="T209" i="37" s="1"/>
  <c r="R166" i="37"/>
  <c r="T166" i="37" s="1"/>
  <c r="X160" i="37"/>
  <c r="Y160" i="37" s="1"/>
  <c r="X136" i="37"/>
  <c r="Y136" i="37" s="1"/>
  <c r="X155" i="37"/>
  <c r="Y155" i="37" s="1"/>
  <c r="X23" i="37"/>
  <c r="Y23" i="37" s="1"/>
  <c r="T16" i="37"/>
  <c r="T8" i="37"/>
  <c r="T262" i="37"/>
  <c r="X126" i="37"/>
  <c r="Y126" i="37" s="1"/>
  <c r="T28" i="37"/>
  <c r="T193" i="37"/>
  <c r="T173" i="37"/>
  <c r="X144" i="37"/>
  <c r="Y144" i="37" s="1"/>
  <c r="R131" i="37"/>
  <c r="T131" i="37" s="1"/>
  <c r="X104" i="37"/>
  <c r="Y104" i="37" s="1"/>
  <c r="X92" i="37"/>
  <c r="Y92" i="37" s="1"/>
  <c r="T58" i="37"/>
  <c r="X47" i="37"/>
  <c r="Y47" i="37" s="1"/>
  <c r="X31" i="37"/>
  <c r="Y31" i="37" s="1"/>
  <c r="X13" i="37"/>
  <c r="Y13" i="37" s="1"/>
  <c r="X9" i="37"/>
  <c r="Y9" i="37" s="1"/>
  <c r="X5" i="37"/>
  <c r="Y5" i="37" s="1"/>
  <c r="R1349" i="37"/>
  <c r="T1349" i="37" s="1"/>
  <c r="T144" i="37"/>
  <c r="T13" i="37"/>
  <c r="T258" i="37"/>
  <c r="T256" i="37"/>
  <c r="R158" i="37"/>
  <c r="T158" i="37" s="1"/>
  <c r="T124" i="37"/>
  <c r="R112" i="37"/>
  <c r="T112" i="37" s="1"/>
  <c r="X85" i="37"/>
  <c r="Y85" i="37" s="1"/>
  <c r="X74" i="37"/>
  <c r="Y74" i="37" s="1"/>
  <c r="R67" i="37"/>
  <c r="T67" i="37" s="1"/>
  <c r="X34" i="37"/>
  <c r="Y34" i="37" s="1"/>
  <c r="X17" i="37"/>
  <c r="Y17" i="37" s="1"/>
  <c r="X210" i="37"/>
  <c r="Y210" i="37" s="1"/>
  <c r="X178" i="37"/>
  <c r="Y178" i="37" s="1"/>
  <c r="X79" i="37"/>
  <c r="Y79" i="37" s="1"/>
  <c r="T41" i="37"/>
  <c r="T21" i="37"/>
  <c r="X172" i="37"/>
  <c r="Y172" i="37" s="1"/>
  <c r="R14" i="37"/>
  <c r="T14" i="37" s="1"/>
  <c r="R6" i="37"/>
  <c r="T6" i="37" s="1"/>
  <c r="X1346" i="37"/>
  <c r="Y1346" i="37" s="1"/>
  <c r="T525" i="37"/>
  <c r="T313" i="37"/>
  <c r="R252" i="37"/>
  <c r="T252" i="37" s="1"/>
  <c r="R187" i="37"/>
  <c r="T187" i="37" s="1"/>
  <c r="X185" i="37"/>
  <c r="Y185" i="37" s="1"/>
  <c r="X86" i="37"/>
  <c r="Y86" i="37" s="1"/>
  <c r="T81" i="37"/>
  <c r="X168" i="37"/>
  <c r="Y168" i="37" s="1"/>
  <c r="X37" i="37"/>
  <c r="Y37" i="37" s="1"/>
  <c r="R204" i="37"/>
  <c r="T204" i="37" s="1"/>
  <c r="T159" i="37"/>
  <c r="X103" i="37"/>
  <c r="Y103" i="37" s="1"/>
  <c r="T57" i="37"/>
  <c r="L1362" i="37"/>
  <c r="E8" i="38"/>
  <c r="K8" i="38" s="1"/>
  <c r="AB1732" i="37"/>
  <c r="T1355" i="37"/>
  <c r="X1355" i="37"/>
  <c r="Y1355" i="37" s="1"/>
  <c r="T1346" i="37"/>
  <c r="R1352" i="37"/>
  <c r="R1351" i="37"/>
  <c r="AE1732" i="37"/>
  <c r="R1347" i="37"/>
  <c r="T1646" i="37"/>
  <c r="T1670" i="37"/>
  <c r="T1729" i="37"/>
  <c r="T1721" i="37"/>
  <c r="T1654" i="37"/>
  <c r="T1630" i="37"/>
  <c r="T1713" i="37"/>
  <c r="T1705" i="37"/>
  <c r="T1697" i="37"/>
  <c r="T1689" i="37"/>
  <c r="T1678" i="37"/>
  <c r="T1662" i="37"/>
  <c r="T1687" i="37"/>
  <c r="T1683" i="37"/>
  <c r="R1685" i="37"/>
  <c r="X1684" i="37"/>
  <c r="Y1684" i="37" s="1"/>
  <c r="X1678" i="37"/>
  <c r="Y1678" i="37" s="1"/>
  <c r="X1670" i="37"/>
  <c r="Y1670" i="37" s="1"/>
  <c r="X1662" i="37"/>
  <c r="Y1662" i="37" s="1"/>
  <c r="X1654" i="37"/>
  <c r="Y1654" i="37" s="1"/>
  <c r="T1577" i="37"/>
  <c r="T1289" i="37"/>
  <c r="R1731" i="37"/>
  <c r="R1723" i="37"/>
  <c r="R1715" i="37"/>
  <c r="R1707" i="37"/>
  <c r="R1699" i="37"/>
  <c r="R1691" i="37"/>
  <c r="R1679" i="37"/>
  <c r="R1671" i="37"/>
  <c r="R1663" i="37"/>
  <c r="R1655" i="37"/>
  <c r="R1618" i="37"/>
  <c r="T1486" i="37"/>
  <c r="R1341" i="37"/>
  <c r="X1341" i="37"/>
  <c r="Y1341" i="37" s="1"/>
  <c r="T1473" i="37"/>
  <c r="R1377" i="37"/>
  <c r="X1377" i="37"/>
  <c r="Y1377" i="37" s="1"/>
  <c r="R1363" i="37"/>
  <c r="X1363" i="37"/>
  <c r="Y1363" i="37" s="1"/>
  <c r="R1728" i="37"/>
  <c r="R1720" i="37"/>
  <c r="R1712" i="37"/>
  <c r="R1704" i="37"/>
  <c r="R1696" i="37"/>
  <c r="T1693" i="37"/>
  <c r="R1688" i="37"/>
  <c r="X1687" i="37"/>
  <c r="Y1687" i="37" s="1"/>
  <c r="X1683" i="37"/>
  <c r="Y1683" i="37" s="1"/>
  <c r="X1677" i="37"/>
  <c r="Y1677" i="37" s="1"/>
  <c r="X1669" i="37"/>
  <c r="Y1669" i="37" s="1"/>
  <c r="X1661" i="37"/>
  <c r="Y1661" i="37" s="1"/>
  <c r="X1653" i="37"/>
  <c r="Y1653" i="37" s="1"/>
  <c r="T1644" i="37"/>
  <c r="R1643" i="37"/>
  <c r="X1640" i="37"/>
  <c r="Y1640" i="37" s="1"/>
  <c r="X1639" i="37"/>
  <c r="Y1639" i="37" s="1"/>
  <c r="X1620" i="37"/>
  <c r="Y1620" i="37" s="1"/>
  <c r="R1610" i="37"/>
  <c r="T1593" i="37"/>
  <c r="X1676" i="37"/>
  <c r="Y1676" i="37" s="1"/>
  <c r="X1668" i="37"/>
  <c r="Y1668" i="37" s="1"/>
  <c r="T1579" i="37"/>
  <c r="R1575" i="37"/>
  <c r="X1575" i="37"/>
  <c r="Y1575" i="37" s="1"/>
  <c r="T1730" i="37"/>
  <c r="T1722" i="37"/>
  <c r="T1698" i="37"/>
  <c r="T1639" i="37"/>
  <c r="T1601" i="37"/>
  <c r="T1641" i="37"/>
  <c r="X1637" i="37"/>
  <c r="Y1637" i="37" s="1"/>
  <c r="R1583" i="37"/>
  <c r="X1583" i="37"/>
  <c r="Y1583" i="37" s="1"/>
  <c r="T1727" i="37"/>
  <c r="T1719" i="37"/>
  <c r="T1711" i="37"/>
  <c r="T1703" i="37"/>
  <c r="T1695" i="37"/>
  <c r="T1676" i="37"/>
  <c r="T1675" i="37"/>
  <c r="T1669" i="37"/>
  <c r="T1668" i="37"/>
  <c r="T1667" i="37"/>
  <c r="T1661" i="37"/>
  <c r="T1660" i="37"/>
  <c r="T1653" i="37"/>
  <c r="T1652" i="37"/>
  <c r="T1651" i="37"/>
  <c r="X1636" i="37"/>
  <c r="Y1636" i="37" s="1"/>
  <c r="T1620" i="37"/>
  <c r="X1604" i="37"/>
  <c r="Y1604" i="37" s="1"/>
  <c r="T1382" i="37"/>
  <c r="X1729" i="37"/>
  <c r="Y1729" i="37" s="1"/>
  <c r="X1721" i="37"/>
  <c r="Y1721" i="37" s="1"/>
  <c r="X1713" i="37"/>
  <c r="Y1713" i="37" s="1"/>
  <c r="X1705" i="37"/>
  <c r="Y1705" i="37" s="1"/>
  <c r="X1697" i="37"/>
  <c r="Y1697" i="37" s="1"/>
  <c r="X1689" i="37"/>
  <c r="Y1689" i="37" s="1"/>
  <c r="X1621" i="37"/>
  <c r="Y1621" i="37" s="1"/>
  <c r="R1621" i="37"/>
  <c r="R1591" i="37"/>
  <c r="X1591" i="37"/>
  <c r="Y1591" i="37" s="1"/>
  <c r="T1686" i="37"/>
  <c r="X1631" i="37"/>
  <c r="Y1631" i="37" s="1"/>
  <c r="X1613" i="37"/>
  <c r="Y1613" i="37" s="1"/>
  <c r="R1613" i="37"/>
  <c r="X1597" i="37"/>
  <c r="Y1597" i="37" s="1"/>
  <c r="R1597" i="37"/>
  <c r="T1362" i="37"/>
  <c r="R1623" i="37"/>
  <c r="X1623" i="37"/>
  <c r="Y1623" i="37" s="1"/>
  <c r="T1598" i="37"/>
  <c r="X1573" i="37"/>
  <c r="Y1573" i="37" s="1"/>
  <c r="R1573" i="37"/>
  <c r="R1474" i="37"/>
  <c r="X1474" i="37"/>
  <c r="Y1474" i="37" s="1"/>
  <c r="X1680" i="37"/>
  <c r="Y1680" i="37" s="1"/>
  <c r="X1672" i="37"/>
  <c r="Y1672" i="37" s="1"/>
  <c r="X1664" i="37"/>
  <c r="Y1664" i="37" s="1"/>
  <c r="X1656" i="37"/>
  <c r="Y1656" i="37" s="1"/>
  <c r="X1646" i="37"/>
  <c r="Y1646" i="37" s="1"/>
  <c r="T1631" i="37"/>
  <c r="T1627" i="37"/>
  <c r="X1605" i="37"/>
  <c r="Y1605" i="37" s="1"/>
  <c r="R1605" i="37"/>
  <c r="T1569" i="37"/>
  <c r="R1615" i="37"/>
  <c r="X1615" i="37"/>
  <c r="Y1615" i="37" s="1"/>
  <c r="T1606" i="37"/>
  <c r="X1581" i="37"/>
  <c r="Y1581" i="37" s="1"/>
  <c r="R1581" i="37"/>
  <c r="T1404" i="37"/>
  <c r="T1648" i="37"/>
  <c r="X1645" i="37"/>
  <c r="Y1645" i="37" s="1"/>
  <c r="R1599" i="37"/>
  <c r="X1599" i="37"/>
  <c r="Y1599" i="37" s="1"/>
  <c r="T1557" i="37"/>
  <c r="R1360" i="37"/>
  <c r="X1360" i="37"/>
  <c r="Y1360" i="37" s="1"/>
  <c r="X1632" i="37"/>
  <c r="Y1632" i="37" s="1"/>
  <c r="R1632" i="37"/>
  <c r="R1607" i="37"/>
  <c r="X1607" i="37"/>
  <c r="Y1607" i="37" s="1"/>
  <c r="X1589" i="37"/>
  <c r="Y1589" i="37" s="1"/>
  <c r="R1589" i="37"/>
  <c r="X1459" i="37"/>
  <c r="Y1459" i="37" s="1"/>
  <c r="R1336" i="37"/>
  <c r="X1336" i="37"/>
  <c r="Y1336" i="37" s="1"/>
  <c r="T1322" i="37"/>
  <c r="T1241" i="37"/>
  <c r="R1624" i="37"/>
  <c r="R1616" i="37"/>
  <c r="R1608" i="37"/>
  <c r="R1600" i="37"/>
  <c r="R1592" i="37"/>
  <c r="R1584" i="37"/>
  <c r="R1576" i="37"/>
  <c r="X1448" i="37"/>
  <c r="Y1448" i="37" s="1"/>
  <c r="X1414" i="37"/>
  <c r="Y1414" i="37" s="1"/>
  <c r="T1287" i="37"/>
  <c r="X1433" i="37"/>
  <c r="Y1433" i="37" s="1"/>
  <c r="X1404" i="37"/>
  <c r="Y1404" i="37" s="1"/>
  <c r="R1356" i="37"/>
  <c r="X1356" i="37"/>
  <c r="Y1356" i="37" s="1"/>
  <c r="T1342" i="37"/>
  <c r="T1314" i="37"/>
  <c r="T1251" i="37"/>
  <c r="X1514" i="37"/>
  <c r="Y1514" i="37" s="1"/>
  <c r="X1481" i="37"/>
  <c r="Y1481" i="37" s="1"/>
  <c r="R1449" i="37"/>
  <c r="T1320" i="37"/>
  <c r="T1317" i="37"/>
  <c r="T1263" i="37"/>
  <c r="T1219" i="37"/>
  <c r="T1323" i="37"/>
  <c r="R1333" i="37"/>
  <c r="X1333" i="37"/>
  <c r="Y1333" i="37" s="1"/>
  <c r="T1312" i="37"/>
  <c r="T1306" i="37"/>
  <c r="T1256" i="37"/>
  <c r="T1249" i="37"/>
  <c r="R1442" i="37"/>
  <c r="X1442" i="37"/>
  <c r="Y1442" i="37" s="1"/>
  <c r="R1358" i="37"/>
  <c r="X1358" i="37"/>
  <c r="Y1358" i="37" s="1"/>
  <c r="T1338" i="37"/>
  <c r="T1309" i="37"/>
  <c r="T1227" i="37"/>
  <c r="T1558" i="37"/>
  <c r="T1514" i="37"/>
  <c r="T1489" i="37"/>
  <c r="T1481" i="37"/>
  <c r="X1456" i="37"/>
  <c r="Y1456" i="37" s="1"/>
  <c r="R1361" i="37"/>
  <c r="X1361" i="37"/>
  <c r="Y1361" i="37" s="1"/>
  <c r="T1315" i="37"/>
  <c r="R1339" i="37"/>
  <c r="X1339" i="37"/>
  <c r="Y1339" i="37" s="1"/>
  <c r="T1334" i="37"/>
  <c r="T1304" i="37"/>
  <c r="T1275" i="37"/>
  <c r="X1519" i="37"/>
  <c r="Y1519" i="37" s="1"/>
  <c r="R1370" i="37"/>
  <c r="X1370" i="37"/>
  <c r="Y1370" i="37" s="1"/>
  <c r="T1327" i="37"/>
  <c r="T1301" i="37"/>
  <c r="T1273" i="37"/>
  <c r="T1456" i="37"/>
  <c r="R1344" i="37"/>
  <c r="X1344" i="37"/>
  <c r="Y1344" i="37" s="1"/>
  <c r="T1307" i="37"/>
  <c r="T1271" i="37"/>
  <c r="T1235" i="37"/>
  <c r="T1582" i="37"/>
  <c r="X1453" i="37"/>
  <c r="Y1453" i="37" s="1"/>
  <c r="X1335" i="37"/>
  <c r="Y1335" i="37" s="1"/>
  <c r="R1331" i="37"/>
  <c r="X1331" i="37"/>
  <c r="Y1331" i="37" s="1"/>
  <c r="T1264" i="37"/>
  <c r="X1451" i="37"/>
  <c r="Y1451" i="37" s="1"/>
  <c r="T1296" i="37"/>
  <c r="T1335" i="37"/>
  <c r="R1328" i="37"/>
  <c r="X1328" i="37"/>
  <c r="Y1328" i="37" s="1"/>
  <c r="T1299" i="37"/>
  <c r="T1293" i="37"/>
  <c r="T1255" i="37"/>
  <c r="R1454" i="37"/>
  <c r="X1454" i="37"/>
  <c r="Y1454" i="37" s="1"/>
  <c r="T1319" i="37"/>
  <c r="T1291" i="37"/>
  <c r="T1311" i="37"/>
  <c r="T1303" i="37"/>
  <c r="R1288" i="37"/>
  <c r="X1287" i="37"/>
  <c r="Y1287" i="37" s="1"/>
  <c r="T1277" i="37"/>
  <c r="R1272" i="37"/>
  <c r="X1271" i="37"/>
  <c r="Y1271" i="37" s="1"/>
  <c r="X1263" i="37"/>
  <c r="Y1263" i="37" s="1"/>
  <c r="X1255" i="37"/>
  <c r="Y1255" i="37" s="1"/>
  <c r="R1164" i="37"/>
  <c r="X1164" i="37"/>
  <c r="Y1164" i="37" s="1"/>
  <c r="R1245" i="37"/>
  <c r="X1245" i="37"/>
  <c r="Y1245" i="37" s="1"/>
  <c r="X1236" i="37"/>
  <c r="Y1236" i="37" s="1"/>
  <c r="R1236" i="37"/>
  <c r="T1218" i="37"/>
  <c r="R1198" i="37"/>
  <c r="R1192" i="37"/>
  <c r="X1192" i="37"/>
  <c r="Y1192" i="37" s="1"/>
  <c r="R1180" i="37"/>
  <c r="X1180" i="37"/>
  <c r="Y1180" i="37" s="1"/>
  <c r="T1214" i="37"/>
  <c r="R1178" i="37"/>
  <c r="X1178" i="37"/>
  <c r="Y1178" i="37" s="1"/>
  <c r="X1291" i="37"/>
  <c r="Y1291" i="37" s="1"/>
  <c r="X1286" i="37"/>
  <c r="Y1286" i="37" s="1"/>
  <c r="R1276" i="37"/>
  <c r="X1275" i="37"/>
  <c r="Y1275" i="37" s="1"/>
  <c r="X1269" i="37"/>
  <c r="Y1269" i="37" s="1"/>
  <c r="X1261" i="37"/>
  <c r="Y1261" i="37" s="1"/>
  <c r="X1190" i="37"/>
  <c r="Y1190" i="37" s="1"/>
  <c r="R1190" i="37"/>
  <c r="R1185" i="37"/>
  <c r="X1185" i="37"/>
  <c r="Y1185" i="37" s="1"/>
  <c r="R1169" i="37"/>
  <c r="X1169" i="37"/>
  <c r="Y1169" i="37" s="1"/>
  <c r="X1268" i="37"/>
  <c r="Y1268" i="37" s="1"/>
  <c r="R1204" i="37"/>
  <c r="X1204" i="37"/>
  <c r="Y1204" i="37" s="1"/>
  <c r="R1201" i="37"/>
  <c r="X1201" i="37"/>
  <c r="Y1201" i="37" s="1"/>
  <c r="T1142" i="37"/>
  <c r="X1323" i="37"/>
  <c r="Y1323" i="37" s="1"/>
  <c r="X1315" i="37"/>
  <c r="Y1315" i="37" s="1"/>
  <c r="X1307" i="37"/>
  <c r="Y1307" i="37" s="1"/>
  <c r="X1299" i="37"/>
  <c r="Y1299" i="37" s="1"/>
  <c r="X1285" i="37"/>
  <c r="Y1285" i="37" s="1"/>
  <c r="X1211" i="37"/>
  <c r="Y1211" i="37" s="1"/>
  <c r="T1326" i="37"/>
  <c r="T1310" i="37"/>
  <c r="T1286" i="37"/>
  <c r="T1280" i="37"/>
  <c r="T1269" i="37"/>
  <c r="T1268" i="37"/>
  <c r="T1261" i="37"/>
  <c r="T1260" i="37"/>
  <c r="T1253" i="37"/>
  <c r="T1252" i="37"/>
  <c r="X1251" i="37"/>
  <c r="Y1251" i="37" s="1"/>
  <c r="X1241" i="37"/>
  <c r="Y1241" i="37" s="1"/>
  <c r="T1237" i="37"/>
  <c r="R1196" i="37"/>
  <c r="X1196" i="37"/>
  <c r="Y1196" i="37" s="1"/>
  <c r="R1193" i="37"/>
  <c r="X1193" i="37"/>
  <c r="Y1193" i="37" s="1"/>
  <c r="R1188" i="37"/>
  <c r="X1188" i="37"/>
  <c r="Y1188" i="37" s="1"/>
  <c r="X1320" i="37"/>
  <c r="Y1320" i="37" s="1"/>
  <c r="X1312" i="37"/>
  <c r="Y1312" i="37" s="1"/>
  <c r="X1304" i="37"/>
  <c r="Y1304" i="37" s="1"/>
  <c r="X1296" i="37"/>
  <c r="Y1296" i="37" s="1"/>
  <c r="X1290" i="37"/>
  <c r="Y1290" i="37" s="1"/>
  <c r="X1274" i="37"/>
  <c r="Y1274" i="37" s="1"/>
  <c r="X1220" i="37"/>
  <c r="Y1220" i="37" s="1"/>
  <c r="R1220" i="37"/>
  <c r="T1211" i="37"/>
  <c r="R1199" i="37"/>
  <c r="X1199" i="37"/>
  <c r="Y1199" i="37" s="1"/>
  <c r="X1174" i="37"/>
  <c r="Y1174" i="37" s="1"/>
  <c r="R1174" i="37"/>
  <c r="X1249" i="37"/>
  <c r="Y1249" i="37" s="1"/>
  <c r="T1226" i="37"/>
  <c r="R1202" i="37"/>
  <c r="X1202" i="37"/>
  <c r="Y1202" i="37" s="1"/>
  <c r="R1186" i="37"/>
  <c r="X1186" i="37"/>
  <c r="Y1186" i="37" s="1"/>
  <c r="X1325" i="37"/>
  <c r="Y1325" i="37" s="1"/>
  <c r="X1317" i="37"/>
  <c r="Y1317" i="37" s="1"/>
  <c r="X1309" i="37"/>
  <c r="Y1309" i="37" s="1"/>
  <c r="X1301" i="37"/>
  <c r="Y1301" i="37" s="1"/>
  <c r="X1293" i="37"/>
  <c r="Y1293" i="37" s="1"/>
  <c r="X1289" i="37"/>
  <c r="Y1289" i="37" s="1"/>
  <c r="X1273" i="37"/>
  <c r="Y1273" i="37" s="1"/>
  <c r="X1266" i="37"/>
  <c r="Y1266" i="37" s="1"/>
  <c r="X1258" i="37"/>
  <c r="Y1258" i="37" s="1"/>
  <c r="R1233" i="37"/>
  <c r="X1227" i="37"/>
  <c r="Y1227" i="37" s="1"/>
  <c r="R1205" i="37"/>
  <c r="X1205" i="37"/>
  <c r="Y1205" i="37" s="1"/>
  <c r="R1172" i="37"/>
  <c r="X1172" i="37"/>
  <c r="Y1172" i="37" s="1"/>
  <c r="R1194" i="37"/>
  <c r="X1194" i="37"/>
  <c r="Y1194" i="37" s="1"/>
  <c r="R1170" i="37"/>
  <c r="X1170" i="37"/>
  <c r="Y1170" i="37" s="1"/>
  <c r="X1244" i="37"/>
  <c r="Y1244" i="37" s="1"/>
  <c r="R1197" i="37"/>
  <c r="X1197" i="37"/>
  <c r="Y1197" i="37" s="1"/>
  <c r="R1177" i="37"/>
  <c r="X1177" i="37"/>
  <c r="Y1177" i="37" s="1"/>
  <c r="T1243" i="37"/>
  <c r="T1234" i="37"/>
  <c r="T1221" i="37"/>
  <c r="T1206" i="37"/>
  <c r="R1189" i="37"/>
  <c r="X1189" i="37"/>
  <c r="Y1189" i="37" s="1"/>
  <c r="T1244" i="37"/>
  <c r="X1228" i="37"/>
  <c r="Y1228" i="37" s="1"/>
  <c r="R1228" i="37"/>
  <c r="R1203" i="37"/>
  <c r="X1166" i="37"/>
  <c r="Y1166" i="37" s="1"/>
  <c r="R1166" i="37"/>
  <c r="T1265" i="37"/>
  <c r="T1257" i="37"/>
  <c r="T1247" i="37"/>
  <c r="R1213" i="37"/>
  <c r="X1213" i="37"/>
  <c r="Y1213" i="37" s="1"/>
  <c r="R1200" i="37"/>
  <c r="X1200" i="37"/>
  <c r="Y1200" i="37" s="1"/>
  <c r="X1182" i="37"/>
  <c r="Y1182" i="37" s="1"/>
  <c r="R1182" i="37"/>
  <c r="X1125" i="37"/>
  <c r="Y1125" i="37" s="1"/>
  <c r="R1125" i="37"/>
  <c r="R1116" i="37"/>
  <c r="X1116" i="37"/>
  <c r="Y1116" i="37" s="1"/>
  <c r="T1065" i="37"/>
  <c r="R1158" i="37"/>
  <c r="R1150" i="37"/>
  <c r="R1146" i="37"/>
  <c r="X1146" i="37"/>
  <c r="Y1146" i="37" s="1"/>
  <c r="R1100" i="37"/>
  <c r="X1100" i="37"/>
  <c r="Y1100" i="37" s="1"/>
  <c r="T1133" i="37"/>
  <c r="T1091" i="37"/>
  <c r="R1049" i="37"/>
  <c r="X1049" i="37"/>
  <c r="Y1049" i="37" s="1"/>
  <c r="R1033" i="37"/>
  <c r="X1033" i="37"/>
  <c r="Y1033" i="37" s="1"/>
  <c r="T1157" i="37"/>
  <c r="T1149" i="37"/>
  <c r="T1134" i="37"/>
  <c r="T1068" i="37"/>
  <c r="T1055" i="37"/>
  <c r="R1246" i="37"/>
  <c r="R1238" i="37"/>
  <c r="R1230" i="37"/>
  <c r="R1222" i="37"/>
  <c r="T1212" i="37"/>
  <c r="X1237" i="37"/>
  <c r="Y1237" i="37" s="1"/>
  <c r="X1229" i="37"/>
  <c r="Y1229" i="37" s="1"/>
  <c r="X1221" i="37"/>
  <c r="Y1221" i="37" s="1"/>
  <c r="X1210" i="37"/>
  <c r="Y1210" i="37" s="1"/>
  <c r="R1135" i="37"/>
  <c r="X1135" i="37"/>
  <c r="Y1135" i="37" s="1"/>
  <c r="R1127" i="37"/>
  <c r="X1127" i="37"/>
  <c r="Y1127" i="37" s="1"/>
  <c r="R1122" i="37"/>
  <c r="X1122" i="37"/>
  <c r="Y1122" i="37" s="1"/>
  <c r="T1098" i="37"/>
  <c r="T1095" i="37"/>
  <c r="T1066" i="37"/>
  <c r="T1114" i="37"/>
  <c r="R1077" i="37"/>
  <c r="X1077" i="37"/>
  <c r="Y1077" i="37" s="1"/>
  <c r="T1123" i="37"/>
  <c r="R1111" i="37"/>
  <c r="X1111" i="37"/>
  <c r="Y1111" i="37" s="1"/>
  <c r="R1092" i="37"/>
  <c r="X1092" i="37"/>
  <c r="Y1092" i="37" s="1"/>
  <c r="T1072" i="37"/>
  <c r="X1142" i="37"/>
  <c r="Y1142" i="37" s="1"/>
  <c r="X1141" i="37"/>
  <c r="Y1141" i="37" s="1"/>
  <c r="T1083" i="37"/>
  <c r="X1143" i="37"/>
  <c r="Y1143" i="37" s="1"/>
  <c r="T1139" i="37"/>
  <c r="R1119" i="37"/>
  <c r="X1119" i="37"/>
  <c r="Y1119" i="37" s="1"/>
  <c r="R1108" i="37"/>
  <c r="X1108" i="37"/>
  <c r="Y1108" i="37" s="1"/>
  <c r="T1069" i="37"/>
  <c r="X1214" i="37"/>
  <c r="Y1214" i="37" s="1"/>
  <c r="R1138" i="37"/>
  <c r="X1138" i="37"/>
  <c r="Y1138" i="37" s="1"/>
  <c r="R1130" i="37"/>
  <c r="X1130" i="37"/>
  <c r="Y1130" i="37" s="1"/>
  <c r="T1059" i="37"/>
  <c r="T1043" i="37"/>
  <c r="X1206" i="37"/>
  <c r="Y1206" i="37" s="1"/>
  <c r="X1144" i="37"/>
  <c r="Y1144" i="37" s="1"/>
  <c r="T1140" i="37"/>
  <c r="X1132" i="37"/>
  <c r="Y1132" i="37" s="1"/>
  <c r="T1051" i="37"/>
  <c r="T1090" i="37"/>
  <c r="T1087" i="37"/>
  <c r="T1073" i="37"/>
  <c r="X1191" i="37"/>
  <c r="Y1191" i="37" s="1"/>
  <c r="X1184" i="37"/>
  <c r="Y1184" i="37" s="1"/>
  <c r="X1183" i="37"/>
  <c r="Y1183" i="37" s="1"/>
  <c r="X1176" i="37"/>
  <c r="Y1176" i="37" s="1"/>
  <c r="X1175" i="37"/>
  <c r="Y1175" i="37" s="1"/>
  <c r="X1168" i="37"/>
  <c r="Y1168" i="37" s="1"/>
  <c r="X1167" i="37"/>
  <c r="Y1167" i="37" s="1"/>
  <c r="X1160" i="37"/>
  <c r="Y1160" i="37" s="1"/>
  <c r="X1159" i="37"/>
  <c r="Y1159" i="37" s="1"/>
  <c r="X1152" i="37"/>
  <c r="Y1152" i="37" s="1"/>
  <c r="X1151" i="37"/>
  <c r="Y1151" i="37" s="1"/>
  <c r="X1145" i="37"/>
  <c r="Y1145" i="37" s="1"/>
  <c r="R1081" i="37"/>
  <c r="X1081" i="37"/>
  <c r="Y1081" i="37" s="1"/>
  <c r="X1181" i="37"/>
  <c r="Y1181" i="37" s="1"/>
  <c r="X1173" i="37"/>
  <c r="Y1173" i="37" s="1"/>
  <c r="X1165" i="37"/>
  <c r="Y1165" i="37" s="1"/>
  <c r="X1162" i="37"/>
  <c r="Y1162" i="37" s="1"/>
  <c r="X1161" i="37"/>
  <c r="Y1161" i="37" s="1"/>
  <c r="X1157" i="37"/>
  <c r="Y1157" i="37" s="1"/>
  <c r="X1156" i="37"/>
  <c r="Y1156" i="37" s="1"/>
  <c r="X1154" i="37"/>
  <c r="Y1154" i="37" s="1"/>
  <c r="X1153" i="37"/>
  <c r="Y1153" i="37" s="1"/>
  <c r="X1149" i="37"/>
  <c r="Y1149" i="37" s="1"/>
  <c r="X1148" i="37"/>
  <c r="Y1148" i="37" s="1"/>
  <c r="T1144" i="37"/>
  <c r="X1133" i="37"/>
  <c r="Y1133" i="37" s="1"/>
  <c r="T1132" i="37"/>
  <c r="T1106" i="37"/>
  <c r="T1103" i="37"/>
  <c r="R1084" i="37"/>
  <c r="X1084" i="37"/>
  <c r="Y1084" i="37" s="1"/>
  <c r="T1076" i="37"/>
  <c r="X1114" i="37"/>
  <c r="Y1114" i="37" s="1"/>
  <c r="X1106" i="37"/>
  <c r="Y1106" i="37" s="1"/>
  <c r="X1098" i="37"/>
  <c r="Y1098" i="37" s="1"/>
  <c r="X1090" i="37"/>
  <c r="Y1090" i="37" s="1"/>
  <c r="X1073" i="37"/>
  <c r="Y1073" i="37" s="1"/>
  <c r="R1070" i="37"/>
  <c r="T1030" i="37"/>
  <c r="R1027" i="37"/>
  <c r="X1027" i="37"/>
  <c r="Y1027" i="37" s="1"/>
  <c r="R1024" i="37"/>
  <c r="X1024" i="37"/>
  <c r="Y1024" i="37" s="1"/>
  <c r="T1018" i="37"/>
  <c r="X1010" i="37"/>
  <c r="Y1010" i="37" s="1"/>
  <c r="R1000" i="37"/>
  <c r="X1000" i="37"/>
  <c r="Y1000" i="37" s="1"/>
  <c r="R1136" i="37"/>
  <c r="R1128" i="37"/>
  <c r="R1120" i="37"/>
  <c r="R1112" i="37"/>
  <c r="R1104" i="37"/>
  <c r="R1096" i="37"/>
  <c r="R1088" i="37"/>
  <c r="R1074" i="37"/>
  <c r="X1067" i="37"/>
  <c r="Y1067" i="37" s="1"/>
  <c r="X1055" i="37"/>
  <c r="Y1055" i="37" s="1"/>
  <c r="T1038" i="37"/>
  <c r="X1103" i="37"/>
  <c r="Y1103" i="37" s="1"/>
  <c r="X1095" i="37"/>
  <c r="Y1095" i="37" s="1"/>
  <c r="X1087" i="37"/>
  <c r="Y1087" i="37" s="1"/>
  <c r="T1054" i="37"/>
  <c r="T1034" i="37"/>
  <c r="T1010" i="37"/>
  <c r="R1117" i="37"/>
  <c r="R1109" i="37"/>
  <c r="R1101" i="37"/>
  <c r="R1093" i="37"/>
  <c r="R1085" i="37"/>
  <c r="X1066" i="37"/>
  <c r="Y1066" i="37" s="1"/>
  <c r="T1053" i="37"/>
  <c r="T1031" i="37"/>
  <c r="T1067" i="37"/>
  <c r="R1019" i="37"/>
  <c r="X1019" i="37"/>
  <c r="Y1019" i="37" s="1"/>
  <c r="R1016" i="37"/>
  <c r="X1016" i="37"/>
  <c r="Y1016" i="37" s="1"/>
  <c r="R1003" i="37"/>
  <c r="X1003" i="37"/>
  <c r="Y1003" i="37" s="1"/>
  <c r="T991" i="37"/>
  <c r="X1059" i="37"/>
  <c r="Y1059" i="37" s="1"/>
  <c r="X1025" i="37"/>
  <c r="Y1025" i="37" s="1"/>
  <c r="R1008" i="37"/>
  <c r="X1008" i="37"/>
  <c r="Y1008" i="37" s="1"/>
  <c r="X1032" i="37"/>
  <c r="Y1032" i="37" s="1"/>
  <c r="T1028" i="37"/>
  <c r="T1022" i="37"/>
  <c r="R1078" i="37"/>
  <c r="X1065" i="37"/>
  <c r="Y1065" i="37" s="1"/>
  <c r="X1061" i="37"/>
  <c r="Y1061" i="37" s="1"/>
  <c r="T1045" i="37"/>
  <c r="R1011" i="37"/>
  <c r="X1011" i="37"/>
  <c r="Y1011" i="37" s="1"/>
  <c r="R966" i="37"/>
  <c r="X966" i="37"/>
  <c r="Y966" i="37" s="1"/>
  <c r="X1076" i="37"/>
  <c r="Y1076" i="37" s="1"/>
  <c r="T1063" i="37"/>
  <c r="T1032" i="37"/>
  <c r="R1006" i="37"/>
  <c r="X1006" i="37"/>
  <c r="Y1006" i="37" s="1"/>
  <c r="X1017" i="37"/>
  <c r="Y1017" i="37" s="1"/>
  <c r="T999" i="37"/>
  <c r="R1023" i="37"/>
  <c r="X1023" i="37"/>
  <c r="Y1023" i="37" s="1"/>
  <c r="R1020" i="37"/>
  <c r="X1020" i="37"/>
  <c r="Y1020" i="37" s="1"/>
  <c r="T1014" i="37"/>
  <c r="T1110" i="37"/>
  <c r="T1102" i="37"/>
  <c r="T1094" i="37"/>
  <c r="T1086" i="37"/>
  <c r="R1004" i="37"/>
  <c r="X1004" i="37"/>
  <c r="Y1004" i="37" s="1"/>
  <c r="T1026" i="37"/>
  <c r="R1037" i="37"/>
  <c r="X1037" i="37"/>
  <c r="Y1037" i="37" s="1"/>
  <c r="R1002" i="37"/>
  <c r="X1002" i="37"/>
  <c r="Y1002" i="37" s="1"/>
  <c r="T995" i="37"/>
  <c r="X962" i="37"/>
  <c r="Y962" i="37" s="1"/>
  <c r="R962" i="37"/>
  <c r="T1050" i="37"/>
  <c r="T1042" i="37"/>
  <c r="R1015" i="37"/>
  <c r="X1015" i="37"/>
  <c r="Y1015" i="37" s="1"/>
  <c r="R1012" i="37"/>
  <c r="X1012" i="37"/>
  <c r="Y1012" i="37" s="1"/>
  <c r="R1007" i="37"/>
  <c r="X1007" i="37"/>
  <c r="Y1007" i="37" s="1"/>
  <c r="R982" i="37"/>
  <c r="X982" i="37"/>
  <c r="Y982" i="37" s="1"/>
  <c r="T956" i="37"/>
  <c r="T945" i="37"/>
  <c r="T931" i="37"/>
  <c r="T901" i="37"/>
  <c r="T953" i="37"/>
  <c r="T948" i="37"/>
  <c r="T938" i="37"/>
  <c r="X999" i="37"/>
  <c r="Y999" i="37" s="1"/>
  <c r="X996" i="37"/>
  <c r="Y996" i="37" s="1"/>
  <c r="X995" i="37"/>
  <c r="Y995" i="37" s="1"/>
  <c r="R984" i="37"/>
  <c r="X984" i="37"/>
  <c r="Y984" i="37" s="1"/>
  <c r="X970" i="37"/>
  <c r="Y970" i="37" s="1"/>
  <c r="R970" i="37"/>
  <c r="T943" i="37"/>
  <c r="X998" i="37"/>
  <c r="Y998" i="37" s="1"/>
  <c r="R976" i="37"/>
  <c r="X976" i="37"/>
  <c r="Y976" i="37" s="1"/>
  <c r="R960" i="37"/>
  <c r="X960" i="37"/>
  <c r="Y960" i="37" s="1"/>
  <c r="T996" i="37"/>
  <c r="T992" i="37"/>
  <c r="T988" i="37"/>
  <c r="X986" i="37"/>
  <c r="Y986" i="37" s="1"/>
  <c r="R986" i="37"/>
  <c r="T985" i="37"/>
  <c r="X954" i="37"/>
  <c r="Y954" i="37" s="1"/>
  <c r="R954" i="37"/>
  <c r="R972" i="37"/>
  <c r="X972" i="37"/>
  <c r="Y972" i="37" s="1"/>
  <c r="T964" i="37"/>
  <c r="T922" i="37"/>
  <c r="X978" i="37"/>
  <c r="Y978" i="37" s="1"/>
  <c r="R978" i="37"/>
  <c r="T944" i="37"/>
  <c r="T927" i="37"/>
  <c r="R968" i="37"/>
  <c r="X968" i="37"/>
  <c r="Y968" i="37" s="1"/>
  <c r="T958" i="37"/>
  <c r="R952" i="37"/>
  <c r="X952" i="37"/>
  <c r="Y952" i="37" s="1"/>
  <c r="T930" i="37"/>
  <c r="X981" i="37"/>
  <c r="Y981" i="37" s="1"/>
  <c r="T980" i="37"/>
  <c r="X974" i="37"/>
  <c r="Y974" i="37" s="1"/>
  <c r="T961" i="37"/>
  <c r="X959" i="37"/>
  <c r="Y959" i="37" s="1"/>
  <c r="T942" i="37"/>
  <c r="T974" i="37"/>
  <c r="T950" i="37"/>
  <c r="X934" i="37"/>
  <c r="Y934" i="37" s="1"/>
  <c r="X918" i="37"/>
  <c r="Y918" i="37" s="1"/>
  <c r="T912" i="37"/>
  <c r="R905" i="37"/>
  <c r="X901" i="37"/>
  <c r="Y901" i="37" s="1"/>
  <c r="T900" i="37"/>
  <c r="X964" i="37"/>
  <c r="Y964" i="37" s="1"/>
  <c r="X956" i="37"/>
  <c r="Y956" i="37" s="1"/>
  <c r="X948" i="37"/>
  <c r="Y948" i="37" s="1"/>
  <c r="T940" i="37"/>
  <c r="T924" i="37"/>
  <c r="T913" i="37"/>
  <c r="R946" i="37"/>
  <c r="R935" i="37"/>
  <c r="R919" i="37"/>
  <c r="T918" i="37"/>
  <c r="T815" i="37"/>
  <c r="T862" i="37"/>
  <c r="X896" i="37"/>
  <c r="Y896" i="37" s="1"/>
  <c r="R896" i="37"/>
  <c r="T799" i="37"/>
  <c r="T939" i="37"/>
  <c r="T928" i="37"/>
  <c r="T923" i="37"/>
  <c r="T839" i="37"/>
  <c r="X932" i="37"/>
  <c r="Y932" i="37" s="1"/>
  <c r="R902" i="37"/>
  <c r="X902" i="37"/>
  <c r="Y902" i="37" s="1"/>
  <c r="T828" i="37"/>
  <c r="T886" i="37"/>
  <c r="T854" i="37"/>
  <c r="X926" i="37"/>
  <c r="Y926" i="37" s="1"/>
  <c r="T823" i="37"/>
  <c r="X944" i="37"/>
  <c r="Y944" i="37" s="1"/>
  <c r="T932" i="37"/>
  <c r="X931" i="37"/>
  <c r="Y931" i="37" s="1"/>
  <c r="T916" i="37"/>
  <c r="T926" i="37"/>
  <c r="R894" i="37"/>
  <c r="X894" i="37"/>
  <c r="Y894" i="37" s="1"/>
  <c r="X936" i="37"/>
  <c r="Y936" i="37" s="1"/>
  <c r="X920" i="37"/>
  <c r="Y920" i="37" s="1"/>
  <c r="T878" i="37"/>
  <c r="T846" i="37"/>
  <c r="T840" i="37"/>
  <c r="T936" i="37"/>
  <c r="T920" i="37"/>
  <c r="X940" i="37"/>
  <c r="Y940" i="37" s="1"/>
  <c r="X924" i="37"/>
  <c r="Y924" i="37" s="1"/>
  <c r="R914" i="37"/>
  <c r="X904" i="37"/>
  <c r="Y904" i="37" s="1"/>
  <c r="R904" i="37"/>
  <c r="R910" i="37"/>
  <c r="X910" i="37"/>
  <c r="Y910" i="37" s="1"/>
  <c r="T870" i="37"/>
  <c r="R888" i="37"/>
  <c r="T885" i="37"/>
  <c r="R880" i="37"/>
  <c r="T877" i="37"/>
  <c r="R872" i="37"/>
  <c r="R864" i="37"/>
  <c r="T861" i="37"/>
  <c r="R856" i="37"/>
  <c r="R848" i="37"/>
  <c r="X839" i="37"/>
  <c r="Y839" i="37" s="1"/>
  <c r="X803" i="37"/>
  <c r="Y803" i="37" s="1"/>
  <c r="R803" i="37"/>
  <c r="T744" i="37"/>
  <c r="R833" i="37"/>
  <c r="R820" i="37"/>
  <c r="T754" i="37"/>
  <c r="X787" i="37"/>
  <c r="Y787" i="37" s="1"/>
  <c r="R787" i="37"/>
  <c r="T895" i="37"/>
  <c r="T887" i="37"/>
  <c r="T879" i="37"/>
  <c r="T871" i="37"/>
  <c r="T855" i="37"/>
  <c r="R813" i="37"/>
  <c r="X813" i="37"/>
  <c r="Y813" i="37" s="1"/>
  <c r="R800" i="37"/>
  <c r="X795" i="37"/>
  <c r="Y795" i="37" s="1"/>
  <c r="R795" i="37"/>
  <c r="T752" i="37"/>
  <c r="T812" i="37"/>
  <c r="X886" i="37"/>
  <c r="Y886" i="37" s="1"/>
  <c r="X878" i="37"/>
  <c r="Y878" i="37" s="1"/>
  <c r="X870" i="37"/>
  <c r="Y870" i="37" s="1"/>
  <c r="X862" i="37"/>
  <c r="Y862" i="37" s="1"/>
  <c r="X854" i="37"/>
  <c r="Y854" i="37" s="1"/>
  <c r="X846" i="37"/>
  <c r="Y846" i="37" s="1"/>
  <c r="T740" i="37"/>
  <c r="T822" i="37"/>
  <c r="X811" i="37"/>
  <c r="Y811" i="37" s="1"/>
  <c r="R811" i="37"/>
  <c r="X840" i="37"/>
  <c r="Y840" i="37" s="1"/>
  <c r="R821" i="37"/>
  <c r="R808" i="37"/>
  <c r="R805" i="37"/>
  <c r="X805" i="37"/>
  <c r="Y805" i="37" s="1"/>
  <c r="T804" i="37"/>
  <c r="T791" i="37"/>
  <c r="X797" i="37"/>
  <c r="Y797" i="37" s="1"/>
  <c r="X789" i="37"/>
  <c r="Y789" i="37" s="1"/>
  <c r="R736" i="37"/>
  <c r="X727" i="37"/>
  <c r="Y727" i="37" s="1"/>
  <c r="R727" i="37"/>
  <c r="T726" i="37"/>
  <c r="R779" i="37"/>
  <c r="R771" i="37"/>
  <c r="R763" i="37"/>
  <c r="X747" i="37"/>
  <c r="Y747" i="37" s="1"/>
  <c r="R725" i="37"/>
  <c r="T685" i="37"/>
  <c r="R757" i="37"/>
  <c r="R748" i="37"/>
  <c r="R741" i="37"/>
  <c r="X735" i="37"/>
  <c r="Y735" i="37" s="1"/>
  <c r="R735" i="37"/>
  <c r="R718" i="37"/>
  <c r="X718" i="37"/>
  <c r="Y718" i="37" s="1"/>
  <c r="T700" i="37"/>
  <c r="T633" i="37"/>
  <c r="T692" i="37"/>
  <c r="T649" i="37"/>
  <c r="X759" i="37"/>
  <c r="Y759" i="37" s="1"/>
  <c r="X752" i="37"/>
  <c r="Y752" i="37" s="1"/>
  <c r="R721" i="37"/>
  <c r="T778" i="37"/>
  <c r="X739" i="37"/>
  <c r="Y739" i="37" s="1"/>
  <c r="R723" i="37"/>
  <c r="X723" i="37"/>
  <c r="Y723" i="37" s="1"/>
  <c r="X719" i="37"/>
  <c r="Y719" i="37" s="1"/>
  <c r="R719" i="37"/>
  <c r="R702" i="37"/>
  <c r="X702" i="37"/>
  <c r="Y702" i="37" s="1"/>
  <c r="T693" i="37"/>
  <c r="X678" i="37"/>
  <c r="Y678" i="37" s="1"/>
  <c r="R678" i="37"/>
  <c r="T720" i="37"/>
  <c r="T767" i="37"/>
  <c r="T759" i="37"/>
  <c r="X755" i="37"/>
  <c r="Y755" i="37" s="1"/>
  <c r="R745" i="37"/>
  <c r="X744" i="37"/>
  <c r="Y744" i="37" s="1"/>
  <c r="T714" i="37"/>
  <c r="T681" i="37"/>
  <c r="T657" i="37"/>
  <c r="R729" i="37"/>
  <c r="R715" i="37"/>
  <c r="X715" i="37"/>
  <c r="Y715" i="37" s="1"/>
  <c r="T690" i="37"/>
  <c r="T755" i="37"/>
  <c r="X743" i="37"/>
  <c r="Y743" i="37" s="1"/>
  <c r="T698" i="37"/>
  <c r="R737" i="37"/>
  <c r="T677" i="37"/>
  <c r="R699" i="37"/>
  <c r="X699" i="37"/>
  <c r="Y699" i="37" s="1"/>
  <c r="T641" i="37"/>
  <c r="R749" i="37"/>
  <c r="T716" i="37"/>
  <c r="T637" i="37"/>
  <c r="T703" i="37"/>
  <c r="T687" i="37"/>
  <c r="T683" i="37"/>
  <c r="X670" i="37"/>
  <c r="Y670" i="37" s="1"/>
  <c r="X662" i="37"/>
  <c r="Y662" i="37" s="1"/>
  <c r="X654" i="37"/>
  <c r="Y654" i="37" s="1"/>
  <c r="X646" i="37"/>
  <c r="Y646" i="37" s="1"/>
  <c r="X627" i="37"/>
  <c r="Y627" i="37" s="1"/>
  <c r="T598" i="37"/>
  <c r="T679" i="37"/>
  <c r="R636" i="37"/>
  <c r="T634" i="37"/>
  <c r="R639" i="37"/>
  <c r="X639" i="37"/>
  <c r="Y639" i="37" s="1"/>
  <c r="T535" i="37"/>
  <c r="T670" i="37"/>
  <c r="T662" i="37"/>
  <c r="T654" i="37"/>
  <c r="T646" i="37"/>
  <c r="R638" i="37"/>
  <c r="X638" i="37"/>
  <c r="Y638" i="37" s="1"/>
  <c r="R602" i="37"/>
  <c r="X602" i="37"/>
  <c r="Y602" i="37" s="1"/>
  <c r="R610" i="37"/>
  <c r="X610" i="37"/>
  <c r="Y610" i="37" s="1"/>
  <c r="R614" i="37"/>
  <c r="X614" i="37"/>
  <c r="Y614" i="37" s="1"/>
  <c r="T599" i="37"/>
  <c r="T606" i="37"/>
  <c r="T676" i="37"/>
  <c r="T660" i="37"/>
  <c r="T652" i="37"/>
  <c r="T644" i="37"/>
  <c r="T631" i="37"/>
  <c r="R630" i="37"/>
  <c r="X630" i="37"/>
  <c r="Y630" i="37" s="1"/>
  <c r="T711" i="37"/>
  <c r="T695" i="37"/>
  <c r="X674" i="37"/>
  <c r="Y674" i="37" s="1"/>
  <c r="X666" i="37"/>
  <c r="Y666" i="37" s="1"/>
  <c r="X658" i="37"/>
  <c r="Y658" i="37" s="1"/>
  <c r="X650" i="37"/>
  <c r="Y650" i="37" s="1"/>
  <c r="X642" i="37"/>
  <c r="Y642" i="37" s="1"/>
  <c r="T558" i="37"/>
  <c r="X657" i="37"/>
  <c r="Y657" i="37" s="1"/>
  <c r="X649" i="37"/>
  <c r="Y649" i="37" s="1"/>
  <c r="X641" i="37"/>
  <c r="Y641" i="37" s="1"/>
  <c r="T563" i="37"/>
  <c r="T543" i="37"/>
  <c r="T603" i="37"/>
  <c r="T674" i="37"/>
  <c r="T666" i="37"/>
  <c r="T658" i="37"/>
  <c r="T650" i="37"/>
  <c r="T643" i="37"/>
  <c r="T642" i="37"/>
  <c r="T625" i="37"/>
  <c r="R622" i="37"/>
  <c r="X622" i="37"/>
  <c r="Y622" i="37" s="1"/>
  <c r="R618" i="37"/>
  <c r="X618" i="37"/>
  <c r="Y618" i="37" s="1"/>
  <c r="X671" i="37"/>
  <c r="Y671" i="37" s="1"/>
  <c r="X663" i="37"/>
  <c r="Y663" i="37" s="1"/>
  <c r="X655" i="37"/>
  <c r="Y655" i="37" s="1"/>
  <c r="X647" i="37"/>
  <c r="Y647" i="37" s="1"/>
  <c r="T640" i="37"/>
  <c r="X635" i="37"/>
  <c r="Y635" i="37" s="1"/>
  <c r="T608" i="37"/>
  <c r="T600" i="37"/>
  <c r="T561" i="37"/>
  <c r="T549" i="37"/>
  <c r="T605" i="37"/>
  <c r="T597" i="37"/>
  <c r="T593" i="37"/>
  <c r="T589" i="37"/>
  <c r="T585" i="37"/>
  <c r="T581" i="37"/>
  <c r="T577" i="37"/>
  <c r="T573" i="37"/>
  <c r="T569" i="37"/>
  <c r="T565" i="37"/>
  <c r="X564" i="37"/>
  <c r="Y564" i="37" s="1"/>
  <c r="R539" i="37"/>
  <c r="X539" i="37"/>
  <c r="Y539" i="37" s="1"/>
  <c r="R531" i="37"/>
  <c r="X531" i="37"/>
  <c r="Y531" i="37" s="1"/>
  <c r="X631" i="37"/>
  <c r="Y631" i="37" s="1"/>
  <c r="X623" i="37"/>
  <c r="Y623" i="37" s="1"/>
  <c r="X615" i="37"/>
  <c r="Y615" i="37" s="1"/>
  <c r="X607" i="37"/>
  <c r="Y607" i="37" s="1"/>
  <c r="X599" i="37"/>
  <c r="Y599" i="37" s="1"/>
  <c r="X558" i="37"/>
  <c r="Y558" i="37" s="1"/>
  <c r="X563" i="37"/>
  <c r="Y563" i="37" s="1"/>
  <c r="T596" i="37"/>
  <c r="T592" i="37"/>
  <c r="T588" i="37"/>
  <c r="T576" i="37"/>
  <c r="T564" i="37"/>
  <c r="X557" i="37"/>
  <c r="Y557" i="37" s="1"/>
  <c r="X541" i="37"/>
  <c r="Y541" i="37" s="1"/>
  <c r="R541" i="37"/>
  <c r="T571" i="37"/>
  <c r="X543" i="37"/>
  <c r="Y543" i="37" s="1"/>
  <c r="T524" i="37"/>
  <c r="X606" i="37"/>
  <c r="Y606" i="37" s="1"/>
  <c r="X598" i="37"/>
  <c r="Y598" i="37" s="1"/>
  <c r="T556" i="37"/>
  <c r="R555" i="37"/>
  <c r="X548" i="37"/>
  <c r="Y548" i="37" s="1"/>
  <c r="R546" i="37"/>
  <c r="R537" i="37"/>
  <c r="R547" i="37"/>
  <c r="X547" i="37"/>
  <c r="Y547" i="37" s="1"/>
  <c r="X533" i="37"/>
  <c r="Y533" i="37" s="1"/>
  <c r="R533" i="37"/>
  <c r="X597" i="37"/>
  <c r="Y597" i="37" s="1"/>
  <c r="X593" i="37"/>
  <c r="Y593" i="37" s="1"/>
  <c r="X589" i="37"/>
  <c r="Y589" i="37" s="1"/>
  <c r="X585" i="37"/>
  <c r="Y585" i="37" s="1"/>
  <c r="X581" i="37"/>
  <c r="Y581" i="37" s="1"/>
  <c r="X577" i="37"/>
  <c r="Y577" i="37" s="1"/>
  <c r="X573" i="37"/>
  <c r="Y573" i="37" s="1"/>
  <c r="X569" i="37"/>
  <c r="Y569" i="37" s="1"/>
  <c r="X565" i="37"/>
  <c r="Y565" i="37" s="1"/>
  <c r="X552" i="37"/>
  <c r="Y552" i="37" s="1"/>
  <c r="R529" i="37"/>
  <c r="X528" i="37"/>
  <c r="Y528" i="37" s="1"/>
  <c r="X509" i="37"/>
  <c r="Y509" i="37" s="1"/>
  <c r="T497" i="37"/>
  <c r="T442" i="37"/>
  <c r="T472" i="37"/>
  <c r="T509" i="37"/>
  <c r="T459" i="37"/>
  <c r="T485" i="37"/>
  <c r="T528" i="37"/>
  <c r="X524" i="37"/>
  <c r="Y524" i="37" s="1"/>
  <c r="R505" i="37"/>
  <c r="X505" i="37"/>
  <c r="Y505" i="37" s="1"/>
  <c r="R470" i="37"/>
  <c r="X470" i="37"/>
  <c r="Y470" i="37" s="1"/>
  <c r="T544" i="37"/>
  <c r="T536" i="37"/>
  <c r="X523" i="37"/>
  <c r="Y523" i="37" s="1"/>
  <c r="T501" i="37"/>
  <c r="T488" i="37"/>
  <c r="R526" i="37"/>
  <c r="R513" i="37"/>
  <c r="X513" i="37"/>
  <c r="Y513" i="37" s="1"/>
  <c r="T512" i="37"/>
  <c r="T449" i="37"/>
  <c r="R473" i="37"/>
  <c r="X473" i="37"/>
  <c r="Y473" i="37" s="1"/>
  <c r="X538" i="37"/>
  <c r="Y538" i="37" s="1"/>
  <c r="X530" i="37"/>
  <c r="Y530" i="37" s="1"/>
  <c r="T523" i="37"/>
  <c r="X517" i="37"/>
  <c r="Y517" i="37" s="1"/>
  <c r="X515" i="37"/>
  <c r="Y515" i="37" s="1"/>
  <c r="R515" i="37"/>
  <c r="T489" i="37"/>
  <c r="R486" i="37"/>
  <c r="X486" i="37"/>
  <c r="Y486" i="37" s="1"/>
  <c r="R434" i="37"/>
  <c r="X434" i="37"/>
  <c r="Y434" i="37" s="1"/>
  <c r="X507" i="37"/>
  <c r="Y507" i="37" s="1"/>
  <c r="R507" i="37"/>
  <c r="T471" i="37"/>
  <c r="T460" i="37"/>
  <c r="T519" i="37"/>
  <c r="T517" i="37"/>
  <c r="R466" i="37"/>
  <c r="X466" i="37"/>
  <c r="Y466" i="37" s="1"/>
  <c r="R521" i="37"/>
  <c r="X521" i="37"/>
  <c r="Y521" i="37" s="1"/>
  <c r="T496" i="37"/>
  <c r="T493" i="37"/>
  <c r="T487" i="37"/>
  <c r="X501" i="37"/>
  <c r="Y501" i="37" s="1"/>
  <c r="X493" i="37"/>
  <c r="Y493" i="37" s="1"/>
  <c r="X440" i="37"/>
  <c r="Y440" i="37" s="1"/>
  <c r="R440" i="37"/>
  <c r="X424" i="37"/>
  <c r="Y424" i="37" s="1"/>
  <c r="R424" i="37"/>
  <c r="T400" i="37"/>
  <c r="T393" i="37"/>
  <c r="T384" i="37"/>
  <c r="R499" i="37"/>
  <c r="R491" i="37"/>
  <c r="X464" i="37"/>
  <c r="Y464" i="37" s="1"/>
  <c r="R461" i="37"/>
  <c r="X460" i="37"/>
  <c r="Y460" i="37" s="1"/>
  <c r="R443" i="37"/>
  <c r="T396" i="37"/>
  <c r="T387" i="37"/>
  <c r="T379" i="37"/>
  <c r="T338" i="37"/>
  <c r="X487" i="37"/>
  <c r="Y487" i="37" s="1"/>
  <c r="X471" i="37"/>
  <c r="Y471" i="37" s="1"/>
  <c r="T464" i="37"/>
  <c r="X459" i="37"/>
  <c r="Y459" i="37" s="1"/>
  <c r="T401" i="37"/>
  <c r="T382" i="37"/>
  <c r="X458" i="37"/>
  <c r="Y458" i="37" s="1"/>
  <c r="T391" i="37"/>
  <c r="T452" i="37"/>
  <c r="T414" i="37"/>
  <c r="X397" i="37"/>
  <c r="Y397" i="37" s="1"/>
  <c r="R397" i="37"/>
  <c r="R388" i="37"/>
  <c r="X388" i="37"/>
  <c r="Y388" i="37" s="1"/>
  <c r="X497" i="37"/>
  <c r="Y497" i="37" s="1"/>
  <c r="X489" i="37"/>
  <c r="Y489" i="37" s="1"/>
  <c r="X456" i="37"/>
  <c r="Y456" i="37" s="1"/>
  <c r="R359" i="37"/>
  <c r="X359" i="37"/>
  <c r="Y359" i="37" s="1"/>
  <c r="R411" i="37"/>
  <c r="X411" i="37"/>
  <c r="Y411" i="37" s="1"/>
  <c r="X405" i="37"/>
  <c r="Y405" i="37" s="1"/>
  <c r="R405" i="37"/>
  <c r="T456" i="37"/>
  <c r="T431" i="37"/>
  <c r="R409" i="37"/>
  <c r="X409" i="37"/>
  <c r="Y409" i="37" s="1"/>
  <c r="R403" i="37"/>
  <c r="X403" i="37"/>
  <c r="Y403" i="37" s="1"/>
  <c r="R386" i="37"/>
  <c r="X386" i="37"/>
  <c r="Y386" i="37" s="1"/>
  <c r="T433" i="37"/>
  <c r="X432" i="37"/>
  <c r="Y432" i="37" s="1"/>
  <c r="R432" i="37"/>
  <c r="T423" i="37"/>
  <c r="R385" i="37"/>
  <c r="X375" i="37"/>
  <c r="Y375" i="37" s="1"/>
  <c r="R347" i="37"/>
  <c r="T363" i="37"/>
  <c r="R389" i="37"/>
  <c r="X372" i="37"/>
  <c r="Y372" i="37" s="1"/>
  <c r="T366" i="37"/>
  <c r="R416" i="37"/>
  <c r="R410" i="37"/>
  <c r="R407" i="37"/>
  <c r="R368" i="37"/>
  <c r="X364" i="37"/>
  <c r="Y364" i="37" s="1"/>
  <c r="R364" i="37"/>
  <c r="R413" i="37"/>
  <c r="R373" i="37"/>
  <c r="R344" i="37"/>
  <c r="X344" i="37"/>
  <c r="Y344" i="37" s="1"/>
  <c r="T335" i="37"/>
  <c r="T326" i="37"/>
  <c r="T322" i="37"/>
  <c r="X452" i="37"/>
  <c r="Y452" i="37" s="1"/>
  <c r="T354" i="37"/>
  <c r="X393" i="37"/>
  <c r="Y393" i="37" s="1"/>
  <c r="T383" i="37"/>
  <c r="X387" i="37"/>
  <c r="Y387" i="37" s="1"/>
  <c r="X351" i="37"/>
  <c r="Y351" i="37" s="1"/>
  <c r="T320" i="37"/>
  <c r="R355" i="37"/>
  <c r="T345" i="37"/>
  <c r="T399" i="37"/>
  <c r="X346" i="37"/>
  <c r="Y346" i="37" s="1"/>
  <c r="X323" i="37"/>
  <c r="Y323" i="37" s="1"/>
  <c r="R323" i="37"/>
  <c r="R381" i="37"/>
  <c r="X378" i="37"/>
  <c r="Y378" i="37" s="1"/>
  <c r="X327" i="37"/>
  <c r="Y327" i="37" s="1"/>
  <c r="R327" i="37"/>
  <c r="X362" i="37"/>
  <c r="Y362" i="37" s="1"/>
  <c r="T346" i="37"/>
  <c r="T380" i="37"/>
  <c r="T361" i="37"/>
  <c r="R352" i="37"/>
  <c r="X352" i="37"/>
  <c r="Y352" i="37" s="1"/>
  <c r="T289" i="37"/>
  <c r="X279" i="37"/>
  <c r="Y279" i="37" s="1"/>
  <c r="R279" i="37"/>
  <c r="R310" i="37"/>
  <c r="R296" i="37"/>
  <c r="R290" i="37"/>
  <c r="R261" i="37"/>
  <c r="X261" i="37"/>
  <c r="Y261" i="37" s="1"/>
  <c r="R356" i="37"/>
  <c r="R348" i="37"/>
  <c r="R340" i="37"/>
  <c r="X320" i="37"/>
  <c r="Y320" i="37" s="1"/>
  <c r="T317" i="37"/>
  <c r="T249" i="37"/>
  <c r="T306" i="37"/>
  <c r="X307" i="37"/>
  <c r="Y307" i="37" s="1"/>
  <c r="R307" i="37"/>
  <c r="X223" i="37"/>
  <c r="Y223" i="37" s="1"/>
  <c r="R223" i="37"/>
  <c r="X302" i="37"/>
  <c r="Y302" i="37" s="1"/>
  <c r="R292" i="37"/>
  <c r="T287" i="37"/>
  <c r="T271" i="37"/>
  <c r="T255" i="37"/>
  <c r="X338" i="37"/>
  <c r="Y338" i="37" s="1"/>
  <c r="R315" i="37"/>
  <c r="X299" i="37"/>
  <c r="Y299" i="37" s="1"/>
  <c r="R299" i="37"/>
  <c r="T284" i="37"/>
  <c r="T304" i="37"/>
  <c r="T263" i="37"/>
  <c r="T295" i="37"/>
  <c r="X285" i="37"/>
  <c r="Y285" i="37" s="1"/>
  <c r="R285" i="37"/>
  <c r="R259" i="37"/>
  <c r="X259" i="37"/>
  <c r="Y259" i="37" s="1"/>
  <c r="R241" i="37"/>
  <c r="X241" i="37"/>
  <c r="Y241" i="37" s="1"/>
  <c r="T210" i="37"/>
  <c r="T202" i="37"/>
  <c r="R205" i="37"/>
  <c r="X205" i="37"/>
  <c r="Y205" i="37" s="1"/>
  <c r="T220" i="37"/>
  <c r="R200" i="37"/>
  <c r="X200" i="37"/>
  <c r="Y200" i="37" s="1"/>
  <c r="R194" i="37"/>
  <c r="X194" i="37"/>
  <c r="Y194" i="37" s="1"/>
  <c r="R227" i="37"/>
  <c r="X227" i="37"/>
  <c r="Y227" i="37" s="1"/>
  <c r="X238" i="37"/>
  <c r="Y238" i="37" s="1"/>
  <c r="T203" i="37"/>
  <c r="X255" i="37"/>
  <c r="Y255" i="37" s="1"/>
  <c r="X249" i="37"/>
  <c r="Y249" i="37" s="1"/>
  <c r="T248" i="37"/>
  <c r="R244" i="37"/>
  <c r="X244" i="37"/>
  <c r="Y244" i="37" s="1"/>
  <c r="T237" i="37"/>
  <c r="T228" i="37"/>
  <c r="T211" i="37"/>
  <c r="R282" i="37"/>
  <c r="R274" i="37"/>
  <c r="X256" i="37"/>
  <c r="Y256" i="37" s="1"/>
  <c r="R229" i="37"/>
  <c r="R221" i="37"/>
  <c r="X221" i="37"/>
  <c r="Y221" i="37" s="1"/>
  <c r="X297" i="37"/>
  <c r="Y297" i="37" s="1"/>
  <c r="X239" i="37"/>
  <c r="Y239" i="37" s="1"/>
  <c r="R218" i="37"/>
  <c r="X218" i="37"/>
  <c r="Y218" i="37" s="1"/>
  <c r="R212" i="37"/>
  <c r="R277" i="37"/>
  <c r="T201" i="37"/>
  <c r="T176" i="37"/>
  <c r="R250" i="37"/>
  <c r="X250" i="37"/>
  <c r="Y250" i="37" s="1"/>
  <c r="T239" i="37"/>
  <c r="T183" i="37"/>
  <c r="T265" i="37"/>
  <c r="X258" i="37"/>
  <c r="Y258" i="37" s="1"/>
  <c r="R246" i="37"/>
  <c r="X246" i="37"/>
  <c r="Y246" i="37" s="1"/>
  <c r="T225" i="37"/>
  <c r="R266" i="37"/>
  <c r="X266" i="37"/>
  <c r="Y266" i="37" s="1"/>
  <c r="X262" i="37"/>
  <c r="Y262" i="37" s="1"/>
  <c r="T257" i="37"/>
  <c r="X133" i="37"/>
  <c r="Y133" i="37" s="1"/>
  <c r="R133" i="37"/>
  <c r="R234" i="37"/>
  <c r="X206" i="37"/>
  <c r="Y206" i="37" s="1"/>
  <c r="X189" i="37"/>
  <c r="Y189" i="37" s="1"/>
  <c r="X176" i="37"/>
  <c r="Y176" i="37" s="1"/>
  <c r="T142" i="37"/>
  <c r="T215" i="37"/>
  <c r="R196" i="37"/>
  <c r="T189" i="37"/>
  <c r="T206" i="37"/>
  <c r="X186" i="37"/>
  <c r="Y186" i="37" s="1"/>
  <c r="T163" i="37"/>
  <c r="T160" i="37"/>
  <c r="T155" i="37"/>
  <c r="T113" i="37"/>
  <c r="X213" i="37"/>
  <c r="Y213" i="37" s="1"/>
  <c r="X193" i="37"/>
  <c r="Y193" i="37" s="1"/>
  <c r="X180" i="37"/>
  <c r="Y180" i="37" s="1"/>
  <c r="X199" i="37"/>
  <c r="Y199" i="37" s="1"/>
  <c r="T171" i="37"/>
  <c r="X232" i="37"/>
  <c r="Y232" i="37" s="1"/>
  <c r="X220" i="37"/>
  <c r="Y220" i="37" s="1"/>
  <c r="X192" i="37"/>
  <c r="Y192" i="37" s="1"/>
  <c r="X182" i="37"/>
  <c r="Y182" i="37" s="1"/>
  <c r="R177" i="37"/>
  <c r="X177" i="37"/>
  <c r="Y177" i="37" s="1"/>
  <c r="T168" i="37"/>
  <c r="X183" i="37"/>
  <c r="Y183" i="37" s="1"/>
  <c r="T180" i="37"/>
  <c r="T199" i="37"/>
  <c r="T192" i="37"/>
  <c r="R184" i="37"/>
  <c r="R181" i="37"/>
  <c r="X173" i="37"/>
  <c r="Y173" i="37" s="1"/>
  <c r="R135" i="37"/>
  <c r="X135" i="37"/>
  <c r="Y135" i="37" s="1"/>
  <c r="T165" i="37"/>
  <c r="T154" i="37"/>
  <c r="R169" i="37"/>
  <c r="X169" i="37"/>
  <c r="Y169" i="37" s="1"/>
  <c r="R122" i="37"/>
  <c r="X122" i="37"/>
  <c r="Y122" i="37" s="1"/>
  <c r="T147" i="37"/>
  <c r="T138" i="37"/>
  <c r="X161" i="37"/>
  <c r="Y161" i="37" s="1"/>
  <c r="X142" i="37"/>
  <c r="Y142" i="37" s="1"/>
  <c r="R137" i="37"/>
  <c r="X137" i="37"/>
  <c r="Y137" i="37" s="1"/>
  <c r="T123" i="37"/>
  <c r="R145" i="37"/>
  <c r="X145" i="37"/>
  <c r="Y145" i="37" s="1"/>
  <c r="R143" i="37"/>
  <c r="X143" i="37"/>
  <c r="Y143" i="37" s="1"/>
  <c r="T95" i="37"/>
  <c r="T129" i="37"/>
  <c r="T62" i="37"/>
  <c r="T125" i="37"/>
  <c r="X121" i="37"/>
  <c r="Y121" i="37" s="1"/>
  <c r="R108" i="37"/>
  <c r="X108" i="37"/>
  <c r="Y108" i="37" s="1"/>
  <c r="X105" i="37"/>
  <c r="Y105" i="37" s="1"/>
  <c r="R105" i="37"/>
  <c r="T121" i="37"/>
  <c r="T132" i="37"/>
  <c r="R153" i="37"/>
  <c r="X153" i="37"/>
  <c r="Y153" i="37" s="1"/>
  <c r="T99" i="37"/>
  <c r="X170" i="37"/>
  <c r="Y170" i="37" s="1"/>
  <c r="X162" i="37"/>
  <c r="Y162" i="37" s="1"/>
  <c r="R151" i="37"/>
  <c r="X151" i="37"/>
  <c r="Y151" i="37" s="1"/>
  <c r="T83" i="37"/>
  <c r="T43" i="37"/>
  <c r="X154" i="37"/>
  <c r="Y154" i="37" s="1"/>
  <c r="X146" i="37"/>
  <c r="Y146" i="37" s="1"/>
  <c r="X138" i="37"/>
  <c r="Y138" i="37" s="1"/>
  <c r="X95" i="37"/>
  <c r="Y95" i="37" s="1"/>
  <c r="T91" i="37"/>
  <c r="R77" i="37"/>
  <c r="X77" i="37"/>
  <c r="Y77" i="37" s="1"/>
  <c r="X129" i="37"/>
  <c r="Y129" i="37" s="1"/>
  <c r="T120" i="37"/>
  <c r="X113" i="37"/>
  <c r="Y113" i="37" s="1"/>
  <c r="R117" i="37"/>
  <c r="X116" i="37"/>
  <c r="Y116" i="37" s="1"/>
  <c r="R61" i="37"/>
  <c r="X61" i="37"/>
  <c r="Y61" i="37" s="1"/>
  <c r="X125" i="37"/>
  <c r="Y125" i="37" s="1"/>
  <c r="T116" i="37"/>
  <c r="X88" i="37"/>
  <c r="Y88" i="37" s="1"/>
  <c r="R78" i="37"/>
  <c r="X78" i="37"/>
  <c r="Y78" i="37" s="1"/>
  <c r="R87" i="37"/>
  <c r="X99" i="37"/>
  <c r="Y99" i="37" s="1"/>
  <c r="R100" i="37"/>
  <c r="X100" i="37"/>
  <c r="Y100" i="37" s="1"/>
  <c r="T104" i="37"/>
  <c r="T89" i="37"/>
  <c r="R76" i="37"/>
  <c r="X76" i="37"/>
  <c r="Y76" i="37" s="1"/>
  <c r="T54" i="37"/>
  <c r="X83" i="37"/>
  <c r="Y83" i="37" s="1"/>
  <c r="R73" i="37"/>
  <c r="X73" i="37"/>
  <c r="Y73" i="37" s="1"/>
  <c r="T70" i="37"/>
  <c r="R60" i="37"/>
  <c r="X60" i="37"/>
  <c r="Y60" i="37" s="1"/>
  <c r="R97" i="37"/>
  <c r="R90" i="37"/>
  <c r="X90" i="37"/>
  <c r="Y90" i="37" s="1"/>
  <c r="T23" i="37"/>
  <c r="T85" i="37"/>
  <c r="X69" i="37"/>
  <c r="Y69" i="37" s="1"/>
  <c r="X68" i="37"/>
  <c r="Y68" i="37" s="1"/>
  <c r="X53" i="37"/>
  <c r="Y53" i="37" s="1"/>
  <c r="X52" i="37"/>
  <c r="Y52" i="37" s="1"/>
  <c r="X82" i="37"/>
  <c r="Y82" i="37" s="1"/>
  <c r="T68" i="37"/>
  <c r="X66" i="37"/>
  <c r="Y66" i="37" s="1"/>
  <c r="T52" i="37"/>
  <c r="T29" i="37"/>
  <c r="X89" i="37"/>
  <c r="Y89" i="37" s="1"/>
  <c r="X81" i="37"/>
  <c r="Y81" i="37" s="1"/>
  <c r="X80" i="37"/>
  <c r="Y80" i="37" s="1"/>
  <c r="X65" i="37"/>
  <c r="Y65" i="37" s="1"/>
  <c r="X64" i="37"/>
  <c r="Y64" i="37" s="1"/>
  <c r="X49" i="37"/>
  <c r="Y49" i="37" s="1"/>
  <c r="R30" i="37"/>
  <c r="T50" i="37"/>
  <c r="X43" i="37"/>
  <c r="Y43" i="37" s="1"/>
  <c r="T34" i="37"/>
  <c r="T26" i="37"/>
  <c r="X62" i="37"/>
  <c r="Y62" i="37" s="1"/>
  <c r="T79" i="37"/>
  <c r="X45" i="37"/>
  <c r="Y45" i="37" s="1"/>
  <c r="X44" i="37"/>
  <c r="Y44" i="37" s="1"/>
  <c r="R46" i="37"/>
  <c r="R36" i="37"/>
  <c r="X36" i="37"/>
  <c r="Y36" i="37" s="1"/>
  <c r="T39" i="37"/>
  <c r="R38" i="37"/>
  <c r="X40" i="37"/>
  <c r="Y40" i="37" s="1"/>
  <c r="R40" i="37"/>
  <c r="X72" i="37"/>
  <c r="Y72" i="37" s="1"/>
  <c r="X57" i="37"/>
  <c r="Y57" i="37" s="1"/>
  <c r="X26" i="37"/>
  <c r="Y26" i="37" s="1"/>
  <c r="R32" i="37"/>
  <c r="T18" i="37"/>
  <c r="T10" i="37"/>
  <c r="T2" i="37"/>
  <c r="X28" i="37"/>
  <c r="Y28" i="37" s="1"/>
  <c r="E10" i="38"/>
  <c r="K10" i="38" s="1"/>
  <c r="G13" i="38"/>
  <c r="M13" i="38" s="1"/>
  <c r="K12" i="38"/>
  <c r="N32" i="38"/>
  <c r="O32" i="38" s="1"/>
  <c r="P22" i="38"/>
  <c r="B3" i="30"/>
  <c r="B4" i="30" s="1"/>
  <c r="B5" i="30" s="1"/>
  <c r="X1345" i="37"/>
  <c r="Y1345" i="37" s="1"/>
  <c r="T1345" i="37"/>
  <c r="H39" i="32"/>
  <c r="Q39" i="32" s="1"/>
  <c r="Z39" i="32" s="1"/>
  <c r="X33" i="32"/>
  <c r="AA33" i="32" s="1"/>
  <c r="AB33" i="32" s="1"/>
  <c r="H31" i="32"/>
  <c r="Q31" i="32" s="1"/>
  <c r="H23" i="32"/>
  <c r="Q23" i="32" s="1"/>
  <c r="X17" i="32"/>
  <c r="X9" i="32"/>
  <c r="X42" i="32"/>
  <c r="H40" i="32"/>
  <c r="Q40" i="32" s="1"/>
  <c r="Z40" i="32" s="1"/>
  <c r="X34" i="32"/>
  <c r="AA34" i="32" s="1"/>
  <c r="H32" i="32"/>
  <c r="Q32" i="32" s="1"/>
  <c r="Z32" i="32" s="1"/>
  <c r="X26" i="32"/>
  <c r="AA26" i="32" s="1"/>
  <c r="H24" i="32"/>
  <c r="Q24" i="32" s="1"/>
  <c r="Z24" i="32" s="1"/>
  <c r="X18" i="32"/>
  <c r="AA18" i="32" s="1"/>
  <c r="H16" i="32"/>
  <c r="Q16" i="32" s="1"/>
  <c r="Z16" i="32" s="1"/>
  <c r="X10" i="32"/>
  <c r="H8" i="32"/>
  <c r="Q8" i="32" s="1"/>
  <c r="H15" i="32"/>
  <c r="Q15" i="32" s="1"/>
  <c r="X41" i="32"/>
  <c r="AA41" i="32" s="1"/>
  <c r="X25" i="32"/>
  <c r="AA25" i="32" s="1"/>
  <c r="H7" i="32"/>
  <c r="Q7" i="32" s="1"/>
  <c r="X40" i="32"/>
  <c r="H38" i="32"/>
  <c r="Q38" i="32" s="1"/>
  <c r="S38" i="32" s="1"/>
  <c r="X32" i="32"/>
  <c r="AA32" i="32" s="1"/>
  <c r="H30" i="32"/>
  <c r="Q30" i="32" s="1"/>
  <c r="X24" i="32"/>
  <c r="AA24" i="32" s="1"/>
  <c r="H22" i="32"/>
  <c r="Q22" i="32" s="1"/>
  <c r="X16" i="32"/>
  <c r="AA16" i="32" s="1"/>
  <c r="H14" i="32"/>
  <c r="Q14" i="32" s="1"/>
  <c r="S14" i="32" s="1"/>
  <c r="X8" i="32"/>
  <c r="H6" i="32"/>
  <c r="Q6" i="32" s="1"/>
  <c r="X37" i="32"/>
  <c r="H35" i="32"/>
  <c r="Q35" i="32" s="1"/>
  <c r="X29" i="32"/>
  <c r="AA29" i="32" s="1"/>
  <c r="AB29" i="32" s="1"/>
  <c r="H27" i="32"/>
  <c r="Q27" i="32" s="1"/>
  <c r="X21" i="32"/>
  <c r="H19" i="32"/>
  <c r="Q19" i="32" s="1"/>
  <c r="H11" i="32"/>
  <c r="Q11" i="32" s="1"/>
  <c r="X5" i="32"/>
  <c r="X13" i="32"/>
  <c r="H3" i="32"/>
  <c r="Q3" i="32" s="1"/>
  <c r="X39" i="32"/>
  <c r="H37" i="32"/>
  <c r="Q37" i="32" s="1"/>
  <c r="Z37" i="32" s="1"/>
  <c r="X31" i="32"/>
  <c r="AA31" i="32" s="1"/>
  <c r="H29" i="32"/>
  <c r="Q29" i="32" s="1"/>
  <c r="Z29" i="32" s="1"/>
  <c r="X23" i="32"/>
  <c r="H21" i="32"/>
  <c r="Q21" i="32" s="1"/>
  <c r="Z21" i="32" s="1"/>
  <c r="X15" i="32"/>
  <c r="H13" i="32"/>
  <c r="Q13" i="32" s="1"/>
  <c r="Z13" i="32" s="1"/>
  <c r="X7" i="32"/>
  <c r="H5" i="32"/>
  <c r="Q5" i="32" s="1"/>
  <c r="X38" i="32"/>
  <c r="H36" i="32"/>
  <c r="Q36" i="32" s="1"/>
  <c r="X30" i="32"/>
  <c r="H28" i="32"/>
  <c r="Q28" i="32" s="1"/>
  <c r="T28" i="32" s="1"/>
  <c r="AD28" i="32" s="1"/>
  <c r="X22" i="32"/>
  <c r="H20" i="32"/>
  <c r="Q20" i="32" s="1"/>
  <c r="X14" i="32"/>
  <c r="H12" i="32"/>
  <c r="Q12" i="32" s="1"/>
  <c r="X6" i="32"/>
  <c r="H4" i="32"/>
  <c r="Q4" i="32" s="1"/>
  <c r="H42" i="32"/>
  <c r="Q42" i="32" s="1"/>
  <c r="X36" i="32"/>
  <c r="AA36" i="32" s="1"/>
  <c r="H34" i="32"/>
  <c r="Q34" i="32" s="1"/>
  <c r="X28" i="32"/>
  <c r="H26" i="32"/>
  <c r="Q26" i="32" s="1"/>
  <c r="T26" i="32" s="1"/>
  <c r="AD26" i="32" s="1"/>
  <c r="X20" i="32"/>
  <c r="AA20" i="32" s="1"/>
  <c r="AB20" i="32" s="1"/>
  <c r="H18" i="32"/>
  <c r="Q18" i="32" s="1"/>
  <c r="X12" i="32"/>
  <c r="H10" i="32"/>
  <c r="Q10" i="32" s="1"/>
  <c r="X4" i="32"/>
  <c r="H41" i="32"/>
  <c r="Q41" i="32" s="1"/>
  <c r="X35" i="32"/>
  <c r="AA35" i="32" s="1"/>
  <c r="H33" i="32"/>
  <c r="Q33" i="32" s="1"/>
  <c r="T33" i="32" s="1"/>
  <c r="AD33" i="32" s="1"/>
  <c r="X27" i="32"/>
  <c r="AA27" i="32" s="1"/>
  <c r="H25" i="32"/>
  <c r="Q25" i="32" s="1"/>
  <c r="X19" i="32"/>
  <c r="AA19" i="32" s="1"/>
  <c r="H17" i="32"/>
  <c r="Q17" i="32" s="1"/>
  <c r="X11" i="32"/>
  <c r="H9" i="32"/>
  <c r="Q9" i="32" s="1"/>
  <c r="X3" i="32"/>
  <c r="S13" i="32"/>
  <c r="S32" i="32"/>
  <c r="AA38" i="32"/>
  <c r="AA15" i="32"/>
  <c r="AA13" i="32"/>
  <c r="AA17" i="32"/>
  <c r="T24" i="32"/>
  <c r="AD24" i="32" s="1"/>
  <c r="AA42" i="32"/>
  <c r="AB42" i="32" s="1"/>
  <c r="S24" i="32"/>
  <c r="L3" i="29"/>
  <c r="O3" i="29" s="1"/>
  <c r="T20" i="32"/>
  <c r="AD20" i="32" s="1"/>
  <c r="AA30" i="32"/>
  <c r="AA23" i="32"/>
  <c r="T16" i="32"/>
  <c r="AD16" i="32" s="1"/>
  <c r="Z38" i="32"/>
  <c r="AA40" i="32"/>
  <c r="L5" i="29"/>
  <c r="O5" i="29" s="1"/>
  <c r="S16" i="32"/>
  <c r="AA28" i="32"/>
  <c r="Z14" i="32"/>
  <c r="AA22" i="32"/>
  <c r="S37" i="32"/>
  <c r="AA39" i="32"/>
  <c r="T17" i="32"/>
  <c r="AD17" i="32" s="1"/>
  <c r="AA21" i="32"/>
  <c r="AB21" i="32" s="1"/>
  <c r="K8" i="32"/>
  <c r="K7" i="32"/>
  <c r="K6" i="32"/>
  <c r="K5" i="32"/>
  <c r="K12" i="32"/>
  <c r="K4" i="32"/>
  <c r="I2" i="29"/>
  <c r="I3" i="29" s="1"/>
  <c r="I4" i="29" s="1"/>
  <c r="I5" i="29" s="1"/>
  <c r="I6" i="29" s="1"/>
  <c r="L6" i="29" s="1"/>
  <c r="O6" i="29" s="1"/>
  <c r="K9" i="32"/>
  <c r="K11" i="32"/>
  <c r="K3" i="32"/>
  <c r="K10" i="32"/>
  <c r="H2" i="30"/>
  <c r="H3" i="30" s="1"/>
  <c r="H4" i="30" s="1"/>
  <c r="H5" i="30" s="1"/>
  <c r="H6" i="30" s="1"/>
  <c r="T34" i="32"/>
  <c r="AD34" i="32" s="1"/>
  <c r="T32" i="32"/>
  <c r="AD32" i="32" s="1"/>
  <c r="AA14" i="32"/>
  <c r="S29" i="32"/>
  <c r="T42" i="32"/>
  <c r="AD42" i="32" s="1"/>
  <c r="T13" i="32"/>
  <c r="AD13" i="32" s="1"/>
  <c r="R14" i="32"/>
  <c r="T21" i="32"/>
  <c r="AD21" i="32" s="1"/>
  <c r="R22" i="32"/>
  <c r="Z22" i="32" s="1"/>
  <c r="T29" i="32"/>
  <c r="AD29" i="32" s="1"/>
  <c r="R30" i="32"/>
  <c r="Z30" i="32" s="1"/>
  <c r="Z34" i="32"/>
  <c r="T37" i="32"/>
  <c r="AD37" i="32" s="1"/>
  <c r="R38" i="32"/>
  <c r="Z42" i="32"/>
  <c r="L2" i="29"/>
  <c r="C5" i="29"/>
  <c r="D5" i="29" s="1"/>
  <c r="T14" i="32"/>
  <c r="AD14" i="32" s="1"/>
  <c r="R15" i="32"/>
  <c r="R23" i="32"/>
  <c r="T30" i="32"/>
  <c r="AD30" i="32" s="1"/>
  <c r="R31" i="32"/>
  <c r="R39" i="32"/>
  <c r="P6" i="36"/>
  <c r="Y37" i="32"/>
  <c r="AA37" i="32" s="1"/>
  <c r="AB37" i="32" s="1"/>
  <c r="S40" i="32"/>
  <c r="R17" i="32"/>
  <c r="S17" i="32" s="1"/>
  <c r="R25" i="32"/>
  <c r="T25" i="32" s="1"/>
  <c r="AD25" i="32" s="1"/>
  <c r="R33" i="32"/>
  <c r="R41" i="32"/>
  <c r="T41" i="32" s="1"/>
  <c r="AD41" i="32" s="1"/>
  <c r="R18" i="32"/>
  <c r="Z18" i="32" s="1"/>
  <c r="R26" i="32"/>
  <c r="R34" i="32"/>
  <c r="R42" i="32"/>
  <c r="S42" i="32" s="1"/>
  <c r="J13" i="36"/>
  <c r="P13" i="36" s="1"/>
  <c r="S34" i="32"/>
  <c r="S508" i="9"/>
  <c r="S512" i="9"/>
  <c r="S506" i="9"/>
  <c r="R476" i="9"/>
  <c r="U476" i="9" s="1"/>
  <c r="R492" i="9"/>
  <c r="U492" i="9" s="1"/>
  <c r="AB514" i="9"/>
  <c r="AA451" i="9"/>
  <c r="AA482" i="9"/>
  <c r="AD450" i="9"/>
  <c r="AE450" i="9" s="1"/>
  <c r="AA466" i="9"/>
  <c r="AD478" i="9"/>
  <c r="AE478" i="9" s="1"/>
  <c r="AD488" i="9"/>
  <c r="AE488" i="9" s="1"/>
  <c r="R465" i="9"/>
  <c r="U465" i="9" s="1"/>
  <c r="S507" i="9"/>
  <c r="S511" i="9"/>
  <c r="R508" i="9"/>
  <c r="U508" i="9" s="1"/>
  <c r="AA509" i="9"/>
  <c r="AA481" i="9"/>
  <c r="AD462" i="9"/>
  <c r="AE462" i="9" s="1"/>
  <c r="E93" i="28" s="1"/>
  <c r="AD453" i="9"/>
  <c r="AE453" i="9" s="1"/>
  <c r="E84" i="28" s="1"/>
  <c r="AD493" i="9"/>
  <c r="AA433" i="9"/>
  <c r="Y508" i="9"/>
  <c r="AA445" i="9"/>
  <c r="E76" i="28" s="1"/>
  <c r="AD440" i="9"/>
  <c r="AA504" i="9"/>
  <c r="E135" i="28" s="1"/>
  <c r="AA456" i="9"/>
  <c r="AA497" i="9"/>
  <c r="E128" i="28" s="1"/>
  <c r="AA494" i="9"/>
  <c r="E125" i="28" s="1"/>
  <c r="AD459" i="9"/>
  <c r="AA491" i="9"/>
  <c r="E122" i="28" s="1"/>
  <c r="S509" i="9"/>
  <c r="AA454" i="9"/>
  <c r="AA502" i="9"/>
  <c r="AA438" i="9"/>
  <c r="AA475" i="9"/>
  <c r="E106" i="28" s="1"/>
  <c r="AA507" i="9"/>
  <c r="AA499" i="9"/>
  <c r="AA435" i="9"/>
  <c r="E18" i="28" s="1"/>
  <c r="AA458" i="9"/>
  <c r="E89" i="28" s="1"/>
  <c r="AA472" i="9"/>
  <c r="AA513" i="9"/>
  <c r="AA442" i="9"/>
  <c r="AA449" i="9"/>
  <c r="E80" i="28" s="1"/>
  <c r="AA490" i="9"/>
  <c r="E121" i="28" s="1"/>
  <c r="AD469" i="9"/>
  <c r="AE469" i="9" s="1"/>
  <c r="E100" i="28" s="1"/>
  <c r="R511" i="9"/>
  <c r="U511" i="9" s="1"/>
  <c r="Y512" i="9"/>
  <c r="AA484" i="9"/>
  <c r="S510" i="9"/>
  <c r="AA436" i="9"/>
  <c r="R506" i="9"/>
  <c r="U506" i="9" s="1"/>
  <c r="AA485" i="9"/>
  <c r="E116" i="28" s="1"/>
  <c r="AA461" i="9"/>
  <c r="E92" i="28" s="1"/>
  <c r="AD467" i="9"/>
  <c r="AA500" i="9"/>
  <c r="E131" i="28" s="1"/>
  <c r="AA470" i="9"/>
  <c r="E101" i="28" s="1"/>
  <c r="AA498" i="9"/>
  <c r="E129" i="28" s="1"/>
  <c r="AA434" i="9"/>
  <c r="E17" i="28" s="1"/>
  <c r="AA443" i="9"/>
  <c r="AA446" i="9"/>
  <c r="E77" i="28" s="1"/>
  <c r="AA452" i="9"/>
  <c r="AD501" i="9"/>
  <c r="AA437" i="9"/>
  <c r="E44" i="28" s="1"/>
  <c r="Y509" i="9"/>
  <c r="AA465" i="9"/>
  <c r="E96" i="28" s="1"/>
  <c r="AA474" i="9"/>
  <c r="E105" i="28" s="1"/>
  <c r="AA477" i="9"/>
  <c r="E108" i="28" s="1"/>
  <c r="AA483" i="9"/>
  <c r="E114" i="28" s="1"/>
  <c r="AA486" i="9"/>
  <c r="E117" i="28" s="1"/>
  <c r="AA468" i="9"/>
  <c r="E99" i="28" s="1"/>
  <c r="AA441" i="9"/>
  <c r="E72" i="28" s="1"/>
  <c r="AA473" i="9"/>
  <c r="E104" i="28" s="1"/>
  <c r="AA505" i="9"/>
  <c r="AA457" i="9"/>
  <c r="E88" i="28" s="1"/>
  <c r="AA489" i="9"/>
  <c r="AD506" i="9"/>
  <c r="AE506" i="9" s="1"/>
  <c r="AA508" i="9"/>
  <c r="AA444" i="9"/>
  <c r="AA460" i="9"/>
  <c r="AA476" i="9"/>
  <c r="AA492" i="9"/>
  <c r="E123" i="28" s="1"/>
  <c r="AA510" i="9"/>
  <c r="AA512" i="9"/>
  <c r="AA431" i="9"/>
  <c r="E14" i="28" s="1"/>
  <c r="AA439" i="9"/>
  <c r="AA447" i="9"/>
  <c r="E78" i="28" s="1"/>
  <c r="AA455" i="9"/>
  <c r="AA463" i="9"/>
  <c r="E94" i="28" s="1"/>
  <c r="AA471" i="9"/>
  <c r="E102" i="28" s="1"/>
  <c r="AA479" i="9"/>
  <c r="E110" i="28" s="1"/>
  <c r="AA487" i="9"/>
  <c r="AA495" i="9"/>
  <c r="E126" i="28" s="1"/>
  <c r="AA503" i="9"/>
  <c r="AA432" i="9"/>
  <c r="AA448" i="9"/>
  <c r="E79" i="28" s="1"/>
  <c r="AA464" i="9"/>
  <c r="E95" i="28" s="1"/>
  <c r="AA496" i="9"/>
  <c r="E127" i="28" s="1"/>
  <c r="AA511" i="9"/>
  <c r="AA480" i="9"/>
  <c r="E111" i="28" s="1"/>
  <c r="E103" i="28"/>
  <c r="E130" i="28"/>
  <c r="E82" i="28"/>
  <c r="E133" i="28"/>
  <c r="E112" i="28"/>
  <c r="E85" i="28"/>
  <c r="E109" i="28"/>
  <c r="E16" i="28"/>
  <c r="E74" i="28"/>
  <c r="E75" i="28"/>
  <c r="E91" i="28"/>
  <c r="E107" i="28"/>
  <c r="E26" i="28"/>
  <c r="E83" i="28"/>
  <c r="E115" i="28"/>
  <c r="E134" i="28"/>
  <c r="E113" i="28"/>
  <c r="E73" i="28"/>
  <c r="E81" i="28"/>
  <c r="E97" i="28"/>
  <c r="E15" i="28"/>
  <c r="S490" i="9"/>
  <c r="S447" i="9"/>
  <c r="Y506" i="9"/>
  <c r="Y511" i="9"/>
  <c r="Y510" i="9"/>
  <c r="Y507" i="9"/>
  <c r="E120" i="28"/>
  <c r="R512" i="9"/>
  <c r="U512" i="9" s="1"/>
  <c r="R507" i="9"/>
  <c r="U507" i="9" s="1"/>
  <c r="S448" i="9"/>
  <c r="R509" i="9"/>
  <c r="U509" i="9" s="1"/>
  <c r="R510" i="9"/>
  <c r="U510" i="9" s="1"/>
  <c r="S452" i="9"/>
  <c r="S444" i="9"/>
  <c r="S432" i="9"/>
  <c r="E87" i="28"/>
  <c r="S459" i="9"/>
  <c r="S472" i="9"/>
  <c r="R504" i="9"/>
  <c r="U504" i="9" s="1"/>
  <c r="Y499" i="9"/>
  <c r="S460" i="9"/>
  <c r="Y453" i="9"/>
  <c r="R469" i="9"/>
  <c r="U469" i="9" s="1"/>
  <c r="Y469" i="9"/>
  <c r="Y439" i="9"/>
  <c r="Y485" i="9"/>
  <c r="S439" i="9"/>
  <c r="S488" i="9"/>
  <c r="S473" i="9"/>
  <c r="S442" i="9"/>
  <c r="S465" i="9"/>
  <c r="S467" i="9"/>
  <c r="S461" i="9"/>
  <c r="Y471" i="9"/>
  <c r="Y431" i="9"/>
  <c r="S489" i="9"/>
  <c r="R500" i="9"/>
  <c r="U500" i="9" s="1"/>
  <c r="Y513" i="9"/>
  <c r="S436" i="9"/>
  <c r="S487" i="9"/>
  <c r="R498" i="9"/>
  <c r="U498" i="9" s="1"/>
  <c r="S434" i="9"/>
  <c r="S453" i="9"/>
  <c r="Y457" i="9"/>
  <c r="Y459" i="9"/>
  <c r="S445" i="9"/>
  <c r="S474" i="9"/>
  <c r="R481" i="9"/>
  <c r="U481" i="9" s="1"/>
  <c r="S441" i="9"/>
  <c r="R456" i="9"/>
  <c r="U456" i="9" s="1"/>
  <c r="S435" i="9"/>
  <c r="R439" i="9"/>
  <c r="U439" i="9" s="1"/>
  <c r="Y437" i="9"/>
  <c r="Y503" i="9"/>
  <c r="S433" i="9"/>
  <c r="S493" i="9"/>
  <c r="Y460" i="9"/>
  <c r="S464" i="9"/>
  <c r="Y475" i="9"/>
  <c r="R488" i="9"/>
  <c r="U488" i="9" s="1"/>
  <c r="Y501" i="9"/>
  <c r="R484" i="9"/>
  <c r="U484" i="9" s="1"/>
  <c r="S451" i="9"/>
  <c r="S457" i="9"/>
  <c r="Y436" i="9"/>
  <c r="S468" i="9"/>
  <c r="R470" i="9"/>
  <c r="U470" i="9" s="1"/>
  <c r="R440" i="9"/>
  <c r="U440" i="9" s="1"/>
  <c r="S492" i="9"/>
  <c r="R446" i="9"/>
  <c r="U446" i="9" s="1"/>
  <c r="Y492" i="9"/>
  <c r="S500" i="9"/>
  <c r="S502" i="9"/>
  <c r="Y446" i="9"/>
  <c r="R489" i="9"/>
  <c r="U489" i="9" s="1"/>
  <c r="Y498" i="9"/>
  <c r="R452" i="9"/>
  <c r="U452" i="9" s="1"/>
  <c r="S458" i="9"/>
  <c r="S463" i="9"/>
  <c r="Y491" i="9"/>
  <c r="S454" i="9"/>
  <c r="S456" i="9"/>
  <c r="S469" i="9"/>
  <c r="S491" i="9"/>
  <c r="R497" i="9"/>
  <c r="U497" i="9" s="1"/>
  <c r="Y451" i="9"/>
  <c r="R451" i="9"/>
  <c r="U451" i="9" s="1"/>
  <c r="Y488" i="9"/>
  <c r="R486" i="9"/>
  <c r="U486" i="9" s="1"/>
  <c r="Y480" i="9"/>
  <c r="R432" i="9"/>
  <c r="U432" i="9" s="1"/>
  <c r="S440" i="9"/>
  <c r="R473" i="9"/>
  <c r="U473" i="9" s="1"/>
  <c r="S476" i="9"/>
  <c r="S478" i="9"/>
  <c r="S481" i="9"/>
  <c r="Y484" i="9"/>
  <c r="S486" i="9"/>
  <c r="S497" i="9"/>
  <c r="S503" i="9"/>
  <c r="Y440" i="9"/>
  <c r="R445" i="9"/>
  <c r="U445" i="9" s="1"/>
  <c r="R461" i="9"/>
  <c r="U461" i="9" s="1"/>
  <c r="Y478" i="9"/>
  <c r="Y481" i="9"/>
  <c r="Y486" i="9"/>
  <c r="Y494" i="9"/>
  <c r="Y432" i="9"/>
  <c r="Y442" i="9"/>
  <c r="Y454" i="9"/>
  <c r="R505" i="9"/>
  <c r="U505" i="9" s="1"/>
  <c r="Y448" i="9"/>
  <c r="S431" i="9"/>
  <c r="R442" i="9"/>
  <c r="U442" i="9" s="1"/>
  <c r="S470" i="9"/>
  <c r="S483" i="9"/>
  <c r="Y500" i="9"/>
  <c r="S505" i="9"/>
  <c r="Y445" i="9"/>
  <c r="Y470" i="9"/>
  <c r="Y461" i="9"/>
  <c r="R438" i="9"/>
  <c r="U438" i="9" s="1"/>
  <c r="Y447" i="9"/>
  <c r="R453" i="9"/>
  <c r="U453" i="9" s="1"/>
  <c r="Y456" i="9"/>
  <c r="R460" i="9"/>
  <c r="U460" i="9" s="1"/>
  <c r="S485" i="9"/>
  <c r="R444" i="9"/>
  <c r="U444" i="9" s="1"/>
  <c r="S477" i="9"/>
  <c r="R490" i="9"/>
  <c r="U490" i="9" s="1"/>
  <c r="S499" i="9"/>
  <c r="S513" i="9"/>
  <c r="Y434" i="9"/>
  <c r="Y466" i="9"/>
  <c r="Y450" i="9"/>
  <c r="R495" i="9"/>
  <c r="U495" i="9" s="1"/>
  <c r="R441" i="9"/>
  <c r="U441" i="9" s="1"/>
  <c r="R479" i="9"/>
  <c r="U479" i="9" s="1"/>
  <c r="S482" i="9"/>
  <c r="S495" i="9"/>
  <c r="R433" i="9"/>
  <c r="U433" i="9" s="1"/>
  <c r="Y444" i="9"/>
  <c r="R449" i="9"/>
  <c r="U449" i="9" s="1"/>
  <c r="R468" i="9"/>
  <c r="U468" i="9" s="1"/>
  <c r="R474" i="9"/>
  <c r="U474" i="9" s="1"/>
  <c r="R501" i="9"/>
  <c r="U501" i="9" s="1"/>
  <c r="Y462" i="9"/>
  <c r="Y465" i="9"/>
  <c r="Y479" i="9"/>
  <c r="Y482" i="9"/>
  <c r="Y495" i="9"/>
  <c r="S501" i="9"/>
  <c r="Y504" i="9"/>
  <c r="S427" i="9"/>
  <c r="Y433" i="9"/>
  <c r="R437" i="9"/>
  <c r="U437" i="9" s="1"/>
  <c r="Y441" i="9"/>
  <c r="S471" i="9"/>
  <c r="Y497" i="9"/>
  <c r="S498" i="9"/>
  <c r="R513" i="9"/>
  <c r="U513" i="9" s="1"/>
  <c r="Y477" i="9"/>
  <c r="R435" i="9"/>
  <c r="U435" i="9" s="1"/>
  <c r="Y438" i="9"/>
  <c r="Y463" i="9"/>
  <c r="Y455" i="9"/>
  <c r="R472" i="9"/>
  <c r="U472" i="9" s="1"/>
  <c r="Y472" i="9"/>
  <c r="Y435" i="9"/>
  <c r="Y467" i="9"/>
  <c r="R467" i="9"/>
  <c r="U467" i="9" s="1"/>
  <c r="Y443" i="9"/>
  <c r="Y458" i="9"/>
  <c r="R458" i="9"/>
  <c r="U458" i="9" s="1"/>
  <c r="Y464" i="9"/>
  <c r="R483" i="9"/>
  <c r="U483" i="9" s="1"/>
  <c r="Y483" i="9"/>
  <c r="S443" i="9"/>
  <c r="S455" i="9"/>
  <c r="Y473" i="9"/>
  <c r="S479" i="9"/>
  <c r="Y487" i="9"/>
  <c r="R434" i="9"/>
  <c r="U434" i="9" s="1"/>
  <c r="S437" i="9"/>
  <c r="S449" i="9"/>
  <c r="R457" i="9"/>
  <c r="U457" i="9" s="1"/>
  <c r="R478" i="9"/>
  <c r="U478" i="9" s="1"/>
  <c r="R499" i="9"/>
  <c r="U499" i="9" s="1"/>
  <c r="R503" i="9"/>
  <c r="U503" i="9" s="1"/>
  <c r="S450" i="9"/>
  <c r="R459" i="9"/>
  <c r="U459" i="9" s="1"/>
  <c r="Y468" i="9"/>
  <c r="S494" i="9"/>
  <c r="R494" i="9"/>
  <c r="U494" i="9" s="1"/>
  <c r="R431" i="9"/>
  <c r="U431" i="9" s="1"/>
  <c r="R450" i="9"/>
  <c r="U450" i="9" s="1"/>
  <c r="Y490" i="9"/>
  <c r="S475" i="9"/>
  <c r="R475" i="9"/>
  <c r="U475" i="9" s="1"/>
  <c r="Y449" i="9"/>
  <c r="S438" i="9"/>
  <c r="S446" i="9"/>
  <c r="S484" i="9"/>
  <c r="S462" i="9"/>
  <c r="Y476" i="9"/>
  <c r="S496" i="9"/>
  <c r="R496" i="9"/>
  <c r="U496" i="9" s="1"/>
  <c r="R447" i="9"/>
  <c r="U447" i="9" s="1"/>
  <c r="R462" i="9"/>
  <c r="U462" i="9" s="1"/>
  <c r="Y489" i="9"/>
  <c r="Y493" i="9"/>
  <c r="Y496" i="9"/>
  <c r="Y502" i="9"/>
  <c r="R436" i="9"/>
  <c r="U436" i="9" s="1"/>
  <c r="R464" i="9"/>
  <c r="U464" i="9" s="1"/>
  <c r="S466" i="9"/>
  <c r="R466" i="9"/>
  <c r="U466" i="9" s="1"/>
  <c r="Y474" i="9"/>
  <c r="S480" i="9"/>
  <c r="R480" i="9"/>
  <c r="U480" i="9" s="1"/>
  <c r="R463" i="9"/>
  <c r="U463" i="9" s="1"/>
  <c r="R448" i="9"/>
  <c r="U448" i="9" s="1"/>
  <c r="R454" i="9"/>
  <c r="U454" i="9" s="1"/>
  <c r="R443" i="9"/>
  <c r="U443" i="9" s="1"/>
  <c r="Y452" i="9"/>
  <c r="R455" i="9"/>
  <c r="U455" i="9" s="1"/>
  <c r="R502" i="9"/>
  <c r="U502" i="9" s="1"/>
  <c r="R477" i="9"/>
  <c r="U477" i="9" s="1"/>
  <c r="R493" i="9"/>
  <c r="U493" i="9" s="1"/>
  <c r="S504" i="9"/>
  <c r="R471" i="9"/>
  <c r="U471" i="9" s="1"/>
  <c r="R487" i="9"/>
  <c r="U487" i="9" s="1"/>
  <c r="R491" i="9"/>
  <c r="U491" i="9" s="1"/>
  <c r="Y505" i="9"/>
  <c r="R485" i="9"/>
  <c r="U485" i="9" s="1"/>
  <c r="R482" i="9"/>
  <c r="U482" i="9" s="1"/>
  <c r="Y427" i="9"/>
  <c r="R427" i="9"/>
  <c r="U427" i="9" s="1"/>
  <c r="AD430" i="9"/>
  <c r="AE430" i="9" s="1"/>
  <c r="AA430" i="9"/>
  <c r="W430" i="9"/>
  <c r="X430" i="9" s="1"/>
  <c r="T430" i="9"/>
  <c r="Q430" i="9"/>
  <c r="M430" i="9"/>
  <c r="N430" i="9" s="1"/>
  <c r="AD429" i="9"/>
  <c r="AE429" i="9" s="1"/>
  <c r="AA429" i="9"/>
  <c r="W429" i="9"/>
  <c r="X429" i="9" s="1"/>
  <c r="T429" i="9"/>
  <c r="Q429" i="9"/>
  <c r="M429" i="9"/>
  <c r="N429" i="9" s="1"/>
  <c r="AD428" i="9"/>
  <c r="AE428" i="9" s="1"/>
  <c r="AA428" i="9"/>
  <c r="W428" i="9"/>
  <c r="X428" i="9" s="1"/>
  <c r="T428" i="9"/>
  <c r="Q428" i="9"/>
  <c r="M428" i="9"/>
  <c r="N428" i="9" s="1"/>
  <c r="AD427" i="9"/>
  <c r="AE427" i="9" s="1"/>
  <c r="AD426" i="9"/>
  <c r="AE426" i="9" s="1"/>
  <c r="AA426" i="9"/>
  <c r="W426" i="9"/>
  <c r="X426" i="9" s="1"/>
  <c r="T426" i="9"/>
  <c r="Q426" i="9"/>
  <c r="M426" i="9"/>
  <c r="N426" i="9" s="1"/>
  <c r="AD425" i="9"/>
  <c r="AE425" i="9" s="1"/>
  <c r="AA425" i="9"/>
  <c r="W425" i="9"/>
  <c r="X425" i="9" s="1"/>
  <c r="T425" i="9"/>
  <c r="Q425" i="9"/>
  <c r="M425" i="9"/>
  <c r="N425" i="9" s="1"/>
  <c r="AD424" i="9"/>
  <c r="AE424" i="9" s="1"/>
  <c r="AA424" i="9"/>
  <c r="W424" i="9"/>
  <c r="X424" i="9" s="1"/>
  <c r="T424" i="9"/>
  <c r="Q424" i="9"/>
  <c r="M424" i="9"/>
  <c r="N424" i="9" s="1"/>
  <c r="AD423" i="9"/>
  <c r="AE423" i="9" s="1"/>
  <c r="AA423" i="9"/>
  <c r="W423" i="9"/>
  <c r="X423" i="9" s="1"/>
  <c r="T423" i="9"/>
  <c r="Q423" i="9"/>
  <c r="M423" i="9"/>
  <c r="N423" i="9" s="1"/>
  <c r="AD422" i="9"/>
  <c r="AE422" i="9" s="1"/>
  <c r="AA422" i="9"/>
  <c r="W422" i="9"/>
  <c r="X422" i="9" s="1"/>
  <c r="T422" i="9"/>
  <c r="Q422" i="9"/>
  <c r="M422" i="9"/>
  <c r="N422" i="9" s="1"/>
  <c r="AD421" i="9"/>
  <c r="AE421" i="9" s="1"/>
  <c r="AA421" i="9"/>
  <c r="W421" i="9"/>
  <c r="X421" i="9" s="1"/>
  <c r="T421" i="9"/>
  <c r="Q421" i="9"/>
  <c r="M421" i="9"/>
  <c r="N421" i="9" s="1"/>
  <c r="AD420" i="9"/>
  <c r="AE420" i="9" s="1"/>
  <c r="AA420" i="9"/>
  <c r="W420" i="9"/>
  <c r="X420" i="9" s="1"/>
  <c r="T420" i="9"/>
  <c r="Q420" i="9"/>
  <c r="M420" i="9"/>
  <c r="N420" i="9" s="1"/>
  <c r="AD419" i="9"/>
  <c r="AE419" i="9" s="1"/>
  <c r="AA419" i="9"/>
  <c r="W419" i="9"/>
  <c r="X419" i="9" s="1"/>
  <c r="T419" i="9"/>
  <c r="Q419" i="9"/>
  <c r="M419" i="9"/>
  <c r="N419" i="9" s="1"/>
  <c r="AD418" i="9"/>
  <c r="AE418" i="9" s="1"/>
  <c r="AA418" i="9"/>
  <c r="W418" i="9"/>
  <c r="X418" i="9" s="1"/>
  <c r="T418" i="9"/>
  <c r="Q418" i="9"/>
  <c r="M418" i="9"/>
  <c r="N418" i="9" s="1"/>
  <c r="AD417" i="9"/>
  <c r="AE417" i="9" s="1"/>
  <c r="AA417" i="9"/>
  <c r="W417" i="9"/>
  <c r="X417" i="9" s="1"/>
  <c r="T417" i="9"/>
  <c r="Q417" i="9"/>
  <c r="M417" i="9"/>
  <c r="N417" i="9" s="1"/>
  <c r="AD416" i="9"/>
  <c r="AE416" i="9" s="1"/>
  <c r="AA416" i="9"/>
  <c r="W416" i="9"/>
  <c r="X416" i="9" s="1"/>
  <c r="T416" i="9"/>
  <c r="Q416" i="9"/>
  <c r="M416" i="9"/>
  <c r="N416" i="9" s="1"/>
  <c r="AD415" i="9"/>
  <c r="AE415" i="9" s="1"/>
  <c r="AA415" i="9"/>
  <c r="W415" i="9"/>
  <c r="X415" i="9" s="1"/>
  <c r="T415" i="9"/>
  <c r="Q415" i="9"/>
  <c r="M415" i="9"/>
  <c r="N415" i="9" s="1"/>
  <c r="AD414" i="9"/>
  <c r="AE414" i="9" s="1"/>
  <c r="AA414" i="9"/>
  <c r="W414" i="9"/>
  <c r="X414" i="9" s="1"/>
  <c r="T414" i="9"/>
  <c r="Q414" i="9"/>
  <c r="M414" i="9"/>
  <c r="N414" i="9" s="1"/>
  <c r="AD413" i="9"/>
  <c r="AE413" i="9" s="1"/>
  <c r="AA413" i="9"/>
  <c r="W413" i="9"/>
  <c r="X413" i="9" s="1"/>
  <c r="T413" i="9"/>
  <c r="Q413" i="9"/>
  <c r="M413" i="9"/>
  <c r="N413" i="9" s="1"/>
  <c r="AD412" i="9"/>
  <c r="AE412" i="9" s="1"/>
  <c r="AA412" i="9"/>
  <c r="W412" i="9"/>
  <c r="X412" i="9" s="1"/>
  <c r="T412" i="9"/>
  <c r="Q412" i="9"/>
  <c r="M412" i="9"/>
  <c r="N412" i="9" s="1"/>
  <c r="AD411" i="9"/>
  <c r="AE411" i="9" s="1"/>
  <c r="AA411" i="9"/>
  <c r="W411" i="9"/>
  <c r="X411" i="9" s="1"/>
  <c r="T411" i="9"/>
  <c r="Q411" i="9"/>
  <c r="M411" i="9"/>
  <c r="N411" i="9" s="1"/>
  <c r="AD410" i="9"/>
  <c r="AE410" i="9" s="1"/>
  <c r="AA410" i="9"/>
  <c r="W410" i="9"/>
  <c r="X410" i="9" s="1"/>
  <c r="T410" i="9"/>
  <c r="Q410" i="9"/>
  <c r="M410" i="9"/>
  <c r="N410" i="9" s="1"/>
  <c r="AD409" i="9"/>
  <c r="AE409" i="9" s="1"/>
  <c r="AA409" i="9"/>
  <c r="W409" i="9"/>
  <c r="X409" i="9" s="1"/>
  <c r="T409" i="9"/>
  <c r="Q409" i="9"/>
  <c r="M409" i="9"/>
  <c r="N409" i="9" s="1"/>
  <c r="AD408" i="9"/>
  <c r="AE408" i="9" s="1"/>
  <c r="AA408" i="9"/>
  <c r="W408" i="9"/>
  <c r="X408" i="9" s="1"/>
  <c r="T408" i="9"/>
  <c r="Q408" i="9"/>
  <c r="M408" i="9"/>
  <c r="N408" i="9" s="1"/>
  <c r="AD407" i="9"/>
  <c r="AE407" i="9" s="1"/>
  <c r="AA407" i="9"/>
  <c r="W407" i="9"/>
  <c r="X407" i="9" s="1"/>
  <c r="T407" i="9"/>
  <c r="Q407" i="9"/>
  <c r="M407" i="9"/>
  <c r="N407" i="9" s="1"/>
  <c r="AD406" i="9"/>
  <c r="AE406" i="9" s="1"/>
  <c r="AA406" i="9"/>
  <c r="W406" i="9"/>
  <c r="X406" i="9" s="1"/>
  <c r="T406" i="9"/>
  <c r="Q406" i="9"/>
  <c r="M406" i="9"/>
  <c r="N406" i="9" s="1"/>
  <c r="AD405" i="9"/>
  <c r="AE405" i="9" s="1"/>
  <c r="AA405" i="9"/>
  <c r="W405" i="9"/>
  <c r="X405" i="9" s="1"/>
  <c r="T405" i="9"/>
  <c r="Q405" i="9"/>
  <c r="M405" i="9"/>
  <c r="N405" i="9" s="1"/>
  <c r="AD404" i="9"/>
  <c r="AE404" i="9" s="1"/>
  <c r="AA404" i="9"/>
  <c r="W404" i="9"/>
  <c r="X404" i="9" s="1"/>
  <c r="T404" i="9"/>
  <c r="Q404" i="9"/>
  <c r="M404" i="9"/>
  <c r="N404" i="9" s="1"/>
  <c r="AD403" i="9"/>
  <c r="AE403" i="9" s="1"/>
  <c r="AA403" i="9"/>
  <c r="W403" i="9"/>
  <c r="X403" i="9" s="1"/>
  <c r="T403" i="9"/>
  <c r="Q403" i="9"/>
  <c r="M403" i="9"/>
  <c r="N403" i="9" s="1"/>
  <c r="AD402" i="9"/>
  <c r="AE402" i="9" s="1"/>
  <c r="AA402" i="9"/>
  <c r="W402" i="9"/>
  <c r="X402" i="9" s="1"/>
  <c r="T402" i="9"/>
  <c r="Q402" i="9"/>
  <c r="M402" i="9"/>
  <c r="N402" i="9" s="1"/>
  <c r="AD401" i="9"/>
  <c r="AE401" i="9" s="1"/>
  <c r="AA401" i="9"/>
  <c r="W401" i="9"/>
  <c r="X401" i="9" s="1"/>
  <c r="T401" i="9"/>
  <c r="Q401" i="9"/>
  <c r="M401" i="9"/>
  <c r="N401" i="9" s="1"/>
  <c r="AD400" i="9"/>
  <c r="AE400" i="9" s="1"/>
  <c r="AA400" i="9"/>
  <c r="W400" i="9"/>
  <c r="X400" i="9" s="1"/>
  <c r="T400" i="9"/>
  <c r="Q400" i="9"/>
  <c r="M400" i="9"/>
  <c r="N400" i="9" s="1"/>
  <c r="AD399" i="9"/>
  <c r="AE399" i="9" s="1"/>
  <c r="AA399" i="9"/>
  <c r="W399" i="9"/>
  <c r="X399" i="9" s="1"/>
  <c r="T399" i="9"/>
  <c r="Q399" i="9"/>
  <c r="M399" i="9"/>
  <c r="N399" i="9" s="1"/>
  <c r="AD398" i="9"/>
  <c r="AE398" i="9" s="1"/>
  <c r="AA398" i="9"/>
  <c r="W398" i="9"/>
  <c r="X398" i="9" s="1"/>
  <c r="T398" i="9"/>
  <c r="Q398" i="9"/>
  <c r="M398" i="9"/>
  <c r="N398" i="9" s="1"/>
  <c r="AD397" i="9"/>
  <c r="AE397" i="9" s="1"/>
  <c r="AA397" i="9"/>
  <c r="W397" i="9"/>
  <c r="X397" i="9" s="1"/>
  <c r="T397" i="9"/>
  <c r="Q397" i="9"/>
  <c r="M397" i="9"/>
  <c r="N397" i="9" s="1"/>
  <c r="AD396" i="9"/>
  <c r="AE396" i="9" s="1"/>
  <c r="AA396" i="9"/>
  <c r="W396" i="9"/>
  <c r="X396" i="9" s="1"/>
  <c r="T396" i="9"/>
  <c r="Q396" i="9"/>
  <c r="M396" i="9"/>
  <c r="N396" i="9" s="1"/>
  <c r="AD395" i="9"/>
  <c r="AE395" i="9" s="1"/>
  <c r="AA395" i="9"/>
  <c r="W395" i="9"/>
  <c r="X395" i="9" s="1"/>
  <c r="T395" i="9"/>
  <c r="Q395" i="9"/>
  <c r="M395" i="9"/>
  <c r="N395" i="9" s="1"/>
  <c r="AD394" i="9"/>
  <c r="AE394" i="9" s="1"/>
  <c r="AA394" i="9"/>
  <c r="W394" i="9"/>
  <c r="X394" i="9" s="1"/>
  <c r="T394" i="9"/>
  <c r="Q394" i="9"/>
  <c r="M394" i="9"/>
  <c r="N394" i="9" s="1"/>
  <c r="AD393" i="9"/>
  <c r="AE393" i="9" s="1"/>
  <c r="AA393" i="9"/>
  <c r="W393" i="9"/>
  <c r="X393" i="9" s="1"/>
  <c r="T393" i="9"/>
  <c r="Q393" i="9"/>
  <c r="M393" i="9"/>
  <c r="N393" i="9" s="1"/>
  <c r="AD392" i="9"/>
  <c r="AE392" i="9" s="1"/>
  <c r="AA392" i="9"/>
  <c r="W392" i="9"/>
  <c r="X392" i="9" s="1"/>
  <c r="T392" i="9"/>
  <c r="Q392" i="9"/>
  <c r="M392" i="9"/>
  <c r="N392" i="9" s="1"/>
  <c r="AD391" i="9"/>
  <c r="AE391" i="9" s="1"/>
  <c r="AA391" i="9"/>
  <c r="W391" i="9"/>
  <c r="X391" i="9" s="1"/>
  <c r="T391" i="9"/>
  <c r="Q391" i="9"/>
  <c r="M391" i="9"/>
  <c r="N391" i="9" s="1"/>
  <c r="AD390" i="9"/>
  <c r="AE390" i="9" s="1"/>
  <c r="AA390" i="9"/>
  <c r="W390" i="9"/>
  <c r="X390" i="9" s="1"/>
  <c r="T390" i="9"/>
  <c r="Q390" i="9"/>
  <c r="M390" i="9"/>
  <c r="N390" i="9" s="1"/>
  <c r="AD389" i="9"/>
  <c r="AE389" i="9" s="1"/>
  <c r="AA389" i="9"/>
  <c r="W389" i="9"/>
  <c r="X389" i="9" s="1"/>
  <c r="T389" i="9"/>
  <c r="Q389" i="9"/>
  <c r="M389" i="9"/>
  <c r="N389" i="9" s="1"/>
  <c r="AD388" i="9"/>
  <c r="AE388" i="9" s="1"/>
  <c r="AA388" i="9"/>
  <c r="W388" i="9"/>
  <c r="X388" i="9" s="1"/>
  <c r="T388" i="9"/>
  <c r="Q388" i="9"/>
  <c r="M388" i="9"/>
  <c r="N388" i="9" s="1"/>
  <c r="AD387" i="9"/>
  <c r="AE387" i="9" s="1"/>
  <c r="AA387" i="9"/>
  <c r="W387" i="9"/>
  <c r="X387" i="9" s="1"/>
  <c r="T387" i="9"/>
  <c r="Q387" i="9"/>
  <c r="M387" i="9"/>
  <c r="N387" i="9" s="1"/>
  <c r="AD386" i="9"/>
  <c r="AE386" i="9" s="1"/>
  <c r="AA386" i="9"/>
  <c r="W386" i="9"/>
  <c r="X386" i="9" s="1"/>
  <c r="T386" i="9"/>
  <c r="Q386" i="9"/>
  <c r="M386" i="9"/>
  <c r="N386" i="9" s="1"/>
  <c r="AD385" i="9"/>
  <c r="AE385" i="9" s="1"/>
  <c r="AA385" i="9"/>
  <c r="W385" i="9"/>
  <c r="X385" i="9" s="1"/>
  <c r="T385" i="9"/>
  <c r="Q385" i="9"/>
  <c r="M385" i="9"/>
  <c r="N385" i="9" s="1"/>
  <c r="AD384" i="9"/>
  <c r="AE384" i="9" s="1"/>
  <c r="AA384" i="9"/>
  <c r="W384" i="9"/>
  <c r="X384" i="9" s="1"/>
  <c r="T384" i="9"/>
  <c r="Q384" i="9"/>
  <c r="M384" i="9"/>
  <c r="N384" i="9" s="1"/>
  <c r="AD383" i="9"/>
  <c r="AE383" i="9" s="1"/>
  <c r="AA383" i="9"/>
  <c r="W383" i="9"/>
  <c r="X383" i="9" s="1"/>
  <c r="T383" i="9"/>
  <c r="Q383" i="9"/>
  <c r="M383" i="9"/>
  <c r="N383" i="9" s="1"/>
  <c r="AD382" i="9"/>
  <c r="AE382" i="9" s="1"/>
  <c r="AA382" i="9"/>
  <c r="W382" i="9"/>
  <c r="X382" i="9" s="1"/>
  <c r="T382" i="9"/>
  <c r="Q382" i="9"/>
  <c r="M382" i="9"/>
  <c r="N382" i="9" s="1"/>
  <c r="AD378" i="9"/>
  <c r="AE378" i="9" s="1"/>
  <c r="AA378" i="9"/>
  <c r="W378" i="9"/>
  <c r="X378" i="9" s="1"/>
  <c r="T378" i="9"/>
  <c r="Q378" i="9"/>
  <c r="M378" i="9"/>
  <c r="N378" i="9" s="1"/>
  <c r="AD377" i="9"/>
  <c r="AE377" i="9" s="1"/>
  <c r="AA377" i="9"/>
  <c r="W377" i="9"/>
  <c r="X377" i="9" s="1"/>
  <c r="T377" i="9"/>
  <c r="Q377" i="9"/>
  <c r="M377" i="9"/>
  <c r="N377" i="9" s="1"/>
  <c r="AD376" i="9"/>
  <c r="AE376" i="9" s="1"/>
  <c r="AA376" i="9"/>
  <c r="W376" i="9"/>
  <c r="X376" i="9" s="1"/>
  <c r="T376" i="9"/>
  <c r="Q376" i="9"/>
  <c r="M376" i="9"/>
  <c r="N376" i="9" s="1"/>
  <c r="AD375" i="9"/>
  <c r="AE375" i="9" s="1"/>
  <c r="AA375" i="9"/>
  <c r="W375" i="9"/>
  <c r="X375" i="9" s="1"/>
  <c r="T375" i="9"/>
  <c r="Q375" i="9"/>
  <c r="M375" i="9"/>
  <c r="N375" i="9" s="1"/>
  <c r="AD374" i="9"/>
  <c r="AE374" i="9" s="1"/>
  <c r="AA374" i="9"/>
  <c r="W374" i="9"/>
  <c r="X374" i="9" s="1"/>
  <c r="T374" i="9"/>
  <c r="Q374" i="9"/>
  <c r="M374" i="9"/>
  <c r="N374" i="9" s="1"/>
  <c r="AD373" i="9"/>
  <c r="AE373" i="9" s="1"/>
  <c r="AA373" i="9"/>
  <c r="W373" i="9"/>
  <c r="X373" i="9" s="1"/>
  <c r="T373" i="9"/>
  <c r="Q373" i="9"/>
  <c r="M373" i="9"/>
  <c r="N373" i="9" s="1"/>
  <c r="AD372" i="9"/>
  <c r="AE372" i="9" s="1"/>
  <c r="AA372" i="9"/>
  <c r="W372" i="9"/>
  <c r="X372" i="9" s="1"/>
  <c r="T372" i="9"/>
  <c r="Q372" i="9"/>
  <c r="M372" i="9"/>
  <c r="N372" i="9" s="1"/>
  <c r="AD371" i="9"/>
  <c r="AE371" i="9" s="1"/>
  <c r="AA371" i="9"/>
  <c r="W371" i="9"/>
  <c r="X371" i="9" s="1"/>
  <c r="T371" i="9"/>
  <c r="Q371" i="9"/>
  <c r="M371" i="9"/>
  <c r="N371" i="9" s="1"/>
  <c r="AD370" i="9"/>
  <c r="AE370" i="9" s="1"/>
  <c r="AA370" i="9"/>
  <c r="W370" i="9"/>
  <c r="X370" i="9" s="1"/>
  <c r="T370" i="9"/>
  <c r="Q370" i="9"/>
  <c r="M370" i="9"/>
  <c r="N370" i="9" s="1"/>
  <c r="AD369" i="9"/>
  <c r="AE369" i="9" s="1"/>
  <c r="AA369" i="9"/>
  <c r="W369" i="9"/>
  <c r="X369" i="9" s="1"/>
  <c r="T369" i="9"/>
  <c r="Q369" i="9"/>
  <c r="M369" i="9"/>
  <c r="N369" i="9" s="1"/>
  <c r="AD381" i="9"/>
  <c r="AE381" i="9" s="1"/>
  <c r="AA381" i="9"/>
  <c r="W381" i="9"/>
  <c r="X381" i="9" s="1"/>
  <c r="T381" i="9"/>
  <c r="Q381" i="9"/>
  <c r="M381" i="9"/>
  <c r="N381" i="9" s="1"/>
  <c r="AD380" i="9"/>
  <c r="AE380" i="9" s="1"/>
  <c r="AA380" i="9"/>
  <c r="W380" i="9"/>
  <c r="X380" i="9" s="1"/>
  <c r="T380" i="9"/>
  <c r="Q380" i="9"/>
  <c r="M380" i="9"/>
  <c r="N380" i="9" s="1"/>
  <c r="AD379" i="9"/>
  <c r="AE379" i="9" s="1"/>
  <c r="AA379" i="9"/>
  <c r="W379" i="9"/>
  <c r="X379" i="9" s="1"/>
  <c r="T379" i="9"/>
  <c r="Q379" i="9"/>
  <c r="M379" i="9"/>
  <c r="N379" i="9" s="1"/>
  <c r="AD368" i="9"/>
  <c r="AE368" i="9" s="1"/>
  <c r="AA368" i="9"/>
  <c r="W368" i="9"/>
  <c r="X368" i="9" s="1"/>
  <c r="T368" i="9"/>
  <c r="Q368" i="9"/>
  <c r="M368" i="9"/>
  <c r="N368" i="9" s="1"/>
  <c r="AD367" i="9"/>
  <c r="AE367" i="9" s="1"/>
  <c r="AA367" i="9"/>
  <c r="W367" i="9"/>
  <c r="X367" i="9" s="1"/>
  <c r="T367" i="9"/>
  <c r="Q367" i="9"/>
  <c r="M367" i="9"/>
  <c r="N367" i="9" s="1"/>
  <c r="AD366" i="9"/>
  <c r="AE366" i="9" s="1"/>
  <c r="AA366" i="9"/>
  <c r="W366" i="9"/>
  <c r="X366" i="9" s="1"/>
  <c r="T366" i="9"/>
  <c r="Q366" i="9"/>
  <c r="M366" i="9"/>
  <c r="N366" i="9" s="1"/>
  <c r="AD362" i="9"/>
  <c r="AE362" i="9" s="1"/>
  <c r="AA362" i="9"/>
  <c r="W362" i="9"/>
  <c r="X362" i="9" s="1"/>
  <c r="T362" i="9"/>
  <c r="Q362" i="9"/>
  <c r="M362" i="9"/>
  <c r="N362" i="9" s="1"/>
  <c r="AD360" i="9"/>
  <c r="AE360" i="9" s="1"/>
  <c r="AA360" i="9"/>
  <c r="W360" i="9"/>
  <c r="X360" i="9" s="1"/>
  <c r="T360" i="9"/>
  <c r="Q360" i="9"/>
  <c r="M360" i="9"/>
  <c r="N360" i="9" s="1"/>
  <c r="M361" i="9"/>
  <c r="N361" i="9" s="1"/>
  <c r="Q361" i="9"/>
  <c r="T361" i="9"/>
  <c r="W361" i="9"/>
  <c r="X361" i="9" s="1"/>
  <c r="AA361" i="9"/>
  <c r="AD361" i="9"/>
  <c r="AE361" i="9" s="1"/>
  <c r="AD364" i="9"/>
  <c r="AE364" i="9" s="1"/>
  <c r="AA364" i="9"/>
  <c r="W364" i="9"/>
  <c r="X364" i="9" s="1"/>
  <c r="T364" i="9"/>
  <c r="Q364" i="9"/>
  <c r="M364" i="9"/>
  <c r="N364" i="9" s="1"/>
  <c r="AD365" i="9"/>
  <c r="AE365" i="9" s="1"/>
  <c r="AA365" i="9"/>
  <c r="W365" i="9"/>
  <c r="X365" i="9" s="1"/>
  <c r="T365" i="9"/>
  <c r="Q365" i="9"/>
  <c r="M365" i="9"/>
  <c r="N365" i="9" s="1"/>
  <c r="AD363" i="9"/>
  <c r="AE363" i="9" s="1"/>
  <c r="AA363" i="9"/>
  <c r="W363" i="9"/>
  <c r="X363" i="9" s="1"/>
  <c r="T363" i="9"/>
  <c r="Q363" i="9"/>
  <c r="M363" i="9"/>
  <c r="N363" i="9" s="1"/>
  <c r="AD354" i="9"/>
  <c r="AE354" i="9" s="1"/>
  <c r="AA354" i="9"/>
  <c r="W354" i="9"/>
  <c r="X354" i="9" s="1"/>
  <c r="T354" i="9"/>
  <c r="Q354" i="9"/>
  <c r="M354" i="9"/>
  <c r="N354" i="9" s="1"/>
  <c r="AD353" i="9"/>
  <c r="AE353" i="9" s="1"/>
  <c r="AA353" i="9"/>
  <c r="W353" i="9"/>
  <c r="X353" i="9" s="1"/>
  <c r="T353" i="9"/>
  <c r="Q353" i="9"/>
  <c r="M353" i="9"/>
  <c r="N353" i="9" s="1"/>
  <c r="AD352" i="9"/>
  <c r="AE352" i="9" s="1"/>
  <c r="AA352" i="9"/>
  <c r="W352" i="9"/>
  <c r="X352" i="9" s="1"/>
  <c r="T352" i="9"/>
  <c r="Q352" i="9"/>
  <c r="M352" i="9"/>
  <c r="N352" i="9" s="1"/>
  <c r="AD351" i="9"/>
  <c r="AE351" i="9" s="1"/>
  <c r="AA351" i="9"/>
  <c r="W351" i="9"/>
  <c r="X351" i="9" s="1"/>
  <c r="T351" i="9"/>
  <c r="Q351" i="9"/>
  <c r="M351" i="9"/>
  <c r="N351" i="9" s="1"/>
  <c r="AD350" i="9"/>
  <c r="AE350" i="9" s="1"/>
  <c r="AA350" i="9"/>
  <c r="W350" i="9"/>
  <c r="X350" i="9" s="1"/>
  <c r="T350" i="9"/>
  <c r="Q350" i="9"/>
  <c r="M350" i="9"/>
  <c r="N350" i="9" s="1"/>
  <c r="AD349" i="9"/>
  <c r="AE349" i="9" s="1"/>
  <c r="AA349" i="9"/>
  <c r="W349" i="9"/>
  <c r="X349" i="9" s="1"/>
  <c r="T349" i="9"/>
  <c r="Q349" i="9"/>
  <c r="M349" i="9"/>
  <c r="N349" i="9" s="1"/>
  <c r="AD348" i="9"/>
  <c r="AE348" i="9" s="1"/>
  <c r="AA348" i="9"/>
  <c r="W348" i="9"/>
  <c r="X348" i="9" s="1"/>
  <c r="T348" i="9"/>
  <c r="Q348" i="9"/>
  <c r="M348" i="9"/>
  <c r="N348" i="9" s="1"/>
  <c r="AD347" i="9"/>
  <c r="AE347" i="9" s="1"/>
  <c r="AA347" i="9"/>
  <c r="W347" i="9"/>
  <c r="X347" i="9" s="1"/>
  <c r="T347" i="9"/>
  <c r="Q347" i="9"/>
  <c r="M347" i="9"/>
  <c r="N347" i="9" s="1"/>
  <c r="AD346" i="9"/>
  <c r="AE346" i="9" s="1"/>
  <c r="AA346" i="9"/>
  <c r="W346" i="9"/>
  <c r="X346" i="9" s="1"/>
  <c r="T346" i="9"/>
  <c r="Q346" i="9"/>
  <c r="M346" i="9"/>
  <c r="N346" i="9" s="1"/>
  <c r="AD345" i="9"/>
  <c r="AE345" i="9" s="1"/>
  <c r="AA345" i="9"/>
  <c r="W345" i="9"/>
  <c r="X345" i="9" s="1"/>
  <c r="T345" i="9"/>
  <c r="Q345" i="9"/>
  <c r="M345" i="9"/>
  <c r="N345" i="9" s="1"/>
  <c r="AD344" i="9"/>
  <c r="AE344" i="9" s="1"/>
  <c r="AA344" i="9"/>
  <c r="W344" i="9"/>
  <c r="X344" i="9" s="1"/>
  <c r="T344" i="9"/>
  <c r="Q344" i="9"/>
  <c r="M344" i="9"/>
  <c r="N344" i="9" s="1"/>
  <c r="AD343" i="9"/>
  <c r="AE343" i="9" s="1"/>
  <c r="AA343" i="9"/>
  <c r="W343" i="9"/>
  <c r="X343" i="9" s="1"/>
  <c r="T343" i="9"/>
  <c r="Q343" i="9"/>
  <c r="M343" i="9"/>
  <c r="N343" i="9" s="1"/>
  <c r="AD342" i="9"/>
  <c r="AE342" i="9" s="1"/>
  <c r="AA342" i="9"/>
  <c r="W342" i="9"/>
  <c r="X342" i="9" s="1"/>
  <c r="T342" i="9"/>
  <c r="Q342" i="9"/>
  <c r="M342" i="9"/>
  <c r="N342" i="9" s="1"/>
  <c r="AD341" i="9"/>
  <c r="AE341" i="9" s="1"/>
  <c r="AA341" i="9"/>
  <c r="W341" i="9"/>
  <c r="X341" i="9" s="1"/>
  <c r="T341" i="9"/>
  <c r="Q341" i="9"/>
  <c r="M341" i="9"/>
  <c r="N341" i="9" s="1"/>
  <c r="AD340" i="9"/>
  <c r="AE340" i="9" s="1"/>
  <c r="AA340" i="9"/>
  <c r="W340" i="9"/>
  <c r="X340" i="9" s="1"/>
  <c r="T340" i="9"/>
  <c r="Q340" i="9"/>
  <c r="M340" i="9"/>
  <c r="N340" i="9" s="1"/>
  <c r="AD339" i="9"/>
  <c r="AE339" i="9" s="1"/>
  <c r="AA339" i="9"/>
  <c r="W339" i="9"/>
  <c r="X339" i="9" s="1"/>
  <c r="T339" i="9"/>
  <c r="Q339" i="9"/>
  <c r="M339" i="9"/>
  <c r="N339" i="9" s="1"/>
  <c r="AD338" i="9"/>
  <c r="AE338" i="9" s="1"/>
  <c r="AA338" i="9"/>
  <c r="W338" i="9"/>
  <c r="X338" i="9" s="1"/>
  <c r="T338" i="9"/>
  <c r="Q338" i="9"/>
  <c r="M338" i="9"/>
  <c r="N338" i="9" s="1"/>
  <c r="AD337" i="9"/>
  <c r="AE337" i="9" s="1"/>
  <c r="AA337" i="9"/>
  <c r="W337" i="9"/>
  <c r="X337" i="9" s="1"/>
  <c r="T337" i="9"/>
  <c r="Q337" i="9"/>
  <c r="M337" i="9"/>
  <c r="N337" i="9" s="1"/>
  <c r="AD336" i="9"/>
  <c r="AE336" i="9" s="1"/>
  <c r="AA336" i="9"/>
  <c r="W336" i="9"/>
  <c r="X336" i="9" s="1"/>
  <c r="T336" i="9"/>
  <c r="Q336" i="9"/>
  <c r="M336" i="9"/>
  <c r="N336" i="9" s="1"/>
  <c r="AD333" i="9"/>
  <c r="AE333" i="9" s="1"/>
  <c r="AA333" i="9"/>
  <c r="W333" i="9"/>
  <c r="X333" i="9" s="1"/>
  <c r="T333" i="9"/>
  <c r="Q333" i="9"/>
  <c r="M333" i="9"/>
  <c r="N333" i="9" s="1"/>
  <c r="AD332" i="9"/>
  <c r="AE332" i="9" s="1"/>
  <c r="AA332" i="9"/>
  <c r="W332" i="9"/>
  <c r="X332" i="9" s="1"/>
  <c r="T332" i="9"/>
  <c r="Q332" i="9"/>
  <c r="M332" i="9"/>
  <c r="N332" i="9" s="1"/>
  <c r="AD331" i="9"/>
  <c r="AE331" i="9" s="1"/>
  <c r="AA331" i="9"/>
  <c r="W331" i="9"/>
  <c r="X331" i="9" s="1"/>
  <c r="T331" i="9"/>
  <c r="Q331" i="9"/>
  <c r="M331" i="9"/>
  <c r="N331" i="9" s="1"/>
  <c r="AD330" i="9"/>
  <c r="AE330" i="9" s="1"/>
  <c r="AA330" i="9"/>
  <c r="W330" i="9"/>
  <c r="X330" i="9" s="1"/>
  <c r="T330" i="9"/>
  <c r="Q330" i="9"/>
  <c r="M330" i="9"/>
  <c r="N330" i="9" s="1"/>
  <c r="AD329" i="9"/>
  <c r="AE329" i="9" s="1"/>
  <c r="AA329" i="9"/>
  <c r="W329" i="9"/>
  <c r="X329" i="9" s="1"/>
  <c r="T329" i="9"/>
  <c r="Q329" i="9"/>
  <c r="M329" i="9"/>
  <c r="N329" i="9" s="1"/>
  <c r="AD328" i="9"/>
  <c r="AE328" i="9" s="1"/>
  <c r="AA328" i="9"/>
  <c r="W328" i="9"/>
  <c r="X328" i="9" s="1"/>
  <c r="T328" i="9"/>
  <c r="Q328" i="9"/>
  <c r="M328" i="9"/>
  <c r="N328" i="9" s="1"/>
  <c r="AD327" i="9"/>
  <c r="AE327" i="9" s="1"/>
  <c r="AA327" i="9"/>
  <c r="W327" i="9"/>
  <c r="X327" i="9" s="1"/>
  <c r="T327" i="9"/>
  <c r="Q327" i="9"/>
  <c r="M327" i="9"/>
  <c r="N327" i="9" s="1"/>
  <c r="AD326" i="9"/>
  <c r="AE326" i="9" s="1"/>
  <c r="AA326" i="9"/>
  <c r="W326" i="9"/>
  <c r="X326" i="9" s="1"/>
  <c r="T326" i="9"/>
  <c r="Q326" i="9"/>
  <c r="M326" i="9"/>
  <c r="N326" i="9" s="1"/>
  <c r="AD325" i="9"/>
  <c r="AE325" i="9" s="1"/>
  <c r="AA325" i="9"/>
  <c r="W325" i="9"/>
  <c r="X325" i="9" s="1"/>
  <c r="T325" i="9"/>
  <c r="Q325" i="9"/>
  <c r="M325" i="9"/>
  <c r="N325" i="9" s="1"/>
  <c r="AD324" i="9"/>
  <c r="AE324" i="9" s="1"/>
  <c r="AA324" i="9"/>
  <c r="W324" i="9"/>
  <c r="X324" i="9" s="1"/>
  <c r="T324" i="9"/>
  <c r="Q324" i="9"/>
  <c r="M324" i="9"/>
  <c r="N324" i="9" s="1"/>
  <c r="AD323" i="9"/>
  <c r="AE323" i="9" s="1"/>
  <c r="AA323" i="9"/>
  <c r="W323" i="9"/>
  <c r="X323" i="9" s="1"/>
  <c r="T323" i="9"/>
  <c r="Q323" i="9"/>
  <c r="M323" i="9"/>
  <c r="N323" i="9" s="1"/>
  <c r="AD322" i="9"/>
  <c r="AE322" i="9" s="1"/>
  <c r="AA322" i="9"/>
  <c r="W322" i="9"/>
  <c r="X322" i="9" s="1"/>
  <c r="T322" i="9"/>
  <c r="Q322" i="9"/>
  <c r="M322" i="9"/>
  <c r="N322" i="9" s="1"/>
  <c r="AD321" i="9"/>
  <c r="AE321" i="9" s="1"/>
  <c r="AA321" i="9"/>
  <c r="W321" i="9"/>
  <c r="X321" i="9" s="1"/>
  <c r="T321" i="9"/>
  <c r="Q321" i="9"/>
  <c r="M321" i="9"/>
  <c r="N321" i="9" s="1"/>
  <c r="AD320" i="9"/>
  <c r="AE320" i="9" s="1"/>
  <c r="AA320" i="9"/>
  <c r="W320" i="9"/>
  <c r="X320" i="9" s="1"/>
  <c r="T320" i="9"/>
  <c r="Q320" i="9"/>
  <c r="M320" i="9"/>
  <c r="N320" i="9" s="1"/>
  <c r="AD319" i="9"/>
  <c r="AE319" i="9" s="1"/>
  <c r="AA319" i="9"/>
  <c r="W319" i="9"/>
  <c r="X319" i="9" s="1"/>
  <c r="T319" i="9"/>
  <c r="Q319" i="9"/>
  <c r="M319" i="9"/>
  <c r="N319" i="9" s="1"/>
  <c r="AD318" i="9"/>
  <c r="AE318" i="9" s="1"/>
  <c r="AA318" i="9"/>
  <c r="W318" i="9"/>
  <c r="X318" i="9" s="1"/>
  <c r="T318" i="9"/>
  <c r="Q318" i="9"/>
  <c r="M318" i="9"/>
  <c r="N318" i="9" s="1"/>
  <c r="AD317" i="9"/>
  <c r="AE317" i="9" s="1"/>
  <c r="AA317" i="9"/>
  <c r="W317" i="9"/>
  <c r="X317" i="9" s="1"/>
  <c r="T317" i="9"/>
  <c r="Q317" i="9"/>
  <c r="M317" i="9"/>
  <c r="N317" i="9" s="1"/>
  <c r="AD316" i="9"/>
  <c r="AE316" i="9" s="1"/>
  <c r="AA316" i="9"/>
  <c r="W316" i="9"/>
  <c r="X316" i="9" s="1"/>
  <c r="T316" i="9"/>
  <c r="Q316" i="9"/>
  <c r="M316" i="9"/>
  <c r="N316" i="9" s="1"/>
  <c r="AD315" i="9"/>
  <c r="AE315" i="9" s="1"/>
  <c r="AA315" i="9"/>
  <c r="W315" i="9"/>
  <c r="X315" i="9" s="1"/>
  <c r="T315" i="9"/>
  <c r="Q315" i="9"/>
  <c r="M315" i="9"/>
  <c r="N315" i="9" s="1"/>
  <c r="AD314" i="9"/>
  <c r="AE314" i="9" s="1"/>
  <c r="AA314" i="9"/>
  <c r="W314" i="9"/>
  <c r="X314" i="9" s="1"/>
  <c r="T314" i="9"/>
  <c r="Q314" i="9"/>
  <c r="M314" i="9"/>
  <c r="N314" i="9" s="1"/>
  <c r="H312" i="9"/>
  <c r="AD359" i="9"/>
  <c r="AE359" i="9" s="1"/>
  <c r="AA359" i="9"/>
  <c r="W359" i="9"/>
  <c r="X359" i="9" s="1"/>
  <c r="T359" i="9"/>
  <c r="Q359" i="9"/>
  <c r="M359" i="9"/>
  <c r="N359" i="9" s="1"/>
  <c r="AD358" i="9"/>
  <c r="AE358" i="9" s="1"/>
  <c r="AA358" i="9"/>
  <c r="W358" i="9"/>
  <c r="X358" i="9" s="1"/>
  <c r="T358" i="9"/>
  <c r="Q358" i="9"/>
  <c r="M358" i="9"/>
  <c r="N358" i="9" s="1"/>
  <c r="AD357" i="9"/>
  <c r="AE357" i="9" s="1"/>
  <c r="AA357" i="9"/>
  <c r="W357" i="9"/>
  <c r="X357" i="9" s="1"/>
  <c r="T357" i="9"/>
  <c r="Q357" i="9"/>
  <c r="M357" i="9"/>
  <c r="N357" i="9" s="1"/>
  <c r="AD356" i="9"/>
  <c r="AE356" i="9" s="1"/>
  <c r="AA356" i="9"/>
  <c r="W356" i="9"/>
  <c r="X356" i="9" s="1"/>
  <c r="T356" i="9"/>
  <c r="Q356" i="9"/>
  <c r="M356" i="9"/>
  <c r="N356" i="9" s="1"/>
  <c r="AD355" i="9"/>
  <c r="AE355" i="9" s="1"/>
  <c r="AA355" i="9"/>
  <c r="W355" i="9"/>
  <c r="X355" i="9" s="1"/>
  <c r="T355" i="9"/>
  <c r="Q355" i="9"/>
  <c r="M355" i="9"/>
  <c r="N355" i="9" s="1"/>
  <c r="AD335" i="9"/>
  <c r="AE335" i="9" s="1"/>
  <c r="AA335" i="9"/>
  <c r="W335" i="9"/>
  <c r="X335" i="9" s="1"/>
  <c r="T335" i="9"/>
  <c r="Q335" i="9"/>
  <c r="M335" i="9"/>
  <c r="N335" i="9" s="1"/>
  <c r="AD334" i="9"/>
  <c r="AE334" i="9" s="1"/>
  <c r="AA334" i="9"/>
  <c r="W334" i="9"/>
  <c r="X334" i="9" s="1"/>
  <c r="T334" i="9"/>
  <c r="Q334" i="9"/>
  <c r="M334" i="9"/>
  <c r="N334" i="9" s="1"/>
  <c r="AD313" i="9"/>
  <c r="AE313" i="9" s="1"/>
  <c r="AA313" i="9"/>
  <c r="W313" i="9"/>
  <c r="X313" i="9" s="1"/>
  <c r="T313" i="9"/>
  <c r="Q313" i="9"/>
  <c r="M313" i="9"/>
  <c r="N313" i="9" s="1"/>
  <c r="L1377" i="37" l="1"/>
  <c r="Z3" i="37"/>
  <c r="AG1732" i="37"/>
  <c r="T1470" i="37"/>
  <c r="T1468" i="37"/>
  <c r="T1467" i="37"/>
  <c r="T1445" i="37"/>
  <c r="T1444" i="37"/>
  <c r="T1441" i="37"/>
  <c r="T1440" i="37"/>
  <c r="T1437" i="37"/>
  <c r="T1429" i="37"/>
  <c r="T1430" i="37"/>
  <c r="T1415" i="37"/>
  <c r="T1422" i="37"/>
  <c r="T1417" i="37"/>
  <c r="T1421" i="37"/>
  <c r="T1418" i="37"/>
  <c r="T1413" i="37"/>
  <c r="Z2" i="37"/>
  <c r="AH2" i="37" s="1"/>
  <c r="AI2" i="37" s="1"/>
  <c r="T1401" i="37"/>
  <c r="T1400" i="37"/>
  <c r="S3" i="37"/>
  <c r="V3" i="37" s="1"/>
  <c r="T1394" i="37"/>
  <c r="T1390" i="37"/>
  <c r="T1395" i="37"/>
  <c r="T1385" i="37"/>
  <c r="T1379" i="37"/>
  <c r="T1380" i="37"/>
  <c r="T1375" i="37"/>
  <c r="T1371" i="37"/>
  <c r="N5" i="37"/>
  <c r="O4" i="37"/>
  <c r="T1347" i="37"/>
  <c r="T1351" i="37"/>
  <c r="T1352" i="37"/>
  <c r="T145" i="37"/>
  <c r="T221" i="37"/>
  <c r="T261" i="37"/>
  <c r="T323" i="37"/>
  <c r="T344" i="37"/>
  <c r="T368" i="37"/>
  <c r="T411" i="37"/>
  <c r="T521" i="37"/>
  <c r="T30" i="37"/>
  <c r="T244" i="37"/>
  <c r="T409" i="37"/>
  <c r="T434" i="37"/>
  <c r="T486" i="37"/>
  <c r="T470" i="37"/>
  <c r="T602" i="37"/>
  <c r="T87" i="37"/>
  <c r="T229" i="37"/>
  <c r="T194" i="37"/>
  <c r="T352" i="37"/>
  <c r="T443" i="37"/>
  <c r="T60" i="37"/>
  <c r="T184" i="37"/>
  <c r="T218" i="37"/>
  <c r="T259" i="37"/>
  <c r="T373" i="37"/>
  <c r="T385" i="37"/>
  <c r="T466" i="37"/>
  <c r="T513" i="37"/>
  <c r="T541" i="37"/>
  <c r="T100" i="37"/>
  <c r="T105" i="37"/>
  <c r="T200" i="37"/>
  <c r="T223" i="37"/>
  <c r="T327" i="37"/>
  <c r="T413" i="37"/>
  <c r="T531" i="37"/>
  <c r="T618" i="37"/>
  <c r="T729" i="37"/>
  <c r="T735" i="37"/>
  <c r="T279" i="37"/>
  <c r="T407" i="37"/>
  <c r="T389" i="37"/>
  <c r="T359" i="37"/>
  <c r="T461" i="37"/>
  <c r="T424" i="37"/>
  <c r="T638" i="37"/>
  <c r="T40" i="37"/>
  <c r="T36" i="37"/>
  <c r="T76" i="37"/>
  <c r="T153" i="37"/>
  <c r="T177" i="37"/>
  <c r="T196" i="37"/>
  <c r="T410" i="37"/>
  <c r="T529" i="37"/>
  <c r="T539" i="37"/>
  <c r="T108" i="37"/>
  <c r="T135" i="37"/>
  <c r="T246" i="37"/>
  <c r="T274" i="37"/>
  <c r="T285" i="37"/>
  <c r="T315" i="37"/>
  <c r="T340" i="37"/>
  <c r="T416" i="37"/>
  <c r="T491" i="37"/>
  <c r="T73" i="37"/>
  <c r="T137" i="37"/>
  <c r="T266" i="37"/>
  <c r="T277" i="37"/>
  <c r="T282" i="37"/>
  <c r="T205" i="37"/>
  <c r="T499" i="37"/>
  <c r="T537" i="37"/>
  <c r="T61" i="37"/>
  <c r="T122" i="37"/>
  <c r="T348" i="37"/>
  <c r="T546" i="37"/>
  <c r="T622" i="37"/>
  <c r="T46" i="37"/>
  <c r="T181" i="37"/>
  <c r="T227" i="37"/>
  <c r="T355" i="37"/>
  <c r="T515" i="37"/>
  <c r="T505" i="37"/>
  <c r="T32" i="37"/>
  <c r="T78" i="37"/>
  <c r="T151" i="37"/>
  <c r="T250" i="37"/>
  <c r="T299" i="37"/>
  <c r="T356" i="37"/>
  <c r="T290" i="37"/>
  <c r="T386" i="37"/>
  <c r="T507" i="37"/>
  <c r="T90" i="37"/>
  <c r="T117" i="37"/>
  <c r="T234" i="37"/>
  <c r="T307" i="37"/>
  <c r="T388" i="37"/>
  <c r="T97" i="37"/>
  <c r="T77" i="37"/>
  <c r="T169" i="37"/>
  <c r="T241" i="37"/>
  <c r="T296" i="37"/>
  <c r="T364" i="37"/>
  <c r="T432" i="37"/>
  <c r="T405" i="37"/>
  <c r="T555" i="37"/>
  <c r="T38" i="37"/>
  <c r="T143" i="37"/>
  <c r="T292" i="37"/>
  <c r="T397" i="37"/>
  <c r="T133" i="37"/>
  <c r="T212" i="37"/>
  <c r="T310" i="37"/>
  <c r="T381" i="37"/>
  <c r="T347" i="37"/>
  <c r="T403" i="37"/>
  <c r="T547" i="37"/>
  <c r="T473" i="37"/>
  <c r="T526" i="37"/>
  <c r="T614" i="37"/>
  <c r="T745" i="37"/>
  <c r="T919" i="37"/>
  <c r="T1074" i="37"/>
  <c r="T1138" i="37"/>
  <c r="T1222" i="37"/>
  <c r="T1228" i="37"/>
  <c r="T1197" i="37"/>
  <c r="T1196" i="37"/>
  <c r="T1198" i="37"/>
  <c r="T1592" i="37"/>
  <c r="T1336" i="37"/>
  <c r="T1341" i="37"/>
  <c r="T1699" i="37"/>
  <c r="T702" i="37"/>
  <c r="T779" i="37"/>
  <c r="T811" i="37"/>
  <c r="T880" i="37"/>
  <c r="T935" i="37"/>
  <c r="T1088" i="37"/>
  <c r="T1230" i="37"/>
  <c r="T1100" i="37"/>
  <c r="T1172" i="37"/>
  <c r="T1164" i="37"/>
  <c r="T1600" i="37"/>
  <c r="T1474" i="37"/>
  <c r="T1610" i="37"/>
  <c r="T1696" i="37"/>
  <c r="T1707" i="37"/>
  <c r="T749" i="37"/>
  <c r="T946" i="37"/>
  <c r="T976" i="37"/>
  <c r="T1037" i="37"/>
  <c r="T1003" i="37"/>
  <c r="T1096" i="37"/>
  <c r="T1108" i="37"/>
  <c r="T1238" i="37"/>
  <c r="T1182" i="37"/>
  <c r="T1356" i="37"/>
  <c r="T1608" i="37"/>
  <c r="T1607" i="37"/>
  <c r="T1704" i="37"/>
  <c r="T1715" i="37"/>
  <c r="T737" i="37"/>
  <c r="T719" i="37"/>
  <c r="T888" i="37"/>
  <c r="T902" i="37"/>
  <c r="T972" i="37"/>
  <c r="T1008" i="37"/>
  <c r="T1104" i="37"/>
  <c r="T1246" i="37"/>
  <c r="T1442" i="37"/>
  <c r="T1616" i="37"/>
  <c r="T1712" i="37"/>
  <c r="T1723" i="37"/>
  <c r="T639" i="37"/>
  <c r="T787" i="37"/>
  <c r="T1112" i="37"/>
  <c r="T1170" i="37"/>
  <c r="T1361" i="37"/>
  <c r="T1624" i="37"/>
  <c r="T1615" i="37"/>
  <c r="T1573" i="37"/>
  <c r="T1720" i="37"/>
  <c r="T1618" i="37"/>
  <c r="T1731" i="37"/>
  <c r="T727" i="37"/>
  <c r="T808" i="37"/>
  <c r="T820" i="37"/>
  <c r="T803" i="37"/>
  <c r="T952" i="37"/>
  <c r="T1120" i="37"/>
  <c r="T1119" i="37"/>
  <c r="T1146" i="37"/>
  <c r="T1205" i="37"/>
  <c r="T1449" i="37"/>
  <c r="T1632" i="37"/>
  <c r="T1599" i="37"/>
  <c r="T1728" i="37"/>
  <c r="T723" i="37"/>
  <c r="T910" i="37"/>
  <c r="T978" i="37"/>
  <c r="T962" i="37"/>
  <c r="T1004" i="37"/>
  <c r="T1016" i="37"/>
  <c r="T1128" i="37"/>
  <c r="T1024" i="37"/>
  <c r="T1174" i="37"/>
  <c r="T1276" i="37"/>
  <c r="T1331" i="37"/>
  <c r="T1591" i="37"/>
  <c r="T715" i="37"/>
  <c r="T718" i="37"/>
  <c r="T736" i="37"/>
  <c r="T805" i="37"/>
  <c r="T833" i="37"/>
  <c r="T982" i="37"/>
  <c r="T1136" i="37"/>
  <c r="T1077" i="37"/>
  <c r="T1150" i="37"/>
  <c r="T1166" i="37"/>
  <c r="T1194" i="37"/>
  <c r="T1169" i="37"/>
  <c r="T1236" i="37"/>
  <c r="T1643" i="37"/>
  <c r="T1363" i="37"/>
  <c r="T440" i="37"/>
  <c r="T533" i="37"/>
  <c r="T725" i="37"/>
  <c r="T821" i="37"/>
  <c r="T904" i="37"/>
  <c r="T896" i="37"/>
  <c r="T954" i="37"/>
  <c r="T1019" i="37"/>
  <c r="T1027" i="37"/>
  <c r="T1200" i="37"/>
  <c r="T1233" i="37"/>
  <c r="T1360" i="37"/>
  <c r="T1597" i="37"/>
  <c r="T1583" i="37"/>
  <c r="T1655" i="37"/>
  <c r="T630" i="37"/>
  <c r="T678" i="37"/>
  <c r="T848" i="37"/>
  <c r="T986" i="37"/>
  <c r="T1007" i="37"/>
  <c r="T1033" i="37"/>
  <c r="T1199" i="37"/>
  <c r="T1272" i="37"/>
  <c r="T1377" i="37"/>
  <c r="T795" i="37"/>
  <c r="T905" i="37"/>
  <c r="T970" i="37"/>
  <c r="T966" i="37"/>
  <c r="T1092" i="37"/>
  <c r="T1201" i="37"/>
  <c r="T1185" i="37"/>
  <c r="T1245" i="37"/>
  <c r="T1333" i="37"/>
  <c r="T1621" i="37"/>
  <c r="T1575" i="37"/>
  <c r="T1663" i="37"/>
  <c r="T856" i="37"/>
  <c r="T914" i="37"/>
  <c r="T894" i="37"/>
  <c r="T968" i="37"/>
  <c r="T1012" i="37"/>
  <c r="T1020" i="37"/>
  <c r="T1006" i="37"/>
  <c r="T1078" i="37"/>
  <c r="T1085" i="37"/>
  <c r="T1122" i="37"/>
  <c r="T1158" i="37"/>
  <c r="T1213" i="37"/>
  <c r="T1203" i="37"/>
  <c r="T1189" i="37"/>
  <c r="T1186" i="37"/>
  <c r="T1190" i="37"/>
  <c r="T1454" i="37"/>
  <c r="T1685" i="37"/>
  <c r="T721" i="37"/>
  <c r="T741" i="37"/>
  <c r="T800" i="37"/>
  <c r="T1002" i="37"/>
  <c r="T1093" i="37"/>
  <c r="T1049" i="37"/>
  <c r="T1188" i="37"/>
  <c r="T1204" i="37"/>
  <c r="T1180" i="37"/>
  <c r="T1344" i="37"/>
  <c r="T1605" i="37"/>
  <c r="T1613" i="37"/>
  <c r="T1671" i="37"/>
  <c r="T763" i="37"/>
  <c r="T864" i="37"/>
  <c r="T984" i="37"/>
  <c r="T1015" i="37"/>
  <c r="T1023" i="37"/>
  <c r="T1101" i="37"/>
  <c r="T1084" i="37"/>
  <c r="T1130" i="37"/>
  <c r="T1111" i="37"/>
  <c r="T1127" i="37"/>
  <c r="T1177" i="37"/>
  <c r="T1202" i="37"/>
  <c r="T1178" i="37"/>
  <c r="T1288" i="37"/>
  <c r="T1328" i="37"/>
  <c r="T1339" i="37"/>
  <c r="T1623" i="37"/>
  <c r="T610" i="37"/>
  <c r="T636" i="37"/>
  <c r="T748" i="37"/>
  <c r="T813" i="37"/>
  <c r="T1109" i="37"/>
  <c r="T1000" i="37"/>
  <c r="T1070" i="37"/>
  <c r="T1081" i="37"/>
  <c r="T1116" i="37"/>
  <c r="T1220" i="37"/>
  <c r="T1193" i="37"/>
  <c r="T1192" i="37"/>
  <c r="T1370" i="37"/>
  <c r="T1576" i="37"/>
  <c r="T1589" i="37"/>
  <c r="T1581" i="37"/>
  <c r="T1679" i="37"/>
  <c r="T699" i="37"/>
  <c r="T757" i="37"/>
  <c r="T771" i="37"/>
  <c r="T872" i="37"/>
  <c r="T960" i="37"/>
  <c r="T1011" i="37"/>
  <c r="T1117" i="37"/>
  <c r="T1135" i="37"/>
  <c r="T1125" i="37"/>
  <c r="T1358" i="37"/>
  <c r="T1584" i="37"/>
  <c r="T1688" i="37"/>
  <c r="T1691" i="37"/>
  <c r="N15" i="38"/>
  <c r="F7" i="8" s="1"/>
  <c r="C4" i="30"/>
  <c r="C3" i="30"/>
  <c r="M15" i="38"/>
  <c r="E119" i="28"/>
  <c r="AB31" i="32"/>
  <c r="AA4" i="32"/>
  <c r="AB25" i="32"/>
  <c r="S41" i="32"/>
  <c r="AB40" i="32"/>
  <c r="L4" i="29"/>
  <c r="O4" i="29" s="1"/>
  <c r="B6" i="30"/>
  <c r="C6" i="30" s="1"/>
  <c r="C5" i="30"/>
  <c r="S36" i="32"/>
  <c r="Z36" i="32"/>
  <c r="T19" i="32"/>
  <c r="AD19" i="32" s="1"/>
  <c r="S19" i="32"/>
  <c r="Z19" i="32"/>
  <c r="S7" i="32"/>
  <c r="T23" i="32"/>
  <c r="AD23" i="32" s="1"/>
  <c r="S23" i="32"/>
  <c r="Q13" i="36"/>
  <c r="S13" i="36" s="1"/>
  <c r="S16" i="36" s="1"/>
  <c r="B2" i="31" s="1"/>
  <c r="B4" i="31" s="1"/>
  <c r="B5" i="31" s="1"/>
  <c r="B6" i="31" s="1"/>
  <c r="B7" i="31" s="1"/>
  <c r="B8" i="31" s="1"/>
  <c r="B9" i="31" s="1"/>
  <c r="B10" i="31" s="1"/>
  <c r="B11" i="31" s="1"/>
  <c r="Y10" i="32"/>
  <c r="R10" i="32"/>
  <c r="Z10" i="32" s="1"/>
  <c r="AA10" i="32" s="1"/>
  <c r="T31" i="32"/>
  <c r="AD31" i="32" s="1"/>
  <c r="S31" i="32"/>
  <c r="R3" i="32"/>
  <c r="T3" i="32" s="1"/>
  <c r="AD3" i="32" s="1"/>
  <c r="Y3" i="32"/>
  <c r="AA3" i="32" s="1"/>
  <c r="T15" i="32"/>
  <c r="AD15" i="32" s="1"/>
  <c r="S15" i="32"/>
  <c r="Y9" i="32"/>
  <c r="AA9" i="32" s="1"/>
  <c r="AB9" i="32" s="1"/>
  <c r="R9" i="32"/>
  <c r="S9" i="32" s="1"/>
  <c r="AB13" i="32"/>
  <c r="T35" i="32"/>
  <c r="AD35" i="32" s="1"/>
  <c r="S35" i="32"/>
  <c r="Z35" i="32"/>
  <c r="Z8" i="32"/>
  <c r="T39" i="32"/>
  <c r="AD39" i="32" s="1"/>
  <c r="S39" i="32"/>
  <c r="AB14" i="32"/>
  <c r="AB30" i="32"/>
  <c r="Z9" i="32"/>
  <c r="S21" i="32"/>
  <c r="R4" i="32"/>
  <c r="Y4" i="32"/>
  <c r="AB22" i="32"/>
  <c r="S6" i="32"/>
  <c r="R11" i="32"/>
  <c r="S11" i="32" s="1"/>
  <c r="Y11" i="32"/>
  <c r="AB17" i="32"/>
  <c r="S26" i="32"/>
  <c r="S5" i="32"/>
  <c r="R12" i="32"/>
  <c r="Z12" i="32" s="1"/>
  <c r="Y12" i="32"/>
  <c r="AA12" i="32" s="1"/>
  <c r="Z17" i="32"/>
  <c r="T40" i="32"/>
  <c r="AD40" i="32" s="1"/>
  <c r="AB41" i="32"/>
  <c r="S18" i="32"/>
  <c r="Z15" i="32"/>
  <c r="R5" i="32"/>
  <c r="Y5" i="32"/>
  <c r="T18" i="32"/>
  <c r="AD18" i="32" s="1"/>
  <c r="AB19" i="32"/>
  <c r="S4" i="32"/>
  <c r="Z4" i="32"/>
  <c r="T38" i="32"/>
  <c r="AD38" i="32" s="1"/>
  <c r="Z26" i="32"/>
  <c r="Y6" i="32"/>
  <c r="R6" i="32"/>
  <c r="Z6" i="32" s="1"/>
  <c r="Z25" i="32"/>
  <c r="AB16" i="32"/>
  <c r="AB26" i="32"/>
  <c r="S25" i="32"/>
  <c r="Y7" i="32"/>
  <c r="R7" i="32"/>
  <c r="Z7" i="32" s="1"/>
  <c r="AB27" i="32"/>
  <c r="S12" i="32"/>
  <c r="S22" i="32"/>
  <c r="Z23" i="32"/>
  <c r="Y8" i="32"/>
  <c r="AA8" i="32" s="1"/>
  <c r="R8" i="32"/>
  <c r="AB28" i="32"/>
  <c r="T36" i="32"/>
  <c r="AD36" i="32" s="1"/>
  <c r="Z33" i="32"/>
  <c r="AB24" i="32"/>
  <c r="AB34" i="32"/>
  <c r="T27" i="32"/>
  <c r="AD27" i="32" s="1"/>
  <c r="S27" i="32"/>
  <c r="Z27" i="32"/>
  <c r="S33" i="32"/>
  <c r="AB35" i="32"/>
  <c r="S20" i="32"/>
  <c r="Z20" i="32"/>
  <c r="S3" i="32"/>
  <c r="Z3" i="32"/>
  <c r="S30" i="32"/>
  <c r="K2" i="30"/>
  <c r="L2" i="30" s="1"/>
  <c r="T22" i="32"/>
  <c r="AD22" i="32" s="1"/>
  <c r="Z31" i="32"/>
  <c r="T9" i="32"/>
  <c r="AD9" i="32" s="1"/>
  <c r="Z41" i="32"/>
  <c r="AB32" i="32"/>
  <c r="AB23" i="32"/>
  <c r="S28" i="32"/>
  <c r="Z28" i="32"/>
  <c r="S430" i="9"/>
  <c r="D14" i="28"/>
  <c r="AE493" i="9"/>
  <c r="E124" i="28" s="1"/>
  <c r="E132" i="28"/>
  <c r="AE501" i="9"/>
  <c r="AE459" i="9"/>
  <c r="AE467" i="9"/>
  <c r="AE440" i="9"/>
  <c r="D86" i="28"/>
  <c r="D69" i="28"/>
  <c r="D81" i="28"/>
  <c r="D56" i="28"/>
  <c r="D26" i="28"/>
  <c r="D82" i="28"/>
  <c r="D93" i="28"/>
  <c r="E86" i="28"/>
  <c r="E56" i="28"/>
  <c r="D123" i="28"/>
  <c r="D88" i="28"/>
  <c r="D72" i="28"/>
  <c r="D120" i="28"/>
  <c r="D17" i="28"/>
  <c r="E118" i="28"/>
  <c r="E54" i="28"/>
  <c r="D124" i="28"/>
  <c r="D115" i="28"/>
  <c r="D114" i="28"/>
  <c r="D104" i="28"/>
  <c r="D99" i="28"/>
  <c r="E47" i="28"/>
  <c r="E48" i="28"/>
  <c r="D92" i="28"/>
  <c r="E24" i="28"/>
  <c r="E27" i="28"/>
  <c r="E55" i="28"/>
  <c r="D135" i="28"/>
  <c r="D76" i="28"/>
  <c r="D129" i="28"/>
  <c r="E9" i="28"/>
  <c r="D85" i="28"/>
  <c r="D18" i="28"/>
  <c r="E67" i="28"/>
  <c r="E34" i="28"/>
  <c r="E22" i="28"/>
  <c r="E70" i="28"/>
  <c r="E71" i="28"/>
  <c r="E45" i="28"/>
  <c r="R422" i="9"/>
  <c r="U422" i="9" s="1"/>
  <c r="E46" i="28"/>
  <c r="D79" i="28"/>
  <c r="E68" i="28"/>
  <c r="E5" i="28"/>
  <c r="D113" i="28"/>
  <c r="D94" i="28"/>
  <c r="D132" i="28"/>
  <c r="D117" i="28"/>
  <c r="E25" i="28"/>
  <c r="D111" i="28"/>
  <c r="D121" i="28"/>
  <c r="D73" i="28"/>
  <c r="D112" i="28"/>
  <c r="E4" i="28"/>
  <c r="D101" i="28"/>
  <c r="E6" i="28"/>
  <c r="E66" i="28"/>
  <c r="E64" i="28"/>
  <c r="D87" i="28"/>
  <c r="E21" i="28"/>
  <c r="D118" i="28"/>
  <c r="D133" i="28"/>
  <c r="E23" i="28"/>
  <c r="D16" i="28"/>
  <c r="D44" i="28"/>
  <c r="D122" i="28"/>
  <c r="D105" i="28"/>
  <c r="D131" i="28"/>
  <c r="D97" i="28"/>
  <c r="D130" i="28"/>
  <c r="D102" i="28"/>
  <c r="D109" i="28"/>
  <c r="D80" i="28"/>
  <c r="D95" i="28"/>
  <c r="D98" i="28"/>
  <c r="D91" i="28"/>
  <c r="D100" i="28"/>
  <c r="D108" i="28"/>
  <c r="D106" i="28"/>
  <c r="D84" i="28"/>
  <c r="D103" i="28"/>
  <c r="D110" i="28"/>
  <c r="D83" i="28"/>
  <c r="D54" i="28"/>
  <c r="D15" i="28"/>
  <c r="D119" i="28"/>
  <c r="D74" i="28"/>
  <c r="D126" i="28"/>
  <c r="D125" i="28"/>
  <c r="D78" i="28"/>
  <c r="D75" i="28"/>
  <c r="D77" i="28"/>
  <c r="D107" i="28"/>
  <c r="D127" i="28"/>
  <c r="D90" i="28"/>
  <c r="D116" i="28"/>
  <c r="D128" i="28"/>
  <c r="D134" i="28"/>
  <c r="D89" i="28"/>
  <c r="D96" i="28"/>
  <c r="S408" i="9"/>
  <c r="S419" i="9"/>
  <c r="R388" i="9"/>
  <c r="U388" i="9" s="1"/>
  <c r="Y421" i="9"/>
  <c r="S417" i="9"/>
  <c r="R425" i="9"/>
  <c r="U425" i="9" s="1"/>
  <c r="R411" i="9"/>
  <c r="U411" i="9" s="1"/>
  <c r="R430" i="9"/>
  <c r="U430" i="9" s="1"/>
  <c r="S428" i="9"/>
  <c r="Y415" i="9"/>
  <c r="R389" i="9"/>
  <c r="U389" i="9" s="1"/>
  <c r="R408" i="9"/>
  <c r="U408" i="9" s="1"/>
  <c r="R426" i="9"/>
  <c r="U426" i="9" s="1"/>
  <c r="S429" i="9"/>
  <c r="S406" i="9"/>
  <c r="S410" i="9"/>
  <c r="S412" i="9"/>
  <c r="R372" i="9"/>
  <c r="U372" i="9" s="1"/>
  <c r="R391" i="9"/>
  <c r="U391" i="9" s="1"/>
  <c r="R407" i="9"/>
  <c r="U407" i="9" s="1"/>
  <c r="S416" i="9"/>
  <c r="R421" i="9"/>
  <c r="U421" i="9" s="1"/>
  <c r="S425" i="9"/>
  <c r="S391" i="9"/>
  <c r="S411" i="9"/>
  <c r="R424" i="9"/>
  <c r="U424" i="9" s="1"/>
  <c r="S424" i="9"/>
  <c r="R390" i="9"/>
  <c r="U390" i="9" s="1"/>
  <c r="R410" i="9"/>
  <c r="U410" i="9" s="1"/>
  <c r="R412" i="9"/>
  <c r="U412" i="9" s="1"/>
  <c r="S426" i="9"/>
  <c r="Y406" i="9"/>
  <c r="Y429" i="9"/>
  <c r="Y407" i="9"/>
  <c r="R417" i="9"/>
  <c r="U417" i="9" s="1"/>
  <c r="R419" i="9"/>
  <c r="U419" i="9" s="1"/>
  <c r="Y426" i="9"/>
  <c r="Y411" i="9"/>
  <c r="Y403" i="9"/>
  <c r="Y413" i="9"/>
  <c r="Y416" i="9"/>
  <c r="Y417" i="9"/>
  <c r="Y419" i="9"/>
  <c r="R406" i="9"/>
  <c r="U406" i="9" s="1"/>
  <c r="R428" i="9"/>
  <c r="U428" i="9" s="1"/>
  <c r="R416" i="9"/>
  <c r="U416" i="9" s="1"/>
  <c r="Y408" i="9"/>
  <c r="Y412" i="9"/>
  <c r="Y418" i="9"/>
  <c r="Y420" i="9"/>
  <c r="Y424" i="9"/>
  <c r="R414" i="9"/>
  <c r="U414" i="9" s="1"/>
  <c r="Y422" i="9"/>
  <c r="R429" i="9"/>
  <c r="U429" i="9" s="1"/>
  <c r="S423" i="9"/>
  <c r="S421" i="9"/>
  <c r="S420" i="9"/>
  <c r="S418" i="9"/>
  <c r="S415" i="9"/>
  <c r="S414" i="9"/>
  <c r="S413" i="9"/>
  <c r="Y409" i="9"/>
  <c r="S409" i="9"/>
  <c r="S407" i="9"/>
  <c r="Y414" i="9"/>
  <c r="Y423" i="9"/>
  <c r="Y428" i="9"/>
  <c r="Y410" i="9"/>
  <c r="Y430" i="9"/>
  <c r="Y425" i="9"/>
  <c r="R397" i="9"/>
  <c r="U397" i="9" s="1"/>
  <c r="Y404" i="9"/>
  <c r="S422" i="9"/>
  <c r="S399" i="9"/>
  <c r="R409" i="9"/>
  <c r="U409" i="9" s="1"/>
  <c r="R423" i="9"/>
  <c r="U423" i="9" s="1"/>
  <c r="R420" i="9"/>
  <c r="U420" i="9" s="1"/>
  <c r="Y405" i="9"/>
  <c r="R415" i="9"/>
  <c r="U415" i="9" s="1"/>
  <c r="R413" i="9"/>
  <c r="U413" i="9" s="1"/>
  <c r="Y387" i="9"/>
  <c r="S396" i="9"/>
  <c r="R418" i="9"/>
  <c r="U418" i="9" s="1"/>
  <c r="Y390" i="9"/>
  <c r="R404" i="9"/>
  <c r="U404" i="9" s="1"/>
  <c r="S405" i="9"/>
  <c r="S383" i="9"/>
  <c r="R405" i="9"/>
  <c r="U405" i="9" s="1"/>
  <c r="R396" i="9"/>
  <c r="U396" i="9" s="1"/>
  <c r="S404" i="9"/>
  <c r="R403" i="9"/>
  <c r="U403" i="9" s="1"/>
  <c r="R387" i="9"/>
  <c r="U387" i="9" s="1"/>
  <c r="S403" i="9"/>
  <c r="S402" i="9"/>
  <c r="S395" i="9"/>
  <c r="S393" i="9"/>
  <c r="S392" i="9"/>
  <c r="S390" i="9"/>
  <c r="S389" i="9"/>
  <c r="S387" i="9"/>
  <c r="Y398" i="9"/>
  <c r="Y383" i="9"/>
  <c r="Y391" i="9"/>
  <c r="R385" i="9"/>
  <c r="U385" i="9" s="1"/>
  <c r="Y393" i="9"/>
  <c r="R400" i="9"/>
  <c r="U400" i="9" s="1"/>
  <c r="Y372" i="9"/>
  <c r="S400" i="9"/>
  <c r="S382" i="9"/>
  <c r="Y385" i="9"/>
  <c r="S397" i="9"/>
  <c r="Y400" i="9"/>
  <c r="Y382" i="9"/>
  <c r="R392" i="9"/>
  <c r="U392" i="9" s="1"/>
  <c r="Y397" i="9"/>
  <c r="Y402" i="9"/>
  <c r="R384" i="9"/>
  <c r="U384" i="9" s="1"/>
  <c r="S394" i="9"/>
  <c r="R399" i="9"/>
  <c r="U399" i="9" s="1"/>
  <c r="S384" i="9"/>
  <c r="Y384" i="9"/>
  <c r="S386" i="9"/>
  <c r="Y399" i="9"/>
  <c r="R401" i="9"/>
  <c r="U401" i="9" s="1"/>
  <c r="Y386" i="9"/>
  <c r="R383" i="9"/>
  <c r="U383" i="9" s="1"/>
  <c r="S388" i="9"/>
  <c r="S398" i="9"/>
  <c r="Y401" i="9"/>
  <c r="R394" i="9"/>
  <c r="U394" i="9" s="1"/>
  <c r="Y394" i="9"/>
  <c r="Y389" i="9"/>
  <c r="Y392" i="9"/>
  <c r="Y371" i="9"/>
  <c r="Y396" i="9"/>
  <c r="Y388" i="9"/>
  <c r="Y395" i="9"/>
  <c r="R382" i="9"/>
  <c r="U382" i="9" s="1"/>
  <c r="S385" i="9"/>
  <c r="R398" i="9"/>
  <c r="U398" i="9" s="1"/>
  <c r="S401" i="9"/>
  <c r="R395" i="9"/>
  <c r="U395" i="9" s="1"/>
  <c r="Y375" i="9"/>
  <c r="Y380" i="9"/>
  <c r="R386" i="9"/>
  <c r="U386" i="9" s="1"/>
  <c r="R402" i="9"/>
  <c r="U402" i="9" s="1"/>
  <c r="R393" i="9"/>
  <c r="U393" i="9" s="1"/>
  <c r="R370" i="9"/>
  <c r="U370" i="9" s="1"/>
  <c r="S377" i="9"/>
  <c r="S370" i="9"/>
  <c r="Y370" i="9"/>
  <c r="S372" i="9"/>
  <c r="Y374" i="9"/>
  <c r="S373" i="9"/>
  <c r="S378" i="9"/>
  <c r="S376" i="9"/>
  <c r="S375" i="9"/>
  <c r="S374" i="9"/>
  <c r="S371" i="9"/>
  <c r="Y373" i="9"/>
  <c r="R377" i="9"/>
  <c r="U377" i="9" s="1"/>
  <c r="R381" i="9"/>
  <c r="U381" i="9" s="1"/>
  <c r="Y377" i="9"/>
  <c r="R369" i="9"/>
  <c r="U369" i="9" s="1"/>
  <c r="Y369" i="9"/>
  <c r="Y376" i="9"/>
  <c r="Y378" i="9"/>
  <c r="R378" i="9"/>
  <c r="U378" i="9" s="1"/>
  <c r="R367" i="9"/>
  <c r="U367" i="9" s="1"/>
  <c r="R379" i="9"/>
  <c r="U379" i="9" s="1"/>
  <c r="R375" i="9"/>
  <c r="U375" i="9" s="1"/>
  <c r="S369" i="9"/>
  <c r="R376" i="9"/>
  <c r="U376" i="9" s="1"/>
  <c r="R373" i="9"/>
  <c r="U373" i="9" s="1"/>
  <c r="S379" i="9"/>
  <c r="S381" i="9"/>
  <c r="Y381" i="9"/>
  <c r="S368" i="9"/>
  <c r="Y368" i="9"/>
  <c r="R374" i="9"/>
  <c r="U374" i="9" s="1"/>
  <c r="S367" i="9"/>
  <c r="R371" i="9"/>
  <c r="U371" i="9" s="1"/>
  <c r="S366" i="9"/>
  <c r="S380" i="9"/>
  <c r="Y367" i="9"/>
  <c r="Y379" i="9"/>
  <c r="R380" i="9"/>
  <c r="U380" i="9" s="1"/>
  <c r="R368" i="9"/>
  <c r="U368" i="9" s="1"/>
  <c r="R314" i="9"/>
  <c r="U314" i="9" s="1"/>
  <c r="Y366" i="9"/>
  <c r="R366" i="9"/>
  <c r="U366" i="9" s="1"/>
  <c r="S364" i="9"/>
  <c r="S360" i="9"/>
  <c r="R343" i="9"/>
  <c r="U343" i="9" s="1"/>
  <c r="Y361" i="9"/>
  <c r="S362" i="9"/>
  <c r="R360" i="9"/>
  <c r="U360" i="9" s="1"/>
  <c r="Y360" i="9"/>
  <c r="Y362" i="9"/>
  <c r="R362" i="9"/>
  <c r="U362" i="9" s="1"/>
  <c r="S354" i="9"/>
  <c r="S363" i="9"/>
  <c r="Y364" i="9"/>
  <c r="R361" i="9"/>
  <c r="U361" i="9" s="1"/>
  <c r="S365" i="9"/>
  <c r="Y365" i="9"/>
  <c r="R365" i="9"/>
  <c r="U365" i="9" s="1"/>
  <c r="S361" i="9"/>
  <c r="Y350" i="9"/>
  <c r="R363" i="9"/>
  <c r="U363" i="9" s="1"/>
  <c r="Y363" i="9"/>
  <c r="R364" i="9"/>
  <c r="U364" i="9" s="1"/>
  <c r="R339" i="9"/>
  <c r="U339" i="9" s="1"/>
  <c r="S337" i="9"/>
  <c r="S359" i="9"/>
  <c r="R349" i="9"/>
  <c r="U349" i="9" s="1"/>
  <c r="R351" i="9"/>
  <c r="U351" i="9" s="1"/>
  <c r="S353" i="9"/>
  <c r="S352" i="9"/>
  <c r="S351" i="9"/>
  <c r="S347" i="9"/>
  <c r="S338" i="9"/>
  <c r="R354" i="9"/>
  <c r="U354" i="9" s="1"/>
  <c r="Y354" i="9"/>
  <c r="S343" i="9"/>
  <c r="S345" i="9"/>
  <c r="S349" i="9"/>
  <c r="Y339" i="9"/>
  <c r="S346" i="9"/>
  <c r="S340" i="9"/>
  <c r="Y351" i="9"/>
  <c r="Y349" i="9"/>
  <c r="S350" i="9"/>
  <c r="S358" i="9"/>
  <c r="R352" i="9"/>
  <c r="U352" i="9" s="1"/>
  <c r="Y352" i="9"/>
  <c r="R348" i="9"/>
  <c r="U348" i="9" s="1"/>
  <c r="Y348" i="9"/>
  <c r="Y353" i="9"/>
  <c r="Y344" i="9"/>
  <c r="R353" i="9"/>
  <c r="U353" i="9" s="1"/>
  <c r="S326" i="9"/>
  <c r="R337" i="9"/>
  <c r="U337" i="9" s="1"/>
  <c r="R350" i="9"/>
  <c r="U350" i="9" s="1"/>
  <c r="S344" i="9"/>
  <c r="Y337" i="9"/>
  <c r="S339" i="9"/>
  <c r="S341" i="9"/>
  <c r="S348" i="9"/>
  <c r="S336" i="9"/>
  <c r="Y343" i="9"/>
  <c r="R345" i="9"/>
  <c r="U345" i="9" s="1"/>
  <c r="S342" i="9"/>
  <c r="Y345" i="9"/>
  <c r="Y341" i="9"/>
  <c r="Y346" i="9"/>
  <c r="R346" i="9"/>
  <c r="U346" i="9" s="1"/>
  <c r="Y347" i="9"/>
  <c r="Y336" i="9"/>
  <c r="R338" i="9"/>
  <c r="U338" i="9" s="1"/>
  <c r="Y338" i="9"/>
  <c r="Y340" i="9"/>
  <c r="Y342" i="9"/>
  <c r="R347" i="9"/>
  <c r="U347" i="9" s="1"/>
  <c r="R344" i="9"/>
  <c r="U344" i="9" s="1"/>
  <c r="R341" i="9"/>
  <c r="U341" i="9" s="1"/>
  <c r="Y329" i="9"/>
  <c r="R334" i="9"/>
  <c r="U334" i="9" s="1"/>
  <c r="R342" i="9"/>
  <c r="U342" i="9" s="1"/>
  <c r="R336" i="9"/>
  <c r="U336" i="9" s="1"/>
  <c r="R340" i="9"/>
  <c r="U340" i="9" s="1"/>
  <c r="S334" i="9"/>
  <c r="S333" i="9"/>
  <c r="S332" i="9"/>
  <c r="S330" i="9"/>
  <c r="S329" i="9"/>
  <c r="S323" i="9"/>
  <c r="S322" i="9"/>
  <c r="S320" i="9"/>
  <c r="S318" i="9"/>
  <c r="S317" i="9"/>
  <c r="S316" i="9"/>
  <c r="S314" i="9"/>
  <c r="Y333" i="9"/>
  <c r="S331" i="9"/>
  <c r="Y331" i="9"/>
  <c r="Y326" i="9"/>
  <c r="S328" i="9"/>
  <c r="Y332" i="9"/>
  <c r="Y328" i="9"/>
  <c r="R330" i="9"/>
  <c r="U330" i="9" s="1"/>
  <c r="S335" i="9"/>
  <c r="S327" i="9"/>
  <c r="R325" i="9"/>
  <c r="U325" i="9" s="1"/>
  <c r="Y319" i="9"/>
  <c r="Y330" i="9"/>
  <c r="Y327" i="9"/>
  <c r="Y325" i="9"/>
  <c r="R326" i="9"/>
  <c r="U326" i="9" s="1"/>
  <c r="R355" i="9"/>
  <c r="U355" i="9" s="1"/>
  <c r="S357" i="9"/>
  <c r="S319" i="9"/>
  <c r="Y322" i="9"/>
  <c r="R333" i="9"/>
  <c r="U333" i="9" s="1"/>
  <c r="R327" i="9"/>
  <c r="U327" i="9" s="1"/>
  <c r="R331" i="9"/>
  <c r="U331" i="9" s="1"/>
  <c r="R321" i="9"/>
  <c r="U321" i="9" s="1"/>
  <c r="Y321" i="9"/>
  <c r="R328" i="9"/>
  <c r="U328" i="9" s="1"/>
  <c r="R320" i="9"/>
  <c r="U320" i="9" s="1"/>
  <c r="S325" i="9"/>
  <c r="Y314" i="9"/>
  <c r="R332" i="9"/>
  <c r="U332" i="9" s="1"/>
  <c r="R329" i="9"/>
  <c r="U329" i="9" s="1"/>
  <c r="Y320" i="9"/>
  <c r="Y316" i="9"/>
  <c r="Y318" i="9"/>
  <c r="R323" i="9"/>
  <c r="U323" i="9" s="1"/>
  <c r="Y323" i="9"/>
  <c r="R324" i="9"/>
  <c r="U324" i="9" s="1"/>
  <c r="R315" i="9"/>
  <c r="U315" i="9" s="1"/>
  <c r="Y324" i="9"/>
  <c r="Y317" i="9"/>
  <c r="Y315" i="9"/>
  <c r="R318" i="9"/>
  <c r="U318" i="9" s="1"/>
  <c r="S321" i="9"/>
  <c r="S324" i="9"/>
  <c r="S355" i="9"/>
  <c r="S315" i="9"/>
  <c r="R322" i="9"/>
  <c r="U322" i="9" s="1"/>
  <c r="Y355" i="9"/>
  <c r="R319" i="9"/>
  <c r="U319" i="9" s="1"/>
  <c r="R316" i="9"/>
  <c r="U316" i="9" s="1"/>
  <c r="S313" i="9"/>
  <c r="R335" i="9"/>
  <c r="U335" i="9" s="1"/>
  <c r="S356" i="9"/>
  <c r="Y356" i="9"/>
  <c r="R317" i="9"/>
  <c r="U317" i="9" s="1"/>
  <c r="Y313" i="9"/>
  <c r="Y335" i="9"/>
  <c r="Y334" i="9"/>
  <c r="R357" i="9"/>
  <c r="U357" i="9" s="1"/>
  <c r="Y359" i="9"/>
  <c r="Y357" i="9"/>
  <c r="Y358" i="9"/>
  <c r="R359" i="9"/>
  <c r="U359" i="9" s="1"/>
  <c r="R356" i="9"/>
  <c r="U356" i="9" s="1"/>
  <c r="R358" i="9"/>
  <c r="U358" i="9" s="1"/>
  <c r="R313" i="9"/>
  <c r="U313" i="9" s="1"/>
  <c r="AD307" i="9"/>
  <c r="AE307" i="9" s="1"/>
  <c r="AA307" i="9"/>
  <c r="W307" i="9"/>
  <c r="X307" i="9" s="1"/>
  <c r="T307" i="9"/>
  <c r="Q307" i="9"/>
  <c r="M307" i="9"/>
  <c r="N307" i="9" s="1"/>
  <c r="AD306" i="9"/>
  <c r="AE306" i="9" s="1"/>
  <c r="AA306" i="9"/>
  <c r="W306" i="9"/>
  <c r="X306" i="9" s="1"/>
  <c r="T306" i="9"/>
  <c r="Q306" i="9"/>
  <c r="M306" i="9"/>
  <c r="N306" i="9" s="1"/>
  <c r="AD305" i="9"/>
  <c r="AE305" i="9" s="1"/>
  <c r="AA305" i="9"/>
  <c r="W305" i="9"/>
  <c r="X305" i="9" s="1"/>
  <c r="T305" i="9"/>
  <c r="Q305" i="9"/>
  <c r="M305" i="9"/>
  <c r="N305" i="9" s="1"/>
  <c r="AD304" i="9"/>
  <c r="AE304" i="9" s="1"/>
  <c r="AA304" i="9"/>
  <c r="W304" i="9"/>
  <c r="X304" i="9" s="1"/>
  <c r="T304" i="9"/>
  <c r="Q304" i="9"/>
  <c r="M304" i="9"/>
  <c r="N304" i="9" s="1"/>
  <c r="AD303" i="9"/>
  <c r="AE303" i="9" s="1"/>
  <c r="AA303" i="9"/>
  <c r="W303" i="9"/>
  <c r="X303" i="9" s="1"/>
  <c r="T303" i="9"/>
  <c r="Q303" i="9"/>
  <c r="M303" i="9"/>
  <c r="N303" i="9" s="1"/>
  <c r="AD302" i="9"/>
  <c r="AE302" i="9" s="1"/>
  <c r="AA302" i="9"/>
  <c r="W302" i="9"/>
  <c r="X302" i="9" s="1"/>
  <c r="T302" i="9"/>
  <c r="Q302" i="9"/>
  <c r="M302" i="9"/>
  <c r="N302" i="9" s="1"/>
  <c r="AD301" i="9"/>
  <c r="AE301" i="9" s="1"/>
  <c r="AA301" i="9"/>
  <c r="W301" i="9"/>
  <c r="X301" i="9" s="1"/>
  <c r="T301" i="9"/>
  <c r="Q301" i="9"/>
  <c r="M301" i="9"/>
  <c r="N301" i="9" s="1"/>
  <c r="AD300" i="9"/>
  <c r="AE300" i="9" s="1"/>
  <c r="AA300" i="9"/>
  <c r="W300" i="9"/>
  <c r="X300" i="9" s="1"/>
  <c r="T300" i="9"/>
  <c r="Q300" i="9"/>
  <c r="M300" i="9"/>
  <c r="N300" i="9" s="1"/>
  <c r="AD299" i="9"/>
  <c r="AE299" i="9" s="1"/>
  <c r="AA299" i="9"/>
  <c r="W299" i="9"/>
  <c r="X299" i="9" s="1"/>
  <c r="T299" i="9"/>
  <c r="Q299" i="9"/>
  <c r="M299" i="9"/>
  <c r="N299" i="9" s="1"/>
  <c r="AD298" i="9"/>
  <c r="AE298" i="9" s="1"/>
  <c r="AA298" i="9"/>
  <c r="W298" i="9"/>
  <c r="X298" i="9" s="1"/>
  <c r="T298" i="9"/>
  <c r="Q298" i="9"/>
  <c r="M298" i="9"/>
  <c r="N298" i="9" s="1"/>
  <c r="AD297" i="9"/>
  <c r="AE297" i="9" s="1"/>
  <c r="AA297" i="9"/>
  <c r="W297" i="9"/>
  <c r="X297" i="9" s="1"/>
  <c r="T297" i="9"/>
  <c r="Q297" i="9"/>
  <c r="M297" i="9"/>
  <c r="N297" i="9" s="1"/>
  <c r="AD296" i="9"/>
  <c r="AE296" i="9" s="1"/>
  <c r="AA296" i="9"/>
  <c r="W296" i="9"/>
  <c r="X296" i="9" s="1"/>
  <c r="T296" i="9"/>
  <c r="Q296" i="9"/>
  <c r="M296" i="9"/>
  <c r="N296" i="9" s="1"/>
  <c r="AD295" i="9"/>
  <c r="AE295" i="9" s="1"/>
  <c r="AA295" i="9"/>
  <c r="W295" i="9"/>
  <c r="X295" i="9" s="1"/>
  <c r="T295" i="9"/>
  <c r="Q295" i="9"/>
  <c r="M295" i="9"/>
  <c r="N295" i="9" s="1"/>
  <c r="AD285" i="9"/>
  <c r="AE285" i="9" s="1"/>
  <c r="AA285" i="9"/>
  <c r="W285" i="9"/>
  <c r="X285" i="9" s="1"/>
  <c r="T285" i="9"/>
  <c r="Q285" i="9"/>
  <c r="M285" i="9"/>
  <c r="N285" i="9" s="1"/>
  <c r="AD284" i="9"/>
  <c r="AE284" i="9" s="1"/>
  <c r="AA284" i="9"/>
  <c r="W284" i="9"/>
  <c r="X284" i="9" s="1"/>
  <c r="T284" i="9"/>
  <c r="Q284" i="9"/>
  <c r="M284" i="9"/>
  <c r="N284" i="9" s="1"/>
  <c r="AD282" i="9"/>
  <c r="AE282" i="9" s="1"/>
  <c r="AA282" i="9"/>
  <c r="W282" i="9"/>
  <c r="X282" i="9" s="1"/>
  <c r="T282" i="9"/>
  <c r="Q282" i="9"/>
  <c r="M282" i="9"/>
  <c r="N282" i="9" s="1"/>
  <c r="AD279" i="9"/>
  <c r="AE279" i="9" s="1"/>
  <c r="AA279" i="9"/>
  <c r="W279" i="9"/>
  <c r="X279" i="9" s="1"/>
  <c r="T279" i="9"/>
  <c r="Q279" i="9"/>
  <c r="M279" i="9"/>
  <c r="N279" i="9" s="1"/>
  <c r="AD276" i="9"/>
  <c r="AE276" i="9" s="1"/>
  <c r="AA276" i="9"/>
  <c r="W276" i="9"/>
  <c r="X276" i="9" s="1"/>
  <c r="T276" i="9"/>
  <c r="Q276" i="9"/>
  <c r="M276" i="9"/>
  <c r="N276" i="9" s="1"/>
  <c r="AD275" i="9"/>
  <c r="AE275" i="9" s="1"/>
  <c r="AA275" i="9"/>
  <c r="W275" i="9"/>
  <c r="X275" i="9" s="1"/>
  <c r="T275" i="9"/>
  <c r="Q275" i="9"/>
  <c r="M275" i="9"/>
  <c r="N275" i="9" s="1"/>
  <c r="AD274" i="9"/>
  <c r="AE274" i="9" s="1"/>
  <c r="AA274" i="9"/>
  <c r="W274" i="9"/>
  <c r="X274" i="9" s="1"/>
  <c r="T274" i="9"/>
  <c r="Q274" i="9"/>
  <c r="M274" i="9"/>
  <c r="N274" i="9" s="1"/>
  <c r="AD271" i="9"/>
  <c r="AE271" i="9" s="1"/>
  <c r="AA271" i="9"/>
  <c r="W271" i="9"/>
  <c r="X271" i="9" s="1"/>
  <c r="T271" i="9"/>
  <c r="Q271" i="9"/>
  <c r="M271" i="9"/>
  <c r="N271" i="9" s="1"/>
  <c r="AD270" i="9"/>
  <c r="AE270" i="9" s="1"/>
  <c r="AA270" i="9"/>
  <c r="W270" i="9"/>
  <c r="X270" i="9" s="1"/>
  <c r="T270" i="9"/>
  <c r="Q270" i="9"/>
  <c r="M270" i="9"/>
  <c r="N270" i="9" s="1"/>
  <c r="AD269" i="9"/>
  <c r="AE269" i="9" s="1"/>
  <c r="AA269" i="9"/>
  <c r="W269" i="9"/>
  <c r="X269" i="9" s="1"/>
  <c r="T269" i="9"/>
  <c r="Q269" i="9"/>
  <c r="M269" i="9"/>
  <c r="N269" i="9" s="1"/>
  <c r="AD268" i="9"/>
  <c r="AE268" i="9" s="1"/>
  <c r="AA268" i="9"/>
  <c r="W268" i="9"/>
  <c r="X268" i="9" s="1"/>
  <c r="T268" i="9"/>
  <c r="Q268" i="9"/>
  <c r="M268" i="9"/>
  <c r="N268" i="9" s="1"/>
  <c r="AD267" i="9"/>
  <c r="AE267" i="9" s="1"/>
  <c r="AA267" i="9"/>
  <c r="W267" i="9"/>
  <c r="X267" i="9" s="1"/>
  <c r="T267" i="9"/>
  <c r="Q267" i="9"/>
  <c r="M267" i="9"/>
  <c r="N267" i="9" s="1"/>
  <c r="AD266" i="9"/>
  <c r="AE266" i="9" s="1"/>
  <c r="AA266" i="9"/>
  <c r="W266" i="9"/>
  <c r="X266" i="9" s="1"/>
  <c r="T266" i="9"/>
  <c r="Q266" i="9"/>
  <c r="M266" i="9"/>
  <c r="N266" i="9" s="1"/>
  <c r="AD265" i="9"/>
  <c r="AE265" i="9" s="1"/>
  <c r="AA265" i="9"/>
  <c r="W265" i="9"/>
  <c r="X265" i="9" s="1"/>
  <c r="T265" i="9"/>
  <c r="Q265" i="9"/>
  <c r="M265" i="9"/>
  <c r="N265" i="9" s="1"/>
  <c r="AD264" i="9"/>
  <c r="AE264" i="9" s="1"/>
  <c r="AA264" i="9"/>
  <c r="W264" i="9"/>
  <c r="X264" i="9" s="1"/>
  <c r="T264" i="9"/>
  <c r="Q264" i="9"/>
  <c r="M264" i="9"/>
  <c r="N264" i="9" s="1"/>
  <c r="AD263" i="9"/>
  <c r="AE263" i="9" s="1"/>
  <c r="AA263" i="9"/>
  <c r="W263" i="9"/>
  <c r="X263" i="9" s="1"/>
  <c r="T263" i="9"/>
  <c r="Q263" i="9"/>
  <c r="M263" i="9"/>
  <c r="N263" i="9" s="1"/>
  <c r="AD262" i="9"/>
  <c r="AE262" i="9" s="1"/>
  <c r="AA262" i="9"/>
  <c r="W262" i="9"/>
  <c r="X262" i="9" s="1"/>
  <c r="T262" i="9"/>
  <c r="Q262" i="9"/>
  <c r="M262" i="9"/>
  <c r="N262" i="9" s="1"/>
  <c r="AD261" i="9"/>
  <c r="AE261" i="9" s="1"/>
  <c r="AA261" i="9"/>
  <c r="W261" i="9"/>
  <c r="X261" i="9" s="1"/>
  <c r="T261" i="9"/>
  <c r="Q261" i="9"/>
  <c r="M261" i="9"/>
  <c r="N261" i="9" s="1"/>
  <c r="AD260" i="9"/>
  <c r="AE260" i="9" s="1"/>
  <c r="AA260" i="9"/>
  <c r="W260" i="9"/>
  <c r="X260" i="9" s="1"/>
  <c r="T260" i="9"/>
  <c r="Q260" i="9"/>
  <c r="M260" i="9"/>
  <c r="N260" i="9" s="1"/>
  <c r="AD259" i="9"/>
  <c r="AE259" i="9" s="1"/>
  <c r="AA259" i="9"/>
  <c r="W259" i="9"/>
  <c r="X259" i="9" s="1"/>
  <c r="T259" i="9"/>
  <c r="Q259" i="9"/>
  <c r="M259" i="9"/>
  <c r="N259" i="9" s="1"/>
  <c r="AD258" i="9"/>
  <c r="AE258" i="9" s="1"/>
  <c r="AA258" i="9"/>
  <c r="W258" i="9"/>
  <c r="X258" i="9" s="1"/>
  <c r="T258" i="9"/>
  <c r="Q258" i="9"/>
  <c r="M258" i="9"/>
  <c r="N258" i="9" s="1"/>
  <c r="AD257" i="9"/>
  <c r="AE257" i="9" s="1"/>
  <c r="AA257" i="9"/>
  <c r="W257" i="9"/>
  <c r="X257" i="9" s="1"/>
  <c r="T257" i="9"/>
  <c r="Q257" i="9"/>
  <c r="M257" i="9"/>
  <c r="N257" i="9" s="1"/>
  <c r="AD256" i="9"/>
  <c r="AE256" i="9" s="1"/>
  <c r="AA256" i="9"/>
  <c r="W256" i="9"/>
  <c r="X256" i="9" s="1"/>
  <c r="T256" i="9"/>
  <c r="Q256" i="9"/>
  <c r="M256" i="9"/>
  <c r="N256" i="9" s="1"/>
  <c r="AD255" i="9"/>
  <c r="AE255" i="9" s="1"/>
  <c r="AA255" i="9"/>
  <c r="W255" i="9"/>
  <c r="X255" i="9" s="1"/>
  <c r="T255" i="9"/>
  <c r="Q255" i="9"/>
  <c r="M255" i="9"/>
  <c r="N255" i="9" s="1"/>
  <c r="AD254" i="9"/>
  <c r="AE254" i="9" s="1"/>
  <c r="AA254" i="9"/>
  <c r="W254" i="9"/>
  <c r="X254" i="9" s="1"/>
  <c r="T254" i="9"/>
  <c r="Q254" i="9"/>
  <c r="M254" i="9"/>
  <c r="N254" i="9" s="1"/>
  <c r="AD253" i="9"/>
  <c r="AE253" i="9" s="1"/>
  <c r="AA253" i="9"/>
  <c r="W253" i="9"/>
  <c r="X253" i="9" s="1"/>
  <c r="T253" i="9"/>
  <c r="Q253" i="9"/>
  <c r="M253" i="9"/>
  <c r="N253" i="9" s="1"/>
  <c r="AD252" i="9"/>
  <c r="AE252" i="9" s="1"/>
  <c r="AA252" i="9"/>
  <c r="W252" i="9"/>
  <c r="X252" i="9" s="1"/>
  <c r="T252" i="9"/>
  <c r="Q252" i="9"/>
  <c r="M252" i="9"/>
  <c r="N252" i="9" s="1"/>
  <c r="AD251" i="9"/>
  <c r="AE251" i="9" s="1"/>
  <c r="AA251" i="9"/>
  <c r="W251" i="9"/>
  <c r="X251" i="9" s="1"/>
  <c r="T251" i="9"/>
  <c r="Q251" i="9"/>
  <c r="M251" i="9"/>
  <c r="N251" i="9" s="1"/>
  <c r="AD250" i="9"/>
  <c r="AE250" i="9" s="1"/>
  <c r="AA250" i="9"/>
  <c r="W250" i="9"/>
  <c r="X250" i="9" s="1"/>
  <c r="T250" i="9"/>
  <c r="Q250" i="9"/>
  <c r="M250" i="9"/>
  <c r="N250" i="9" s="1"/>
  <c r="AD249" i="9"/>
  <c r="AE249" i="9" s="1"/>
  <c r="AA249" i="9"/>
  <c r="W249" i="9"/>
  <c r="X249" i="9" s="1"/>
  <c r="T249" i="9"/>
  <c r="Q249" i="9"/>
  <c r="M249" i="9"/>
  <c r="N249" i="9" s="1"/>
  <c r="AD248" i="9"/>
  <c r="AE248" i="9" s="1"/>
  <c r="AA248" i="9"/>
  <c r="W248" i="9"/>
  <c r="X248" i="9" s="1"/>
  <c r="T248" i="9"/>
  <c r="Q248" i="9"/>
  <c r="M248" i="9"/>
  <c r="N248" i="9" s="1"/>
  <c r="AD247" i="9"/>
  <c r="AE247" i="9" s="1"/>
  <c r="AA247" i="9"/>
  <c r="W247" i="9"/>
  <c r="X247" i="9" s="1"/>
  <c r="T247" i="9"/>
  <c r="Q247" i="9"/>
  <c r="M247" i="9"/>
  <c r="N247" i="9" s="1"/>
  <c r="AD246" i="9"/>
  <c r="AE246" i="9" s="1"/>
  <c r="AA246" i="9"/>
  <c r="W246" i="9"/>
  <c r="X246" i="9" s="1"/>
  <c r="T246" i="9"/>
  <c r="Q246" i="9"/>
  <c r="M246" i="9"/>
  <c r="N246" i="9" s="1"/>
  <c r="AD245" i="9"/>
  <c r="AE245" i="9" s="1"/>
  <c r="AA245" i="9"/>
  <c r="W245" i="9"/>
  <c r="X245" i="9" s="1"/>
  <c r="T245" i="9"/>
  <c r="Q245" i="9"/>
  <c r="M245" i="9"/>
  <c r="N245" i="9" s="1"/>
  <c r="AD241" i="9"/>
  <c r="AE241" i="9" s="1"/>
  <c r="AA241" i="9"/>
  <c r="W241" i="9"/>
  <c r="X241" i="9" s="1"/>
  <c r="T241" i="9"/>
  <c r="Q241" i="9"/>
  <c r="M241" i="9"/>
  <c r="N241" i="9" s="1"/>
  <c r="AD240" i="9"/>
  <c r="AE240" i="9" s="1"/>
  <c r="AA240" i="9"/>
  <c r="W240" i="9"/>
  <c r="X240" i="9" s="1"/>
  <c r="T240" i="9"/>
  <c r="Q240" i="9"/>
  <c r="M240" i="9"/>
  <c r="N240" i="9" s="1"/>
  <c r="AD239" i="9"/>
  <c r="AE239" i="9" s="1"/>
  <c r="AA239" i="9"/>
  <c r="W239" i="9"/>
  <c r="X239" i="9" s="1"/>
  <c r="T239" i="9"/>
  <c r="Q239" i="9"/>
  <c r="M239" i="9"/>
  <c r="N239" i="9" s="1"/>
  <c r="AD238" i="9"/>
  <c r="AE238" i="9" s="1"/>
  <c r="AA238" i="9"/>
  <c r="W238" i="9"/>
  <c r="X238" i="9" s="1"/>
  <c r="T238" i="9"/>
  <c r="Q238" i="9"/>
  <c r="M238" i="9"/>
  <c r="N238" i="9" s="1"/>
  <c r="AD237" i="9"/>
  <c r="AE237" i="9" s="1"/>
  <c r="AA237" i="9"/>
  <c r="W237" i="9"/>
  <c r="X237" i="9" s="1"/>
  <c r="T237" i="9"/>
  <c r="Q237" i="9"/>
  <c r="M237" i="9"/>
  <c r="N237" i="9" s="1"/>
  <c r="AD236" i="9"/>
  <c r="AE236" i="9" s="1"/>
  <c r="AA236" i="9"/>
  <c r="W236" i="9"/>
  <c r="X236" i="9" s="1"/>
  <c r="T236" i="9"/>
  <c r="Q236" i="9"/>
  <c r="M236" i="9"/>
  <c r="N236" i="9" s="1"/>
  <c r="AD235" i="9"/>
  <c r="AE235" i="9" s="1"/>
  <c r="AA235" i="9"/>
  <c r="W235" i="9"/>
  <c r="X235" i="9" s="1"/>
  <c r="T235" i="9"/>
  <c r="Q235" i="9"/>
  <c r="M235" i="9"/>
  <c r="N235" i="9" s="1"/>
  <c r="AD234" i="9"/>
  <c r="AE234" i="9" s="1"/>
  <c r="AA234" i="9"/>
  <c r="W234" i="9"/>
  <c r="X234" i="9" s="1"/>
  <c r="T234" i="9"/>
  <c r="Q234" i="9"/>
  <c r="M234" i="9"/>
  <c r="N234" i="9" s="1"/>
  <c r="AD233" i="9"/>
  <c r="AE233" i="9" s="1"/>
  <c r="AA233" i="9"/>
  <c r="W233" i="9"/>
  <c r="X233" i="9" s="1"/>
  <c r="T233" i="9"/>
  <c r="Q233" i="9"/>
  <c r="M233" i="9"/>
  <c r="N233" i="9" s="1"/>
  <c r="AD232" i="9"/>
  <c r="AE232" i="9" s="1"/>
  <c r="AA232" i="9"/>
  <c r="W232" i="9"/>
  <c r="X232" i="9" s="1"/>
  <c r="T232" i="9"/>
  <c r="Q232" i="9"/>
  <c r="M232" i="9"/>
  <c r="N232" i="9" s="1"/>
  <c r="AD231" i="9"/>
  <c r="AE231" i="9" s="1"/>
  <c r="AA231" i="9"/>
  <c r="W231" i="9"/>
  <c r="X231" i="9" s="1"/>
  <c r="T231" i="9"/>
  <c r="Q231" i="9"/>
  <c r="M231" i="9"/>
  <c r="N231" i="9" s="1"/>
  <c r="AD230" i="9"/>
  <c r="AE230" i="9" s="1"/>
  <c r="AA230" i="9"/>
  <c r="W230" i="9"/>
  <c r="X230" i="9" s="1"/>
  <c r="T230" i="9"/>
  <c r="Q230" i="9"/>
  <c r="M230" i="9"/>
  <c r="N230" i="9" s="1"/>
  <c r="AD229" i="9"/>
  <c r="AE229" i="9" s="1"/>
  <c r="AA229" i="9"/>
  <c r="W229" i="9"/>
  <c r="X229" i="9" s="1"/>
  <c r="T229" i="9"/>
  <c r="Q229" i="9"/>
  <c r="M229" i="9"/>
  <c r="N229" i="9" s="1"/>
  <c r="AD227" i="9"/>
  <c r="AE227" i="9" s="1"/>
  <c r="AA227" i="9"/>
  <c r="W227" i="9"/>
  <c r="X227" i="9" s="1"/>
  <c r="T227" i="9"/>
  <c r="Q227" i="9"/>
  <c r="M227" i="9"/>
  <c r="N227" i="9" s="1"/>
  <c r="AD226" i="9"/>
  <c r="AE226" i="9" s="1"/>
  <c r="AA226" i="9"/>
  <c r="W226" i="9"/>
  <c r="X226" i="9" s="1"/>
  <c r="T226" i="9"/>
  <c r="Q226" i="9"/>
  <c r="M226" i="9"/>
  <c r="N226" i="9" s="1"/>
  <c r="AD225" i="9"/>
  <c r="AE225" i="9" s="1"/>
  <c r="AA225" i="9"/>
  <c r="W225" i="9"/>
  <c r="X225" i="9" s="1"/>
  <c r="T225" i="9"/>
  <c r="Q225" i="9"/>
  <c r="M225" i="9"/>
  <c r="N225" i="9" s="1"/>
  <c r="AD224" i="9"/>
  <c r="AE224" i="9" s="1"/>
  <c r="AA224" i="9"/>
  <c r="W224" i="9"/>
  <c r="X224" i="9" s="1"/>
  <c r="T224" i="9"/>
  <c r="Q224" i="9"/>
  <c r="M224" i="9"/>
  <c r="N224" i="9" s="1"/>
  <c r="AD223" i="9"/>
  <c r="AE223" i="9" s="1"/>
  <c r="AA223" i="9"/>
  <c r="W223" i="9"/>
  <c r="X223" i="9" s="1"/>
  <c r="T223" i="9"/>
  <c r="Q223" i="9"/>
  <c r="M223" i="9"/>
  <c r="N223" i="9" s="1"/>
  <c r="AD222" i="9"/>
  <c r="AE222" i="9" s="1"/>
  <c r="AA222" i="9"/>
  <c r="W222" i="9"/>
  <c r="X222" i="9" s="1"/>
  <c r="T222" i="9"/>
  <c r="Q222" i="9"/>
  <c r="M222" i="9"/>
  <c r="N222" i="9" s="1"/>
  <c r="AD221" i="9"/>
  <c r="AE221" i="9" s="1"/>
  <c r="AA221" i="9"/>
  <c r="W221" i="9"/>
  <c r="X221" i="9" s="1"/>
  <c r="T221" i="9"/>
  <c r="Q221" i="9"/>
  <c r="M221" i="9"/>
  <c r="N221" i="9" s="1"/>
  <c r="AD220" i="9"/>
  <c r="AE220" i="9" s="1"/>
  <c r="AA220" i="9"/>
  <c r="W220" i="9"/>
  <c r="X220" i="9" s="1"/>
  <c r="T220" i="9"/>
  <c r="Q220" i="9"/>
  <c r="M220" i="9"/>
  <c r="N220" i="9" s="1"/>
  <c r="AD219" i="9"/>
  <c r="AE219" i="9" s="1"/>
  <c r="AA219" i="9"/>
  <c r="W219" i="9"/>
  <c r="X219" i="9" s="1"/>
  <c r="T219" i="9"/>
  <c r="Q219" i="9"/>
  <c r="M219" i="9"/>
  <c r="N219" i="9" s="1"/>
  <c r="AD218" i="9"/>
  <c r="AE218" i="9" s="1"/>
  <c r="AA218" i="9"/>
  <c r="W218" i="9"/>
  <c r="X218" i="9" s="1"/>
  <c r="T218" i="9"/>
  <c r="Q218" i="9"/>
  <c r="M218" i="9"/>
  <c r="N218" i="9" s="1"/>
  <c r="AD217" i="9"/>
  <c r="AE217" i="9" s="1"/>
  <c r="AA217" i="9"/>
  <c r="W217" i="9"/>
  <c r="X217" i="9" s="1"/>
  <c r="T217" i="9"/>
  <c r="Q217" i="9"/>
  <c r="M217" i="9"/>
  <c r="N217" i="9" s="1"/>
  <c r="AD216" i="9"/>
  <c r="AE216" i="9" s="1"/>
  <c r="AA216" i="9"/>
  <c r="W216" i="9"/>
  <c r="X216" i="9" s="1"/>
  <c r="T216" i="9"/>
  <c r="Q216" i="9"/>
  <c r="M216" i="9"/>
  <c r="N216" i="9" s="1"/>
  <c r="AD215" i="9"/>
  <c r="AE215" i="9" s="1"/>
  <c r="AA215" i="9"/>
  <c r="W215" i="9"/>
  <c r="X215" i="9" s="1"/>
  <c r="T215" i="9"/>
  <c r="Q215" i="9"/>
  <c r="M215" i="9"/>
  <c r="N215" i="9" s="1"/>
  <c r="W213" i="9"/>
  <c r="X213" i="9" s="1"/>
  <c r="T213" i="9"/>
  <c r="Q213" i="9"/>
  <c r="M213" i="9"/>
  <c r="N213" i="9" s="1"/>
  <c r="AD211" i="9"/>
  <c r="AE211" i="9" s="1"/>
  <c r="AA211" i="9"/>
  <c r="W211" i="9"/>
  <c r="X211" i="9" s="1"/>
  <c r="T211" i="9"/>
  <c r="Q211" i="9"/>
  <c r="M211" i="9"/>
  <c r="N211" i="9" s="1"/>
  <c r="AD210" i="9"/>
  <c r="AE210" i="9" s="1"/>
  <c r="AA210" i="9"/>
  <c r="W210" i="9"/>
  <c r="X210" i="9" s="1"/>
  <c r="T210" i="9"/>
  <c r="Q210" i="9"/>
  <c r="M210" i="9"/>
  <c r="N210" i="9" s="1"/>
  <c r="AD208" i="9"/>
  <c r="AE208" i="9" s="1"/>
  <c r="AA208" i="9"/>
  <c r="W208" i="9"/>
  <c r="X208" i="9" s="1"/>
  <c r="T208" i="9"/>
  <c r="Q208" i="9"/>
  <c r="M208" i="9"/>
  <c r="N208" i="9" s="1"/>
  <c r="AD207" i="9"/>
  <c r="AE207" i="9" s="1"/>
  <c r="AA207" i="9"/>
  <c r="W207" i="9"/>
  <c r="X207" i="9" s="1"/>
  <c r="T207" i="9"/>
  <c r="Q207" i="9"/>
  <c r="M207" i="9"/>
  <c r="N207" i="9" s="1"/>
  <c r="AD206" i="9"/>
  <c r="AE206" i="9" s="1"/>
  <c r="AA206" i="9"/>
  <c r="W206" i="9"/>
  <c r="X206" i="9" s="1"/>
  <c r="T206" i="9"/>
  <c r="Q206" i="9"/>
  <c r="M206" i="9"/>
  <c r="N206" i="9" s="1"/>
  <c r="AD205" i="9"/>
  <c r="AE205" i="9" s="1"/>
  <c r="AA205" i="9"/>
  <c r="W205" i="9"/>
  <c r="X205" i="9" s="1"/>
  <c r="T205" i="9"/>
  <c r="Q205" i="9"/>
  <c r="M205" i="9"/>
  <c r="N205" i="9" s="1"/>
  <c r="AD204" i="9"/>
  <c r="AE204" i="9" s="1"/>
  <c r="AA204" i="9"/>
  <c r="W204" i="9"/>
  <c r="X204" i="9" s="1"/>
  <c r="T204" i="9"/>
  <c r="Q204" i="9"/>
  <c r="M204" i="9"/>
  <c r="N204" i="9" s="1"/>
  <c r="AD203" i="9"/>
  <c r="AE203" i="9" s="1"/>
  <c r="AA203" i="9"/>
  <c r="W203" i="9"/>
  <c r="X203" i="9" s="1"/>
  <c r="T203" i="9"/>
  <c r="Q203" i="9"/>
  <c r="M203" i="9"/>
  <c r="N203" i="9" s="1"/>
  <c r="AD202" i="9"/>
  <c r="AE202" i="9" s="1"/>
  <c r="AA202" i="9"/>
  <c r="W202" i="9"/>
  <c r="X202" i="9" s="1"/>
  <c r="T202" i="9"/>
  <c r="Q202" i="9"/>
  <c r="M202" i="9"/>
  <c r="N202" i="9" s="1"/>
  <c r="AD201" i="9"/>
  <c r="AE201" i="9" s="1"/>
  <c r="AA201" i="9"/>
  <c r="W201" i="9"/>
  <c r="X201" i="9" s="1"/>
  <c r="T201" i="9"/>
  <c r="Q201" i="9"/>
  <c r="M201" i="9"/>
  <c r="N201" i="9" s="1"/>
  <c r="AD200" i="9"/>
  <c r="AE200" i="9" s="1"/>
  <c r="AA200" i="9"/>
  <c r="W200" i="9"/>
  <c r="X200" i="9" s="1"/>
  <c r="T200" i="9"/>
  <c r="Q200" i="9"/>
  <c r="M200" i="9"/>
  <c r="N200" i="9" s="1"/>
  <c r="AD199" i="9"/>
  <c r="AE199" i="9" s="1"/>
  <c r="AA199" i="9"/>
  <c r="W199" i="9"/>
  <c r="X199" i="9" s="1"/>
  <c r="T199" i="9"/>
  <c r="Q199" i="9"/>
  <c r="M199" i="9"/>
  <c r="N199" i="9" s="1"/>
  <c r="AD198" i="9"/>
  <c r="AE198" i="9" s="1"/>
  <c r="AA198" i="9"/>
  <c r="W198" i="9"/>
  <c r="X198" i="9" s="1"/>
  <c r="T198" i="9"/>
  <c r="Q198" i="9"/>
  <c r="M198" i="9"/>
  <c r="N198" i="9" s="1"/>
  <c r="AD197" i="9"/>
  <c r="AE197" i="9" s="1"/>
  <c r="AA197" i="9"/>
  <c r="W197" i="9"/>
  <c r="X197" i="9" s="1"/>
  <c r="T197" i="9"/>
  <c r="Q197" i="9"/>
  <c r="M197" i="9"/>
  <c r="N197" i="9" s="1"/>
  <c r="AD196" i="9"/>
  <c r="AE196" i="9" s="1"/>
  <c r="AA196" i="9"/>
  <c r="W196" i="9"/>
  <c r="X196" i="9" s="1"/>
  <c r="T196" i="9"/>
  <c r="Q196" i="9"/>
  <c r="M196" i="9"/>
  <c r="N196" i="9" s="1"/>
  <c r="AD191" i="9"/>
  <c r="AE191" i="9" s="1"/>
  <c r="AA191" i="9"/>
  <c r="W191" i="9"/>
  <c r="X191" i="9" s="1"/>
  <c r="T191" i="9"/>
  <c r="Q191" i="9"/>
  <c r="M191" i="9"/>
  <c r="N191" i="9" s="1"/>
  <c r="AD190" i="9"/>
  <c r="AE190" i="9" s="1"/>
  <c r="AA190" i="9"/>
  <c r="W190" i="9"/>
  <c r="X190" i="9" s="1"/>
  <c r="T190" i="9"/>
  <c r="Q190" i="9"/>
  <c r="M190" i="9"/>
  <c r="N190" i="9" s="1"/>
  <c r="AD189" i="9"/>
  <c r="AE189" i="9" s="1"/>
  <c r="AA189" i="9"/>
  <c r="W189" i="9"/>
  <c r="X189" i="9" s="1"/>
  <c r="T189" i="9"/>
  <c r="Q189" i="9"/>
  <c r="M189" i="9"/>
  <c r="N189" i="9" s="1"/>
  <c r="AD188" i="9"/>
  <c r="AE188" i="9" s="1"/>
  <c r="AA188" i="9"/>
  <c r="W188" i="9"/>
  <c r="X188" i="9" s="1"/>
  <c r="T188" i="9"/>
  <c r="Q188" i="9"/>
  <c r="M188" i="9"/>
  <c r="N188" i="9" s="1"/>
  <c r="AD187" i="9"/>
  <c r="AE187" i="9" s="1"/>
  <c r="AA187" i="9"/>
  <c r="W187" i="9"/>
  <c r="X187" i="9" s="1"/>
  <c r="T187" i="9"/>
  <c r="Q187" i="9"/>
  <c r="M187" i="9"/>
  <c r="N187" i="9" s="1"/>
  <c r="AD186" i="9"/>
  <c r="AE186" i="9" s="1"/>
  <c r="AA186" i="9"/>
  <c r="W186" i="9"/>
  <c r="X186" i="9" s="1"/>
  <c r="T186" i="9"/>
  <c r="Q186" i="9"/>
  <c r="M186" i="9"/>
  <c r="N186" i="9" s="1"/>
  <c r="AD185" i="9"/>
  <c r="AE185" i="9" s="1"/>
  <c r="AA185" i="9"/>
  <c r="W185" i="9"/>
  <c r="X185" i="9" s="1"/>
  <c r="T185" i="9"/>
  <c r="Q185" i="9"/>
  <c r="M185" i="9"/>
  <c r="N185" i="9" s="1"/>
  <c r="AD183" i="9"/>
  <c r="AE183" i="9" s="1"/>
  <c r="AA183" i="9"/>
  <c r="W183" i="9"/>
  <c r="X183" i="9" s="1"/>
  <c r="T183" i="9"/>
  <c r="Q183" i="9"/>
  <c r="M183" i="9"/>
  <c r="N183" i="9" s="1"/>
  <c r="AD182" i="9"/>
  <c r="AE182" i="9" s="1"/>
  <c r="AA182" i="9"/>
  <c r="W182" i="9"/>
  <c r="X182" i="9" s="1"/>
  <c r="T182" i="9"/>
  <c r="Q182" i="9"/>
  <c r="M182" i="9"/>
  <c r="N182" i="9" s="1"/>
  <c r="AD181" i="9"/>
  <c r="AE181" i="9" s="1"/>
  <c r="AA181" i="9"/>
  <c r="W181" i="9"/>
  <c r="X181" i="9" s="1"/>
  <c r="T181" i="9"/>
  <c r="Q181" i="9"/>
  <c r="M181" i="9"/>
  <c r="N181" i="9" s="1"/>
  <c r="AD180" i="9"/>
  <c r="AE180" i="9" s="1"/>
  <c r="AA180" i="9"/>
  <c r="W180" i="9"/>
  <c r="X180" i="9" s="1"/>
  <c r="T180" i="9"/>
  <c r="Q180" i="9"/>
  <c r="M180" i="9"/>
  <c r="N180" i="9" s="1"/>
  <c r="AD179" i="9"/>
  <c r="AE179" i="9" s="1"/>
  <c r="AA179" i="9"/>
  <c r="W179" i="9"/>
  <c r="X179" i="9" s="1"/>
  <c r="T179" i="9"/>
  <c r="Q179" i="9"/>
  <c r="M179" i="9"/>
  <c r="N179" i="9" s="1"/>
  <c r="AD178" i="9"/>
  <c r="AE178" i="9" s="1"/>
  <c r="AA178" i="9"/>
  <c r="W178" i="9"/>
  <c r="X178" i="9" s="1"/>
  <c r="T178" i="9"/>
  <c r="Q178" i="9"/>
  <c r="M178" i="9"/>
  <c r="N178" i="9" s="1"/>
  <c r="AD177" i="9"/>
  <c r="AE177" i="9" s="1"/>
  <c r="AA177" i="9"/>
  <c r="W177" i="9"/>
  <c r="X177" i="9" s="1"/>
  <c r="T177" i="9"/>
  <c r="Q177" i="9"/>
  <c r="M177" i="9"/>
  <c r="N177" i="9" s="1"/>
  <c r="AD175" i="9"/>
  <c r="AE175" i="9" s="1"/>
  <c r="AA175" i="9"/>
  <c r="W175" i="9"/>
  <c r="X175" i="9" s="1"/>
  <c r="T175" i="9"/>
  <c r="Q175" i="9"/>
  <c r="M175" i="9"/>
  <c r="N175" i="9" s="1"/>
  <c r="AD174" i="9"/>
  <c r="AE174" i="9" s="1"/>
  <c r="AA174" i="9"/>
  <c r="W174" i="9"/>
  <c r="X174" i="9" s="1"/>
  <c r="T174" i="9"/>
  <c r="Q174" i="9"/>
  <c r="M174" i="9"/>
  <c r="N174" i="9" s="1"/>
  <c r="AD173" i="9"/>
  <c r="AE173" i="9" s="1"/>
  <c r="AA173" i="9"/>
  <c r="W173" i="9"/>
  <c r="X173" i="9" s="1"/>
  <c r="T173" i="9"/>
  <c r="Q173" i="9"/>
  <c r="M173" i="9"/>
  <c r="N173" i="9" s="1"/>
  <c r="AD172" i="9"/>
  <c r="AE172" i="9" s="1"/>
  <c r="AA172" i="9"/>
  <c r="W172" i="9"/>
  <c r="X172" i="9" s="1"/>
  <c r="T172" i="9"/>
  <c r="Q172" i="9"/>
  <c r="M172" i="9"/>
  <c r="N172" i="9" s="1"/>
  <c r="AD171" i="9"/>
  <c r="AE171" i="9" s="1"/>
  <c r="AA171" i="9"/>
  <c r="W171" i="9"/>
  <c r="X171" i="9" s="1"/>
  <c r="T171" i="9"/>
  <c r="Q171" i="9"/>
  <c r="M171" i="9"/>
  <c r="N171" i="9" s="1"/>
  <c r="AD170" i="9"/>
  <c r="AE170" i="9" s="1"/>
  <c r="AA170" i="9"/>
  <c r="W170" i="9"/>
  <c r="X170" i="9" s="1"/>
  <c r="T170" i="9"/>
  <c r="Q170" i="9"/>
  <c r="M170" i="9"/>
  <c r="N170" i="9" s="1"/>
  <c r="AD169" i="9"/>
  <c r="AE169" i="9" s="1"/>
  <c r="AA169" i="9"/>
  <c r="W169" i="9"/>
  <c r="X169" i="9" s="1"/>
  <c r="T169" i="9"/>
  <c r="Q169" i="9"/>
  <c r="M169" i="9"/>
  <c r="N169" i="9" s="1"/>
  <c r="AD168" i="9"/>
  <c r="AE168" i="9" s="1"/>
  <c r="AA168" i="9"/>
  <c r="W168" i="9"/>
  <c r="X168" i="9" s="1"/>
  <c r="T168" i="9"/>
  <c r="Q168" i="9"/>
  <c r="M168" i="9"/>
  <c r="N168" i="9" s="1"/>
  <c r="AD160" i="9"/>
  <c r="AE160" i="9" s="1"/>
  <c r="AA160" i="9"/>
  <c r="W160" i="9"/>
  <c r="X160" i="9" s="1"/>
  <c r="T160" i="9"/>
  <c r="Q160" i="9"/>
  <c r="M160" i="9"/>
  <c r="N160" i="9" s="1"/>
  <c r="M161" i="9"/>
  <c r="N161" i="9" s="1"/>
  <c r="Q161" i="9"/>
  <c r="T161" i="9"/>
  <c r="W161" i="9"/>
  <c r="X161" i="9" s="1"/>
  <c r="AA161" i="9"/>
  <c r="AD161" i="9"/>
  <c r="AE161" i="9" s="1"/>
  <c r="AD156" i="9"/>
  <c r="AE156" i="9" s="1"/>
  <c r="AA156" i="9"/>
  <c r="W156" i="9"/>
  <c r="X156" i="9" s="1"/>
  <c r="T156" i="9"/>
  <c r="Q156" i="9"/>
  <c r="M156" i="9"/>
  <c r="N156" i="9" s="1"/>
  <c r="AD155" i="9"/>
  <c r="AE155" i="9" s="1"/>
  <c r="AA155" i="9"/>
  <c r="W155" i="9"/>
  <c r="X155" i="9" s="1"/>
  <c r="T155" i="9"/>
  <c r="Q155" i="9"/>
  <c r="M155" i="9"/>
  <c r="N155" i="9" s="1"/>
  <c r="AD154" i="9"/>
  <c r="AE154" i="9" s="1"/>
  <c r="AA154" i="9"/>
  <c r="W154" i="9"/>
  <c r="X154" i="9" s="1"/>
  <c r="T154" i="9"/>
  <c r="Q154" i="9"/>
  <c r="M154" i="9"/>
  <c r="N154" i="9" s="1"/>
  <c r="AD153" i="9"/>
  <c r="AE153" i="9" s="1"/>
  <c r="AA153" i="9"/>
  <c r="W153" i="9"/>
  <c r="X153" i="9" s="1"/>
  <c r="T153" i="9"/>
  <c r="Q153" i="9"/>
  <c r="M153" i="9"/>
  <c r="N153" i="9" s="1"/>
  <c r="AD152" i="9"/>
  <c r="AE152" i="9" s="1"/>
  <c r="AA152" i="9"/>
  <c r="W152" i="9"/>
  <c r="X152" i="9" s="1"/>
  <c r="T152" i="9"/>
  <c r="Q152" i="9"/>
  <c r="M152" i="9"/>
  <c r="N152" i="9" s="1"/>
  <c r="AD151" i="9"/>
  <c r="AE151" i="9" s="1"/>
  <c r="AA151" i="9"/>
  <c r="W151" i="9"/>
  <c r="X151" i="9" s="1"/>
  <c r="T151" i="9"/>
  <c r="Q151" i="9"/>
  <c r="M151" i="9"/>
  <c r="N151" i="9" s="1"/>
  <c r="AD150" i="9"/>
  <c r="AE150" i="9" s="1"/>
  <c r="AA150" i="9"/>
  <c r="W150" i="9"/>
  <c r="X150" i="9" s="1"/>
  <c r="T150" i="9"/>
  <c r="Q150" i="9"/>
  <c r="M150" i="9"/>
  <c r="N150" i="9" s="1"/>
  <c r="AD294" i="9"/>
  <c r="AE294" i="9" s="1"/>
  <c r="AA294" i="9"/>
  <c r="W294" i="9"/>
  <c r="X294" i="9" s="1"/>
  <c r="T294" i="9"/>
  <c r="Q294" i="9"/>
  <c r="M294" i="9"/>
  <c r="N294" i="9" s="1"/>
  <c r="AD293" i="9"/>
  <c r="AE293" i="9" s="1"/>
  <c r="AA293" i="9"/>
  <c r="W293" i="9"/>
  <c r="X293" i="9" s="1"/>
  <c r="T293" i="9"/>
  <c r="Q293" i="9"/>
  <c r="M293" i="9"/>
  <c r="N293" i="9" s="1"/>
  <c r="AD292" i="9"/>
  <c r="AE292" i="9" s="1"/>
  <c r="AA292" i="9"/>
  <c r="W292" i="9"/>
  <c r="X292" i="9" s="1"/>
  <c r="T292" i="9"/>
  <c r="Q292" i="9"/>
  <c r="M292" i="9"/>
  <c r="N292" i="9" s="1"/>
  <c r="AD291" i="9"/>
  <c r="AE291" i="9" s="1"/>
  <c r="AA291" i="9"/>
  <c r="W291" i="9"/>
  <c r="X291" i="9" s="1"/>
  <c r="T291" i="9"/>
  <c r="Q291" i="9"/>
  <c r="M291" i="9"/>
  <c r="N291" i="9" s="1"/>
  <c r="AD290" i="9"/>
  <c r="AE290" i="9" s="1"/>
  <c r="AA290" i="9"/>
  <c r="W290" i="9"/>
  <c r="X290" i="9" s="1"/>
  <c r="T290" i="9"/>
  <c r="Q290" i="9"/>
  <c r="M290" i="9"/>
  <c r="N290" i="9" s="1"/>
  <c r="AD289" i="9"/>
  <c r="AE289" i="9" s="1"/>
  <c r="AA289" i="9"/>
  <c r="W289" i="9"/>
  <c r="X289" i="9" s="1"/>
  <c r="T289" i="9"/>
  <c r="Q289" i="9"/>
  <c r="M289" i="9"/>
  <c r="N289" i="9" s="1"/>
  <c r="AD288" i="9"/>
  <c r="AE288" i="9" s="1"/>
  <c r="AA288" i="9"/>
  <c r="W288" i="9"/>
  <c r="X288" i="9" s="1"/>
  <c r="T288" i="9"/>
  <c r="Q288" i="9"/>
  <c r="M288" i="9"/>
  <c r="N288" i="9" s="1"/>
  <c r="AD287" i="9"/>
  <c r="AE287" i="9" s="1"/>
  <c r="AA287" i="9"/>
  <c r="W287" i="9"/>
  <c r="X287" i="9" s="1"/>
  <c r="T287" i="9"/>
  <c r="Q287" i="9"/>
  <c r="M287" i="9"/>
  <c r="N287" i="9" s="1"/>
  <c r="AD286" i="9"/>
  <c r="AE286" i="9" s="1"/>
  <c r="AA286" i="9"/>
  <c r="W286" i="9"/>
  <c r="X286" i="9" s="1"/>
  <c r="T286" i="9"/>
  <c r="Q286" i="9"/>
  <c r="M286" i="9"/>
  <c r="N286" i="9" s="1"/>
  <c r="AD283" i="9"/>
  <c r="AE283" i="9" s="1"/>
  <c r="AA283" i="9"/>
  <c r="W283" i="9"/>
  <c r="X283" i="9" s="1"/>
  <c r="T283" i="9"/>
  <c r="Q283" i="9"/>
  <c r="M283" i="9"/>
  <c r="N283" i="9" s="1"/>
  <c r="AD281" i="9"/>
  <c r="AE281" i="9" s="1"/>
  <c r="AA281" i="9"/>
  <c r="W281" i="9"/>
  <c r="X281" i="9" s="1"/>
  <c r="T281" i="9"/>
  <c r="Q281" i="9"/>
  <c r="M281" i="9"/>
  <c r="N281" i="9" s="1"/>
  <c r="AD280" i="9"/>
  <c r="AE280" i="9" s="1"/>
  <c r="AA280" i="9"/>
  <c r="W280" i="9"/>
  <c r="X280" i="9" s="1"/>
  <c r="T280" i="9"/>
  <c r="Q280" i="9"/>
  <c r="M280" i="9"/>
  <c r="N280" i="9" s="1"/>
  <c r="AD278" i="9"/>
  <c r="AE278" i="9" s="1"/>
  <c r="AA278" i="9"/>
  <c r="W278" i="9"/>
  <c r="X278" i="9" s="1"/>
  <c r="T278" i="9"/>
  <c r="Q278" i="9"/>
  <c r="M278" i="9"/>
  <c r="N278" i="9" s="1"/>
  <c r="AD277" i="9"/>
  <c r="AE277" i="9" s="1"/>
  <c r="AA277" i="9"/>
  <c r="W277" i="9"/>
  <c r="X277" i="9" s="1"/>
  <c r="T277" i="9"/>
  <c r="Q277" i="9"/>
  <c r="M277" i="9"/>
  <c r="N277" i="9" s="1"/>
  <c r="AD273" i="9"/>
  <c r="AE273" i="9" s="1"/>
  <c r="AA273" i="9"/>
  <c r="W273" i="9"/>
  <c r="X273" i="9" s="1"/>
  <c r="T273" i="9"/>
  <c r="Q273" i="9"/>
  <c r="M273" i="9"/>
  <c r="N273" i="9" s="1"/>
  <c r="AD272" i="9"/>
  <c r="AE272" i="9" s="1"/>
  <c r="AA272" i="9"/>
  <c r="W272" i="9"/>
  <c r="X272" i="9" s="1"/>
  <c r="T272" i="9"/>
  <c r="Q272" i="9"/>
  <c r="M272" i="9"/>
  <c r="N272" i="9" s="1"/>
  <c r="AD244" i="9"/>
  <c r="AE244" i="9" s="1"/>
  <c r="AA244" i="9"/>
  <c r="W244" i="9"/>
  <c r="X244" i="9" s="1"/>
  <c r="T244" i="9"/>
  <c r="Q244" i="9"/>
  <c r="M244" i="9"/>
  <c r="N244" i="9" s="1"/>
  <c r="AD243" i="9"/>
  <c r="AE243" i="9" s="1"/>
  <c r="AA243" i="9"/>
  <c r="W243" i="9"/>
  <c r="X243" i="9" s="1"/>
  <c r="T243" i="9"/>
  <c r="Q243" i="9"/>
  <c r="M243" i="9"/>
  <c r="N243" i="9" s="1"/>
  <c r="AD242" i="9"/>
  <c r="AE242" i="9" s="1"/>
  <c r="AA242" i="9"/>
  <c r="W242" i="9"/>
  <c r="X242" i="9" s="1"/>
  <c r="T242" i="9"/>
  <c r="Q242" i="9"/>
  <c r="M242" i="9"/>
  <c r="N242" i="9" s="1"/>
  <c r="AD228" i="9"/>
  <c r="AE228" i="9" s="1"/>
  <c r="AA228" i="9"/>
  <c r="W228" i="9"/>
  <c r="X228" i="9" s="1"/>
  <c r="T228" i="9"/>
  <c r="Q228" i="9"/>
  <c r="M228" i="9"/>
  <c r="N228" i="9" s="1"/>
  <c r="AD214" i="9"/>
  <c r="AE214" i="9" s="1"/>
  <c r="AA214" i="9"/>
  <c r="W214" i="9"/>
  <c r="X214" i="9" s="1"/>
  <c r="T214" i="9"/>
  <c r="Q214" i="9"/>
  <c r="M214" i="9"/>
  <c r="N214" i="9" s="1"/>
  <c r="AD213" i="9"/>
  <c r="AE213" i="9" s="1"/>
  <c r="AA213" i="9"/>
  <c r="AD212" i="9"/>
  <c r="AE212" i="9" s="1"/>
  <c r="AA212" i="9"/>
  <c r="W212" i="9"/>
  <c r="X212" i="9" s="1"/>
  <c r="T212" i="9"/>
  <c r="Q212" i="9"/>
  <c r="M212" i="9"/>
  <c r="N212" i="9" s="1"/>
  <c r="AD209" i="9"/>
  <c r="AE209" i="9" s="1"/>
  <c r="AA209" i="9"/>
  <c r="W209" i="9"/>
  <c r="X209" i="9" s="1"/>
  <c r="T209" i="9"/>
  <c r="Q209" i="9"/>
  <c r="M209" i="9"/>
  <c r="N209" i="9" s="1"/>
  <c r="AD195" i="9"/>
  <c r="AE195" i="9" s="1"/>
  <c r="AA195" i="9"/>
  <c r="W195" i="9"/>
  <c r="X195" i="9" s="1"/>
  <c r="T195" i="9"/>
  <c r="Q195" i="9"/>
  <c r="M195" i="9"/>
  <c r="N195" i="9" s="1"/>
  <c r="AD194" i="9"/>
  <c r="AE194" i="9" s="1"/>
  <c r="AA194" i="9"/>
  <c r="W194" i="9"/>
  <c r="X194" i="9" s="1"/>
  <c r="T194" i="9"/>
  <c r="Q194" i="9"/>
  <c r="M194" i="9"/>
  <c r="N194" i="9" s="1"/>
  <c r="AD193" i="9"/>
  <c r="AE193" i="9" s="1"/>
  <c r="AA193" i="9"/>
  <c r="W193" i="9"/>
  <c r="X193" i="9" s="1"/>
  <c r="T193" i="9"/>
  <c r="Q193" i="9"/>
  <c r="M193" i="9"/>
  <c r="N193" i="9" s="1"/>
  <c r="AD192" i="9"/>
  <c r="AE192" i="9" s="1"/>
  <c r="AA192" i="9"/>
  <c r="W192" i="9"/>
  <c r="X192" i="9" s="1"/>
  <c r="T192" i="9"/>
  <c r="Q192" i="9"/>
  <c r="M192" i="9"/>
  <c r="N192" i="9" s="1"/>
  <c r="AD184" i="9"/>
  <c r="AE184" i="9" s="1"/>
  <c r="AA184" i="9"/>
  <c r="W184" i="9"/>
  <c r="X184" i="9" s="1"/>
  <c r="T184" i="9"/>
  <c r="Q184" i="9"/>
  <c r="M184" i="9"/>
  <c r="N184" i="9" s="1"/>
  <c r="AD176" i="9"/>
  <c r="AE176" i="9" s="1"/>
  <c r="AA176" i="9"/>
  <c r="W176" i="9"/>
  <c r="X176" i="9" s="1"/>
  <c r="T176" i="9"/>
  <c r="Q176" i="9"/>
  <c r="M176" i="9"/>
  <c r="N176" i="9" s="1"/>
  <c r="AD167" i="9"/>
  <c r="AE167" i="9" s="1"/>
  <c r="AA167" i="9"/>
  <c r="W167" i="9"/>
  <c r="X167" i="9" s="1"/>
  <c r="T167" i="9"/>
  <c r="Q167" i="9"/>
  <c r="M167" i="9"/>
  <c r="N167" i="9" s="1"/>
  <c r="AD166" i="9"/>
  <c r="AE166" i="9" s="1"/>
  <c r="AA166" i="9"/>
  <c r="W166" i="9"/>
  <c r="X166" i="9" s="1"/>
  <c r="T166" i="9"/>
  <c r="Q166" i="9"/>
  <c r="M166" i="9"/>
  <c r="N166" i="9" s="1"/>
  <c r="AD165" i="9"/>
  <c r="AE165" i="9" s="1"/>
  <c r="AA165" i="9"/>
  <c r="W165" i="9"/>
  <c r="X165" i="9" s="1"/>
  <c r="T165" i="9"/>
  <c r="Q165" i="9"/>
  <c r="M165" i="9"/>
  <c r="N165" i="9" s="1"/>
  <c r="AD164" i="9"/>
  <c r="AE164" i="9" s="1"/>
  <c r="AA164" i="9"/>
  <c r="W164" i="9"/>
  <c r="X164" i="9" s="1"/>
  <c r="T164" i="9"/>
  <c r="Q164" i="9"/>
  <c r="M164" i="9"/>
  <c r="N164" i="9" s="1"/>
  <c r="AD163" i="9"/>
  <c r="AE163" i="9" s="1"/>
  <c r="AA163" i="9"/>
  <c r="W163" i="9"/>
  <c r="X163" i="9" s="1"/>
  <c r="T163" i="9"/>
  <c r="Q163" i="9"/>
  <c r="M163" i="9"/>
  <c r="N163" i="9" s="1"/>
  <c r="AD162" i="9"/>
  <c r="AE162" i="9" s="1"/>
  <c r="AA162" i="9"/>
  <c r="W162" i="9"/>
  <c r="X162" i="9" s="1"/>
  <c r="T162" i="9"/>
  <c r="Q162" i="9"/>
  <c r="M162" i="9"/>
  <c r="N162" i="9" s="1"/>
  <c r="AD159" i="9"/>
  <c r="AE159" i="9" s="1"/>
  <c r="AA159" i="9"/>
  <c r="W159" i="9"/>
  <c r="X159" i="9" s="1"/>
  <c r="T159" i="9"/>
  <c r="Q159" i="9"/>
  <c r="M159" i="9"/>
  <c r="N159" i="9" s="1"/>
  <c r="AD158" i="9"/>
  <c r="AE158" i="9" s="1"/>
  <c r="AA158" i="9"/>
  <c r="W158" i="9"/>
  <c r="X158" i="9" s="1"/>
  <c r="T158" i="9"/>
  <c r="Q158" i="9"/>
  <c r="M158" i="9"/>
  <c r="N158" i="9" s="1"/>
  <c r="AD157" i="9"/>
  <c r="AE157" i="9" s="1"/>
  <c r="AA157" i="9"/>
  <c r="W157" i="9"/>
  <c r="X157" i="9" s="1"/>
  <c r="T157" i="9"/>
  <c r="Q157" i="9"/>
  <c r="M157" i="9"/>
  <c r="N157" i="9" s="1"/>
  <c r="AD149" i="9"/>
  <c r="AE149" i="9" s="1"/>
  <c r="AA149" i="9"/>
  <c r="W149" i="9"/>
  <c r="X149" i="9" s="1"/>
  <c r="T149" i="9"/>
  <c r="Q149" i="9"/>
  <c r="M149" i="9"/>
  <c r="N149" i="9" s="1"/>
  <c r="AD148" i="9"/>
  <c r="AE148" i="9" s="1"/>
  <c r="AA148" i="9"/>
  <c r="W148" i="9"/>
  <c r="X148" i="9" s="1"/>
  <c r="T148" i="9"/>
  <c r="Q148" i="9"/>
  <c r="M148" i="9"/>
  <c r="N148" i="9" s="1"/>
  <c r="W145" i="9"/>
  <c r="X145" i="9" s="1"/>
  <c r="T145" i="9"/>
  <c r="Q145" i="9"/>
  <c r="M145" i="9"/>
  <c r="N145" i="9" s="1"/>
  <c r="W143" i="9"/>
  <c r="X143" i="9" s="1"/>
  <c r="T143" i="9"/>
  <c r="Q143" i="9"/>
  <c r="M143" i="9"/>
  <c r="N143" i="9" s="1"/>
  <c r="W142" i="9"/>
  <c r="X142" i="9" s="1"/>
  <c r="T142" i="9"/>
  <c r="Q142" i="9"/>
  <c r="M142" i="9"/>
  <c r="N142" i="9" s="1"/>
  <c r="AD142" i="9"/>
  <c r="AE142" i="9" s="1"/>
  <c r="AA142" i="9"/>
  <c r="AD141" i="9"/>
  <c r="AE141" i="9" s="1"/>
  <c r="AA141" i="9"/>
  <c r="W141" i="9"/>
  <c r="X141" i="9" s="1"/>
  <c r="T141" i="9"/>
  <c r="Q141" i="9"/>
  <c r="M141" i="9"/>
  <c r="N141" i="9" s="1"/>
  <c r="AD140" i="9"/>
  <c r="AE140" i="9" s="1"/>
  <c r="AA140" i="9"/>
  <c r="W140" i="9"/>
  <c r="X140" i="9" s="1"/>
  <c r="T140" i="9"/>
  <c r="Q140" i="9"/>
  <c r="M140" i="9"/>
  <c r="N140" i="9" s="1"/>
  <c r="AD139" i="9"/>
  <c r="AE139" i="9" s="1"/>
  <c r="AA139" i="9"/>
  <c r="W139" i="9"/>
  <c r="X139" i="9" s="1"/>
  <c r="T139" i="9"/>
  <c r="Q139" i="9"/>
  <c r="M139" i="9"/>
  <c r="N139" i="9" s="1"/>
  <c r="W137" i="9"/>
  <c r="X137" i="9" s="1"/>
  <c r="T137" i="9"/>
  <c r="Q137" i="9"/>
  <c r="M137" i="9"/>
  <c r="N137" i="9" s="1"/>
  <c r="M135" i="9"/>
  <c r="N135" i="9" s="1"/>
  <c r="Q135" i="9"/>
  <c r="T135" i="9"/>
  <c r="W135" i="9"/>
  <c r="X135" i="9" s="1"/>
  <c r="M136" i="9"/>
  <c r="N136" i="9" s="1"/>
  <c r="Q136" i="9"/>
  <c r="T136" i="9"/>
  <c r="W136" i="9"/>
  <c r="X136" i="9" s="1"/>
  <c r="AD137" i="9"/>
  <c r="AE137" i="9" s="1"/>
  <c r="AA137" i="9"/>
  <c r="AD136" i="9"/>
  <c r="AE136" i="9" s="1"/>
  <c r="AA136" i="9"/>
  <c r="AD133" i="9"/>
  <c r="AE133" i="9" s="1"/>
  <c r="AA133" i="9"/>
  <c r="W133" i="9"/>
  <c r="X133" i="9" s="1"/>
  <c r="T133" i="9"/>
  <c r="Q133" i="9"/>
  <c r="M133" i="9"/>
  <c r="N133" i="9" s="1"/>
  <c r="AD132" i="9"/>
  <c r="AE132" i="9" s="1"/>
  <c r="AA132" i="9"/>
  <c r="W132" i="9"/>
  <c r="X132" i="9" s="1"/>
  <c r="T132" i="9"/>
  <c r="Q132" i="9"/>
  <c r="M132" i="9"/>
  <c r="N132" i="9" s="1"/>
  <c r="AD131" i="9"/>
  <c r="AE131" i="9" s="1"/>
  <c r="AA131" i="9"/>
  <c r="W131" i="9"/>
  <c r="X131" i="9" s="1"/>
  <c r="T131" i="9"/>
  <c r="Q131" i="9"/>
  <c r="M131" i="9"/>
  <c r="N131" i="9" s="1"/>
  <c r="W129" i="9"/>
  <c r="X129" i="9" s="1"/>
  <c r="T129" i="9"/>
  <c r="Q129" i="9"/>
  <c r="M129" i="9"/>
  <c r="N129" i="9" s="1"/>
  <c r="AD128" i="9"/>
  <c r="AE128" i="9" s="1"/>
  <c r="AA128" i="9"/>
  <c r="W128" i="9"/>
  <c r="X128" i="9" s="1"/>
  <c r="T128" i="9"/>
  <c r="Q128" i="9"/>
  <c r="M128" i="9"/>
  <c r="N128" i="9" s="1"/>
  <c r="AD127" i="9"/>
  <c r="AE127" i="9" s="1"/>
  <c r="AA127" i="9"/>
  <c r="W127" i="9"/>
  <c r="X127" i="9" s="1"/>
  <c r="T127" i="9"/>
  <c r="Q127" i="9"/>
  <c r="M127" i="9"/>
  <c r="N127" i="9" s="1"/>
  <c r="AD126" i="9"/>
  <c r="AE126" i="9" s="1"/>
  <c r="AA126" i="9"/>
  <c r="W126" i="9"/>
  <c r="X126" i="9" s="1"/>
  <c r="T126" i="9"/>
  <c r="Q126" i="9"/>
  <c r="M126" i="9"/>
  <c r="N126" i="9" s="1"/>
  <c r="AD124" i="9"/>
  <c r="AE124" i="9" s="1"/>
  <c r="AA124" i="9"/>
  <c r="W124" i="9"/>
  <c r="X124" i="9" s="1"/>
  <c r="T124" i="9"/>
  <c r="Q124" i="9"/>
  <c r="M124" i="9"/>
  <c r="N124" i="9" s="1"/>
  <c r="AD123" i="9"/>
  <c r="AE123" i="9" s="1"/>
  <c r="AA123" i="9"/>
  <c r="W123" i="9"/>
  <c r="X123" i="9" s="1"/>
  <c r="T123" i="9"/>
  <c r="Q123" i="9"/>
  <c r="M123" i="9"/>
  <c r="N123" i="9" s="1"/>
  <c r="AD122" i="9"/>
  <c r="AE122" i="9" s="1"/>
  <c r="AA122" i="9"/>
  <c r="W122" i="9"/>
  <c r="X122" i="9" s="1"/>
  <c r="T122" i="9"/>
  <c r="Q122" i="9"/>
  <c r="M122" i="9"/>
  <c r="N122" i="9" s="1"/>
  <c r="AD120" i="9"/>
  <c r="AE120" i="9" s="1"/>
  <c r="AA120" i="9"/>
  <c r="W120" i="9"/>
  <c r="X120" i="9" s="1"/>
  <c r="T120" i="9"/>
  <c r="Q120" i="9"/>
  <c r="M120" i="9"/>
  <c r="N120" i="9" s="1"/>
  <c r="AD119" i="9"/>
  <c r="AE119" i="9" s="1"/>
  <c r="AA119" i="9"/>
  <c r="W119" i="9"/>
  <c r="X119" i="9" s="1"/>
  <c r="T119" i="9"/>
  <c r="Q119" i="9"/>
  <c r="M119" i="9"/>
  <c r="N119" i="9" s="1"/>
  <c r="AD118" i="9"/>
  <c r="AE118" i="9" s="1"/>
  <c r="AA118" i="9"/>
  <c r="W118" i="9"/>
  <c r="X118" i="9" s="1"/>
  <c r="T118" i="9"/>
  <c r="Q118" i="9"/>
  <c r="M118" i="9"/>
  <c r="N118" i="9" s="1"/>
  <c r="AD117" i="9"/>
  <c r="AE117" i="9" s="1"/>
  <c r="AA117" i="9"/>
  <c r="W117" i="9"/>
  <c r="X117" i="9" s="1"/>
  <c r="T117" i="9"/>
  <c r="Q117" i="9"/>
  <c r="M117" i="9"/>
  <c r="N117" i="9" s="1"/>
  <c r="AD116" i="9"/>
  <c r="AE116" i="9" s="1"/>
  <c r="AA116" i="9"/>
  <c r="W116" i="9"/>
  <c r="X116" i="9" s="1"/>
  <c r="T116" i="9"/>
  <c r="Q116" i="9"/>
  <c r="M116" i="9"/>
  <c r="N116" i="9" s="1"/>
  <c r="AD115" i="9"/>
  <c r="AE115" i="9" s="1"/>
  <c r="AA115" i="9"/>
  <c r="W115" i="9"/>
  <c r="X115" i="9" s="1"/>
  <c r="T115" i="9"/>
  <c r="Q115" i="9"/>
  <c r="M115" i="9"/>
  <c r="N115" i="9" s="1"/>
  <c r="AD114" i="9"/>
  <c r="AE114" i="9" s="1"/>
  <c r="AA114" i="9"/>
  <c r="W114" i="9"/>
  <c r="X114" i="9" s="1"/>
  <c r="T114" i="9"/>
  <c r="Q114" i="9"/>
  <c r="M114" i="9"/>
  <c r="N114" i="9" s="1"/>
  <c r="AD113" i="9"/>
  <c r="AE113" i="9" s="1"/>
  <c r="AA113" i="9"/>
  <c r="W113" i="9"/>
  <c r="X113" i="9" s="1"/>
  <c r="T113" i="9"/>
  <c r="Q113" i="9"/>
  <c r="M113" i="9"/>
  <c r="N113" i="9" s="1"/>
  <c r="AD111" i="9"/>
  <c r="AE111" i="9" s="1"/>
  <c r="AA111" i="9"/>
  <c r="W111" i="9"/>
  <c r="X111" i="9" s="1"/>
  <c r="T111" i="9"/>
  <c r="Q111" i="9"/>
  <c r="M111" i="9"/>
  <c r="N111" i="9" s="1"/>
  <c r="AD110" i="9"/>
  <c r="AE110" i="9" s="1"/>
  <c r="AA110" i="9"/>
  <c r="W110" i="9"/>
  <c r="X110" i="9" s="1"/>
  <c r="T110" i="9"/>
  <c r="Q110" i="9"/>
  <c r="M110" i="9"/>
  <c r="N110" i="9" s="1"/>
  <c r="AD109" i="9"/>
  <c r="AE109" i="9" s="1"/>
  <c r="AA109" i="9"/>
  <c r="W109" i="9"/>
  <c r="X109" i="9" s="1"/>
  <c r="T109" i="9"/>
  <c r="Q109" i="9"/>
  <c r="M109" i="9"/>
  <c r="N109" i="9" s="1"/>
  <c r="AD108" i="9"/>
  <c r="AE108" i="9" s="1"/>
  <c r="AA108" i="9"/>
  <c r="W108" i="9"/>
  <c r="X108" i="9" s="1"/>
  <c r="T108" i="9"/>
  <c r="Q108" i="9"/>
  <c r="M108" i="9"/>
  <c r="N108" i="9" s="1"/>
  <c r="AD107" i="9"/>
  <c r="AE107" i="9" s="1"/>
  <c r="AA107" i="9"/>
  <c r="W107" i="9"/>
  <c r="X107" i="9" s="1"/>
  <c r="T107" i="9"/>
  <c r="Q107" i="9"/>
  <c r="M107" i="9"/>
  <c r="N107" i="9" s="1"/>
  <c r="AD106" i="9"/>
  <c r="AE106" i="9" s="1"/>
  <c r="AA106" i="9"/>
  <c r="W106" i="9"/>
  <c r="X106" i="9" s="1"/>
  <c r="T106" i="9"/>
  <c r="Q106" i="9"/>
  <c r="M106" i="9"/>
  <c r="N106" i="9" s="1"/>
  <c r="AD105" i="9"/>
  <c r="AE105" i="9" s="1"/>
  <c r="AA105" i="9"/>
  <c r="W105" i="9"/>
  <c r="X105" i="9" s="1"/>
  <c r="T105" i="9"/>
  <c r="Q105" i="9"/>
  <c r="M105" i="9"/>
  <c r="N105" i="9" s="1"/>
  <c r="AD104" i="9"/>
  <c r="AE104" i="9" s="1"/>
  <c r="AA104" i="9"/>
  <c r="W104" i="9"/>
  <c r="X104" i="9" s="1"/>
  <c r="T104" i="9"/>
  <c r="Q104" i="9"/>
  <c r="M104" i="9"/>
  <c r="N104" i="9" s="1"/>
  <c r="AD102" i="9"/>
  <c r="AE102" i="9" s="1"/>
  <c r="AA102" i="9"/>
  <c r="W102" i="9"/>
  <c r="X102" i="9" s="1"/>
  <c r="T102" i="9"/>
  <c r="Q102" i="9"/>
  <c r="M102" i="9"/>
  <c r="N102" i="9" s="1"/>
  <c r="AD101" i="9"/>
  <c r="AE101" i="9" s="1"/>
  <c r="AA101" i="9"/>
  <c r="W101" i="9"/>
  <c r="X101" i="9" s="1"/>
  <c r="T101" i="9"/>
  <c r="Q101" i="9"/>
  <c r="M101" i="9"/>
  <c r="N101" i="9" s="1"/>
  <c r="AD100" i="9"/>
  <c r="AE100" i="9" s="1"/>
  <c r="AA100" i="9"/>
  <c r="W100" i="9"/>
  <c r="X100" i="9" s="1"/>
  <c r="T100" i="9"/>
  <c r="Q100" i="9"/>
  <c r="M100" i="9"/>
  <c r="N100" i="9" s="1"/>
  <c r="AD99" i="9"/>
  <c r="AE99" i="9" s="1"/>
  <c r="AA99" i="9"/>
  <c r="W99" i="9"/>
  <c r="X99" i="9" s="1"/>
  <c r="T99" i="9"/>
  <c r="Q99" i="9"/>
  <c r="M99" i="9"/>
  <c r="N99" i="9" s="1"/>
  <c r="AD98" i="9"/>
  <c r="AE98" i="9" s="1"/>
  <c r="AA98" i="9"/>
  <c r="W98" i="9"/>
  <c r="X98" i="9" s="1"/>
  <c r="T98" i="9"/>
  <c r="Q98" i="9"/>
  <c r="M98" i="9"/>
  <c r="N98" i="9" s="1"/>
  <c r="AD97" i="9"/>
  <c r="AE97" i="9" s="1"/>
  <c r="AA97" i="9"/>
  <c r="W97" i="9"/>
  <c r="X97" i="9" s="1"/>
  <c r="T97" i="9"/>
  <c r="Q97" i="9"/>
  <c r="M97" i="9"/>
  <c r="N97" i="9" s="1"/>
  <c r="AD96" i="9"/>
  <c r="AE96" i="9" s="1"/>
  <c r="AA96" i="9"/>
  <c r="W96" i="9"/>
  <c r="X96" i="9" s="1"/>
  <c r="T96" i="9"/>
  <c r="Q96" i="9"/>
  <c r="M96" i="9"/>
  <c r="N96" i="9" s="1"/>
  <c r="AD95" i="9"/>
  <c r="AE95" i="9" s="1"/>
  <c r="AA95" i="9"/>
  <c r="W95" i="9"/>
  <c r="X95" i="9" s="1"/>
  <c r="T95" i="9"/>
  <c r="Q95" i="9"/>
  <c r="M95" i="9"/>
  <c r="N95" i="9" s="1"/>
  <c r="W93" i="9"/>
  <c r="X93" i="9" s="1"/>
  <c r="T93" i="9"/>
  <c r="Q93" i="9"/>
  <c r="M93" i="9"/>
  <c r="N93" i="9" s="1"/>
  <c r="W91" i="9"/>
  <c r="X91" i="9" s="1"/>
  <c r="T91" i="9"/>
  <c r="Q91" i="9"/>
  <c r="M91" i="9"/>
  <c r="N91" i="9" s="1"/>
  <c r="W90" i="9"/>
  <c r="X90" i="9" s="1"/>
  <c r="T90" i="9"/>
  <c r="Q90" i="9"/>
  <c r="M90" i="9"/>
  <c r="N90" i="9" s="1"/>
  <c r="AA86" i="9"/>
  <c r="W86" i="9"/>
  <c r="X86" i="9" s="1"/>
  <c r="T86" i="9"/>
  <c r="Q86" i="9"/>
  <c r="M86" i="9"/>
  <c r="N86" i="9" s="1"/>
  <c r="AA85" i="9"/>
  <c r="W85" i="9"/>
  <c r="X85" i="9" s="1"/>
  <c r="T85" i="9"/>
  <c r="Q85" i="9"/>
  <c r="M85" i="9"/>
  <c r="N85" i="9" s="1"/>
  <c r="AH3" i="37" l="1"/>
  <c r="AI3" i="37" s="1"/>
  <c r="Z4" i="37"/>
  <c r="S4" i="37"/>
  <c r="V4" i="37" s="1"/>
  <c r="O5" i="37"/>
  <c r="N6" i="37"/>
  <c r="F6" i="8"/>
  <c r="E90" i="28"/>
  <c r="E69" i="28"/>
  <c r="E98" i="28"/>
  <c r="D46" i="28"/>
  <c r="AB8" i="32"/>
  <c r="AB3" i="32"/>
  <c r="AA7" i="32"/>
  <c r="T11" i="32"/>
  <c r="AD11" i="32" s="1"/>
  <c r="T5" i="32"/>
  <c r="AD5" i="32" s="1"/>
  <c r="T7" i="32"/>
  <c r="AD7" i="32" s="1"/>
  <c r="Z5" i="32"/>
  <c r="AA5" i="32" s="1"/>
  <c r="AB5" i="32" s="1"/>
  <c r="AB39" i="32"/>
  <c r="T4" i="32"/>
  <c r="AD4" i="32" s="1"/>
  <c r="S10" i="32"/>
  <c r="T10" i="32" s="1"/>
  <c r="AB15" i="32"/>
  <c r="AB18" i="32"/>
  <c r="T6" i="32"/>
  <c r="AD6" i="32" s="1"/>
  <c r="AA6" i="32"/>
  <c r="AB38" i="32"/>
  <c r="S8" i="32"/>
  <c r="T8" i="32"/>
  <c r="AD8" i="32" s="1"/>
  <c r="Z11" i="32"/>
  <c r="AA11" i="32" s="1"/>
  <c r="AB11" i="32" s="1"/>
  <c r="T12" i="32"/>
  <c r="AD12" i="32" s="1"/>
  <c r="AB36" i="32"/>
  <c r="D67" i="28"/>
  <c r="D55" i="28"/>
  <c r="D25" i="28"/>
  <c r="D21" i="28"/>
  <c r="D70" i="28"/>
  <c r="D9" i="28"/>
  <c r="D48" i="28"/>
  <c r="D24" i="28"/>
  <c r="D68" i="28"/>
  <c r="D66" i="28"/>
  <c r="D23" i="28"/>
  <c r="E29" i="28"/>
  <c r="E57" i="28"/>
  <c r="E61" i="28"/>
  <c r="D22" i="28"/>
  <c r="E8" i="28"/>
  <c r="E49" i="28"/>
  <c r="E10" i="28"/>
  <c r="E7" i="28"/>
  <c r="E30" i="28"/>
  <c r="E32" i="28"/>
  <c r="E38" i="28"/>
  <c r="E59" i="28"/>
  <c r="D71" i="28"/>
  <c r="D27" i="28"/>
  <c r="E42" i="28"/>
  <c r="E65" i="28"/>
  <c r="E36" i="28"/>
  <c r="E60" i="28"/>
  <c r="E63" i="28"/>
  <c r="E41" i="28"/>
  <c r="D4" i="28"/>
  <c r="E20" i="28"/>
  <c r="E50" i="28"/>
  <c r="D6" i="28"/>
  <c r="E37" i="28"/>
  <c r="E51" i="28"/>
  <c r="E28" i="28"/>
  <c r="E33" i="28"/>
  <c r="E58" i="28"/>
  <c r="E19" i="28"/>
  <c r="E52" i="28"/>
  <c r="E39" i="28"/>
  <c r="E13" i="28"/>
  <c r="E35" i="28"/>
  <c r="E53" i="28"/>
  <c r="E12" i="28"/>
  <c r="E11" i="28"/>
  <c r="E31" i="28"/>
  <c r="E40" i="28"/>
  <c r="E43" i="28"/>
  <c r="E62" i="28"/>
  <c r="D5" i="28"/>
  <c r="D47" i="28"/>
  <c r="D34" i="28"/>
  <c r="D45" i="28"/>
  <c r="D64" i="28"/>
  <c r="S298" i="9"/>
  <c r="S302" i="9"/>
  <c r="R301" i="9"/>
  <c r="U301" i="9" s="1"/>
  <c r="R279" i="9"/>
  <c r="U279" i="9" s="1"/>
  <c r="R295" i="9"/>
  <c r="U295" i="9" s="1"/>
  <c r="R303" i="9"/>
  <c r="U303" i="9" s="1"/>
  <c r="Y300" i="9"/>
  <c r="S303" i="9"/>
  <c r="R297" i="9"/>
  <c r="U297" i="9" s="1"/>
  <c r="S295" i="9"/>
  <c r="Y301" i="9"/>
  <c r="Y295" i="9"/>
  <c r="Y297" i="9"/>
  <c r="R307" i="9"/>
  <c r="U307" i="9" s="1"/>
  <c r="R305" i="9"/>
  <c r="U305" i="9" s="1"/>
  <c r="Y303" i="9"/>
  <c r="S305" i="9"/>
  <c r="R302" i="9"/>
  <c r="U302" i="9" s="1"/>
  <c r="R296" i="9"/>
  <c r="U296" i="9" s="1"/>
  <c r="S296" i="9"/>
  <c r="Y296" i="9"/>
  <c r="Y305" i="9"/>
  <c r="S306" i="9"/>
  <c r="Y304" i="9"/>
  <c r="S304" i="9"/>
  <c r="S301" i="9"/>
  <c r="S300" i="9"/>
  <c r="S307" i="9"/>
  <c r="S299" i="9"/>
  <c r="Y306" i="9"/>
  <c r="Y298" i="9"/>
  <c r="Y307" i="9"/>
  <c r="R306" i="9"/>
  <c r="U306" i="9" s="1"/>
  <c r="Y299" i="9"/>
  <c r="Y302" i="9"/>
  <c r="S297" i="9"/>
  <c r="R304" i="9"/>
  <c r="U304" i="9" s="1"/>
  <c r="S284" i="9"/>
  <c r="R298" i="9"/>
  <c r="U298" i="9" s="1"/>
  <c r="R299" i="9"/>
  <c r="U299" i="9" s="1"/>
  <c r="R282" i="9"/>
  <c r="U282" i="9" s="1"/>
  <c r="R258" i="9"/>
  <c r="U258" i="9" s="1"/>
  <c r="R300" i="9"/>
  <c r="U300" i="9" s="1"/>
  <c r="R263" i="9"/>
  <c r="U263" i="9" s="1"/>
  <c r="R284" i="9"/>
  <c r="U284" i="9" s="1"/>
  <c r="Y284" i="9"/>
  <c r="R285" i="9"/>
  <c r="U285" i="9" s="1"/>
  <c r="Y285" i="9"/>
  <c r="S285" i="9"/>
  <c r="R217" i="9"/>
  <c r="U217" i="9" s="1"/>
  <c r="S282" i="9"/>
  <c r="Y282" i="9"/>
  <c r="S279" i="9"/>
  <c r="Y279" i="9"/>
  <c r="R260" i="9"/>
  <c r="U260" i="9" s="1"/>
  <c r="Y269" i="9"/>
  <c r="Y276" i="9"/>
  <c r="Y245" i="9"/>
  <c r="R264" i="9"/>
  <c r="U264" i="9" s="1"/>
  <c r="S276" i="9"/>
  <c r="Y275" i="9"/>
  <c r="R276" i="9"/>
  <c r="U276" i="9" s="1"/>
  <c r="R271" i="9"/>
  <c r="U271" i="9" s="1"/>
  <c r="S275" i="9"/>
  <c r="R274" i="9"/>
  <c r="U274" i="9" s="1"/>
  <c r="Y274" i="9"/>
  <c r="S274" i="9"/>
  <c r="S271" i="9"/>
  <c r="R275" i="9"/>
  <c r="U275" i="9" s="1"/>
  <c r="Y271" i="9"/>
  <c r="S258" i="9"/>
  <c r="Y263" i="9"/>
  <c r="R270" i="9"/>
  <c r="U270" i="9" s="1"/>
  <c r="Y246" i="9"/>
  <c r="Y270" i="9"/>
  <c r="Y257" i="9"/>
  <c r="S264" i="9"/>
  <c r="S245" i="9"/>
  <c r="S260" i="9"/>
  <c r="S269" i="9"/>
  <c r="S268" i="9"/>
  <c r="S267" i="9"/>
  <c r="S265" i="9"/>
  <c r="S251" i="9"/>
  <c r="S249" i="9"/>
  <c r="S246" i="9"/>
  <c r="S259" i="9"/>
  <c r="S266" i="9"/>
  <c r="S257" i="9"/>
  <c r="S253" i="9"/>
  <c r="S255" i="9"/>
  <c r="S252" i="9"/>
  <c r="S256" i="9"/>
  <c r="R269" i="9"/>
  <c r="U269" i="9" s="1"/>
  <c r="Y256" i="9"/>
  <c r="Y236" i="9"/>
  <c r="R246" i="9"/>
  <c r="U246" i="9" s="1"/>
  <c r="R257" i="9"/>
  <c r="U257" i="9" s="1"/>
  <c r="Y258" i="9"/>
  <c r="Y266" i="9"/>
  <c r="S270" i="9"/>
  <c r="Y249" i="9"/>
  <c r="Y268" i="9"/>
  <c r="S232" i="9"/>
  <c r="R256" i="9"/>
  <c r="U256" i="9" s="1"/>
  <c r="Y251" i="9"/>
  <c r="Y232" i="9"/>
  <c r="R248" i="9"/>
  <c r="U248" i="9" s="1"/>
  <c r="R255" i="9"/>
  <c r="U255" i="9" s="1"/>
  <c r="R261" i="9"/>
  <c r="U261" i="9" s="1"/>
  <c r="Y265" i="9"/>
  <c r="R233" i="9"/>
  <c r="U233" i="9" s="1"/>
  <c r="S250" i="9"/>
  <c r="S248" i="9"/>
  <c r="R223" i="9"/>
  <c r="U223" i="9" s="1"/>
  <c r="Y267" i="9"/>
  <c r="R221" i="9"/>
  <c r="U221" i="9" s="1"/>
  <c r="R247" i="9"/>
  <c r="U247" i="9" s="1"/>
  <c r="Y250" i="9"/>
  <c r="S254" i="9"/>
  <c r="Y252" i="9"/>
  <c r="S261" i="9"/>
  <c r="R229" i="9"/>
  <c r="U229" i="9" s="1"/>
  <c r="S262" i="9"/>
  <c r="Y248" i="9"/>
  <c r="Y261" i="9"/>
  <c r="R259" i="9"/>
  <c r="U259" i="9" s="1"/>
  <c r="R245" i="9"/>
  <c r="U245" i="9" s="1"/>
  <c r="Y255" i="9"/>
  <c r="Y259" i="9"/>
  <c r="Y254" i="9"/>
  <c r="Y247" i="9"/>
  <c r="Y262" i="9"/>
  <c r="Y264" i="9"/>
  <c r="Y260" i="9"/>
  <c r="Y253" i="9"/>
  <c r="R252" i="9"/>
  <c r="U252" i="9" s="1"/>
  <c r="R268" i="9"/>
  <c r="U268" i="9" s="1"/>
  <c r="R249" i="9"/>
  <c r="U249" i="9" s="1"/>
  <c r="R265" i="9"/>
  <c r="U265" i="9" s="1"/>
  <c r="R262" i="9"/>
  <c r="U262" i="9" s="1"/>
  <c r="R253" i="9"/>
  <c r="U253" i="9" s="1"/>
  <c r="R250" i="9"/>
  <c r="U250" i="9" s="1"/>
  <c r="R266" i="9"/>
  <c r="U266" i="9" s="1"/>
  <c r="R213" i="9"/>
  <c r="U213" i="9" s="1"/>
  <c r="S213" i="9"/>
  <c r="S247" i="9"/>
  <c r="S263" i="9"/>
  <c r="R254" i="9"/>
  <c r="U254" i="9" s="1"/>
  <c r="R251" i="9"/>
  <c r="U251" i="9" s="1"/>
  <c r="R267" i="9"/>
  <c r="U267" i="9" s="1"/>
  <c r="Y238" i="9"/>
  <c r="S233" i="9"/>
  <c r="S230" i="9"/>
  <c r="S238" i="9"/>
  <c r="S241" i="9"/>
  <c r="S231" i="9"/>
  <c r="S229" i="9"/>
  <c r="Y231" i="9"/>
  <c r="R237" i="9"/>
  <c r="U237" i="9" s="1"/>
  <c r="Y222" i="9"/>
  <c r="R197" i="9"/>
  <c r="U197" i="9" s="1"/>
  <c r="S239" i="9"/>
  <c r="R232" i="9"/>
  <c r="U232" i="9" s="1"/>
  <c r="Y239" i="9"/>
  <c r="Y230" i="9"/>
  <c r="R236" i="9"/>
  <c r="U236" i="9" s="1"/>
  <c r="S234" i="9"/>
  <c r="S236" i="9"/>
  <c r="Y234" i="9"/>
  <c r="R240" i="9"/>
  <c r="U240" i="9" s="1"/>
  <c r="Y229" i="9"/>
  <c r="Y240" i="9"/>
  <c r="R235" i="9"/>
  <c r="U235" i="9" s="1"/>
  <c r="Y233" i="9"/>
  <c r="Y235" i="9"/>
  <c r="Y237" i="9"/>
  <c r="Y241" i="9"/>
  <c r="R230" i="9"/>
  <c r="U230" i="9" s="1"/>
  <c r="R234" i="9"/>
  <c r="U234" i="9" s="1"/>
  <c r="S237" i="9"/>
  <c r="R231" i="9"/>
  <c r="U231" i="9" s="1"/>
  <c r="R241" i="9"/>
  <c r="U241" i="9" s="1"/>
  <c r="R238" i="9"/>
  <c r="U238" i="9" s="1"/>
  <c r="Y210" i="9"/>
  <c r="S235" i="9"/>
  <c r="S240" i="9"/>
  <c r="S224" i="9"/>
  <c r="Y224" i="9"/>
  <c r="R239" i="9"/>
  <c r="U239" i="9" s="1"/>
  <c r="S227" i="9"/>
  <c r="S222" i="9"/>
  <c r="S220" i="9"/>
  <c r="S216" i="9"/>
  <c r="S217" i="9"/>
  <c r="S226" i="9"/>
  <c r="R215" i="9"/>
  <c r="U215" i="9" s="1"/>
  <c r="S221" i="9"/>
  <c r="Y217" i="9"/>
  <c r="R219" i="9"/>
  <c r="U219" i="9" s="1"/>
  <c r="Y226" i="9"/>
  <c r="R216" i="9"/>
  <c r="U216" i="9" s="1"/>
  <c r="S219" i="9"/>
  <c r="S223" i="9"/>
  <c r="Y219" i="9"/>
  <c r="R225" i="9"/>
  <c r="U225" i="9" s="1"/>
  <c r="R201" i="9"/>
  <c r="U201" i="9" s="1"/>
  <c r="S225" i="9"/>
  <c r="R218" i="9"/>
  <c r="U218" i="9" s="1"/>
  <c r="R222" i="9"/>
  <c r="U222" i="9" s="1"/>
  <c r="Y225" i="9"/>
  <c r="S218" i="9"/>
  <c r="Y227" i="9"/>
  <c r="Y215" i="9"/>
  <c r="Y213" i="9"/>
  <c r="Y221" i="9"/>
  <c r="Y223" i="9"/>
  <c r="Y216" i="9"/>
  <c r="Y218" i="9"/>
  <c r="Y220" i="9"/>
  <c r="R224" i="9"/>
  <c r="U224" i="9" s="1"/>
  <c r="R226" i="9"/>
  <c r="U226" i="9" s="1"/>
  <c r="R199" i="9"/>
  <c r="U199" i="9" s="1"/>
  <c r="R211" i="9"/>
  <c r="U211" i="9" s="1"/>
  <c r="R220" i="9"/>
  <c r="U220" i="9" s="1"/>
  <c r="R227" i="9"/>
  <c r="U227" i="9" s="1"/>
  <c r="Y197" i="9"/>
  <c r="S215" i="9"/>
  <c r="S210" i="9"/>
  <c r="S211" i="9"/>
  <c r="Y211" i="9"/>
  <c r="S196" i="9"/>
  <c r="S200" i="9"/>
  <c r="R207" i="9"/>
  <c r="U207" i="9" s="1"/>
  <c r="S207" i="9"/>
  <c r="R210" i="9"/>
  <c r="U210" i="9" s="1"/>
  <c r="S201" i="9"/>
  <c r="S205" i="9"/>
  <c r="S203" i="9"/>
  <c r="S206" i="9"/>
  <c r="S198" i="9"/>
  <c r="S202" i="9"/>
  <c r="Y208" i="9"/>
  <c r="Y203" i="9"/>
  <c r="Y200" i="9"/>
  <c r="Y207" i="9"/>
  <c r="S197" i="9"/>
  <c r="S204" i="9"/>
  <c r="S199" i="9"/>
  <c r="R208" i="9"/>
  <c r="U208" i="9" s="1"/>
  <c r="R198" i="9"/>
  <c r="U198" i="9" s="1"/>
  <c r="Y196" i="9"/>
  <c r="Y205" i="9"/>
  <c r="Y201" i="9"/>
  <c r="Y198" i="9"/>
  <c r="R200" i="9"/>
  <c r="U200" i="9" s="1"/>
  <c r="R202" i="9"/>
  <c r="U202" i="9" s="1"/>
  <c r="R204" i="9"/>
  <c r="U204" i="9" s="1"/>
  <c r="Y206" i="9"/>
  <c r="Y204" i="9"/>
  <c r="Y202" i="9"/>
  <c r="R196" i="9"/>
  <c r="U196" i="9" s="1"/>
  <c r="Y199" i="9"/>
  <c r="R205" i="9"/>
  <c r="U205" i="9" s="1"/>
  <c r="S208" i="9"/>
  <c r="S294" i="9"/>
  <c r="R188" i="9"/>
  <c r="U188" i="9" s="1"/>
  <c r="R186" i="9"/>
  <c r="U186" i="9" s="1"/>
  <c r="S188" i="9"/>
  <c r="R206" i="9"/>
  <c r="U206" i="9" s="1"/>
  <c r="R203" i="9"/>
  <c r="U203" i="9" s="1"/>
  <c r="S190" i="9"/>
  <c r="S187" i="9"/>
  <c r="S186" i="9"/>
  <c r="S185" i="9"/>
  <c r="S191" i="9"/>
  <c r="R181" i="9"/>
  <c r="U181" i="9" s="1"/>
  <c r="Y188" i="9"/>
  <c r="Y190" i="9"/>
  <c r="Y187" i="9"/>
  <c r="R189" i="9"/>
  <c r="U189" i="9" s="1"/>
  <c r="S189" i="9"/>
  <c r="Y189" i="9"/>
  <c r="Y191" i="9"/>
  <c r="Y186" i="9"/>
  <c r="Y185" i="9"/>
  <c r="R173" i="9"/>
  <c r="U173" i="9" s="1"/>
  <c r="R171" i="9"/>
  <c r="U171" i="9" s="1"/>
  <c r="R190" i="9"/>
  <c r="U190" i="9" s="1"/>
  <c r="R187" i="9"/>
  <c r="U187" i="9" s="1"/>
  <c r="S177" i="9"/>
  <c r="R191" i="9"/>
  <c r="U191" i="9" s="1"/>
  <c r="R185" i="9"/>
  <c r="U185" i="9" s="1"/>
  <c r="R288" i="9"/>
  <c r="U288" i="9" s="1"/>
  <c r="S181" i="9"/>
  <c r="S180" i="9"/>
  <c r="S183" i="9"/>
  <c r="R159" i="9"/>
  <c r="U159" i="9" s="1"/>
  <c r="S182" i="9"/>
  <c r="R177" i="9"/>
  <c r="U177" i="9" s="1"/>
  <c r="S179" i="9"/>
  <c r="Y182" i="9"/>
  <c r="Y176" i="9"/>
  <c r="Y177" i="9"/>
  <c r="Y181" i="9"/>
  <c r="S168" i="9"/>
  <c r="R175" i="9"/>
  <c r="U175" i="9" s="1"/>
  <c r="S178" i="9"/>
  <c r="Y183" i="9"/>
  <c r="Y178" i="9"/>
  <c r="Y180" i="9"/>
  <c r="Y179" i="9"/>
  <c r="R183" i="9"/>
  <c r="U183" i="9" s="1"/>
  <c r="S174" i="9"/>
  <c r="R180" i="9"/>
  <c r="U180" i="9" s="1"/>
  <c r="R184" i="9"/>
  <c r="U184" i="9" s="1"/>
  <c r="Y150" i="9"/>
  <c r="R178" i="9"/>
  <c r="U178" i="9" s="1"/>
  <c r="S283" i="9"/>
  <c r="R182" i="9"/>
  <c r="U182" i="9" s="1"/>
  <c r="R179" i="9"/>
  <c r="U179" i="9" s="1"/>
  <c r="S172" i="9"/>
  <c r="S175" i="9"/>
  <c r="S171" i="9"/>
  <c r="Y174" i="9"/>
  <c r="R151" i="9"/>
  <c r="U151" i="9" s="1"/>
  <c r="R174" i="9"/>
  <c r="U174" i="9" s="1"/>
  <c r="S292" i="9"/>
  <c r="S286" i="9"/>
  <c r="S169" i="9"/>
  <c r="Y169" i="9"/>
  <c r="S173" i="9"/>
  <c r="R149" i="9"/>
  <c r="U149" i="9" s="1"/>
  <c r="Y173" i="9"/>
  <c r="S287" i="9"/>
  <c r="R168" i="9"/>
  <c r="U168" i="9" s="1"/>
  <c r="Y175" i="9"/>
  <c r="S170" i="9"/>
  <c r="Y171" i="9"/>
  <c r="R170" i="9"/>
  <c r="U170" i="9" s="1"/>
  <c r="Y168" i="9"/>
  <c r="Y170" i="9"/>
  <c r="Y172" i="9"/>
  <c r="S277" i="9"/>
  <c r="S151" i="9"/>
  <c r="Y212" i="9"/>
  <c r="R160" i="9"/>
  <c r="U160" i="9" s="1"/>
  <c r="R172" i="9"/>
  <c r="U172" i="9" s="1"/>
  <c r="R169" i="9"/>
  <c r="U169" i="9" s="1"/>
  <c r="S243" i="9"/>
  <c r="R281" i="9"/>
  <c r="U281" i="9" s="1"/>
  <c r="Y288" i="9"/>
  <c r="Y160" i="9"/>
  <c r="Y162" i="9"/>
  <c r="R165" i="9"/>
  <c r="U165" i="9" s="1"/>
  <c r="R293" i="9"/>
  <c r="U293" i="9" s="1"/>
  <c r="S159" i="9"/>
  <c r="S160" i="9"/>
  <c r="Y195" i="9"/>
  <c r="Y293" i="9"/>
  <c r="S184" i="9"/>
  <c r="Y152" i="9"/>
  <c r="Y154" i="9"/>
  <c r="S165" i="9"/>
  <c r="Y151" i="9"/>
  <c r="Y153" i="9"/>
  <c r="R244" i="9"/>
  <c r="U244" i="9" s="1"/>
  <c r="S278" i="9"/>
  <c r="Y157" i="9"/>
  <c r="R212" i="9"/>
  <c r="U212" i="9" s="1"/>
  <c r="R150" i="9"/>
  <c r="U150" i="9" s="1"/>
  <c r="Y161" i="9"/>
  <c r="R161" i="9"/>
  <c r="U161" i="9" s="1"/>
  <c r="S161" i="9"/>
  <c r="S154" i="9"/>
  <c r="S153" i="9"/>
  <c r="S149" i="9"/>
  <c r="S155" i="9"/>
  <c r="S152" i="9"/>
  <c r="Y155" i="9"/>
  <c r="R156" i="9"/>
  <c r="U156" i="9" s="1"/>
  <c r="Y156" i="9"/>
  <c r="R153" i="9"/>
  <c r="U153" i="9" s="1"/>
  <c r="S156" i="9"/>
  <c r="Y228" i="9"/>
  <c r="R158" i="9"/>
  <c r="U158" i="9" s="1"/>
  <c r="S194" i="9"/>
  <c r="S150" i="9"/>
  <c r="Y158" i="9"/>
  <c r="S163" i="9"/>
  <c r="R154" i="9"/>
  <c r="U154" i="9" s="1"/>
  <c r="Y163" i="9"/>
  <c r="S244" i="9"/>
  <c r="R193" i="9"/>
  <c r="U193" i="9" s="1"/>
  <c r="R278" i="9"/>
  <c r="U278" i="9" s="1"/>
  <c r="Y277" i="9"/>
  <c r="Y244" i="9"/>
  <c r="R155" i="9"/>
  <c r="U155" i="9" s="1"/>
  <c r="R152" i="9"/>
  <c r="U152" i="9" s="1"/>
  <c r="Y193" i="9"/>
  <c r="Y290" i="9"/>
  <c r="S137" i="9"/>
  <c r="S164" i="9"/>
  <c r="S166" i="9"/>
  <c r="S176" i="9"/>
  <c r="S293" i="9"/>
  <c r="Y294" i="9"/>
  <c r="Y165" i="9"/>
  <c r="Y167" i="9"/>
  <c r="S192" i="9"/>
  <c r="S142" i="9"/>
  <c r="Y149" i="9"/>
  <c r="R214" i="9"/>
  <c r="U214" i="9" s="1"/>
  <c r="S272" i="9"/>
  <c r="Y278" i="9"/>
  <c r="S209" i="9"/>
  <c r="Y272" i="9"/>
  <c r="R277" i="9"/>
  <c r="U277" i="9" s="1"/>
  <c r="R289" i="9"/>
  <c r="U289" i="9" s="1"/>
  <c r="R242" i="9"/>
  <c r="U242" i="9" s="1"/>
  <c r="R148" i="9"/>
  <c r="U148" i="9" s="1"/>
  <c r="Y194" i="9"/>
  <c r="S242" i="9"/>
  <c r="S289" i="9"/>
  <c r="S143" i="9"/>
  <c r="S148" i="9"/>
  <c r="Y281" i="9"/>
  <c r="R286" i="9"/>
  <c r="U286" i="9" s="1"/>
  <c r="Y184" i="9"/>
  <c r="Y242" i="9"/>
  <c r="Y148" i="9"/>
  <c r="S157" i="9"/>
  <c r="R163" i="9"/>
  <c r="U163" i="9" s="1"/>
  <c r="Y286" i="9"/>
  <c r="Y291" i="9"/>
  <c r="S195" i="9"/>
  <c r="S280" i="9"/>
  <c r="Y283" i="9"/>
  <c r="R290" i="9"/>
  <c r="U290" i="9" s="1"/>
  <c r="Y273" i="9"/>
  <c r="R243" i="9"/>
  <c r="U243" i="9" s="1"/>
  <c r="R194" i="9"/>
  <c r="U194" i="9" s="1"/>
  <c r="R292" i="9"/>
  <c r="U292" i="9" s="1"/>
  <c r="S167" i="9"/>
  <c r="R167" i="9"/>
  <c r="U167" i="9" s="1"/>
  <c r="S273" i="9"/>
  <c r="R273" i="9"/>
  <c r="U273" i="9" s="1"/>
  <c r="R283" i="9"/>
  <c r="U283" i="9" s="1"/>
  <c r="Y164" i="9"/>
  <c r="Y243" i="9"/>
  <c r="Y292" i="9"/>
  <c r="S193" i="9"/>
  <c r="Y289" i="9"/>
  <c r="S228" i="9"/>
  <c r="R228" i="9"/>
  <c r="U228" i="9" s="1"/>
  <c r="S281" i="9"/>
  <c r="R164" i="9"/>
  <c r="U164" i="9" s="1"/>
  <c r="S162" i="9"/>
  <c r="R162" i="9"/>
  <c r="U162" i="9" s="1"/>
  <c r="Y166" i="9"/>
  <c r="S291" i="9"/>
  <c r="R291" i="9"/>
  <c r="U291" i="9" s="1"/>
  <c r="R192" i="9"/>
  <c r="U192" i="9" s="1"/>
  <c r="Y159" i="9"/>
  <c r="R140" i="9"/>
  <c r="U140" i="9" s="1"/>
  <c r="R280" i="9"/>
  <c r="U280" i="9" s="1"/>
  <c r="R195" i="9"/>
  <c r="U195" i="9" s="1"/>
  <c r="Y209" i="9"/>
  <c r="R294" i="9"/>
  <c r="U294" i="9" s="1"/>
  <c r="Y192" i="9"/>
  <c r="Y287" i="9"/>
  <c r="R176" i="9"/>
  <c r="U176" i="9" s="1"/>
  <c r="Y214" i="9"/>
  <c r="Y280" i="9"/>
  <c r="Y140" i="9"/>
  <c r="Y137" i="9"/>
  <c r="R157" i="9"/>
  <c r="U157" i="9" s="1"/>
  <c r="R209" i="9"/>
  <c r="U209" i="9" s="1"/>
  <c r="S214" i="9"/>
  <c r="R287" i="9"/>
  <c r="U287" i="9" s="1"/>
  <c r="S290" i="9"/>
  <c r="R136" i="9"/>
  <c r="U136" i="9" s="1"/>
  <c r="Y139" i="9"/>
  <c r="Y143" i="9"/>
  <c r="R133" i="9"/>
  <c r="U133" i="9" s="1"/>
  <c r="S158" i="9"/>
  <c r="S212" i="9"/>
  <c r="S288" i="9"/>
  <c r="R166" i="9"/>
  <c r="U166" i="9" s="1"/>
  <c r="R272" i="9"/>
  <c r="U272" i="9" s="1"/>
  <c r="S145" i="9"/>
  <c r="Y145" i="9"/>
  <c r="R145" i="9"/>
  <c r="U145" i="9" s="1"/>
  <c r="R143" i="9"/>
  <c r="U143" i="9" s="1"/>
  <c r="Y142" i="9"/>
  <c r="R142" i="9"/>
  <c r="U142" i="9" s="1"/>
  <c r="S141" i="9"/>
  <c r="S139" i="9"/>
  <c r="Y141" i="9"/>
  <c r="R139" i="9"/>
  <c r="U139" i="9" s="1"/>
  <c r="Y127" i="9"/>
  <c r="R137" i="9"/>
  <c r="U137" i="9" s="1"/>
  <c r="S140" i="9"/>
  <c r="S132" i="9"/>
  <c r="Y136" i="9"/>
  <c r="R141" i="9"/>
  <c r="U141" i="9" s="1"/>
  <c r="S136" i="9"/>
  <c r="S129" i="9"/>
  <c r="Y135" i="9"/>
  <c r="R135" i="9"/>
  <c r="U135" i="9" s="1"/>
  <c r="S135" i="9"/>
  <c r="Y132" i="9"/>
  <c r="R132" i="9"/>
  <c r="U132" i="9" s="1"/>
  <c r="R116" i="9"/>
  <c r="U116" i="9" s="1"/>
  <c r="Y129" i="9"/>
  <c r="R128" i="9"/>
  <c r="U128" i="9" s="1"/>
  <c r="Y131" i="9"/>
  <c r="S133" i="9"/>
  <c r="S131" i="9"/>
  <c r="Y133" i="9"/>
  <c r="S128" i="9"/>
  <c r="R131" i="9"/>
  <c r="U131" i="9" s="1"/>
  <c r="Y126" i="9"/>
  <c r="R108" i="9"/>
  <c r="U108" i="9" s="1"/>
  <c r="R127" i="9"/>
  <c r="U127" i="9" s="1"/>
  <c r="S127" i="9"/>
  <c r="R129" i="9"/>
  <c r="U129" i="9" s="1"/>
  <c r="S126" i="9"/>
  <c r="Y128" i="9"/>
  <c r="R126" i="9"/>
  <c r="U126" i="9" s="1"/>
  <c r="R118" i="9"/>
  <c r="U118" i="9" s="1"/>
  <c r="S124" i="9"/>
  <c r="S123" i="9"/>
  <c r="S122" i="9"/>
  <c r="Y123" i="9"/>
  <c r="Y117" i="9"/>
  <c r="R104" i="9"/>
  <c r="U104" i="9" s="1"/>
  <c r="R123" i="9"/>
  <c r="U123" i="9" s="1"/>
  <c r="S119" i="9"/>
  <c r="Y122" i="9"/>
  <c r="R124" i="9"/>
  <c r="U124" i="9" s="1"/>
  <c r="Y124" i="9"/>
  <c r="S116" i="9"/>
  <c r="Y118" i="9"/>
  <c r="S117" i="9"/>
  <c r="Y116" i="9"/>
  <c r="R122" i="9"/>
  <c r="U122" i="9" s="1"/>
  <c r="R98" i="9"/>
  <c r="U98" i="9" s="1"/>
  <c r="S114" i="9"/>
  <c r="S118" i="9"/>
  <c r="S113" i="9"/>
  <c r="S115" i="9"/>
  <c r="Y114" i="9"/>
  <c r="Y119" i="9"/>
  <c r="R120" i="9"/>
  <c r="U120" i="9" s="1"/>
  <c r="Y113" i="9"/>
  <c r="Y115" i="9"/>
  <c r="Y120" i="9"/>
  <c r="R117" i="9"/>
  <c r="U117" i="9" s="1"/>
  <c r="S120" i="9"/>
  <c r="R114" i="9"/>
  <c r="U114" i="9" s="1"/>
  <c r="S93" i="9"/>
  <c r="R99" i="9"/>
  <c r="U99" i="9" s="1"/>
  <c r="R115" i="9"/>
  <c r="U115" i="9" s="1"/>
  <c r="R110" i="9"/>
  <c r="U110" i="9" s="1"/>
  <c r="R119" i="9"/>
  <c r="U119" i="9" s="1"/>
  <c r="Y110" i="9"/>
  <c r="R113" i="9"/>
  <c r="U113" i="9" s="1"/>
  <c r="S111" i="9"/>
  <c r="S108" i="9"/>
  <c r="S106" i="9"/>
  <c r="S105" i="9"/>
  <c r="S104" i="9"/>
  <c r="S107" i="9"/>
  <c r="Y109" i="9"/>
  <c r="R109" i="9"/>
  <c r="U109" i="9" s="1"/>
  <c r="Y104" i="9"/>
  <c r="Y106" i="9"/>
  <c r="Y108" i="9"/>
  <c r="Y111" i="9"/>
  <c r="R111" i="9"/>
  <c r="U111" i="9" s="1"/>
  <c r="Y105" i="9"/>
  <c r="Y107" i="9"/>
  <c r="R106" i="9"/>
  <c r="U106" i="9" s="1"/>
  <c r="S109" i="9"/>
  <c r="R107" i="9"/>
  <c r="U107" i="9" s="1"/>
  <c r="S110" i="9"/>
  <c r="Y97" i="9"/>
  <c r="R105" i="9"/>
  <c r="U105" i="9" s="1"/>
  <c r="S102" i="9"/>
  <c r="S101" i="9"/>
  <c r="S100" i="9"/>
  <c r="S97" i="9"/>
  <c r="S96" i="9"/>
  <c r="Y99" i="9"/>
  <c r="Y101" i="9"/>
  <c r="R100" i="9"/>
  <c r="U100" i="9" s="1"/>
  <c r="S90" i="9"/>
  <c r="S95" i="9"/>
  <c r="R97" i="9"/>
  <c r="U97" i="9" s="1"/>
  <c r="Y102" i="9"/>
  <c r="Y95" i="9"/>
  <c r="S91" i="9"/>
  <c r="R96" i="9"/>
  <c r="U96" i="9" s="1"/>
  <c r="Y98" i="9"/>
  <c r="Y100" i="9"/>
  <c r="Y96" i="9"/>
  <c r="R101" i="9"/>
  <c r="U101" i="9" s="1"/>
  <c r="R95" i="9"/>
  <c r="U95" i="9" s="1"/>
  <c r="S98" i="9"/>
  <c r="R102" i="9"/>
  <c r="U102" i="9" s="1"/>
  <c r="S99" i="9"/>
  <c r="Y93" i="9"/>
  <c r="R93" i="9"/>
  <c r="U93" i="9" s="1"/>
  <c r="Y90" i="9"/>
  <c r="Y91" i="9"/>
  <c r="R91" i="9"/>
  <c r="U91" i="9" s="1"/>
  <c r="R90" i="9"/>
  <c r="U90" i="9" s="1"/>
  <c r="R86" i="9"/>
  <c r="U86" i="9" s="1"/>
  <c r="Y86" i="9"/>
  <c r="S86" i="9"/>
  <c r="R85" i="9"/>
  <c r="U85" i="9" s="1"/>
  <c r="Y85" i="9"/>
  <c r="S85" i="9"/>
  <c r="AH4" i="37" l="1"/>
  <c r="AI4" i="37" s="1"/>
  <c r="N7" i="37"/>
  <c r="O6" i="37"/>
  <c r="S5" i="37"/>
  <c r="V5" i="37" s="1"/>
  <c r="Z5" i="37"/>
  <c r="AD10" i="32"/>
  <c r="AB10" i="32"/>
  <c r="AB12" i="32"/>
  <c r="AB4" i="32"/>
  <c r="AB7" i="32"/>
  <c r="AB6" i="32"/>
  <c r="D36" i="28"/>
  <c r="D29" i="28"/>
  <c r="D20" i="28"/>
  <c r="D19" i="28"/>
  <c r="D30" i="28"/>
  <c r="D65" i="28"/>
  <c r="D35" i="28"/>
  <c r="D12" i="28"/>
  <c r="D8" i="28"/>
  <c r="D32" i="28"/>
  <c r="D59" i="28"/>
  <c r="D57" i="28"/>
  <c r="D62" i="28"/>
  <c r="D38" i="28"/>
  <c r="D28" i="28"/>
  <c r="D42" i="28"/>
  <c r="D52" i="28"/>
  <c r="D50" i="28"/>
  <c r="D51" i="28"/>
  <c r="D63" i="28"/>
  <c r="D43" i="28"/>
  <c r="D37" i="28"/>
  <c r="D58" i="28"/>
  <c r="D13" i="28"/>
  <c r="D60" i="28"/>
  <c r="D11" i="28"/>
  <c r="D41" i="28"/>
  <c r="D40" i="28"/>
  <c r="D53" i="28"/>
  <c r="D10" i="28"/>
  <c r="D49" i="28"/>
  <c r="D39" i="28"/>
  <c r="D7" i="28"/>
  <c r="D31" i="28"/>
  <c r="D33" i="28"/>
  <c r="D61" i="28"/>
  <c r="W71" i="9"/>
  <c r="X71" i="9" s="1"/>
  <c r="T71" i="9"/>
  <c r="M71" i="9"/>
  <c r="N71" i="9" s="1"/>
  <c r="W59" i="9"/>
  <c r="X59" i="9" s="1"/>
  <c r="T59" i="9"/>
  <c r="M59" i="9"/>
  <c r="N59" i="9" s="1"/>
  <c r="W58" i="9"/>
  <c r="X58" i="9" s="1"/>
  <c r="T58" i="9"/>
  <c r="M58" i="9"/>
  <c r="N58" i="9" s="1"/>
  <c r="W57" i="9"/>
  <c r="X57" i="9" s="1"/>
  <c r="T57" i="9"/>
  <c r="M57" i="9"/>
  <c r="N57" i="9" s="1"/>
  <c r="AD56" i="9"/>
  <c r="AE56" i="9" s="1"/>
  <c r="AA56" i="9"/>
  <c r="W56" i="9"/>
  <c r="X56" i="9" s="1"/>
  <c r="T56" i="9"/>
  <c r="M56" i="9"/>
  <c r="N56" i="9" s="1"/>
  <c r="W54" i="9"/>
  <c r="X54" i="9" s="1"/>
  <c r="T54" i="9"/>
  <c r="M54" i="9"/>
  <c r="N54" i="9" s="1"/>
  <c r="AD52" i="9"/>
  <c r="AE52" i="9" s="1"/>
  <c r="AA52" i="9"/>
  <c r="W52" i="9"/>
  <c r="X52" i="9" s="1"/>
  <c r="T52" i="9"/>
  <c r="M52" i="9"/>
  <c r="N52" i="9" s="1"/>
  <c r="AD51" i="9"/>
  <c r="AE51" i="9" s="1"/>
  <c r="AA51" i="9"/>
  <c r="W51" i="9"/>
  <c r="X51" i="9" s="1"/>
  <c r="T51" i="9"/>
  <c r="M51" i="9"/>
  <c r="N51" i="9" s="1"/>
  <c r="AD50" i="9"/>
  <c r="AE50" i="9" s="1"/>
  <c r="AA50" i="9"/>
  <c r="W50" i="9"/>
  <c r="X50" i="9" s="1"/>
  <c r="T50" i="9"/>
  <c r="M50" i="9"/>
  <c r="N50" i="9" s="1"/>
  <c r="AD49" i="9"/>
  <c r="AE49" i="9" s="1"/>
  <c r="AA49" i="9"/>
  <c r="W49" i="9"/>
  <c r="X49" i="9" s="1"/>
  <c r="T49" i="9"/>
  <c r="M49" i="9"/>
  <c r="N49" i="9" s="1"/>
  <c r="W47" i="9"/>
  <c r="X47" i="9" s="1"/>
  <c r="T47" i="9"/>
  <c r="M47" i="9"/>
  <c r="N47" i="9" s="1"/>
  <c r="W46" i="9"/>
  <c r="X46" i="9" s="1"/>
  <c r="T46" i="9"/>
  <c r="M46" i="9"/>
  <c r="N46" i="9" s="1"/>
  <c r="AH5" i="37" l="1"/>
  <c r="AI5" i="37" s="1"/>
  <c r="Z6" i="37"/>
  <c r="S6" i="37"/>
  <c r="V6" i="37" s="1"/>
  <c r="N8" i="37"/>
  <c r="O7" i="37"/>
  <c r="Y56" i="9"/>
  <c r="Y71" i="9"/>
  <c r="Y59" i="9"/>
  <c r="Y58" i="9"/>
  <c r="Y57" i="9"/>
  <c r="Y49" i="9"/>
  <c r="Y54" i="9"/>
  <c r="Y51" i="9"/>
  <c r="Y52" i="9"/>
  <c r="Y50" i="9"/>
  <c r="Y47" i="9"/>
  <c r="Y46" i="9"/>
  <c r="AH6" i="37" l="1"/>
  <c r="AI6" i="37" s="1"/>
  <c r="S7" i="37"/>
  <c r="V7" i="37" s="1"/>
  <c r="Z7" i="37"/>
  <c r="O8" i="37"/>
  <c r="N9" i="37"/>
  <c r="W35" i="9"/>
  <c r="X35" i="9" s="1"/>
  <c r="T35" i="9"/>
  <c r="M35" i="9"/>
  <c r="N35" i="9" s="1"/>
  <c r="W33" i="9"/>
  <c r="X33" i="9" s="1"/>
  <c r="T33" i="9"/>
  <c r="M33" i="9"/>
  <c r="N33" i="9" s="1"/>
  <c r="W32" i="9"/>
  <c r="X32" i="9" s="1"/>
  <c r="T32" i="9"/>
  <c r="M32" i="9"/>
  <c r="N32" i="9" s="1"/>
  <c r="W29" i="9"/>
  <c r="X29" i="9" s="1"/>
  <c r="T29" i="9"/>
  <c r="M29" i="9"/>
  <c r="N29" i="9" s="1"/>
  <c r="AD16" i="9"/>
  <c r="AE16" i="9" s="1"/>
  <c r="AA16" i="9"/>
  <c r="W16" i="9"/>
  <c r="X16" i="9" s="1"/>
  <c r="T16" i="9"/>
  <c r="M16" i="9"/>
  <c r="N16" i="9" s="1"/>
  <c r="AD15" i="9"/>
  <c r="AE15" i="9" s="1"/>
  <c r="AA15" i="9"/>
  <c r="W15" i="9"/>
  <c r="X15" i="9" s="1"/>
  <c r="T15" i="9"/>
  <c r="M15" i="9"/>
  <c r="N15" i="9" s="1"/>
  <c r="AD14" i="9"/>
  <c r="AE14" i="9" s="1"/>
  <c r="AA14" i="9"/>
  <c r="W14" i="9"/>
  <c r="X14" i="9" s="1"/>
  <c r="T14" i="9"/>
  <c r="M14" i="9"/>
  <c r="N14" i="9" s="1"/>
  <c r="AD13" i="9"/>
  <c r="AE13" i="9" s="1"/>
  <c r="AA13" i="9"/>
  <c r="W13" i="9"/>
  <c r="X13" i="9" s="1"/>
  <c r="T13" i="9"/>
  <c r="M13" i="9"/>
  <c r="N13" i="9" s="1"/>
  <c r="AD12" i="9"/>
  <c r="AE12" i="9" s="1"/>
  <c r="AA12" i="9"/>
  <c r="W12" i="9"/>
  <c r="X12" i="9" s="1"/>
  <c r="T12" i="9"/>
  <c r="M12" i="9"/>
  <c r="N12" i="9" s="1"/>
  <c r="AD10" i="9"/>
  <c r="AE10" i="9" s="1"/>
  <c r="AA10" i="9"/>
  <c r="W10" i="9"/>
  <c r="X10" i="9" s="1"/>
  <c r="T10" i="9"/>
  <c r="M10" i="9"/>
  <c r="N10" i="9" s="1"/>
  <c r="AD9" i="9"/>
  <c r="AE9" i="9" s="1"/>
  <c r="AA9" i="9"/>
  <c r="W9" i="9"/>
  <c r="X9" i="9" s="1"/>
  <c r="T9" i="9"/>
  <c r="M9" i="9"/>
  <c r="N9" i="9" s="1"/>
  <c r="AD8" i="9"/>
  <c r="AE8" i="9" s="1"/>
  <c r="AA8" i="9"/>
  <c r="W8" i="9"/>
  <c r="X8" i="9" s="1"/>
  <c r="T8" i="9"/>
  <c r="M8" i="9"/>
  <c r="N8" i="9" s="1"/>
  <c r="AD147" i="9"/>
  <c r="AE147" i="9" s="1"/>
  <c r="AA147" i="9"/>
  <c r="W147" i="9"/>
  <c r="T147" i="9"/>
  <c r="M147" i="9"/>
  <c r="N147" i="9" s="1"/>
  <c r="AD146" i="9"/>
  <c r="AE146" i="9" s="1"/>
  <c r="AA146" i="9"/>
  <c r="W146" i="9"/>
  <c r="X146" i="9" s="1"/>
  <c r="T146" i="9"/>
  <c r="M146" i="9"/>
  <c r="N146" i="9" s="1"/>
  <c r="AD145" i="9"/>
  <c r="AE145" i="9" s="1"/>
  <c r="AA145" i="9"/>
  <c r="AD144" i="9"/>
  <c r="AE144" i="9" s="1"/>
  <c r="AA144" i="9"/>
  <c r="W144" i="9"/>
  <c r="X144" i="9" s="1"/>
  <c r="T144" i="9"/>
  <c r="M144" i="9"/>
  <c r="N144" i="9" s="1"/>
  <c r="AD143" i="9"/>
  <c r="AE143" i="9" s="1"/>
  <c r="AA143" i="9"/>
  <c r="AD138" i="9"/>
  <c r="AE138" i="9" s="1"/>
  <c r="AA138" i="9"/>
  <c r="W138" i="9"/>
  <c r="X138" i="9" s="1"/>
  <c r="T138" i="9"/>
  <c r="M138" i="9"/>
  <c r="N138" i="9" s="1"/>
  <c r="AD135" i="9"/>
  <c r="AE135" i="9" s="1"/>
  <c r="AA135" i="9"/>
  <c r="AD134" i="9"/>
  <c r="AE134" i="9" s="1"/>
  <c r="AA134" i="9"/>
  <c r="W134" i="9"/>
  <c r="X134" i="9" s="1"/>
  <c r="T134" i="9"/>
  <c r="M134" i="9"/>
  <c r="N134" i="9" s="1"/>
  <c r="AD130" i="9"/>
  <c r="AE130" i="9" s="1"/>
  <c r="AA130" i="9"/>
  <c r="W130" i="9"/>
  <c r="X130" i="9" s="1"/>
  <c r="T130" i="9"/>
  <c r="M130" i="9"/>
  <c r="N130" i="9" s="1"/>
  <c r="AD129" i="9"/>
  <c r="AE129" i="9" s="1"/>
  <c r="AA129" i="9"/>
  <c r="AD125" i="9"/>
  <c r="AE125" i="9" s="1"/>
  <c r="AA125" i="9"/>
  <c r="W125" i="9"/>
  <c r="X125" i="9" s="1"/>
  <c r="T125" i="9"/>
  <c r="M125" i="9"/>
  <c r="N125" i="9" s="1"/>
  <c r="AD121" i="9"/>
  <c r="AE121" i="9" s="1"/>
  <c r="AA121" i="9"/>
  <c r="W121" i="9"/>
  <c r="X121" i="9" s="1"/>
  <c r="T121" i="9"/>
  <c r="M121" i="9"/>
  <c r="N121" i="9" s="1"/>
  <c r="AD112" i="9"/>
  <c r="AE112" i="9" s="1"/>
  <c r="AA112" i="9"/>
  <c r="W112" i="9"/>
  <c r="X112" i="9" s="1"/>
  <c r="T112" i="9"/>
  <c r="M112" i="9"/>
  <c r="N112" i="9" s="1"/>
  <c r="AD103" i="9"/>
  <c r="AE103" i="9" s="1"/>
  <c r="AA103" i="9"/>
  <c r="W103" i="9"/>
  <c r="X103" i="9" s="1"/>
  <c r="T103" i="9"/>
  <c r="M103" i="9"/>
  <c r="N103" i="9" s="1"/>
  <c r="AD94" i="9"/>
  <c r="AE94" i="9" s="1"/>
  <c r="AA94" i="9"/>
  <c r="W94" i="9"/>
  <c r="X94" i="9" s="1"/>
  <c r="T94" i="9"/>
  <c r="M94" i="9"/>
  <c r="N94" i="9" s="1"/>
  <c r="AD93" i="9"/>
  <c r="AE93" i="9" s="1"/>
  <c r="AA93" i="9"/>
  <c r="AD92" i="9"/>
  <c r="AE92" i="9" s="1"/>
  <c r="AA92" i="9"/>
  <c r="W92" i="9"/>
  <c r="X92" i="9" s="1"/>
  <c r="T92" i="9"/>
  <c r="M92" i="9"/>
  <c r="N92" i="9" s="1"/>
  <c r="AD91" i="9"/>
  <c r="AE91" i="9" s="1"/>
  <c r="AA91" i="9"/>
  <c r="AD90" i="9"/>
  <c r="AE90" i="9" s="1"/>
  <c r="AA90" i="9"/>
  <c r="AD89" i="9"/>
  <c r="AE89" i="9" s="1"/>
  <c r="AA89" i="9"/>
  <c r="W89" i="9"/>
  <c r="X89" i="9" s="1"/>
  <c r="T89" i="9"/>
  <c r="M89" i="9"/>
  <c r="N89" i="9" s="1"/>
  <c r="AD88" i="9"/>
  <c r="AE88" i="9" s="1"/>
  <c r="AA88" i="9"/>
  <c r="W88" i="9"/>
  <c r="X88" i="9" s="1"/>
  <c r="T88" i="9"/>
  <c r="M88" i="9"/>
  <c r="N88" i="9" s="1"/>
  <c r="AD87" i="9"/>
  <c r="AE87" i="9" s="1"/>
  <c r="AA87" i="9"/>
  <c r="W87" i="9"/>
  <c r="X87" i="9" s="1"/>
  <c r="T87" i="9"/>
  <c r="M87" i="9"/>
  <c r="N87" i="9" s="1"/>
  <c r="AD86" i="9"/>
  <c r="AE86" i="9" s="1"/>
  <c r="AD85" i="9"/>
  <c r="AE85" i="9" s="1"/>
  <c r="AD84" i="9"/>
  <c r="AE84" i="9" s="1"/>
  <c r="AA84" i="9"/>
  <c r="W84" i="9"/>
  <c r="X84" i="9" s="1"/>
  <c r="T84" i="9"/>
  <c r="M84" i="9"/>
  <c r="N84" i="9" s="1"/>
  <c r="AD83" i="9"/>
  <c r="AE83" i="9" s="1"/>
  <c r="AA83" i="9"/>
  <c r="W83" i="9"/>
  <c r="X83" i="9" s="1"/>
  <c r="T83" i="9"/>
  <c r="M83" i="9"/>
  <c r="N83" i="9" s="1"/>
  <c r="AD82" i="9"/>
  <c r="AE82" i="9" s="1"/>
  <c r="AA82" i="9"/>
  <c r="W82" i="9"/>
  <c r="X82" i="9" s="1"/>
  <c r="T82" i="9"/>
  <c r="M82" i="9"/>
  <c r="N82" i="9" s="1"/>
  <c r="AD81" i="9"/>
  <c r="AE81" i="9" s="1"/>
  <c r="AA81" i="9"/>
  <c r="W81" i="9"/>
  <c r="X81" i="9" s="1"/>
  <c r="T81" i="9"/>
  <c r="M81" i="9"/>
  <c r="N81" i="9" s="1"/>
  <c r="AD80" i="9"/>
  <c r="AE80" i="9" s="1"/>
  <c r="AA80" i="9"/>
  <c r="W80" i="9"/>
  <c r="X80" i="9" s="1"/>
  <c r="T80" i="9"/>
  <c r="M80" i="9"/>
  <c r="N80" i="9" s="1"/>
  <c r="AD79" i="9"/>
  <c r="AE79" i="9" s="1"/>
  <c r="AA79" i="9"/>
  <c r="W79" i="9"/>
  <c r="X79" i="9" s="1"/>
  <c r="T79" i="9"/>
  <c r="M79" i="9"/>
  <c r="N79" i="9" s="1"/>
  <c r="AD78" i="9"/>
  <c r="AE78" i="9" s="1"/>
  <c r="AA78" i="9"/>
  <c r="W78" i="9"/>
  <c r="X78" i="9" s="1"/>
  <c r="T78" i="9"/>
  <c r="M78" i="9"/>
  <c r="N78" i="9" s="1"/>
  <c r="AD77" i="9"/>
  <c r="AE77" i="9" s="1"/>
  <c r="AA77" i="9"/>
  <c r="W77" i="9"/>
  <c r="X77" i="9" s="1"/>
  <c r="T77" i="9"/>
  <c r="M77" i="9"/>
  <c r="N77" i="9" s="1"/>
  <c r="AD76" i="9"/>
  <c r="AE76" i="9" s="1"/>
  <c r="AA76" i="9"/>
  <c r="W76" i="9"/>
  <c r="X76" i="9" s="1"/>
  <c r="T76" i="9"/>
  <c r="M76" i="9"/>
  <c r="N76" i="9" s="1"/>
  <c r="AD75" i="9"/>
  <c r="AE75" i="9" s="1"/>
  <c r="AA75" i="9"/>
  <c r="W75" i="9"/>
  <c r="X75" i="9" s="1"/>
  <c r="T75" i="9"/>
  <c r="M75" i="9"/>
  <c r="N75" i="9" s="1"/>
  <c r="AD74" i="9"/>
  <c r="AE74" i="9" s="1"/>
  <c r="AA74" i="9"/>
  <c r="W74" i="9"/>
  <c r="X74" i="9" s="1"/>
  <c r="T74" i="9"/>
  <c r="M74" i="9"/>
  <c r="N74" i="9" s="1"/>
  <c r="AD73" i="9"/>
  <c r="AE73" i="9" s="1"/>
  <c r="AA73" i="9"/>
  <c r="W73" i="9"/>
  <c r="X73" i="9" s="1"/>
  <c r="T73" i="9"/>
  <c r="M73" i="9"/>
  <c r="N73" i="9" s="1"/>
  <c r="AD72" i="9"/>
  <c r="AE72" i="9" s="1"/>
  <c r="AA72" i="9"/>
  <c r="W72" i="9"/>
  <c r="X72" i="9" s="1"/>
  <c r="T72" i="9"/>
  <c r="M72" i="9"/>
  <c r="N72" i="9" s="1"/>
  <c r="AD71" i="9"/>
  <c r="AE71" i="9" s="1"/>
  <c r="AA71" i="9"/>
  <c r="AD70" i="9"/>
  <c r="AE70" i="9" s="1"/>
  <c r="AA70" i="9"/>
  <c r="W70" i="9"/>
  <c r="X70" i="9" s="1"/>
  <c r="T70" i="9"/>
  <c r="M70" i="9"/>
  <c r="N70" i="9" s="1"/>
  <c r="AD69" i="9"/>
  <c r="AE69" i="9" s="1"/>
  <c r="AA69" i="9"/>
  <c r="W69" i="9"/>
  <c r="X69" i="9" s="1"/>
  <c r="T69" i="9"/>
  <c r="M69" i="9"/>
  <c r="N69" i="9" s="1"/>
  <c r="AD68" i="9"/>
  <c r="AE68" i="9" s="1"/>
  <c r="AA68" i="9"/>
  <c r="W68" i="9"/>
  <c r="X68" i="9" s="1"/>
  <c r="T68" i="9"/>
  <c r="M68" i="9"/>
  <c r="N68" i="9" s="1"/>
  <c r="AD67" i="9"/>
  <c r="AE67" i="9" s="1"/>
  <c r="AA67" i="9"/>
  <c r="W67" i="9"/>
  <c r="X67" i="9" s="1"/>
  <c r="T67" i="9"/>
  <c r="M67" i="9"/>
  <c r="N67" i="9" s="1"/>
  <c r="AD66" i="9"/>
  <c r="AE66" i="9" s="1"/>
  <c r="AA66" i="9"/>
  <c r="W66" i="9"/>
  <c r="X66" i="9" s="1"/>
  <c r="T66" i="9"/>
  <c r="M66" i="9"/>
  <c r="N66" i="9" s="1"/>
  <c r="AD65" i="9"/>
  <c r="AE65" i="9" s="1"/>
  <c r="AA65" i="9"/>
  <c r="W65" i="9"/>
  <c r="X65" i="9" s="1"/>
  <c r="T65" i="9"/>
  <c r="M65" i="9"/>
  <c r="N65" i="9" s="1"/>
  <c r="AD64" i="9"/>
  <c r="AE64" i="9" s="1"/>
  <c r="AA64" i="9"/>
  <c r="W64" i="9"/>
  <c r="X64" i="9" s="1"/>
  <c r="T64" i="9"/>
  <c r="M64" i="9"/>
  <c r="N64" i="9" s="1"/>
  <c r="AD63" i="9"/>
  <c r="AE63" i="9" s="1"/>
  <c r="AA63" i="9"/>
  <c r="W63" i="9"/>
  <c r="X63" i="9" s="1"/>
  <c r="T63" i="9"/>
  <c r="M63" i="9"/>
  <c r="N63" i="9" s="1"/>
  <c r="AD62" i="9"/>
  <c r="AE62" i="9" s="1"/>
  <c r="AA62" i="9"/>
  <c r="W62" i="9"/>
  <c r="X62" i="9" s="1"/>
  <c r="T62" i="9"/>
  <c r="M62" i="9"/>
  <c r="N62" i="9" s="1"/>
  <c r="AD61" i="9"/>
  <c r="AE61" i="9" s="1"/>
  <c r="AA61" i="9"/>
  <c r="W61" i="9"/>
  <c r="X61" i="9" s="1"/>
  <c r="T61" i="9"/>
  <c r="M61" i="9"/>
  <c r="N61" i="9" s="1"/>
  <c r="AD60" i="9"/>
  <c r="AE60" i="9" s="1"/>
  <c r="AA60" i="9"/>
  <c r="W60" i="9"/>
  <c r="X60" i="9" s="1"/>
  <c r="T60" i="9"/>
  <c r="M60" i="9"/>
  <c r="N60" i="9" s="1"/>
  <c r="AD59" i="9"/>
  <c r="AE59" i="9" s="1"/>
  <c r="AA59" i="9"/>
  <c r="AD58" i="9"/>
  <c r="AE58" i="9" s="1"/>
  <c r="AA58" i="9"/>
  <c r="AD57" i="9"/>
  <c r="AE57" i="9" s="1"/>
  <c r="AA57" i="9"/>
  <c r="AD55" i="9"/>
  <c r="AE55" i="9" s="1"/>
  <c r="AA55" i="9"/>
  <c r="W55" i="9"/>
  <c r="X55" i="9" s="1"/>
  <c r="T55" i="9"/>
  <c r="M55" i="9"/>
  <c r="N55" i="9" s="1"/>
  <c r="AD54" i="9"/>
  <c r="AE54" i="9" s="1"/>
  <c r="AA54" i="9"/>
  <c r="AD53" i="9"/>
  <c r="AE53" i="9" s="1"/>
  <c r="AA53" i="9"/>
  <c r="W53" i="9"/>
  <c r="X53" i="9" s="1"/>
  <c r="T53" i="9"/>
  <c r="M53" i="9"/>
  <c r="N53" i="9" s="1"/>
  <c r="AD48" i="9"/>
  <c r="AE48" i="9" s="1"/>
  <c r="AA48" i="9"/>
  <c r="W48" i="9"/>
  <c r="X48" i="9" s="1"/>
  <c r="T48" i="9"/>
  <c r="M48" i="9"/>
  <c r="N48" i="9" s="1"/>
  <c r="AD47" i="9"/>
  <c r="AE47" i="9" s="1"/>
  <c r="AA47" i="9"/>
  <c r="AD46" i="9"/>
  <c r="AE46" i="9" s="1"/>
  <c r="AA46" i="9"/>
  <c r="AD45" i="9"/>
  <c r="AE45" i="9" s="1"/>
  <c r="AA45" i="9"/>
  <c r="W45" i="9"/>
  <c r="X45" i="9" s="1"/>
  <c r="T45" i="9"/>
  <c r="M45" i="9"/>
  <c r="N45" i="9" s="1"/>
  <c r="AD44" i="9"/>
  <c r="AE44" i="9" s="1"/>
  <c r="AA44" i="9"/>
  <c r="W44" i="9"/>
  <c r="X44" i="9" s="1"/>
  <c r="T44" i="9"/>
  <c r="M44" i="9"/>
  <c r="N44" i="9" s="1"/>
  <c r="AD43" i="9"/>
  <c r="AE43" i="9" s="1"/>
  <c r="AA43" i="9"/>
  <c r="W43" i="9"/>
  <c r="X43" i="9" s="1"/>
  <c r="T43" i="9"/>
  <c r="M43" i="9"/>
  <c r="N43" i="9" s="1"/>
  <c r="AD42" i="9"/>
  <c r="AE42" i="9" s="1"/>
  <c r="AA42" i="9"/>
  <c r="W42" i="9"/>
  <c r="X42" i="9" s="1"/>
  <c r="T42" i="9"/>
  <c r="M42" i="9"/>
  <c r="N42" i="9" s="1"/>
  <c r="AD41" i="9"/>
  <c r="AE41" i="9" s="1"/>
  <c r="AA41" i="9"/>
  <c r="W41" i="9"/>
  <c r="X41" i="9" s="1"/>
  <c r="T41" i="9"/>
  <c r="M41" i="9"/>
  <c r="N41" i="9" s="1"/>
  <c r="AD40" i="9"/>
  <c r="AE40" i="9" s="1"/>
  <c r="AA40" i="9"/>
  <c r="W40" i="9"/>
  <c r="X40" i="9" s="1"/>
  <c r="T40" i="9"/>
  <c r="M40" i="9"/>
  <c r="N40" i="9" s="1"/>
  <c r="AD39" i="9"/>
  <c r="AE39" i="9" s="1"/>
  <c r="AA39" i="9"/>
  <c r="W39" i="9"/>
  <c r="X39" i="9" s="1"/>
  <c r="T39" i="9"/>
  <c r="M39" i="9"/>
  <c r="N39" i="9" s="1"/>
  <c r="AD38" i="9"/>
  <c r="AE38" i="9" s="1"/>
  <c r="AA38" i="9"/>
  <c r="W38" i="9"/>
  <c r="X38" i="9" s="1"/>
  <c r="T38" i="9"/>
  <c r="M38" i="9"/>
  <c r="N38" i="9" s="1"/>
  <c r="AD37" i="9"/>
  <c r="AE37" i="9" s="1"/>
  <c r="AA37" i="9"/>
  <c r="W37" i="9"/>
  <c r="X37" i="9" s="1"/>
  <c r="T37" i="9"/>
  <c r="M37" i="9"/>
  <c r="N37" i="9" s="1"/>
  <c r="AD36" i="9"/>
  <c r="AE36" i="9" s="1"/>
  <c r="AA36" i="9"/>
  <c r="W36" i="9"/>
  <c r="X36" i="9" s="1"/>
  <c r="T36" i="9"/>
  <c r="M36" i="9"/>
  <c r="N36" i="9" s="1"/>
  <c r="AD35" i="9"/>
  <c r="AE35" i="9" s="1"/>
  <c r="AA35" i="9"/>
  <c r="AD34" i="9"/>
  <c r="AE34" i="9" s="1"/>
  <c r="AA34" i="9"/>
  <c r="W34" i="9"/>
  <c r="X34" i="9" s="1"/>
  <c r="T34" i="9"/>
  <c r="M34" i="9"/>
  <c r="N34" i="9" s="1"/>
  <c r="AD33" i="9"/>
  <c r="AE33" i="9" s="1"/>
  <c r="AA33" i="9"/>
  <c r="AD32" i="9"/>
  <c r="AE32" i="9" s="1"/>
  <c r="AA32" i="9"/>
  <c r="AD31" i="9"/>
  <c r="AE31" i="9" s="1"/>
  <c r="AA31" i="9"/>
  <c r="W31" i="9"/>
  <c r="X31" i="9" s="1"/>
  <c r="T31" i="9"/>
  <c r="M31" i="9"/>
  <c r="N31" i="9" s="1"/>
  <c r="AD30" i="9"/>
  <c r="AE30" i="9" s="1"/>
  <c r="AA30" i="9"/>
  <c r="W30" i="9"/>
  <c r="X30" i="9" s="1"/>
  <c r="T30" i="9"/>
  <c r="M30" i="9"/>
  <c r="N30" i="9" s="1"/>
  <c r="AD29" i="9"/>
  <c r="AE29" i="9" s="1"/>
  <c r="AA29" i="9"/>
  <c r="AD28" i="9"/>
  <c r="AE28" i="9" s="1"/>
  <c r="AA28" i="9"/>
  <c r="W28" i="9"/>
  <c r="X28" i="9" s="1"/>
  <c r="T28" i="9"/>
  <c r="M28" i="9"/>
  <c r="N28" i="9" s="1"/>
  <c r="AD27" i="9"/>
  <c r="AE27" i="9" s="1"/>
  <c r="AA27" i="9"/>
  <c r="W27" i="9"/>
  <c r="X27" i="9" s="1"/>
  <c r="T27" i="9"/>
  <c r="M27" i="9"/>
  <c r="N27" i="9" s="1"/>
  <c r="AD26" i="9"/>
  <c r="AE26" i="9" s="1"/>
  <c r="AA26" i="9"/>
  <c r="W26" i="9"/>
  <c r="X26" i="9" s="1"/>
  <c r="T26" i="9"/>
  <c r="M26" i="9"/>
  <c r="N26" i="9" s="1"/>
  <c r="AD25" i="9"/>
  <c r="AE25" i="9" s="1"/>
  <c r="AA25" i="9"/>
  <c r="W25" i="9"/>
  <c r="X25" i="9" s="1"/>
  <c r="T25" i="9"/>
  <c r="M25" i="9"/>
  <c r="N25" i="9" s="1"/>
  <c r="AD24" i="9"/>
  <c r="AE24" i="9" s="1"/>
  <c r="AA24" i="9"/>
  <c r="W24" i="9"/>
  <c r="X24" i="9" s="1"/>
  <c r="T24" i="9"/>
  <c r="M24" i="9"/>
  <c r="N24" i="9" s="1"/>
  <c r="AD23" i="9"/>
  <c r="AE23" i="9" s="1"/>
  <c r="AA23" i="9"/>
  <c r="W23" i="9"/>
  <c r="X23" i="9" s="1"/>
  <c r="T23" i="9"/>
  <c r="M23" i="9"/>
  <c r="N23" i="9" s="1"/>
  <c r="AD22" i="9"/>
  <c r="AE22" i="9" s="1"/>
  <c r="AA22" i="9"/>
  <c r="W22" i="9"/>
  <c r="X22" i="9" s="1"/>
  <c r="T22" i="9"/>
  <c r="M22" i="9"/>
  <c r="N22" i="9" s="1"/>
  <c r="AD21" i="9"/>
  <c r="AE21" i="9" s="1"/>
  <c r="AA21" i="9"/>
  <c r="W21" i="9"/>
  <c r="X21" i="9" s="1"/>
  <c r="T21" i="9"/>
  <c r="M21" i="9"/>
  <c r="N21" i="9" s="1"/>
  <c r="AD20" i="9"/>
  <c r="AE20" i="9" s="1"/>
  <c r="AA20" i="9"/>
  <c r="W20" i="9"/>
  <c r="X20" i="9" s="1"/>
  <c r="T20" i="9"/>
  <c r="M20" i="9"/>
  <c r="N20" i="9" s="1"/>
  <c r="AD19" i="9"/>
  <c r="AE19" i="9" s="1"/>
  <c r="AA19" i="9"/>
  <c r="W19" i="9"/>
  <c r="X19" i="9" s="1"/>
  <c r="T19" i="9"/>
  <c r="M19" i="9"/>
  <c r="N19" i="9" s="1"/>
  <c r="AD18" i="9"/>
  <c r="AE18" i="9" s="1"/>
  <c r="AA18" i="9"/>
  <c r="W18" i="9"/>
  <c r="X18" i="9" s="1"/>
  <c r="T18" i="9"/>
  <c r="M18" i="9"/>
  <c r="N18" i="9" s="1"/>
  <c r="AD17" i="9"/>
  <c r="AE17" i="9" s="1"/>
  <c r="AA17" i="9"/>
  <c r="W17" i="9"/>
  <c r="X17" i="9" s="1"/>
  <c r="T17" i="9"/>
  <c r="M17" i="9"/>
  <c r="N17" i="9" s="1"/>
  <c r="AD11" i="9"/>
  <c r="AE11" i="9" s="1"/>
  <c r="AA11" i="9"/>
  <c r="W11" i="9"/>
  <c r="X11" i="9" s="1"/>
  <c r="T11" i="9"/>
  <c r="M11" i="9"/>
  <c r="N11" i="9" s="1"/>
  <c r="AD7" i="9"/>
  <c r="AE7" i="9" s="1"/>
  <c r="AA7" i="9"/>
  <c r="W7" i="9"/>
  <c r="X7" i="9" s="1"/>
  <c r="T7" i="9"/>
  <c r="M7" i="9"/>
  <c r="N7" i="9" s="1"/>
  <c r="AD312" i="9"/>
  <c r="AE312" i="9" s="1"/>
  <c r="AA312" i="9"/>
  <c r="W312" i="9"/>
  <c r="X312" i="9" s="1"/>
  <c r="T312" i="9"/>
  <c r="M312" i="9"/>
  <c r="N312" i="9" s="1"/>
  <c r="AD311" i="9"/>
  <c r="AE311" i="9" s="1"/>
  <c r="AA311" i="9"/>
  <c r="W311" i="9"/>
  <c r="X311" i="9" s="1"/>
  <c r="T311" i="9"/>
  <c r="M311" i="9"/>
  <c r="N311" i="9" s="1"/>
  <c r="AD310" i="9"/>
  <c r="AE310" i="9" s="1"/>
  <c r="AA310" i="9"/>
  <c r="W310" i="9"/>
  <c r="X310" i="9" s="1"/>
  <c r="T310" i="9"/>
  <c r="M310" i="9"/>
  <c r="N310" i="9" s="1"/>
  <c r="AD309" i="9"/>
  <c r="AE309" i="9" s="1"/>
  <c r="AA309" i="9"/>
  <c r="W309" i="9"/>
  <c r="X309" i="9" s="1"/>
  <c r="T309" i="9"/>
  <c r="M309" i="9"/>
  <c r="N309" i="9" s="1"/>
  <c r="AD308" i="9"/>
  <c r="AE308" i="9" s="1"/>
  <c r="AA308" i="9"/>
  <c r="W308" i="9"/>
  <c r="X308" i="9" s="1"/>
  <c r="T308" i="9"/>
  <c r="M308" i="9"/>
  <c r="N308" i="9" s="1"/>
  <c r="AD6" i="9"/>
  <c r="AE6" i="9" s="1"/>
  <c r="AA6" i="9"/>
  <c r="W6" i="9"/>
  <c r="X6" i="9" s="1"/>
  <c r="T6" i="9"/>
  <c r="M6" i="9"/>
  <c r="N6" i="9" s="1"/>
  <c r="AD5" i="9"/>
  <c r="AE5" i="9" s="1"/>
  <c r="AA5" i="9"/>
  <c r="W5" i="9"/>
  <c r="X5" i="9" s="1"/>
  <c r="T5" i="9"/>
  <c r="M5" i="9"/>
  <c r="N5" i="9" s="1"/>
  <c r="AD4" i="9"/>
  <c r="AE4" i="9" s="1"/>
  <c r="AA4" i="9"/>
  <c r="W4" i="9"/>
  <c r="X4" i="9" s="1"/>
  <c r="T4" i="9"/>
  <c r="M4" i="9"/>
  <c r="N4" i="9" s="1"/>
  <c r="AD3" i="9"/>
  <c r="AE3" i="9" s="1"/>
  <c r="AA3" i="9"/>
  <c r="W3" i="9"/>
  <c r="X3" i="9" s="1"/>
  <c r="T3" i="9"/>
  <c r="M3" i="9"/>
  <c r="N3" i="9" s="1"/>
  <c r="T2" i="9"/>
  <c r="AH7" i="37" l="1"/>
  <c r="AI7" i="37" s="1"/>
  <c r="N10" i="37"/>
  <c r="O9" i="37"/>
  <c r="Z8" i="37"/>
  <c r="S8" i="37"/>
  <c r="V8" i="37" s="1"/>
  <c r="E3" i="28"/>
  <c r="E136" i="28" s="1"/>
  <c r="D6" i="8" s="1"/>
  <c r="X147" i="9"/>
  <c r="Y147" i="9" s="1"/>
  <c r="Y21" i="9"/>
  <c r="Y55" i="9"/>
  <c r="Y7" i="9"/>
  <c r="Y62" i="9"/>
  <c r="Y12" i="9"/>
  <c r="Y41" i="9"/>
  <c r="Y19" i="9"/>
  <c r="Y28" i="9"/>
  <c r="Y13" i="9"/>
  <c r="Y83" i="9"/>
  <c r="Y88" i="9"/>
  <c r="Y35" i="9"/>
  <c r="Y33" i="9"/>
  <c r="Y32" i="9"/>
  <c r="Y29" i="9"/>
  <c r="Y15" i="9"/>
  <c r="Y16" i="9"/>
  <c r="Y14" i="9"/>
  <c r="Y66" i="9"/>
  <c r="Y8" i="9"/>
  <c r="Y34" i="9"/>
  <c r="Y69" i="9"/>
  <c r="Y42" i="9"/>
  <c r="Y112" i="9"/>
  <c r="Y24" i="9"/>
  <c r="Y48" i="9"/>
  <c r="Y65" i="9"/>
  <c r="Y80" i="9"/>
  <c r="Y9" i="9"/>
  <c r="Y44" i="9"/>
  <c r="Y64" i="9"/>
  <c r="Y73" i="9"/>
  <c r="Y89" i="9"/>
  <c r="Y10" i="9"/>
  <c r="Y38" i="9"/>
  <c r="Y72" i="9"/>
  <c r="Y144" i="9"/>
  <c r="Y31" i="9"/>
  <c r="Y77" i="9"/>
  <c r="Y146" i="9"/>
  <c r="Y23" i="9"/>
  <c r="Y43" i="9"/>
  <c r="Y63" i="9"/>
  <c r="Y25" i="9"/>
  <c r="Y103" i="9"/>
  <c r="Y68" i="9"/>
  <c r="Y82" i="9"/>
  <c r="Y92" i="9"/>
  <c r="Y17" i="9"/>
  <c r="Y4" i="9"/>
  <c r="Y312" i="9"/>
  <c r="Y30" i="9"/>
  <c r="Y22" i="9"/>
  <c r="Y74" i="9"/>
  <c r="Y79" i="9"/>
  <c r="Y84" i="9"/>
  <c r="Y40" i="9"/>
  <c r="Y76" i="9"/>
  <c r="Y11" i="9"/>
  <c r="Y67" i="9"/>
  <c r="Y308" i="9"/>
  <c r="Y18" i="9"/>
  <c r="Y61" i="9"/>
  <c r="Y37" i="9"/>
  <c r="Y130" i="9"/>
  <c r="Y87" i="9"/>
  <c r="Y138" i="9"/>
  <c r="Y81" i="9"/>
  <c r="Y45" i="9"/>
  <c r="Y53" i="9"/>
  <c r="Y27" i="9"/>
  <c r="Y70" i="9"/>
  <c r="Y121" i="9"/>
  <c r="Y26" i="9"/>
  <c r="Y20" i="9"/>
  <c r="Y60" i="9"/>
  <c r="Y39" i="9"/>
  <c r="Y134" i="9"/>
  <c r="Y78" i="9"/>
  <c r="Y36" i="9"/>
  <c r="Y75" i="9"/>
  <c r="Y94" i="9"/>
  <c r="Y125" i="9"/>
  <c r="Y6" i="9"/>
  <c r="Y309" i="9"/>
  <c r="Y311" i="9"/>
  <c r="Y3" i="9"/>
  <c r="Y5" i="9"/>
  <c r="Y310" i="9"/>
  <c r="S9" i="37" l="1"/>
  <c r="V9" i="37" s="1"/>
  <c r="Z9" i="37"/>
  <c r="AH8" i="37"/>
  <c r="AI8" i="37" s="1"/>
  <c r="N11" i="37"/>
  <c r="O10" i="37"/>
  <c r="L11" i="13"/>
  <c r="M11" i="13" s="1"/>
  <c r="L12" i="13"/>
  <c r="M12" i="13" s="1"/>
  <c r="L7" i="13"/>
  <c r="M7" i="13" s="1"/>
  <c r="L3" i="13"/>
  <c r="M3" i="13" s="1"/>
  <c r="L4" i="13"/>
  <c r="M4" i="13" s="1"/>
  <c r="L8" i="13"/>
  <c r="M8" i="13" s="1"/>
  <c r="L5" i="13"/>
  <c r="M5" i="13" s="1"/>
  <c r="M2" i="9"/>
  <c r="N2" i="9" s="1"/>
  <c r="W2" i="9"/>
  <c r="X2" i="9" s="1"/>
  <c r="AH9" i="37" l="1"/>
  <c r="AI9" i="37" s="1"/>
  <c r="S10" i="37"/>
  <c r="V10" i="37" s="1"/>
  <c r="Z10" i="37"/>
  <c r="O11" i="37"/>
  <c r="N12" i="37"/>
  <c r="AD2" i="9"/>
  <c r="AE2" i="9" s="1"/>
  <c r="AE514" i="9" s="1"/>
  <c r="AA2" i="9"/>
  <c r="Y2" i="9"/>
  <c r="AH10" i="37" l="1"/>
  <c r="AI10" i="37" s="1"/>
  <c r="N13" i="37"/>
  <c r="O12" i="37"/>
  <c r="Z11" i="37"/>
  <c r="S11" i="37"/>
  <c r="V11" i="37" s="1"/>
  <c r="Y514" i="9"/>
  <c r="AH11" i="37" l="1"/>
  <c r="AI11" i="37" s="1"/>
  <c r="O13" i="37"/>
  <c r="N14" i="37"/>
  <c r="S12" i="37"/>
  <c r="V12" i="37" s="1"/>
  <c r="Z12" i="37"/>
  <c r="C32" i="12"/>
  <c r="C26" i="11"/>
  <c r="L10" i="13"/>
  <c r="M10" i="13" s="1"/>
  <c r="AH12" i="37" l="1"/>
  <c r="AI12" i="37" s="1"/>
  <c r="N15" i="37"/>
  <c r="O14" i="37"/>
  <c r="Z13" i="37"/>
  <c r="S13" i="37"/>
  <c r="V13" i="37" s="1"/>
  <c r="D17" i="12"/>
  <c r="D19" i="12" s="1"/>
  <c r="E19" i="12" s="1"/>
  <c r="F19" i="12" s="1"/>
  <c r="E20" i="12"/>
  <c r="F20" i="12" s="1"/>
  <c r="D30" i="12"/>
  <c r="E33" i="12"/>
  <c r="F33" i="12" s="1"/>
  <c r="D2" i="12"/>
  <c r="D3" i="12"/>
  <c r="D4" i="12"/>
  <c r="E5" i="12"/>
  <c r="F5" i="12" s="1"/>
  <c r="O15" i="37" l="1"/>
  <c r="N16" i="37"/>
  <c r="AH13" i="37"/>
  <c r="AI13" i="37" s="1"/>
  <c r="Z14" i="37"/>
  <c r="S14" i="37"/>
  <c r="V14" i="37" s="1"/>
  <c r="D18" i="12"/>
  <c r="E18" i="12" s="1"/>
  <c r="F18" i="12" s="1"/>
  <c r="L6" i="13"/>
  <c r="M6" i="13" s="1"/>
  <c r="O16" i="37" l="1"/>
  <c r="N17" i="37"/>
  <c r="S15" i="37"/>
  <c r="V15" i="37" s="1"/>
  <c r="Z15" i="37"/>
  <c r="AH14" i="37"/>
  <c r="AI14" i="37" s="1"/>
  <c r="K14" i="13"/>
  <c r="L9" i="13"/>
  <c r="M9" i="13" s="1"/>
  <c r="F3" i="13"/>
  <c r="F4" i="13" s="1"/>
  <c r="L2" i="13"/>
  <c r="M2" i="13" s="1"/>
  <c r="F2" i="13"/>
  <c r="F1" i="13"/>
  <c r="E38" i="12"/>
  <c r="F38" i="12" s="1"/>
  <c r="D37" i="12"/>
  <c r="E37" i="12" s="1"/>
  <c r="F37" i="12" s="1"/>
  <c r="D36" i="12"/>
  <c r="E35" i="12"/>
  <c r="F35" i="12" s="1"/>
  <c r="E28" i="12"/>
  <c r="F28" i="12" s="1"/>
  <c r="D27" i="12"/>
  <c r="E27" i="12" s="1"/>
  <c r="F27" i="12" s="1"/>
  <c r="D26" i="12"/>
  <c r="D32" i="12" s="1"/>
  <c r="E32" i="12" s="1"/>
  <c r="F32" i="12" s="1"/>
  <c r="E25" i="12"/>
  <c r="F25" i="12" s="1"/>
  <c r="D24" i="12"/>
  <c r="E24" i="12" s="1"/>
  <c r="F24" i="12" s="1"/>
  <c r="E23" i="12"/>
  <c r="F23" i="12" s="1"/>
  <c r="D22" i="12"/>
  <c r="E22" i="12" s="1"/>
  <c r="F22" i="12" s="1"/>
  <c r="E21" i="12"/>
  <c r="F21" i="12" s="1"/>
  <c r="E17" i="12"/>
  <c r="F17" i="12" s="1"/>
  <c r="E15" i="12"/>
  <c r="F15" i="12" s="1"/>
  <c r="E14" i="12"/>
  <c r="F14" i="12" s="1"/>
  <c r="E13" i="12"/>
  <c r="F13" i="12" s="1"/>
  <c r="E12" i="12"/>
  <c r="F12" i="12" s="1"/>
  <c r="E11" i="12"/>
  <c r="F11" i="12" s="1"/>
  <c r="E10" i="12"/>
  <c r="E9" i="12"/>
  <c r="F9" i="12" s="1"/>
  <c r="E8" i="12"/>
  <c r="F8" i="12" s="1"/>
  <c r="E7" i="12"/>
  <c r="E2" i="12" s="1"/>
  <c r="F2" i="12" s="1"/>
  <c r="E6" i="12"/>
  <c r="F6" i="12" s="1"/>
  <c r="AH15" i="37" l="1"/>
  <c r="AI15" i="37" s="1"/>
  <c r="Z16" i="37"/>
  <c r="S16" i="37"/>
  <c r="V16" i="37" s="1"/>
  <c r="N18" i="37"/>
  <c r="O17" i="37"/>
  <c r="E13" i="38"/>
  <c r="M1345" i="37"/>
  <c r="L509" i="9"/>
  <c r="AF509" i="9" s="1"/>
  <c r="L506" i="9"/>
  <c r="AF506" i="9" s="1"/>
  <c r="L512" i="9"/>
  <c r="AF512" i="9" s="1"/>
  <c r="L511" i="9"/>
  <c r="AF511" i="9" s="1"/>
  <c r="L508" i="9"/>
  <c r="AF508" i="9" s="1"/>
  <c r="L510" i="9"/>
  <c r="AF510" i="9" s="1"/>
  <c r="L507" i="9"/>
  <c r="AF507" i="9" s="1"/>
  <c r="L497" i="9"/>
  <c r="L479" i="9"/>
  <c r="L444" i="9"/>
  <c r="L490" i="9"/>
  <c r="L472" i="9"/>
  <c r="L461" i="9"/>
  <c r="L448" i="9"/>
  <c r="L435" i="9"/>
  <c r="L499" i="9"/>
  <c r="L481" i="9"/>
  <c r="L450" i="9"/>
  <c r="L492" i="9"/>
  <c r="L474" i="9"/>
  <c r="L439" i="9"/>
  <c r="L476" i="9"/>
  <c r="L496" i="9"/>
  <c r="L458" i="9"/>
  <c r="L489" i="9"/>
  <c r="L480" i="9"/>
  <c r="L449" i="9"/>
  <c r="L473" i="9"/>
  <c r="L434" i="9"/>
  <c r="L436" i="9"/>
  <c r="L465" i="9"/>
  <c r="L485" i="9"/>
  <c r="L441" i="9"/>
  <c r="L471" i="9"/>
  <c r="L491" i="9"/>
  <c r="L451" i="9"/>
  <c r="L498" i="9"/>
  <c r="L505" i="9"/>
  <c r="AF505" i="9" s="1"/>
  <c r="L456" i="9"/>
  <c r="L432" i="9"/>
  <c r="L469" i="9"/>
  <c r="L460" i="9"/>
  <c r="L445" i="9"/>
  <c r="L500" i="9"/>
  <c r="L482" i="9"/>
  <c r="L464" i="9"/>
  <c r="L438" i="9"/>
  <c r="L493" i="9"/>
  <c r="L484" i="9"/>
  <c r="L475" i="9"/>
  <c r="L466" i="9"/>
  <c r="L453" i="9"/>
  <c r="L440" i="9"/>
  <c r="L504" i="9"/>
  <c r="L502" i="9"/>
  <c r="L431" i="9"/>
  <c r="L513" i="9"/>
  <c r="AF513" i="9" s="1"/>
  <c r="L495" i="9"/>
  <c r="L486" i="9"/>
  <c r="L477" i="9"/>
  <c r="L468" i="9"/>
  <c r="L457" i="9"/>
  <c r="L455" i="9"/>
  <c r="L442" i="9"/>
  <c r="L488" i="9"/>
  <c r="L470" i="9"/>
  <c r="L463" i="9"/>
  <c r="L446" i="9"/>
  <c r="L437" i="9"/>
  <c r="L501" i="9"/>
  <c r="L503" i="9"/>
  <c r="L494" i="9"/>
  <c r="L467" i="9"/>
  <c r="L487" i="9"/>
  <c r="L443" i="9"/>
  <c r="L447" i="9"/>
  <c r="L462" i="9"/>
  <c r="L459" i="9"/>
  <c r="L433" i="9"/>
  <c r="L483" i="9"/>
  <c r="L452" i="9"/>
  <c r="L427" i="9"/>
  <c r="AF427" i="9" s="1"/>
  <c r="L454" i="9"/>
  <c r="L478" i="9"/>
  <c r="L429" i="9"/>
  <c r="L419" i="9"/>
  <c r="AF419" i="9" s="1"/>
  <c r="L405" i="9"/>
  <c r="AF405" i="9" s="1"/>
  <c r="L399" i="9"/>
  <c r="AF399" i="9" s="1"/>
  <c r="L383" i="9"/>
  <c r="L367" i="9"/>
  <c r="AF367" i="9" s="1"/>
  <c r="L340" i="9"/>
  <c r="AF340" i="9" s="1"/>
  <c r="L322" i="9"/>
  <c r="AF322" i="9" s="1"/>
  <c r="L359" i="9"/>
  <c r="AF359" i="9" s="1"/>
  <c r="L324" i="9"/>
  <c r="AF324" i="9" s="1"/>
  <c r="L317" i="9"/>
  <c r="AF317" i="9" s="1"/>
  <c r="L323" i="9"/>
  <c r="AF323" i="9" s="1"/>
  <c r="L392" i="9"/>
  <c r="L373" i="9"/>
  <c r="AF373" i="9" s="1"/>
  <c r="L349" i="9"/>
  <c r="AF349" i="9" s="1"/>
  <c r="L331" i="9"/>
  <c r="AF331" i="9" s="1"/>
  <c r="L315" i="9"/>
  <c r="AF315" i="9" s="1"/>
  <c r="L313" i="9"/>
  <c r="AF313" i="9" s="1"/>
  <c r="L400" i="9"/>
  <c r="L357" i="9"/>
  <c r="AF357" i="9" s="1"/>
  <c r="L421" i="9"/>
  <c r="L407" i="9"/>
  <c r="AF407" i="9" s="1"/>
  <c r="L401" i="9"/>
  <c r="L385" i="9"/>
  <c r="L379" i="9"/>
  <c r="AF379" i="9" s="1"/>
  <c r="L342" i="9"/>
  <c r="AF342" i="9" s="1"/>
  <c r="L335" i="9"/>
  <c r="AF335" i="9" s="1"/>
  <c r="L341" i="9"/>
  <c r="AF341" i="9" s="1"/>
  <c r="L320" i="9"/>
  <c r="AF320" i="9" s="1"/>
  <c r="L415" i="9"/>
  <c r="AF415" i="9" s="1"/>
  <c r="L394" i="9"/>
  <c r="AF394" i="9" s="1"/>
  <c r="L375" i="9"/>
  <c r="AF375" i="9" s="1"/>
  <c r="L364" i="9"/>
  <c r="AF364" i="9" s="1"/>
  <c r="L351" i="9"/>
  <c r="AF351" i="9" s="1"/>
  <c r="L333" i="9"/>
  <c r="AF333" i="9" s="1"/>
  <c r="L423" i="9"/>
  <c r="AF423" i="9" s="1"/>
  <c r="L409" i="9"/>
  <c r="AF409" i="9" s="1"/>
  <c r="L403" i="9"/>
  <c r="L387" i="9"/>
  <c r="L381" i="9"/>
  <c r="L344" i="9"/>
  <c r="AF344" i="9" s="1"/>
  <c r="L326" i="9"/>
  <c r="AF326" i="9" s="1"/>
  <c r="L406" i="9"/>
  <c r="AF406" i="9" s="1"/>
  <c r="L396" i="9"/>
  <c r="AF396" i="9" s="1"/>
  <c r="L377" i="9"/>
  <c r="AF377" i="9" s="1"/>
  <c r="L360" i="9"/>
  <c r="AF360" i="9" s="1"/>
  <c r="L353" i="9"/>
  <c r="AF353" i="9" s="1"/>
  <c r="L337" i="9"/>
  <c r="AF337" i="9" s="1"/>
  <c r="L319" i="9"/>
  <c r="AF319" i="9" s="1"/>
  <c r="L356" i="9"/>
  <c r="AF356" i="9" s="1"/>
  <c r="L425" i="9"/>
  <c r="AF425" i="9" s="1"/>
  <c r="L411" i="9"/>
  <c r="AF411" i="9" s="1"/>
  <c r="L389" i="9"/>
  <c r="L370" i="9"/>
  <c r="AF370" i="9" s="1"/>
  <c r="L361" i="9"/>
  <c r="AF361" i="9" s="1"/>
  <c r="L346" i="9"/>
  <c r="AF346" i="9" s="1"/>
  <c r="L328" i="9"/>
  <c r="AF328" i="9" s="1"/>
  <c r="L339" i="9"/>
  <c r="AF339" i="9" s="1"/>
  <c r="L321" i="9"/>
  <c r="AF321" i="9" s="1"/>
  <c r="L420" i="9"/>
  <c r="AF420" i="9" s="1"/>
  <c r="L384" i="9"/>
  <c r="AF384" i="9" s="1"/>
  <c r="L428" i="9"/>
  <c r="L418" i="9"/>
  <c r="AF418" i="9" s="1"/>
  <c r="L404" i="9"/>
  <c r="L398" i="9"/>
  <c r="AF398" i="9" s="1"/>
  <c r="L382" i="9"/>
  <c r="AF382" i="9" s="1"/>
  <c r="L366" i="9"/>
  <c r="AF366" i="9" s="1"/>
  <c r="L358" i="9"/>
  <c r="AF358" i="9" s="1"/>
  <c r="L430" i="9"/>
  <c r="L368" i="9"/>
  <c r="AF368" i="9" s="1"/>
  <c r="L413" i="9"/>
  <c r="AF413" i="9" s="1"/>
  <c r="L391" i="9"/>
  <c r="AF391" i="9" s="1"/>
  <c r="L372" i="9"/>
  <c r="AF372" i="9" s="1"/>
  <c r="L348" i="9"/>
  <c r="AF348" i="9" s="1"/>
  <c r="L330" i="9"/>
  <c r="AF330" i="9" s="1"/>
  <c r="L314" i="9"/>
  <c r="AF314" i="9" s="1"/>
  <c r="L414" i="9"/>
  <c r="AF414" i="9" s="1"/>
  <c r="L393" i="9"/>
  <c r="L374" i="9"/>
  <c r="AF374" i="9" s="1"/>
  <c r="L365" i="9"/>
  <c r="AF365" i="9" s="1"/>
  <c r="L350" i="9"/>
  <c r="AF350" i="9" s="1"/>
  <c r="L332" i="9"/>
  <c r="AF332" i="9" s="1"/>
  <c r="L316" i="9"/>
  <c r="AF316" i="9" s="1"/>
  <c r="L334" i="9"/>
  <c r="AF334" i="9" s="1"/>
  <c r="L325" i="9"/>
  <c r="AF325" i="9" s="1"/>
  <c r="L397" i="9"/>
  <c r="AF397" i="9" s="1"/>
  <c r="L422" i="9"/>
  <c r="AF422" i="9" s="1"/>
  <c r="L408" i="9"/>
  <c r="AF408" i="9" s="1"/>
  <c r="L402" i="9"/>
  <c r="L386" i="9"/>
  <c r="L380" i="9"/>
  <c r="AF380" i="9" s="1"/>
  <c r="L343" i="9"/>
  <c r="AF343" i="9" s="1"/>
  <c r="L354" i="9"/>
  <c r="AF354" i="9" s="1"/>
  <c r="L416" i="9"/>
  <c r="AF416" i="9" s="1"/>
  <c r="L395" i="9"/>
  <c r="L376" i="9"/>
  <c r="AF376" i="9" s="1"/>
  <c r="L352" i="9"/>
  <c r="AF352" i="9" s="1"/>
  <c r="L336" i="9"/>
  <c r="AF336" i="9" s="1"/>
  <c r="L318" i="9"/>
  <c r="AF318" i="9" s="1"/>
  <c r="L355" i="9"/>
  <c r="AF355" i="9" s="1"/>
  <c r="L417" i="9"/>
  <c r="AF417" i="9" s="1"/>
  <c r="L362" i="9"/>
  <c r="AF362" i="9" s="1"/>
  <c r="L424" i="9"/>
  <c r="L410" i="9"/>
  <c r="L388" i="9"/>
  <c r="L369" i="9"/>
  <c r="AF369" i="9" s="1"/>
  <c r="L345" i="9"/>
  <c r="AF345" i="9" s="1"/>
  <c r="L327" i="9"/>
  <c r="AF327" i="9" s="1"/>
  <c r="L378" i="9"/>
  <c r="AF378" i="9" s="1"/>
  <c r="L338" i="9"/>
  <c r="AF338" i="9" s="1"/>
  <c r="L426" i="9"/>
  <c r="AF426" i="9" s="1"/>
  <c r="L412" i="9"/>
  <c r="AF412" i="9" s="1"/>
  <c r="L390" i="9"/>
  <c r="L371" i="9"/>
  <c r="AF371" i="9" s="1"/>
  <c r="L363" i="9"/>
  <c r="AF363" i="9" s="1"/>
  <c r="L347" i="9"/>
  <c r="AF347" i="9" s="1"/>
  <c r="L329" i="9"/>
  <c r="AF329" i="9" s="1"/>
  <c r="L303" i="9"/>
  <c r="AF303" i="9" s="1"/>
  <c r="L271" i="9"/>
  <c r="L255" i="9"/>
  <c r="AF255" i="9" s="1"/>
  <c r="L236" i="9"/>
  <c r="AF236" i="9" s="1"/>
  <c r="L219" i="9"/>
  <c r="AF219" i="9" s="1"/>
  <c r="L202" i="9"/>
  <c r="AF202" i="9" s="1"/>
  <c r="L181" i="9"/>
  <c r="AF181" i="9" s="1"/>
  <c r="L155" i="9"/>
  <c r="AF155" i="9" s="1"/>
  <c r="L289" i="9"/>
  <c r="AF289" i="9" s="1"/>
  <c r="L195" i="9"/>
  <c r="AF195" i="9" s="1"/>
  <c r="L148" i="9"/>
  <c r="AF148" i="9" s="1"/>
  <c r="L131" i="9"/>
  <c r="AF131" i="9" s="1"/>
  <c r="L114" i="9"/>
  <c r="AF114" i="9" s="1"/>
  <c r="L96" i="9"/>
  <c r="AF96" i="9" s="1"/>
  <c r="L85" i="9"/>
  <c r="L290" i="9"/>
  <c r="AF290" i="9" s="1"/>
  <c r="L115" i="9"/>
  <c r="AF115" i="9" s="1"/>
  <c r="L171" i="9"/>
  <c r="AF171" i="9" s="1"/>
  <c r="L296" i="9"/>
  <c r="L264" i="9"/>
  <c r="AF264" i="9" s="1"/>
  <c r="L248" i="9"/>
  <c r="AF248" i="9" s="1"/>
  <c r="L229" i="9"/>
  <c r="AF229" i="9" s="1"/>
  <c r="L213" i="9"/>
  <c r="AF213" i="9" s="1"/>
  <c r="L191" i="9"/>
  <c r="AF191" i="9" s="1"/>
  <c r="L173" i="9"/>
  <c r="AF173" i="9" s="1"/>
  <c r="L293" i="9"/>
  <c r="AF293" i="9" s="1"/>
  <c r="L278" i="9"/>
  <c r="AF278" i="9" s="1"/>
  <c r="L166" i="9"/>
  <c r="AF166" i="9" s="1"/>
  <c r="L142" i="9"/>
  <c r="AF142" i="9" s="1"/>
  <c r="L140" i="9"/>
  <c r="AF140" i="9" s="1"/>
  <c r="L124" i="9"/>
  <c r="AF124" i="9" s="1"/>
  <c r="L106" i="9"/>
  <c r="AF106" i="9" s="1"/>
  <c r="L91" i="9"/>
  <c r="L209" i="9"/>
  <c r="L305" i="9"/>
  <c r="AF305" i="9" s="1"/>
  <c r="L275" i="9"/>
  <c r="AF275" i="9" s="1"/>
  <c r="L257" i="9"/>
  <c r="AF257" i="9" s="1"/>
  <c r="L238" i="9"/>
  <c r="AF238" i="9" s="1"/>
  <c r="L221" i="9"/>
  <c r="AF221" i="9" s="1"/>
  <c r="L204" i="9"/>
  <c r="AF204" i="9" s="1"/>
  <c r="L183" i="9"/>
  <c r="AF183" i="9" s="1"/>
  <c r="L291" i="9"/>
  <c r="AF291" i="9" s="1"/>
  <c r="L228" i="9"/>
  <c r="AF228" i="9" s="1"/>
  <c r="L212" i="9"/>
  <c r="AF212" i="9" s="1"/>
  <c r="L157" i="9"/>
  <c r="L133" i="9"/>
  <c r="AF133" i="9" s="1"/>
  <c r="L116" i="9"/>
  <c r="AF116" i="9" s="1"/>
  <c r="L98" i="9"/>
  <c r="AF98" i="9" s="1"/>
  <c r="L256" i="9"/>
  <c r="AF256" i="9" s="1"/>
  <c r="L220" i="9"/>
  <c r="AF220" i="9" s="1"/>
  <c r="L298" i="9"/>
  <c r="AF298" i="9" s="1"/>
  <c r="L266" i="9"/>
  <c r="AF266" i="9" s="1"/>
  <c r="L250" i="9"/>
  <c r="AF250" i="9" s="1"/>
  <c r="L231" i="9"/>
  <c r="AF231" i="9" s="1"/>
  <c r="L197" i="9"/>
  <c r="L175" i="9"/>
  <c r="AF175" i="9" s="1"/>
  <c r="L150" i="9"/>
  <c r="AF150" i="9" s="1"/>
  <c r="L281" i="9"/>
  <c r="AF281" i="9" s="1"/>
  <c r="L176" i="9"/>
  <c r="AF176" i="9" s="1"/>
  <c r="L136" i="9"/>
  <c r="AF136" i="9" s="1"/>
  <c r="L127" i="9"/>
  <c r="AF127" i="9" s="1"/>
  <c r="L108" i="9"/>
  <c r="AF108" i="9" s="1"/>
  <c r="L182" i="9"/>
  <c r="AF182" i="9" s="1"/>
  <c r="L214" i="9"/>
  <c r="AF214" i="9" s="1"/>
  <c r="L307" i="9"/>
  <c r="L279" i="9"/>
  <c r="AF279" i="9" s="1"/>
  <c r="L259" i="9"/>
  <c r="AF259" i="9" s="1"/>
  <c r="L240" i="9"/>
  <c r="AF240" i="9" s="1"/>
  <c r="L223" i="9"/>
  <c r="AF223" i="9" s="1"/>
  <c r="L206" i="9"/>
  <c r="AF206" i="9" s="1"/>
  <c r="L186" i="9"/>
  <c r="AF186" i="9" s="1"/>
  <c r="L168" i="9"/>
  <c r="AF168" i="9" s="1"/>
  <c r="L243" i="9"/>
  <c r="L159" i="9"/>
  <c r="L118" i="9"/>
  <c r="AF118" i="9" s="1"/>
  <c r="L100" i="9"/>
  <c r="AF100" i="9" s="1"/>
  <c r="L304" i="9"/>
  <c r="AF304" i="9" s="1"/>
  <c r="L203" i="9"/>
  <c r="AF203" i="9" s="1"/>
  <c r="L300" i="9"/>
  <c r="AF300" i="9" s="1"/>
  <c r="L268" i="9"/>
  <c r="AF268" i="9" s="1"/>
  <c r="L252" i="9"/>
  <c r="AF252" i="9" s="1"/>
  <c r="L233" i="9"/>
  <c r="L216" i="9"/>
  <c r="L199" i="9"/>
  <c r="L178" i="9"/>
  <c r="AF178" i="9" s="1"/>
  <c r="L152" i="9"/>
  <c r="AF152" i="9" s="1"/>
  <c r="L286" i="9"/>
  <c r="AF286" i="9" s="1"/>
  <c r="L192" i="9"/>
  <c r="L129" i="9"/>
  <c r="L110" i="9"/>
  <c r="AF110" i="9" s="1"/>
  <c r="L274" i="9"/>
  <c r="AF274" i="9" s="1"/>
  <c r="L132" i="9"/>
  <c r="AF132" i="9" s="1"/>
  <c r="L284" i="9"/>
  <c r="AF284" i="9" s="1"/>
  <c r="L261" i="9"/>
  <c r="L245" i="9"/>
  <c r="AF245" i="9" s="1"/>
  <c r="L225" i="9"/>
  <c r="AF225" i="9" s="1"/>
  <c r="L208" i="9"/>
  <c r="L188" i="9"/>
  <c r="AF188" i="9" s="1"/>
  <c r="L170" i="9"/>
  <c r="AF170" i="9" s="1"/>
  <c r="L272" i="9"/>
  <c r="AF272" i="9" s="1"/>
  <c r="L163" i="9"/>
  <c r="AF163" i="9" s="1"/>
  <c r="L120" i="9"/>
  <c r="AF120" i="9" s="1"/>
  <c r="L102" i="9"/>
  <c r="AF102" i="9" s="1"/>
  <c r="L90" i="9"/>
  <c r="L156" i="9"/>
  <c r="AF156" i="9" s="1"/>
  <c r="L149" i="9"/>
  <c r="AF149" i="9" s="1"/>
  <c r="L189" i="9"/>
  <c r="AF189" i="9" s="1"/>
  <c r="L302" i="9"/>
  <c r="L270" i="9"/>
  <c r="AF270" i="9" s="1"/>
  <c r="L254" i="9"/>
  <c r="AF254" i="9" s="1"/>
  <c r="L235" i="9"/>
  <c r="L218" i="9"/>
  <c r="L201" i="9"/>
  <c r="L180" i="9"/>
  <c r="AF180" i="9" s="1"/>
  <c r="L154" i="9"/>
  <c r="AF154" i="9" s="1"/>
  <c r="L288" i="9"/>
  <c r="AF288" i="9" s="1"/>
  <c r="L194" i="9"/>
  <c r="AF194" i="9" s="1"/>
  <c r="L145" i="9"/>
  <c r="L113" i="9"/>
  <c r="AF113" i="9" s="1"/>
  <c r="L95" i="9"/>
  <c r="AF95" i="9" s="1"/>
  <c r="L97" i="9"/>
  <c r="AF97" i="9" s="1"/>
  <c r="L164" i="9"/>
  <c r="AF164" i="9" s="1"/>
  <c r="L104" i="9"/>
  <c r="AF104" i="9" s="1"/>
  <c r="L295" i="9"/>
  <c r="AF295" i="9" s="1"/>
  <c r="L263" i="9"/>
  <c r="L247" i="9"/>
  <c r="AF247" i="9" s="1"/>
  <c r="L227" i="9"/>
  <c r="AF227" i="9" s="1"/>
  <c r="L211" i="9"/>
  <c r="AF211" i="9" s="1"/>
  <c r="L190" i="9"/>
  <c r="AF190" i="9" s="1"/>
  <c r="L172" i="9"/>
  <c r="AF172" i="9" s="1"/>
  <c r="L292" i="9"/>
  <c r="AF292" i="9" s="1"/>
  <c r="L277" i="9"/>
  <c r="AF277" i="9" s="1"/>
  <c r="L165" i="9"/>
  <c r="AF165" i="9" s="1"/>
  <c r="L139" i="9"/>
  <c r="AF139" i="9" s="1"/>
  <c r="L123" i="9"/>
  <c r="AF123" i="9" s="1"/>
  <c r="L105" i="9"/>
  <c r="AF105" i="9" s="1"/>
  <c r="L122" i="9"/>
  <c r="AF122" i="9" s="1"/>
  <c r="L237" i="9"/>
  <c r="L297" i="9"/>
  <c r="AF297" i="9" s="1"/>
  <c r="L265" i="9"/>
  <c r="L249" i="9"/>
  <c r="AF249" i="9" s="1"/>
  <c r="L230" i="9"/>
  <c r="L196" i="9"/>
  <c r="AF196" i="9" s="1"/>
  <c r="L174" i="9"/>
  <c r="AF174" i="9" s="1"/>
  <c r="L294" i="9"/>
  <c r="AF294" i="9" s="1"/>
  <c r="L280" i="9"/>
  <c r="AF280" i="9" s="1"/>
  <c r="L167" i="9"/>
  <c r="AF167" i="9" s="1"/>
  <c r="L141" i="9"/>
  <c r="AF141" i="9" s="1"/>
  <c r="L126" i="9"/>
  <c r="AF126" i="9" s="1"/>
  <c r="L107" i="9"/>
  <c r="AF107" i="9" s="1"/>
  <c r="L109" i="9"/>
  <c r="AF109" i="9" s="1"/>
  <c r="L93" i="9"/>
  <c r="L101" i="9"/>
  <c r="AF101" i="9" s="1"/>
  <c r="L306" i="9"/>
  <c r="AF306" i="9" s="1"/>
  <c r="L276" i="9"/>
  <c r="AF276" i="9" s="1"/>
  <c r="L258" i="9"/>
  <c r="L239" i="9"/>
  <c r="AF239" i="9" s="1"/>
  <c r="L222" i="9"/>
  <c r="L205" i="9"/>
  <c r="AF205" i="9" s="1"/>
  <c r="L185" i="9"/>
  <c r="AF185" i="9" s="1"/>
  <c r="L160" i="9"/>
  <c r="L242" i="9"/>
  <c r="L158" i="9"/>
  <c r="L117" i="9"/>
  <c r="AF117" i="9" s="1"/>
  <c r="L99" i="9"/>
  <c r="AF99" i="9" s="1"/>
  <c r="L86" i="9"/>
  <c r="L210" i="9"/>
  <c r="AF210" i="9" s="1"/>
  <c r="L299" i="9"/>
  <c r="L267" i="9"/>
  <c r="AF267" i="9" s="1"/>
  <c r="L251" i="9"/>
  <c r="AF251" i="9" s="1"/>
  <c r="L232" i="9"/>
  <c r="AF232" i="9" s="1"/>
  <c r="L215" i="9"/>
  <c r="AF215" i="9" s="1"/>
  <c r="L198" i="9"/>
  <c r="AF198" i="9" s="1"/>
  <c r="L177" i="9"/>
  <c r="L161" i="9"/>
  <c r="L151" i="9"/>
  <c r="AF151" i="9" s="1"/>
  <c r="L283" i="9"/>
  <c r="AF283" i="9" s="1"/>
  <c r="L184" i="9"/>
  <c r="AF184" i="9" s="1"/>
  <c r="L143" i="9"/>
  <c r="L128" i="9"/>
  <c r="AF128" i="9" s="1"/>
  <c r="L262" i="9"/>
  <c r="AF262" i="9" s="1"/>
  <c r="L226" i="9"/>
  <c r="AF226" i="9" s="1"/>
  <c r="L282" i="9"/>
  <c r="AF282" i="9" s="1"/>
  <c r="L260" i="9"/>
  <c r="AF260" i="9" s="1"/>
  <c r="L241" i="9"/>
  <c r="L224" i="9"/>
  <c r="AF224" i="9" s="1"/>
  <c r="L207" i="9"/>
  <c r="AF207" i="9" s="1"/>
  <c r="L187" i="9"/>
  <c r="AF187" i="9" s="1"/>
  <c r="L169" i="9"/>
  <c r="L244" i="9"/>
  <c r="AF244" i="9" s="1"/>
  <c r="L162" i="9"/>
  <c r="AF162" i="9" s="1"/>
  <c r="L137" i="9"/>
  <c r="AF137" i="9" s="1"/>
  <c r="L119" i="9"/>
  <c r="AF119" i="9" s="1"/>
  <c r="L246" i="9"/>
  <c r="AF246" i="9" s="1"/>
  <c r="L273" i="9"/>
  <c r="AF273" i="9" s="1"/>
  <c r="L301" i="9"/>
  <c r="L269" i="9"/>
  <c r="L253" i="9"/>
  <c r="AF253" i="9" s="1"/>
  <c r="L234" i="9"/>
  <c r="AF234" i="9" s="1"/>
  <c r="L217" i="9"/>
  <c r="L200" i="9"/>
  <c r="L179" i="9"/>
  <c r="AF179" i="9" s="1"/>
  <c r="L153" i="9"/>
  <c r="L287" i="9"/>
  <c r="AF287" i="9" s="1"/>
  <c r="L193" i="9"/>
  <c r="AF193" i="9" s="1"/>
  <c r="L135" i="9"/>
  <c r="L111" i="9"/>
  <c r="AF111" i="9" s="1"/>
  <c r="L285" i="9"/>
  <c r="AF285" i="9" s="1"/>
  <c r="Q52" i="9"/>
  <c r="Q59" i="9"/>
  <c r="Q47" i="9"/>
  <c r="Q56" i="9"/>
  <c r="Q49" i="9"/>
  <c r="Q58" i="9"/>
  <c r="Q50" i="9"/>
  <c r="Q51" i="9"/>
  <c r="Q57" i="9"/>
  <c r="Q54" i="9"/>
  <c r="Q71" i="9"/>
  <c r="Q46" i="9"/>
  <c r="Q144" i="9"/>
  <c r="Q63" i="9"/>
  <c r="Q20" i="9"/>
  <c r="Q309" i="9"/>
  <c r="Q33" i="9"/>
  <c r="Q12" i="9"/>
  <c r="Q112" i="9"/>
  <c r="Q87" i="9"/>
  <c r="Q76" i="9"/>
  <c r="Q65" i="9"/>
  <c r="Q14" i="9"/>
  <c r="Q89" i="9"/>
  <c r="Q55" i="9"/>
  <c r="Q48" i="9"/>
  <c r="Q42" i="9"/>
  <c r="Q22" i="9"/>
  <c r="Q311" i="9"/>
  <c r="Q18" i="9"/>
  <c r="Q9" i="9"/>
  <c r="Q94" i="9"/>
  <c r="Q125" i="9"/>
  <c r="Q80" i="9"/>
  <c r="Q78" i="9"/>
  <c r="Q67" i="9"/>
  <c r="Q36" i="9"/>
  <c r="Q7" i="9"/>
  <c r="Q3" i="9"/>
  <c r="Q16" i="9"/>
  <c r="Q146" i="9"/>
  <c r="Q130" i="9"/>
  <c r="Q69" i="9"/>
  <c r="Q44" i="9"/>
  <c r="Q24" i="9"/>
  <c r="Q82" i="9"/>
  <c r="Q60" i="9"/>
  <c r="Q38" i="9"/>
  <c r="Q17" i="9"/>
  <c r="Q5" i="9"/>
  <c r="Q32" i="9"/>
  <c r="Q8" i="9"/>
  <c r="Q73" i="9"/>
  <c r="Q70" i="9"/>
  <c r="Q26" i="9"/>
  <c r="Q84" i="9"/>
  <c r="Q62" i="9"/>
  <c r="Q40" i="9"/>
  <c r="Q31" i="9"/>
  <c r="Q19" i="9"/>
  <c r="Q308" i="9"/>
  <c r="Q10" i="9"/>
  <c r="Q103" i="9"/>
  <c r="Q75" i="9"/>
  <c r="Q28" i="9"/>
  <c r="Q27" i="9"/>
  <c r="Q13" i="9"/>
  <c r="Q64" i="9"/>
  <c r="Q41" i="9"/>
  <c r="Q21" i="9"/>
  <c r="Q310" i="9"/>
  <c r="Q25" i="9"/>
  <c r="Q61" i="9"/>
  <c r="Q39" i="9"/>
  <c r="Q121" i="9"/>
  <c r="Q88" i="9"/>
  <c r="Q79" i="9"/>
  <c r="Q77" i="9"/>
  <c r="Q66" i="9"/>
  <c r="Q83" i="9"/>
  <c r="Q30" i="9"/>
  <c r="Q138" i="9"/>
  <c r="Q29" i="9"/>
  <c r="Q15" i="9"/>
  <c r="Q53" i="9"/>
  <c r="Q43" i="9"/>
  <c r="Q23" i="9"/>
  <c r="Q312" i="9"/>
  <c r="Q35" i="9"/>
  <c r="Q81" i="9"/>
  <c r="Q68" i="9"/>
  <c r="Q37" i="9"/>
  <c r="Q34" i="9"/>
  <c r="Q11" i="9"/>
  <c r="Q4" i="9"/>
  <c r="Q74" i="9"/>
  <c r="Q147" i="9"/>
  <c r="Q134" i="9"/>
  <c r="Q92" i="9"/>
  <c r="Q72" i="9"/>
  <c r="Q45" i="9"/>
  <c r="Q6" i="9"/>
  <c r="L50" i="9"/>
  <c r="L46" i="9"/>
  <c r="L47" i="9"/>
  <c r="L52" i="9"/>
  <c r="L56" i="9"/>
  <c r="L49" i="9"/>
  <c r="L51" i="9"/>
  <c r="L59" i="9"/>
  <c r="L71" i="9"/>
  <c r="L57" i="9"/>
  <c r="L58" i="9"/>
  <c r="L54" i="9"/>
  <c r="L83" i="9"/>
  <c r="L61" i="9"/>
  <c r="L39" i="9"/>
  <c r="L30" i="9"/>
  <c r="L18" i="9"/>
  <c r="L6" i="9"/>
  <c r="L9" i="9"/>
  <c r="L138" i="9"/>
  <c r="L94" i="9"/>
  <c r="L74" i="9"/>
  <c r="L27" i="9"/>
  <c r="L144" i="9"/>
  <c r="L63" i="9"/>
  <c r="L20" i="9"/>
  <c r="L309" i="9"/>
  <c r="L68" i="9"/>
  <c r="L25" i="9"/>
  <c r="L33" i="9"/>
  <c r="L12" i="9"/>
  <c r="L112" i="9"/>
  <c r="L87" i="9"/>
  <c r="L76" i="9"/>
  <c r="L65" i="9"/>
  <c r="L14" i="9"/>
  <c r="L89" i="9"/>
  <c r="L55" i="9"/>
  <c r="L48" i="9"/>
  <c r="L42" i="9"/>
  <c r="L22" i="9"/>
  <c r="L311" i="9"/>
  <c r="L125" i="9"/>
  <c r="L80" i="9"/>
  <c r="L78" i="9"/>
  <c r="L67" i="9"/>
  <c r="L36" i="9"/>
  <c r="L7" i="9"/>
  <c r="L3" i="9"/>
  <c r="L4" i="9"/>
  <c r="L16" i="9"/>
  <c r="L146" i="9"/>
  <c r="L130" i="9"/>
  <c r="L44" i="9"/>
  <c r="L24" i="9"/>
  <c r="L82" i="9"/>
  <c r="L69" i="9"/>
  <c r="L60" i="9"/>
  <c r="L38" i="9"/>
  <c r="L17" i="9"/>
  <c r="L5" i="9"/>
  <c r="L32" i="9"/>
  <c r="L8" i="9"/>
  <c r="L73" i="9"/>
  <c r="L70" i="9"/>
  <c r="L26" i="9"/>
  <c r="L134" i="9"/>
  <c r="L92" i="9"/>
  <c r="L84" i="9"/>
  <c r="L62" i="9"/>
  <c r="L40" i="9"/>
  <c r="L31" i="9"/>
  <c r="L19" i="9"/>
  <c r="L308" i="9"/>
  <c r="L81" i="9"/>
  <c r="L72" i="9"/>
  <c r="L10" i="9"/>
  <c r="L103" i="9"/>
  <c r="L75" i="9"/>
  <c r="L28" i="9"/>
  <c r="L312" i="9"/>
  <c r="L34" i="9"/>
  <c r="L11" i="9"/>
  <c r="L45" i="9"/>
  <c r="L13" i="9"/>
  <c r="L64" i="9"/>
  <c r="L41" i="9"/>
  <c r="L21" i="9"/>
  <c r="L310" i="9"/>
  <c r="L121" i="9"/>
  <c r="L88" i="9"/>
  <c r="L79" i="9"/>
  <c r="L77" i="9"/>
  <c r="L66" i="9"/>
  <c r="L37" i="9"/>
  <c r="L147" i="9"/>
  <c r="L29" i="9"/>
  <c r="L15" i="9"/>
  <c r="L53" i="9"/>
  <c r="L43" i="9"/>
  <c r="L23" i="9"/>
  <c r="L35" i="9"/>
  <c r="Q2" i="9"/>
  <c r="E26" i="12"/>
  <c r="F26" i="12" s="1"/>
  <c r="E36" i="12"/>
  <c r="F36" i="12" s="1"/>
  <c r="D31" i="12"/>
  <c r="E31" i="12" s="1"/>
  <c r="F31" i="12" s="1"/>
  <c r="F10" i="12"/>
  <c r="E3" i="12"/>
  <c r="F3" i="12" s="1"/>
  <c r="F7" i="12"/>
  <c r="E4" i="12"/>
  <c r="F4" i="12" s="1"/>
  <c r="S17" i="37" l="1"/>
  <c r="V17" i="37" s="1"/>
  <c r="Z17" i="37"/>
  <c r="N19" i="37"/>
  <c r="O18" i="37"/>
  <c r="AH16" i="37"/>
  <c r="AI16" i="37" s="1"/>
  <c r="L1345" i="37"/>
  <c r="M1732" i="37"/>
  <c r="K13" i="38"/>
  <c r="E4" i="38"/>
  <c r="K4" i="38" s="1"/>
  <c r="AJ14" i="37"/>
  <c r="E14" i="37" s="1"/>
  <c r="AJ12" i="37"/>
  <c r="E12" i="37" s="1"/>
  <c r="AJ5" i="37"/>
  <c r="E5" i="37" s="1"/>
  <c r="AJ9" i="37"/>
  <c r="E9" i="37" s="1"/>
  <c r="AJ8" i="37"/>
  <c r="E8" i="37" s="1"/>
  <c r="AJ15" i="37"/>
  <c r="E15" i="37" s="1"/>
  <c r="AJ6" i="37"/>
  <c r="E6" i="37" s="1"/>
  <c r="E6" i="38"/>
  <c r="K6" i="38" s="1"/>
  <c r="AJ11" i="37"/>
  <c r="E11" i="37" s="1"/>
  <c r="E3" i="38"/>
  <c r="K3" i="38" s="1"/>
  <c r="AJ4" i="37"/>
  <c r="E4" i="37" s="1"/>
  <c r="AJ7" i="37"/>
  <c r="E7" i="37" s="1"/>
  <c r="AJ13" i="37"/>
  <c r="E13" i="37" s="1"/>
  <c r="AJ10" i="37"/>
  <c r="E10" i="37" s="1"/>
  <c r="E5" i="38"/>
  <c r="K5" i="38" s="1"/>
  <c r="AJ3" i="37"/>
  <c r="E3" i="37" s="1"/>
  <c r="K62" i="9"/>
  <c r="K43" i="9"/>
  <c r="K130" i="9"/>
  <c r="K27" i="9"/>
  <c r="K45" i="9"/>
  <c r="K146" i="9"/>
  <c r="K11" i="9"/>
  <c r="K134" i="9"/>
  <c r="K16" i="9"/>
  <c r="K14" i="9"/>
  <c r="K94" i="9"/>
  <c r="K56" i="9"/>
  <c r="K135" i="9"/>
  <c r="AF135" i="9"/>
  <c r="AG135" i="9" s="1"/>
  <c r="D135" i="9" s="1"/>
  <c r="AI160" i="9"/>
  <c r="AF160" i="9"/>
  <c r="AG160" i="9" s="1"/>
  <c r="D160" i="9" s="1"/>
  <c r="AI201" i="9"/>
  <c r="AF201" i="9"/>
  <c r="AI233" i="9"/>
  <c r="AF233" i="9"/>
  <c r="AG233" i="9" s="1"/>
  <c r="D233" i="9" s="1"/>
  <c r="AI296" i="9"/>
  <c r="AF296" i="9"/>
  <c r="AG296" i="9" s="1"/>
  <c r="D296" i="9" s="1"/>
  <c r="AI410" i="9"/>
  <c r="AF410" i="9"/>
  <c r="AG410" i="9" s="1"/>
  <c r="D410" i="9" s="1"/>
  <c r="AI483" i="9"/>
  <c r="AF483" i="9"/>
  <c r="AG483" i="9" s="1"/>
  <c r="D483" i="9" s="1"/>
  <c r="AI442" i="9"/>
  <c r="AF442" i="9"/>
  <c r="AG442" i="9" s="1"/>
  <c r="D442" i="9" s="1"/>
  <c r="AI493" i="9"/>
  <c r="AF493" i="9"/>
  <c r="AG493" i="9" s="1"/>
  <c r="D493" i="9" s="1"/>
  <c r="AI485" i="9"/>
  <c r="AF485" i="9"/>
  <c r="AG485" i="9" s="1"/>
  <c r="D485" i="9" s="1"/>
  <c r="AI499" i="9"/>
  <c r="AF499" i="9"/>
  <c r="K138" i="9"/>
  <c r="AI438" i="9"/>
  <c r="AF438" i="9"/>
  <c r="AG438" i="9" s="1"/>
  <c r="D438" i="9" s="1"/>
  <c r="K47" i="9"/>
  <c r="AI177" i="9"/>
  <c r="AF177" i="9"/>
  <c r="AG177" i="9" s="1"/>
  <c r="D177" i="9" s="1"/>
  <c r="AI235" i="9"/>
  <c r="AF235" i="9"/>
  <c r="AG235" i="9" s="1"/>
  <c r="D235" i="9" s="1"/>
  <c r="AI307" i="9"/>
  <c r="AF307" i="9"/>
  <c r="AG307" i="9" s="1"/>
  <c r="D307" i="9" s="1"/>
  <c r="K91" i="9"/>
  <c r="AF91" i="9"/>
  <c r="AG91" i="9" s="1"/>
  <c r="D91" i="9" s="1"/>
  <c r="AI381" i="9"/>
  <c r="AF381" i="9"/>
  <c r="AG381" i="9" s="1"/>
  <c r="D381" i="9" s="1"/>
  <c r="AI385" i="9"/>
  <c r="AF385" i="9"/>
  <c r="AI459" i="9"/>
  <c r="AF459" i="9"/>
  <c r="AG459" i="9" s="1"/>
  <c r="D459" i="9" s="1"/>
  <c r="AI457" i="9"/>
  <c r="AF457" i="9"/>
  <c r="AG457" i="9" s="1"/>
  <c r="D457" i="9" s="1"/>
  <c r="AI464" i="9"/>
  <c r="AF464" i="9"/>
  <c r="AG464" i="9" s="1"/>
  <c r="D464" i="9" s="1"/>
  <c r="AI436" i="9"/>
  <c r="AF436" i="9"/>
  <c r="AG436" i="9" s="1"/>
  <c r="D436" i="9" s="1"/>
  <c r="AI448" i="9"/>
  <c r="AF448" i="9"/>
  <c r="AG448" i="9" s="1"/>
  <c r="D448" i="9" s="1"/>
  <c r="K23" i="9"/>
  <c r="AI218" i="9"/>
  <c r="AF218" i="9"/>
  <c r="AG218" i="9" s="1"/>
  <c r="D218" i="9" s="1"/>
  <c r="AI424" i="9"/>
  <c r="AF424" i="9"/>
  <c r="AG424" i="9" s="1"/>
  <c r="D424" i="9" s="1"/>
  <c r="K76" i="9"/>
  <c r="AI169" i="9"/>
  <c r="AF169" i="9"/>
  <c r="K6" i="9"/>
  <c r="AI153" i="9"/>
  <c r="AF153" i="9"/>
  <c r="AG153" i="9" s="1"/>
  <c r="D153" i="9" s="1"/>
  <c r="AI222" i="9"/>
  <c r="AF222" i="9"/>
  <c r="AG222" i="9" s="1"/>
  <c r="D222" i="9" s="1"/>
  <c r="AI230" i="9"/>
  <c r="AF230" i="9"/>
  <c r="AG230" i="9" s="1"/>
  <c r="D230" i="9" s="1"/>
  <c r="AI387" i="9"/>
  <c r="AF387" i="9"/>
  <c r="AG387" i="9" s="1"/>
  <c r="D387" i="9" s="1"/>
  <c r="AI401" i="9"/>
  <c r="AF401" i="9"/>
  <c r="AG401" i="9" s="1"/>
  <c r="D401" i="9" s="1"/>
  <c r="AI462" i="9"/>
  <c r="AF462" i="9"/>
  <c r="AG462" i="9" s="1"/>
  <c r="D462" i="9" s="1"/>
  <c r="AI468" i="9"/>
  <c r="AF468" i="9"/>
  <c r="AI482" i="9"/>
  <c r="AF482" i="9"/>
  <c r="AI434" i="9"/>
  <c r="AF434" i="9"/>
  <c r="AG434" i="9" s="1"/>
  <c r="D434" i="9" s="1"/>
  <c r="AI461" i="9"/>
  <c r="AF461" i="9"/>
  <c r="AG461" i="9" s="1"/>
  <c r="D461" i="9" s="1"/>
  <c r="K3" i="9"/>
  <c r="K87" i="9"/>
  <c r="K75" i="9"/>
  <c r="K8" i="9"/>
  <c r="K36" i="9"/>
  <c r="K112" i="9"/>
  <c r="K18" i="9"/>
  <c r="K50" i="9"/>
  <c r="AI263" i="9"/>
  <c r="AF263" i="9"/>
  <c r="AG263" i="9" s="1"/>
  <c r="D263" i="9" s="1"/>
  <c r="AI261" i="9"/>
  <c r="AF261" i="9"/>
  <c r="AG261" i="9" s="1"/>
  <c r="D261" i="9" s="1"/>
  <c r="K85" i="9"/>
  <c r="AF85" i="9"/>
  <c r="AG85" i="9" s="1"/>
  <c r="D85" i="9" s="1"/>
  <c r="AI430" i="9"/>
  <c r="AF430" i="9"/>
  <c r="AG430" i="9" s="1"/>
  <c r="D430" i="9" s="1"/>
  <c r="AI389" i="9"/>
  <c r="AF389" i="9"/>
  <c r="AG389" i="9" s="1"/>
  <c r="D389" i="9" s="1"/>
  <c r="AI403" i="9"/>
  <c r="AF403" i="9"/>
  <c r="AG403" i="9" s="1"/>
  <c r="D403" i="9" s="1"/>
  <c r="AI447" i="9"/>
  <c r="AF447" i="9"/>
  <c r="AG447" i="9" s="1"/>
  <c r="D447" i="9" s="1"/>
  <c r="AI477" i="9"/>
  <c r="AF477" i="9"/>
  <c r="AI500" i="9"/>
  <c r="AF500" i="9"/>
  <c r="AI473" i="9"/>
  <c r="AF473" i="9"/>
  <c r="AG473" i="9" s="1"/>
  <c r="D473" i="9" s="1"/>
  <c r="AI472" i="9"/>
  <c r="AF472" i="9"/>
  <c r="AG472" i="9" s="1"/>
  <c r="D472" i="9" s="1"/>
  <c r="AI271" i="9"/>
  <c r="AF271" i="9"/>
  <c r="AG271" i="9" s="1"/>
  <c r="D271" i="9" s="1"/>
  <c r="AI433" i="9"/>
  <c r="AF433" i="9"/>
  <c r="AG433" i="9" s="1"/>
  <c r="D433" i="9" s="1"/>
  <c r="K9" i="9"/>
  <c r="K103" i="9"/>
  <c r="K12" i="9"/>
  <c r="K30" i="9"/>
  <c r="AI200" i="9"/>
  <c r="AF200" i="9"/>
  <c r="AG200" i="9" s="1"/>
  <c r="D200" i="9" s="1"/>
  <c r="AI258" i="9"/>
  <c r="AF258" i="9"/>
  <c r="AI265" i="9"/>
  <c r="AF265" i="9"/>
  <c r="AG265" i="9" s="1"/>
  <c r="D265" i="9" s="1"/>
  <c r="AI302" i="9"/>
  <c r="AF302" i="9"/>
  <c r="AG302" i="9" s="1"/>
  <c r="D302" i="9" s="1"/>
  <c r="AI421" i="9"/>
  <c r="AF421" i="9"/>
  <c r="AG421" i="9" s="1"/>
  <c r="D421" i="9" s="1"/>
  <c r="AI443" i="9"/>
  <c r="AF443" i="9"/>
  <c r="AG443" i="9" s="1"/>
  <c r="D443" i="9" s="1"/>
  <c r="AI486" i="9"/>
  <c r="AF486" i="9"/>
  <c r="AG486" i="9" s="1"/>
  <c r="D486" i="9" s="1"/>
  <c r="AI445" i="9"/>
  <c r="AF445" i="9"/>
  <c r="AG445" i="9" s="1"/>
  <c r="D445" i="9" s="1"/>
  <c r="AI449" i="9"/>
  <c r="AF449" i="9"/>
  <c r="AG449" i="9" s="1"/>
  <c r="D449" i="9" s="1"/>
  <c r="AI490" i="9"/>
  <c r="AF490" i="9"/>
  <c r="K144" i="9"/>
  <c r="AI208" i="9"/>
  <c r="AF208" i="9"/>
  <c r="AG208" i="9" s="1"/>
  <c r="D208" i="9" s="1"/>
  <c r="K29" i="9"/>
  <c r="AI147" i="9"/>
  <c r="K66" i="9"/>
  <c r="K77" i="9"/>
  <c r="K10" i="9"/>
  <c r="K5" i="9"/>
  <c r="K78" i="9"/>
  <c r="K33" i="9"/>
  <c r="K39" i="9"/>
  <c r="AI217" i="9"/>
  <c r="AF217" i="9"/>
  <c r="AG217" i="9" s="1"/>
  <c r="D217" i="9" s="1"/>
  <c r="AI241" i="9"/>
  <c r="AF241" i="9"/>
  <c r="AI157" i="9"/>
  <c r="AF157" i="9"/>
  <c r="AG157" i="9" s="1"/>
  <c r="D157" i="9" s="1"/>
  <c r="AI487" i="9"/>
  <c r="AF487" i="9"/>
  <c r="AG487" i="9" s="1"/>
  <c r="D487" i="9" s="1"/>
  <c r="AI495" i="9"/>
  <c r="AF495" i="9"/>
  <c r="AG495" i="9" s="1"/>
  <c r="D495" i="9" s="1"/>
  <c r="AI460" i="9"/>
  <c r="AF460" i="9"/>
  <c r="AG460" i="9" s="1"/>
  <c r="D460" i="9" s="1"/>
  <c r="AI480" i="9"/>
  <c r="AF480" i="9"/>
  <c r="AG480" i="9" s="1"/>
  <c r="D480" i="9" s="1"/>
  <c r="AI444" i="9"/>
  <c r="AF444" i="9"/>
  <c r="AG444" i="9" s="1"/>
  <c r="D444" i="9" s="1"/>
  <c r="K52" i="9"/>
  <c r="AI435" i="9"/>
  <c r="AF435" i="9"/>
  <c r="K46" i="9"/>
  <c r="K79" i="9"/>
  <c r="K72" i="9"/>
  <c r="K17" i="9"/>
  <c r="K80" i="9"/>
  <c r="K25" i="9"/>
  <c r="K61" i="9"/>
  <c r="AI237" i="9"/>
  <c r="AF237" i="9"/>
  <c r="AG237" i="9" s="1"/>
  <c r="D237" i="9" s="1"/>
  <c r="AI390" i="9"/>
  <c r="AF390" i="9"/>
  <c r="AG390" i="9" s="1"/>
  <c r="D390" i="9" s="1"/>
  <c r="AI400" i="9"/>
  <c r="AF400" i="9"/>
  <c r="AG400" i="9" s="1"/>
  <c r="D400" i="9" s="1"/>
  <c r="AI383" i="9"/>
  <c r="AF383" i="9"/>
  <c r="AG383" i="9" s="1"/>
  <c r="D383" i="9" s="1"/>
  <c r="AI467" i="9"/>
  <c r="AF467" i="9"/>
  <c r="AI469" i="9"/>
  <c r="AF469" i="9"/>
  <c r="AG469" i="9" s="1"/>
  <c r="D469" i="9" s="1"/>
  <c r="AI489" i="9"/>
  <c r="AF489" i="9"/>
  <c r="AG489" i="9" s="1"/>
  <c r="D489" i="9" s="1"/>
  <c r="AI479" i="9"/>
  <c r="AF479" i="9"/>
  <c r="AG479" i="9" s="1"/>
  <c r="D479" i="9" s="1"/>
  <c r="K65" i="9"/>
  <c r="AI161" i="9"/>
  <c r="AF161" i="9"/>
  <c r="AG161" i="9" s="1"/>
  <c r="D161" i="9" s="1"/>
  <c r="AI209" i="9"/>
  <c r="AF209" i="9"/>
  <c r="AG209" i="9" s="1"/>
  <c r="D209" i="9" s="1"/>
  <c r="AI455" i="9"/>
  <c r="AF455" i="9"/>
  <c r="AG455" i="9" s="1"/>
  <c r="D455" i="9" s="1"/>
  <c r="K73" i="9"/>
  <c r="K32" i="9"/>
  <c r="K88" i="9"/>
  <c r="K81" i="9"/>
  <c r="K38" i="9"/>
  <c r="K125" i="9"/>
  <c r="K83" i="9"/>
  <c r="AI299" i="9"/>
  <c r="AF299" i="9"/>
  <c r="AG299" i="9" s="1"/>
  <c r="D299" i="9" s="1"/>
  <c r="AI159" i="9"/>
  <c r="AF159" i="9"/>
  <c r="AG159" i="9" s="1"/>
  <c r="D159" i="9" s="1"/>
  <c r="AI494" i="9"/>
  <c r="AF494" i="9"/>
  <c r="AG494" i="9" s="1"/>
  <c r="D494" i="9" s="1"/>
  <c r="AI431" i="9"/>
  <c r="AF431" i="9"/>
  <c r="AG431" i="9" s="1"/>
  <c r="D431" i="9" s="1"/>
  <c r="AI432" i="9"/>
  <c r="AF432" i="9"/>
  <c r="AG432" i="9" s="1"/>
  <c r="D432" i="9" s="1"/>
  <c r="AI458" i="9"/>
  <c r="AF458" i="9"/>
  <c r="AI497" i="9"/>
  <c r="AF497" i="9"/>
  <c r="AG497" i="9" s="1"/>
  <c r="D497" i="9" s="1"/>
  <c r="K4" i="9"/>
  <c r="AI465" i="9"/>
  <c r="AF465" i="9"/>
  <c r="AG465" i="9" s="1"/>
  <c r="D465" i="9" s="1"/>
  <c r="K70" i="9"/>
  <c r="K7" i="9"/>
  <c r="K67" i="9"/>
  <c r="K121" i="9"/>
  <c r="K308" i="9"/>
  <c r="K60" i="9"/>
  <c r="K311" i="9"/>
  <c r="K68" i="9"/>
  <c r="K54" i="9"/>
  <c r="AI269" i="9"/>
  <c r="AF269" i="9"/>
  <c r="AG269" i="9" s="1"/>
  <c r="D269" i="9" s="1"/>
  <c r="K93" i="9"/>
  <c r="AF93" i="9"/>
  <c r="AG93" i="9" s="1"/>
  <c r="D93" i="9" s="1"/>
  <c r="K90" i="9"/>
  <c r="AF90" i="9"/>
  <c r="AG90" i="9" s="1"/>
  <c r="D90" i="9" s="1"/>
  <c r="K129" i="9"/>
  <c r="AF129" i="9"/>
  <c r="AG129" i="9" s="1"/>
  <c r="D129" i="9" s="1"/>
  <c r="AI243" i="9"/>
  <c r="AF243" i="9"/>
  <c r="AG243" i="9" s="1"/>
  <c r="D243" i="9" s="1"/>
  <c r="AI395" i="9"/>
  <c r="AF395" i="9"/>
  <c r="AG395" i="9" s="1"/>
  <c r="D395" i="9" s="1"/>
  <c r="AI404" i="9"/>
  <c r="AF404" i="9"/>
  <c r="AG404" i="9" s="1"/>
  <c r="D404" i="9" s="1"/>
  <c r="AI503" i="9"/>
  <c r="AF503" i="9"/>
  <c r="AG503" i="9" s="1"/>
  <c r="D503" i="9" s="1"/>
  <c r="AI502" i="9"/>
  <c r="AF502" i="9"/>
  <c r="AG502" i="9" s="1"/>
  <c r="D502" i="9" s="1"/>
  <c r="AI456" i="9"/>
  <c r="AF456" i="9"/>
  <c r="AG456" i="9" s="1"/>
  <c r="D456" i="9" s="1"/>
  <c r="AI496" i="9"/>
  <c r="AF496" i="9"/>
  <c r="AG496" i="9" s="1"/>
  <c r="D496" i="9" s="1"/>
  <c r="K15" i="9"/>
  <c r="K312" i="9"/>
  <c r="K28" i="9"/>
  <c r="K37" i="9"/>
  <c r="K310" i="9"/>
  <c r="K19" i="9"/>
  <c r="K69" i="9"/>
  <c r="K22" i="9"/>
  <c r="K309" i="9"/>
  <c r="K58" i="9"/>
  <c r="AI301" i="9"/>
  <c r="AF301" i="9"/>
  <c r="AG301" i="9" s="1"/>
  <c r="D301" i="9" s="1"/>
  <c r="K86" i="9"/>
  <c r="AF86" i="9"/>
  <c r="AI192" i="9"/>
  <c r="AF192" i="9"/>
  <c r="AG192" i="9" s="1"/>
  <c r="D192" i="9" s="1"/>
  <c r="AI393" i="9"/>
  <c r="AF393" i="9"/>
  <c r="AG393" i="9" s="1"/>
  <c r="D393" i="9" s="1"/>
  <c r="AI501" i="9"/>
  <c r="AF501" i="9"/>
  <c r="AG501" i="9" s="1"/>
  <c r="D501" i="9" s="1"/>
  <c r="AI504" i="9"/>
  <c r="AF504" i="9"/>
  <c r="AG504" i="9" s="1"/>
  <c r="D504" i="9" s="1"/>
  <c r="AI476" i="9"/>
  <c r="AF476" i="9"/>
  <c r="AG476" i="9" s="1"/>
  <c r="D476" i="9" s="1"/>
  <c r="K55" i="9"/>
  <c r="K26" i="9"/>
  <c r="K21" i="9"/>
  <c r="K31" i="9"/>
  <c r="K82" i="9"/>
  <c r="K42" i="9"/>
  <c r="K20" i="9"/>
  <c r="K57" i="9"/>
  <c r="K145" i="9"/>
  <c r="AF145" i="9"/>
  <c r="AG145" i="9" s="1"/>
  <c r="D145" i="9" s="1"/>
  <c r="AI428" i="9"/>
  <c r="AF428" i="9"/>
  <c r="AG428" i="9" s="1"/>
  <c r="D428" i="9" s="1"/>
  <c r="AI429" i="9"/>
  <c r="AF429" i="9"/>
  <c r="AG429" i="9" s="1"/>
  <c r="D429" i="9" s="1"/>
  <c r="AI437" i="9"/>
  <c r="AF437" i="9"/>
  <c r="AG437" i="9" s="1"/>
  <c r="D437" i="9" s="1"/>
  <c r="AI440" i="9"/>
  <c r="AF440" i="9"/>
  <c r="AG440" i="9" s="1"/>
  <c r="D440" i="9" s="1"/>
  <c r="AI498" i="9"/>
  <c r="AF498" i="9"/>
  <c r="AG498" i="9" s="1"/>
  <c r="D498" i="9" s="1"/>
  <c r="AI439" i="9"/>
  <c r="AF439" i="9"/>
  <c r="AG439" i="9" s="1"/>
  <c r="D439" i="9" s="1"/>
  <c r="K59" i="9"/>
  <c r="K34" i="9"/>
  <c r="K35" i="9"/>
  <c r="K41" i="9"/>
  <c r="K40" i="9"/>
  <c r="K24" i="9"/>
  <c r="K48" i="9"/>
  <c r="K63" i="9"/>
  <c r="K71" i="9"/>
  <c r="AI197" i="9"/>
  <c r="AF197" i="9"/>
  <c r="AG197" i="9" s="1"/>
  <c r="D197" i="9" s="1"/>
  <c r="AI478" i="9"/>
  <c r="AF478" i="9"/>
  <c r="AG478" i="9" s="1"/>
  <c r="D478" i="9" s="1"/>
  <c r="AI446" i="9"/>
  <c r="AF446" i="9"/>
  <c r="AG446" i="9" s="1"/>
  <c r="D446" i="9" s="1"/>
  <c r="AI453" i="9"/>
  <c r="AF453" i="9"/>
  <c r="AG453" i="9" s="1"/>
  <c r="D453" i="9" s="1"/>
  <c r="AI451" i="9"/>
  <c r="AF451" i="9"/>
  <c r="AG451" i="9" s="1"/>
  <c r="D451" i="9" s="1"/>
  <c r="AI474" i="9"/>
  <c r="AF474" i="9"/>
  <c r="AG474" i="9" s="1"/>
  <c r="D474" i="9" s="1"/>
  <c r="K64" i="9"/>
  <c r="AI158" i="9"/>
  <c r="AF158" i="9"/>
  <c r="AG158" i="9" s="1"/>
  <c r="D158" i="9" s="1"/>
  <c r="AI454" i="9"/>
  <c r="AF454" i="9"/>
  <c r="AG454" i="9" s="1"/>
  <c r="D454" i="9" s="1"/>
  <c r="AI463" i="9"/>
  <c r="AF463" i="9"/>
  <c r="AG463" i="9" s="1"/>
  <c r="D463" i="9" s="1"/>
  <c r="AI466" i="9"/>
  <c r="AF466" i="9"/>
  <c r="AG466" i="9" s="1"/>
  <c r="D466" i="9" s="1"/>
  <c r="AI491" i="9"/>
  <c r="AF491" i="9"/>
  <c r="AG491" i="9" s="1"/>
  <c r="D491" i="9" s="1"/>
  <c r="AI492" i="9"/>
  <c r="AF492" i="9"/>
  <c r="AG492" i="9" s="1"/>
  <c r="D492" i="9" s="1"/>
  <c r="AI242" i="9"/>
  <c r="AF242" i="9"/>
  <c r="AG242" i="9" s="1"/>
  <c r="D242" i="9" s="1"/>
  <c r="AI199" i="9"/>
  <c r="AF199" i="9"/>
  <c r="AG199" i="9" s="1"/>
  <c r="D199" i="9" s="1"/>
  <c r="AI386" i="9"/>
  <c r="AF386" i="9"/>
  <c r="AG386" i="9" s="1"/>
  <c r="D386" i="9" s="1"/>
  <c r="AI392" i="9"/>
  <c r="AF392" i="9"/>
  <c r="AG392" i="9" s="1"/>
  <c r="D392" i="9" s="1"/>
  <c r="AI470" i="9"/>
  <c r="AF470" i="9"/>
  <c r="AG470" i="9" s="1"/>
  <c r="D470" i="9" s="1"/>
  <c r="AI475" i="9"/>
  <c r="AF475" i="9"/>
  <c r="AG475" i="9" s="1"/>
  <c r="D475" i="9" s="1"/>
  <c r="AI471" i="9"/>
  <c r="AF471" i="9"/>
  <c r="AG471" i="9" s="1"/>
  <c r="D471" i="9" s="1"/>
  <c r="AI450" i="9"/>
  <c r="AF450" i="9"/>
  <c r="AG450" i="9" s="1"/>
  <c r="D450" i="9" s="1"/>
  <c r="K44" i="9"/>
  <c r="K143" i="9"/>
  <c r="AF143" i="9"/>
  <c r="AG143" i="9" s="1"/>
  <c r="D143" i="9" s="1"/>
  <c r="K13" i="9"/>
  <c r="K84" i="9"/>
  <c r="K89" i="9"/>
  <c r="K51" i="9"/>
  <c r="K53" i="9"/>
  <c r="K92" i="9"/>
  <c r="K74" i="9"/>
  <c r="K49" i="9"/>
  <c r="AI216" i="9"/>
  <c r="AF216" i="9"/>
  <c r="AG216" i="9" s="1"/>
  <c r="D216" i="9" s="1"/>
  <c r="AI388" i="9"/>
  <c r="AF388" i="9"/>
  <c r="AG388" i="9" s="1"/>
  <c r="D388" i="9" s="1"/>
  <c r="AI402" i="9"/>
  <c r="AF402" i="9"/>
  <c r="AG402" i="9" s="1"/>
  <c r="D402" i="9" s="1"/>
  <c r="AI452" i="9"/>
  <c r="AF452" i="9"/>
  <c r="AG452" i="9" s="1"/>
  <c r="D452" i="9" s="1"/>
  <c r="AI488" i="9"/>
  <c r="AF488" i="9"/>
  <c r="AG488" i="9" s="1"/>
  <c r="D488" i="9" s="1"/>
  <c r="AI484" i="9"/>
  <c r="AF484" i="9"/>
  <c r="AG484" i="9" s="1"/>
  <c r="D484" i="9" s="1"/>
  <c r="AI441" i="9"/>
  <c r="AF441" i="9"/>
  <c r="AG441" i="9" s="1"/>
  <c r="D441" i="9" s="1"/>
  <c r="AI481" i="9"/>
  <c r="AF481" i="9"/>
  <c r="K507" i="9"/>
  <c r="AG507" i="9"/>
  <c r="D507" i="9" s="1"/>
  <c r="K510" i="9"/>
  <c r="AG510" i="9"/>
  <c r="D510" i="9" s="1"/>
  <c r="K508" i="9"/>
  <c r="AG508" i="9"/>
  <c r="D508" i="9" s="1"/>
  <c r="K511" i="9"/>
  <c r="AG511" i="9"/>
  <c r="D511" i="9" s="1"/>
  <c r="K512" i="9"/>
  <c r="AG512" i="9"/>
  <c r="D512" i="9" s="1"/>
  <c r="K506" i="9"/>
  <c r="AG506" i="9"/>
  <c r="D506" i="9" s="1"/>
  <c r="K509" i="9"/>
  <c r="AG509" i="9"/>
  <c r="D509" i="9" s="1"/>
  <c r="K269" i="9"/>
  <c r="C63" i="28"/>
  <c r="F63" i="28" s="1"/>
  <c r="G63" i="28" s="1"/>
  <c r="H63" i="28" s="1"/>
  <c r="K210" i="9"/>
  <c r="AG210" i="9"/>
  <c r="D210" i="9" s="1"/>
  <c r="K105" i="9"/>
  <c r="AG105" i="9"/>
  <c r="D105" i="9" s="1"/>
  <c r="K95" i="9"/>
  <c r="AG95" i="9"/>
  <c r="D95" i="9" s="1"/>
  <c r="K243" i="9"/>
  <c r="C58" i="28"/>
  <c r="F58" i="28" s="1"/>
  <c r="G58" i="28" s="1"/>
  <c r="H58" i="28" s="1"/>
  <c r="K281" i="9"/>
  <c r="AG281" i="9"/>
  <c r="D281" i="9" s="1"/>
  <c r="K291" i="9"/>
  <c r="AG291" i="9"/>
  <c r="D291" i="9" s="1"/>
  <c r="K293" i="9"/>
  <c r="AG293" i="9"/>
  <c r="D293" i="9" s="1"/>
  <c r="K195" i="9"/>
  <c r="AG195" i="9"/>
  <c r="D195" i="9" s="1"/>
  <c r="K426" i="9"/>
  <c r="AG426" i="9"/>
  <c r="D426" i="9" s="1"/>
  <c r="K395" i="9"/>
  <c r="C70" i="28"/>
  <c r="F70" i="28" s="1"/>
  <c r="G70" i="28" s="1"/>
  <c r="H70" i="28" s="1"/>
  <c r="K374" i="9"/>
  <c r="AG374" i="9"/>
  <c r="D374" i="9" s="1"/>
  <c r="K404" i="9"/>
  <c r="C48" i="28"/>
  <c r="F48" i="28" s="1"/>
  <c r="G48" i="28" s="1"/>
  <c r="H48" i="28" s="1"/>
  <c r="K337" i="9"/>
  <c r="AG337" i="9"/>
  <c r="D337" i="9" s="1"/>
  <c r="K364" i="9"/>
  <c r="AG364" i="9"/>
  <c r="D364" i="9" s="1"/>
  <c r="K315" i="9"/>
  <c r="AG315" i="9"/>
  <c r="D315" i="9" s="1"/>
  <c r="K405" i="9"/>
  <c r="AG405" i="9"/>
  <c r="D405" i="9" s="1"/>
  <c r="K503" i="9"/>
  <c r="C134" i="28"/>
  <c r="F134" i="28" s="1"/>
  <c r="K502" i="9"/>
  <c r="C133" i="28"/>
  <c r="F133" i="28" s="1"/>
  <c r="G133" i="28" s="1"/>
  <c r="K456" i="9"/>
  <c r="C87" i="28"/>
  <c r="F87" i="28" s="1"/>
  <c r="G87" i="28" s="1"/>
  <c r="H87" i="28" s="1"/>
  <c r="K496" i="9"/>
  <c r="C127" i="28"/>
  <c r="F127" i="28" s="1"/>
  <c r="G127" i="28" s="1"/>
  <c r="H127" i="28" s="1"/>
  <c r="K301" i="9"/>
  <c r="C41" i="28"/>
  <c r="F41" i="28" s="1"/>
  <c r="G41" i="28" s="1"/>
  <c r="H41" i="28" s="1"/>
  <c r="K226" i="9"/>
  <c r="AG226" i="9"/>
  <c r="D226" i="9" s="1"/>
  <c r="K109" i="9"/>
  <c r="AG109" i="9"/>
  <c r="D109" i="9" s="1"/>
  <c r="K123" i="9"/>
  <c r="AG123" i="9"/>
  <c r="D123" i="9" s="1"/>
  <c r="K113" i="9"/>
  <c r="AG113" i="9"/>
  <c r="D113" i="9" s="1"/>
  <c r="K102" i="9"/>
  <c r="AG102" i="9"/>
  <c r="D102" i="9" s="1"/>
  <c r="K192" i="9"/>
  <c r="C20" i="28"/>
  <c r="F20" i="28" s="1"/>
  <c r="G20" i="28" s="1"/>
  <c r="H20" i="28" s="1"/>
  <c r="K150" i="9"/>
  <c r="AG150" i="9"/>
  <c r="D150" i="9" s="1"/>
  <c r="K183" i="9"/>
  <c r="AG183" i="9"/>
  <c r="D183" i="9" s="1"/>
  <c r="K173" i="9"/>
  <c r="AG173" i="9"/>
  <c r="D173" i="9" s="1"/>
  <c r="K289" i="9"/>
  <c r="AG289" i="9"/>
  <c r="D289" i="9" s="1"/>
  <c r="K338" i="9"/>
  <c r="AG338" i="9"/>
  <c r="D338" i="9" s="1"/>
  <c r="K416" i="9"/>
  <c r="AG416" i="9"/>
  <c r="D416" i="9" s="1"/>
  <c r="K393" i="9"/>
  <c r="C66" i="28"/>
  <c r="F66" i="28" s="1"/>
  <c r="G66" i="28" s="1"/>
  <c r="H66" i="28" s="1"/>
  <c r="K418" i="9"/>
  <c r="AG418" i="9"/>
  <c r="D418" i="9" s="1"/>
  <c r="K353" i="9"/>
  <c r="AG353" i="9"/>
  <c r="D353" i="9" s="1"/>
  <c r="K375" i="9"/>
  <c r="AG375" i="9"/>
  <c r="D375" i="9" s="1"/>
  <c r="K331" i="9"/>
  <c r="AG331" i="9"/>
  <c r="D331" i="9" s="1"/>
  <c r="K419" i="9"/>
  <c r="AG419" i="9"/>
  <c r="D419" i="9" s="1"/>
  <c r="K501" i="9"/>
  <c r="C132" i="28"/>
  <c r="F132" i="28" s="1"/>
  <c r="G132" i="28" s="1"/>
  <c r="H132" i="28" s="1"/>
  <c r="K504" i="9"/>
  <c r="C135" i="28"/>
  <c r="F135" i="28" s="1"/>
  <c r="G135" i="28" s="1"/>
  <c r="K505" i="9"/>
  <c r="AG505" i="9"/>
  <c r="D505" i="9" s="1"/>
  <c r="K476" i="9"/>
  <c r="C107" i="28"/>
  <c r="F107" i="28" s="1"/>
  <c r="G107" i="28" s="1"/>
  <c r="H107" i="28" s="1"/>
  <c r="K273" i="9"/>
  <c r="AG273" i="9"/>
  <c r="D273" i="9" s="1"/>
  <c r="K262" i="9"/>
  <c r="AG262" i="9"/>
  <c r="D262" i="9" s="1"/>
  <c r="K99" i="9"/>
  <c r="AG99" i="9"/>
  <c r="D99" i="9" s="1"/>
  <c r="K107" i="9"/>
  <c r="AG107" i="9"/>
  <c r="D107" i="9" s="1"/>
  <c r="K139" i="9"/>
  <c r="AG139" i="9"/>
  <c r="D139" i="9" s="1"/>
  <c r="K120" i="9"/>
  <c r="AG120" i="9"/>
  <c r="D120" i="9" s="1"/>
  <c r="K286" i="9"/>
  <c r="AG286" i="9"/>
  <c r="D286" i="9" s="1"/>
  <c r="K168" i="9"/>
  <c r="AG168" i="9"/>
  <c r="D168" i="9" s="1"/>
  <c r="K175" i="9"/>
  <c r="AG175" i="9"/>
  <c r="D175" i="9" s="1"/>
  <c r="K204" i="9"/>
  <c r="AG204" i="9"/>
  <c r="D204" i="9" s="1"/>
  <c r="K191" i="9"/>
  <c r="AG191" i="9"/>
  <c r="D191" i="9" s="1"/>
  <c r="K155" i="9"/>
  <c r="AG155" i="9"/>
  <c r="D155" i="9" s="1"/>
  <c r="K378" i="9"/>
  <c r="AG378" i="9"/>
  <c r="D378" i="9" s="1"/>
  <c r="K354" i="9"/>
  <c r="AG354" i="9"/>
  <c r="D354" i="9" s="1"/>
  <c r="K414" i="9"/>
  <c r="AG414" i="9"/>
  <c r="D414" i="9" s="1"/>
  <c r="K428" i="9"/>
  <c r="C4" i="28"/>
  <c r="F4" i="28" s="1"/>
  <c r="G4" i="28" s="1"/>
  <c r="H4" i="28" s="1"/>
  <c r="K360" i="9"/>
  <c r="AG360" i="9"/>
  <c r="D360" i="9" s="1"/>
  <c r="K394" i="9"/>
  <c r="AG394" i="9"/>
  <c r="D394" i="9" s="1"/>
  <c r="K349" i="9"/>
  <c r="AG349" i="9"/>
  <c r="D349" i="9" s="1"/>
  <c r="K429" i="9"/>
  <c r="C5" i="28"/>
  <c r="F5" i="28" s="1"/>
  <c r="G5" i="28" s="1"/>
  <c r="H5" i="28" s="1"/>
  <c r="C44" i="28"/>
  <c r="F44" i="28" s="1"/>
  <c r="G44" i="28" s="1"/>
  <c r="H44" i="28" s="1"/>
  <c r="K437" i="9"/>
  <c r="K440" i="9"/>
  <c r="C69" i="28"/>
  <c r="F69" i="28" s="1"/>
  <c r="G69" i="28" s="1"/>
  <c r="H69" i="28" s="1"/>
  <c r="K498" i="9"/>
  <c r="C129" i="28"/>
  <c r="F129" i="28" s="1"/>
  <c r="G129" i="28" s="1"/>
  <c r="H129" i="28" s="1"/>
  <c r="K439" i="9"/>
  <c r="C56" i="28"/>
  <c r="F56" i="28" s="1"/>
  <c r="G56" i="28" s="1"/>
  <c r="H56" i="28" s="1"/>
  <c r="K246" i="9"/>
  <c r="AG246" i="9"/>
  <c r="D246" i="9" s="1"/>
  <c r="K128" i="9"/>
  <c r="AG128" i="9"/>
  <c r="D128" i="9" s="1"/>
  <c r="K117" i="9"/>
  <c r="AG117" i="9"/>
  <c r="D117" i="9" s="1"/>
  <c r="K126" i="9"/>
  <c r="AG126" i="9"/>
  <c r="D126" i="9" s="1"/>
  <c r="K165" i="9"/>
  <c r="AG165" i="9"/>
  <c r="D165" i="9" s="1"/>
  <c r="K194" i="9"/>
  <c r="AG194" i="9"/>
  <c r="D194" i="9" s="1"/>
  <c r="K163" i="9"/>
  <c r="AG163" i="9"/>
  <c r="D163" i="9" s="1"/>
  <c r="K152" i="9"/>
  <c r="AG152" i="9"/>
  <c r="D152" i="9" s="1"/>
  <c r="K186" i="9"/>
  <c r="AG186" i="9"/>
  <c r="D186" i="9" s="1"/>
  <c r="K197" i="9"/>
  <c r="C28" i="28"/>
  <c r="F28" i="28" s="1"/>
  <c r="G28" i="28" s="1"/>
  <c r="H28" i="28" s="1"/>
  <c r="K221" i="9"/>
  <c r="AG221" i="9"/>
  <c r="D221" i="9" s="1"/>
  <c r="K213" i="9"/>
  <c r="AG213" i="9"/>
  <c r="D213" i="9" s="1"/>
  <c r="K181" i="9"/>
  <c r="AG181" i="9"/>
  <c r="D181" i="9" s="1"/>
  <c r="K327" i="9"/>
  <c r="AG327" i="9"/>
  <c r="D327" i="9" s="1"/>
  <c r="K343" i="9"/>
  <c r="AG343" i="9"/>
  <c r="D343" i="9" s="1"/>
  <c r="K314" i="9"/>
  <c r="AG314" i="9"/>
  <c r="D314" i="9" s="1"/>
  <c r="K384" i="9"/>
  <c r="AG384" i="9"/>
  <c r="D384" i="9" s="1"/>
  <c r="K377" i="9"/>
  <c r="AG377" i="9"/>
  <c r="D377" i="9" s="1"/>
  <c r="K415" i="9"/>
  <c r="AG415" i="9"/>
  <c r="D415" i="9" s="1"/>
  <c r="K478" i="9"/>
  <c r="C109" i="28"/>
  <c r="F109" i="28" s="1"/>
  <c r="G109" i="28" s="1"/>
  <c r="H109" i="28" s="1"/>
  <c r="K446" i="9"/>
  <c r="C77" i="28"/>
  <c r="F77" i="28" s="1"/>
  <c r="G77" i="28" s="1"/>
  <c r="H77" i="28" s="1"/>
  <c r="K453" i="9"/>
  <c r="C84" i="28"/>
  <c r="F84" i="28" s="1"/>
  <c r="G84" i="28" s="1"/>
  <c r="H84" i="28" s="1"/>
  <c r="K451" i="9"/>
  <c r="C82" i="28"/>
  <c r="F82" i="28" s="1"/>
  <c r="G82" i="28" s="1"/>
  <c r="H82" i="28" s="1"/>
  <c r="K474" i="9"/>
  <c r="C105" i="28"/>
  <c r="F105" i="28" s="1"/>
  <c r="G105" i="28" s="1"/>
  <c r="H105" i="28" s="1"/>
  <c r="K119" i="9"/>
  <c r="AG119" i="9"/>
  <c r="D119" i="9" s="1"/>
  <c r="K158" i="9"/>
  <c r="C10" i="28"/>
  <c r="F10" i="28" s="1"/>
  <c r="G10" i="28" s="1"/>
  <c r="H10" i="28" s="1"/>
  <c r="K141" i="9"/>
  <c r="AG141" i="9"/>
  <c r="D141" i="9" s="1"/>
  <c r="K277" i="9"/>
  <c r="AG277" i="9"/>
  <c r="D277" i="9" s="1"/>
  <c r="K288" i="9"/>
  <c r="AG288" i="9"/>
  <c r="D288" i="9" s="1"/>
  <c r="K272" i="9"/>
  <c r="AG272" i="9"/>
  <c r="D272" i="9" s="1"/>
  <c r="K178" i="9"/>
  <c r="AG178" i="9"/>
  <c r="D178" i="9" s="1"/>
  <c r="K206" i="9"/>
  <c r="AG206" i="9"/>
  <c r="D206" i="9" s="1"/>
  <c r="K231" i="9"/>
  <c r="AG231" i="9"/>
  <c r="D231" i="9" s="1"/>
  <c r="K238" i="9"/>
  <c r="AG238" i="9"/>
  <c r="D238" i="9" s="1"/>
  <c r="K229" i="9"/>
  <c r="AG229" i="9"/>
  <c r="D229" i="9" s="1"/>
  <c r="K202" i="9"/>
  <c r="AG202" i="9"/>
  <c r="D202" i="9" s="1"/>
  <c r="K345" i="9"/>
  <c r="AG345" i="9"/>
  <c r="D345" i="9" s="1"/>
  <c r="K380" i="9"/>
  <c r="AG380" i="9"/>
  <c r="D380" i="9" s="1"/>
  <c r="K330" i="9"/>
  <c r="AG330" i="9"/>
  <c r="D330" i="9" s="1"/>
  <c r="K420" i="9"/>
  <c r="AG420" i="9"/>
  <c r="D420" i="9" s="1"/>
  <c r="K396" i="9"/>
  <c r="AG396" i="9"/>
  <c r="D396" i="9" s="1"/>
  <c r="K320" i="9"/>
  <c r="AG320" i="9"/>
  <c r="D320" i="9" s="1"/>
  <c r="K373" i="9"/>
  <c r="AG373" i="9"/>
  <c r="D373" i="9" s="1"/>
  <c r="K454" i="9"/>
  <c r="C85" i="28"/>
  <c r="F85" i="28" s="1"/>
  <c r="G85" i="28" s="1"/>
  <c r="H85" i="28" s="1"/>
  <c r="C94" i="28"/>
  <c r="F94" i="28" s="1"/>
  <c r="G94" i="28" s="1"/>
  <c r="H94" i="28" s="1"/>
  <c r="K463" i="9"/>
  <c r="K466" i="9"/>
  <c r="C97" i="28"/>
  <c r="F97" i="28" s="1"/>
  <c r="G97" i="28" s="1"/>
  <c r="H97" i="28" s="1"/>
  <c r="K491" i="9"/>
  <c r="C122" i="28"/>
  <c r="F122" i="28" s="1"/>
  <c r="G122" i="28" s="1"/>
  <c r="H122" i="28" s="1"/>
  <c r="K492" i="9"/>
  <c r="C123" i="28"/>
  <c r="F123" i="28" s="1"/>
  <c r="G123" i="28" s="1"/>
  <c r="H123" i="28" s="1"/>
  <c r="K285" i="9"/>
  <c r="AG285" i="9"/>
  <c r="D285" i="9" s="1"/>
  <c r="K137" i="9"/>
  <c r="AG137" i="9"/>
  <c r="D137" i="9" s="1"/>
  <c r="K184" i="9"/>
  <c r="AG184" i="9"/>
  <c r="D184" i="9" s="1"/>
  <c r="K242" i="9"/>
  <c r="C57" i="28"/>
  <c r="F57" i="28" s="1"/>
  <c r="G57" i="28" s="1"/>
  <c r="H57" i="28" s="1"/>
  <c r="K167" i="9"/>
  <c r="AG167" i="9"/>
  <c r="D167" i="9" s="1"/>
  <c r="K292" i="9"/>
  <c r="AG292" i="9"/>
  <c r="D292" i="9" s="1"/>
  <c r="K154" i="9"/>
  <c r="AG154" i="9"/>
  <c r="D154" i="9" s="1"/>
  <c r="K199" i="9"/>
  <c r="C29" i="28"/>
  <c r="F29" i="28" s="1"/>
  <c r="G29" i="28" s="1"/>
  <c r="H29" i="28" s="1"/>
  <c r="K223" i="9"/>
  <c r="AG223" i="9"/>
  <c r="D223" i="9" s="1"/>
  <c r="K250" i="9"/>
  <c r="AG250" i="9"/>
  <c r="D250" i="9" s="1"/>
  <c r="K257" i="9"/>
  <c r="AG257" i="9"/>
  <c r="D257" i="9" s="1"/>
  <c r="K248" i="9"/>
  <c r="AG248" i="9"/>
  <c r="D248" i="9" s="1"/>
  <c r="K219" i="9"/>
  <c r="AG219" i="9"/>
  <c r="D219" i="9" s="1"/>
  <c r="K369" i="9"/>
  <c r="AG369" i="9"/>
  <c r="D369" i="9" s="1"/>
  <c r="K386" i="9"/>
  <c r="C21" i="28"/>
  <c r="F21" i="28" s="1"/>
  <c r="G21" i="28" s="1"/>
  <c r="H21" i="28" s="1"/>
  <c r="K348" i="9"/>
  <c r="AG348" i="9"/>
  <c r="D348" i="9" s="1"/>
  <c r="K321" i="9"/>
  <c r="AG321" i="9"/>
  <c r="D321" i="9" s="1"/>
  <c r="K341" i="9"/>
  <c r="AG341" i="9"/>
  <c r="D341" i="9" s="1"/>
  <c r="K392" i="9"/>
  <c r="C24" i="28"/>
  <c r="F24" i="28" s="1"/>
  <c r="G24" i="28" s="1"/>
  <c r="H24" i="28" s="1"/>
  <c r="K427" i="9"/>
  <c r="AG427" i="9"/>
  <c r="D427" i="9" s="1"/>
  <c r="K470" i="9"/>
  <c r="C101" i="28"/>
  <c r="F101" i="28" s="1"/>
  <c r="G101" i="28" s="1"/>
  <c r="H101" i="28" s="1"/>
  <c r="K475" i="9"/>
  <c r="C106" i="28"/>
  <c r="F106" i="28" s="1"/>
  <c r="G106" i="28" s="1"/>
  <c r="H106" i="28" s="1"/>
  <c r="K471" i="9"/>
  <c r="C102" i="28"/>
  <c r="F102" i="28" s="1"/>
  <c r="G102" i="28" s="1"/>
  <c r="H102" i="28" s="1"/>
  <c r="K450" i="9"/>
  <c r="C81" i="28"/>
  <c r="F81" i="28" s="1"/>
  <c r="G81" i="28" s="1"/>
  <c r="H81" i="28" s="1"/>
  <c r="K111" i="9"/>
  <c r="AG111" i="9"/>
  <c r="D111" i="9" s="1"/>
  <c r="K162" i="9"/>
  <c r="AG162" i="9"/>
  <c r="D162" i="9" s="1"/>
  <c r="K283" i="9"/>
  <c r="AG283" i="9"/>
  <c r="D283" i="9" s="1"/>
  <c r="K280" i="9"/>
  <c r="AG280" i="9"/>
  <c r="D280" i="9" s="1"/>
  <c r="K172" i="9"/>
  <c r="AG172" i="9"/>
  <c r="D172" i="9" s="1"/>
  <c r="K180" i="9"/>
  <c r="AG180" i="9"/>
  <c r="D180" i="9" s="1"/>
  <c r="K170" i="9"/>
  <c r="AG170" i="9"/>
  <c r="D170" i="9" s="1"/>
  <c r="K216" i="9"/>
  <c r="C35" i="28"/>
  <c r="F35" i="28" s="1"/>
  <c r="G35" i="28" s="1"/>
  <c r="H35" i="28" s="1"/>
  <c r="K240" i="9"/>
  <c r="AG240" i="9"/>
  <c r="D240" i="9" s="1"/>
  <c r="K266" i="9"/>
  <c r="AG266" i="9"/>
  <c r="D266" i="9" s="1"/>
  <c r="K275" i="9"/>
  <c r="AG275" i="9"/>
  <c r="D275" i="9" s="1"/>
  <c r="K264" i="9"/>
  <c r="AG264" i="9"/>
  <c r="D264" i="9" s="1"/>
  <c r="K236" i="9"/>
  <c r="AG236" i="9"/>
  <c r="D236" i="9" s="1"/>
  <c r="K388" i="9"/>
  <c r="C23" i="28"/>
  <c r="F23" i="28" s="1"/>
  <c r="G23" i="28" s="1"/>
  <c r="H23" i="28" s="1"/>
  <c r="K402" i="9"/>
  <c r="C67" i="28"/>
  <c r="F67" i="28" s="1"/>
  <c r="G67" i="28" s="1"/>
  <c r="H67" i="28" s="1"/>
  <c r="K339" i="9"/>
  <c r="AG339" i="9"/>
  <c r="D339" i="9" s="1"/>
  <c r="K406" i="9"/>
  <c r="AG406" i="9"/>
  <c r="D406" i="9" s="1"/>
  <c r="K335" i="9"/>
  <c r="AG335" i="9"/>
  <c r="D335" i="9" s="1"/>
  <c r="K452" i="9"/>
  <c r="C83" i="28"/>
  <c r="F83" i="28" s="1"/>
  <c r="G83" i="28" s="1"/>
  <c r="H83" i="28" s="1"/>
  <c r="K488" i="9"/>
  <c r="C119" i="28"/>
  <c r="F119" i="28" s="1"/>
  <c r="G119" i="28" s="1"/>
  <c r="H119" i="28" s="1"/>
  <c r="K484" i="9"/>
  <c r="C115" i="28"/>
  <c r="F115" i="28" s="1"/>
  <c r="G115" i="28" s="1"/>
  <c r="H115" i="28" s="1"/>
  <c r="K441" i="9"/>
  <c r="C72" i="28"/>
  <c r="F72" i="28" s="1"/>
  <c r="G72" i="28" s="1"/>
  <c r="H72" i="28" s="1"/>
  <c r="K481" i="9"/>
  <c r="C112" i="28"/>
  <c r="F112" i="28" s="1"/>
  <c r="G112" i="28" s="1"/>
  <c r="H112" i="28" s="1"/>
  <c r="AG481" i="9"/>
  <c r="D481" i="9" s="1"/>
  <c r="K244" i="9"/>
  <c r="AG244" i="9"/>
  <c r="D244" i="9" s="1"/>
  <c r="K151" i="9"/>
  <c r="AG151" i="9"/>
  <c r="D151" i="9" s="1"/>
  <c r="K160" i="9"/>
  <c r="K294" i="9"/>
  <c r="AG294" i="9"/>
  <c r="D294" i="9" s="1"/>
  <c r="K190" i="9"/>
  <c r="AG190" i="9"/>
  <c r="D190" i="9" s="1"/>
  <c r="K201" i="9"/>
  <c r="C31" i="28"/>
  <c r="F31" i="28" s="1"/>
  <c r="G31" i="28" s="1"/>
  <c r="H31" i="28" s="1"/>
  <c r="AG201" i="9"/>
  <c r="D201" i="9" s="1"/>
  <c r="K188" i="9"/>
  <c r="AG188" i="9"/>
  <c r="D188" i="9" s="1"/>
  <c r="K233" i="9"/>
  <c r="C50" i="28"/>
  <c r="F50" i="28" s="1"/>
  <c r="G50" i="28" s="1"/>
  <c r="H50" i="28" s="1"/>
  <c r="K259" i="9"/>
  <c r="AG259" i="9"/>
  <c r="D259" i="9" s="1"/>
  <c r="K298" i="9"/>
  <c r="AG298" i="9"/>
  <c r="D298" i="9" s="1"/>
  <c r="K305" i="9"/>
  <c r="AG305" i="9"/>
  <c r="D305" i="9" s="1"/>
  <c r="K296" i="9"/>
  <c r="C39" i="28"/>
  <c r="F39" i="28" s="1"/>
  <c r="G39" i="28" s="1"/>
  <c r="H39" i="28" s="1"/>
  <c r="K255" i="9"/>
  <c r="AG255" i="9"/>
  <c r="D255" i="9" s="1"/>
  <c r="K410" i="9"/>
  <c r="C45" i="28"/>
  <c r="F45" i="28" s="1"/>
  <c r="G45" i="28" s="1"/>
  <c r="H45" i="28" s="1"/>
  <c r="K408" i="9"/>
  <c r="AG408" i="9"/>
  <c r="D408" i="9" s="1"/>
  <c r="K372" i="9"/>
  <c r="AG372" i="9"/>
  <c r="D372" i="9" s="1"/>
  <c r="K328" i="9"/>
  <c r="AG328" i="9"/>
  <c r="D328" i="9" s="1"/>
  <c r="K326" i="9"/>
  <c r="AG326" i="9"/>
  <c r="D326" i="9" s="1"/>
  <c r="K342" i="9"/>
  <c r="AG342" i="9"/>
  <c r="D342" i="9" s="1"/>
  <c r="K323" i="9"/>
  <c r="AG323" i="9"/>
  <c r="D323" i="9" s="1"/>
  <c r="C114" i="28"/>
  <c r="F114" i="28" s="1"/>
  <c r="G114" i="28" s="1"/>
  <c r="H114" i="28" s="1"/>
  <c r="K483" i="9"/>
  <c r="K442" i="9"/>
  <c r="C73" i="28"/>
  <c r="F73" i="28" s="1"/>
  <c r="G73" i="28" s="1"/>
  <c r="H73" i="28" s="1"/>
  <c r="K493" i="9"/>
  <c r="C124" i="28"/>
  <c r="F124" i="28" s="1"/>
  <c r="G124" i="28" s="1"/>
  <c r="H124" i="28" s="1"/>
  <c r="K485" i="9"/>
  <c r="C116" i="28"/>
  <c r="F116" i="28" s="1"/>
  <c r="G116" i="28" s="1"/>
  <c r="H116" i="28" s="1"/>
  <c r="K499" i="9"/>
  <c r="C130" i="28"/>
  <c r="F130" i="28" s="1"/>
  <c r="G130" i="28" s="1"/>
  <c r="H130" i="28" s="1"/>
  <c r="AG499" i="9"/>
  <c r="D499" i="9" s="1"/>
  <c r="K147" i="9"/>
  <c r="C3" i="28"/>
  <c r="K193" i="9"/>
  <c r="AG193" i="9"/>
  <c r="D193" i="9" s="1"/>
  <c r="K161" i="9"/>
  <c r="C12" i="28"/>
  <c r="F12" i="28" s="1"/>
  <c r="G12" i="28" s="1"/>
  <c r="H12" i="28" s="1"/>
  <c r="K185" i="9"/>
  <c r="AG185" i="9"/>
  <c r="D185" i="9" s="1"/>
  <c r="K174" i="9"/>
  <c r="AG174" i="9"/>
  <c r="D174" i="9" s="1"/>
  <c r="K211" i="9"/>
  <c r="AG211" i="9"/>
  <c r="D211" i="9" s="1"/>
  <c r="K218" i="9"/>
  <c r="C37" i="28"/>
  <c r="F37" i="28" s="1"/>
  <c r="G37" i="28" s="1"/>
  <c r="H37" i="28" s="1"/>
  <c r="K208" i="9"/>
  <c r="C32" i="28"/>
  <c r="F32" i="28" s="1"/>
  <c r="G32" i="28" s="1"/>
  <c r="H32" i="28" s="1"/>
  <c r="K252" i="9"/>
  <c r="AG252" i="9"/>
  <c r="D252" i="9" s="1"/>
  <c r="K279" i="9"/>
  <c r="AG279" i="9"/>
  <c r="D279" i="9" s="1"/>
  <c r="K220" i="9"/>
  <c r="AG220" i="9"/>
  <c r="D220" i="9" s="1"/>
  <c r="K209" i="9"/>
  <c r="C33" i="28"/>
  <c r="F33" i="28" s="1"/>
  <c r="G33" i="28" s="1"/>
  <c r="H33" i="28" s="1"/>
  <c r="K171" i="9"/>
  <c r="AG171" i="9"/>
  <c r="D171" i="9" s="1"/>
  <c r="K271" i="9"/>
  <c r="C65" i="28"/>
  <c r="F65" i="28" s="1"/>
  <c r="G65" i="28" s="1"/>
  <c r="H65" i="28" s="1"/>
  <c r="K424" i="9"/>
  <c r="C46" i="28"/>
  <c r="F46" i="28" s="1"/>
  <c r="G46" i="28" s="1"/>
  <c r="H46" i="28" s="1"/>
  <c r="K422" i="9"/>
  <c r="AG422" i="9"/>
  <c r="D422" i="9" s="1"/>
  <c r="K391" i="9"/>
  <c r="AG391" i="9"/>
  <c r="D391" i="9" s="1"/>
  <c r="K346" i="9"/>
  <c r="AG346" i="9"/>
  <c r="D346" i="9" s="1"/>
  <c r="K344" i="9"/>
  <c r="AG344" i="9"/>
  <c r="D344" i="9" s="1"/>
  <c r="K379" i="9"/>
  <c r="AG379" i="9"/>
  <c r="D379" i="9" s="1"/>
  <c r="K317" i="9"/>
  <c r="AG317" i="9"/>
  <c r="D317" i="9" s="1"/>
  <c r="K433" i="9"/>
  <c r="C16" i="28"/>
  <c r="F16" i="28" s="1"/>
  <c r="G16" i="28" s="1"/>
  <c r="H16" i="28" s="1"/>
  <c r="K455" i="9"/>
  <c r="C86" i="28"/>
  <c r="F86" i="28" s="1"/>
  <c r="G86" i="28" s="1"/>
  <c r="H86" i="28" s="1"/>
  <c r="K438" i="9"/>
  <c r="C54" i="28"/>
  <c r="F54" i="28" s="1"/>
  <c r="G54" i="28" s="1"/>
  <c r="H54" i="28" s="1"/>
  <c r="K465" i="9"/>
  <c r="C96" i="28"/>
  <c r="F96" i="28" s="1"/>
  <c r="G96" i="28" s="1"/>
  <c r="H96" i="28" s="1"/>
  <c r="K435" i="9"/>
  <c r="C18" i="28"/>
  <c r="F18" i="28" s="1"/>
  <c r="G18" i="28" s="1"/>
  <c r="H18" i="28" s="1"/>
  <c r="AG435" i="9"/>
  <c r="D435" i="9" s="1"/>
  <c r="K287" i="9"/>
  <c r="AG287" i="9"/>
  <c r="D287" i="9" s="1"/>
  <c r="K169" i="9"/>
  <c r="C13" i="28"/>
  <c r="F13" i="28" s="1"/>
  <c r="G13" i="28" s="1"/>
  <c r="H13" i="28" s="1"/>
  <c r="AG169" i="9"/>
  <c r="D169" i="9" s="1"/>
  <c r="K177" i="9"/>
  <c r="C19" i="28"/>
  <c r="F19" i="28" s="1"/>
  <c r="G19" i="28" s="1"/>
  <c r="H19" i="28" s="1"/>
  <c r="K205" i="9"/>
  <c r="AG205" i="9"/>
  <c r="D205" i="9" s="1"/>
  <c r="K196" i="9"/>
  <c r="AG196" i="9"/>
  <c r="D196" i="9" s="1"/>
  <c r="K227" i="9"/>
  <c r="AG227" i="9"/>
  <c r="D227" i="9" s="1"/>
  <c r="K235" i="9"/>
  <c r="C51" i="28"/>
  <c r="F51" i="28" s="1"/>
  <c r="G51" i="28" s="1"/>
  <c r="H51" i="28" s="1"/>
  <c r="K225" i="9"/>
  <c r="AG225" i="9"/>
  <c r="D225" i="9" s="1"/>
  <c r="K268" i="9"/>
  <c r="AG268" i="9"/>
  <c r="D268" i="9" s="1"/>
  <c r="K307" i="9"/>
  <c r="C43" i="28"/>
  <c r="F43" i="28" s="1"/>
  <c r="G43" i="28" s="1"/>
  <c r="H43" i="28" s="1"/>
  <c r="K256" i="9"/>
  <c r="AG256" i="9"/>
  <c r="D256" i="9" s="1"/>
  <c r="K115" i="9"/>
  <c r="AG115" i="9"/>
  <c r="D115" i="9" s="1"/>
  <c r="K303" i="9"/>
  <c r="AG303" i="9"/>
  <c r="D303" i="9" s="1"/>
  <c r="K362" i="9"/>
  <c r="AG362" i="9"/>
  <c r="D362" i="9" s="1"/>
  <c r="K397" i="9"/>
  <c r="AG397" i="9"/>
  <c r="D397" i="9" s="1"/>
  <c r="K413" i="9"/>
  <c r="AG413" i="9"/>
  <c r="D413" i="9" s="1"/>
  <c r="K361" i="9"/>
  <c r="AG361" i="9"/>
  <c r="D361" i="9" s="1"/>
  <c r="K381" i="9"/>
  <c r="C34" i="28"/>
  <c r="F34" i="28" s="1"/>
  <c r="G34" i="28" s="1"/>
  <c r="H34" i="28" s="1"/>
  <c r="K385" i="9"/>
  <c r="C6" i="28"/>
  <c r="F6" i="28" s="1"/>
  <c r="G6" i="28" s="1"/>
  <c r="H6" i="28" s="1"/>
  <c r="AG385" i="9"/>
  <c r="D385" i="9" s="1"/>
  <c r="K324" i="9"/>
  <c r="AG324" i="9"/>
  <c r="D324" i="9" s="1"/>
  <c r="K459" i="9"/>
  <c r="C90" i="28"/>
  <c r="F90" i="28" s="1"/>
  <c r="G90" i="28" s="1"/>
  <c r="H90" i="28" s="1"/>
  <c r="K457" i="9"/>
  <c r="C88" i="28"/>
  <c r="F88" i="28" s="1"/>
  <c r="G88" i="28" s="1"/>
  <c r="H88" i="28" s="1"/>
  <c r="K464" i="9"/>
  <c r="C95" i="28"/>
  <c r="F95" i="28" s="1"/>
  <c r="G95" i="28" s="1"/>
  <c r="H95" i="28" s="1"/>
  <c r="K436" i="9"/>
  <c r="C26" i="28"/>
  <c r="F26" i="28" s="1"/>
  <c r="G26" i="28" s="1"/>
  <c r="H26" i="28" s="1"/>
  <c r="K448" i="9"/>
  <c r="C79" i="28"/>
  <c r="F79" i="28" s="1"/>
  <c r="G79" i="28" s="1"/>
  <c r="H79" i="28" s="1"/>
  <c r="K153" i="9"/>
  <c r="C7" i="28"/>
  <c r="F7" i="28" s="1"/>
  <c r="G7" i="28" s="1"/>
  <c r="H7" i="28" s="1"/>
  <c r="K187" i="9"/>
  <c r="AG187" i="9"/>
  <c r="D187" i="9" s="1"/>
  <c r="K198" i="9"/>
  <c r="AG198" i="9"/>
  <c r="D198" i="9" s="1"/>
  <c r="K222" i="9"/>
  <c r="C38" i="28"/>
  <c r="F38" i="28" s="1"/>
  <c r="G38" i="28" s="1"/>
  <c r="H38" i="28" s="1"/>
  <c r="K230" i="9"/>
  <c r="C49" i="28"/>
  <c r="F49" i="28" s="1"/>
  <c r="G49" i="28" s="1"/>
  <c r="H49" i="28" s="1"/>
  <c r="K247" i="9"/>
  <c r="AG247" i="9"/>
  <c r="D247" i="9" s="1"/>
  <c r="K254" i="9"/>
  <c r="AG254" i="9"/>
  <c r="D254" i="9" s="1"/>
  <c r="K245" i="9"/>
  <c r="AG245" i="9"/>
  <c r="D245" i="9" s="1"/>
  <c r="K300" i="9"/>
  <c r="AG300" i="9"/>
  <c r="D300" i="9" s="1"/>
  <c r="K214" i="9"/>
  <c r="AG214" i="9"/>
  <c r="D214" i="9" s="1"/>
  <c r="K98" i="9"/>
  <c r="AG98" i="9"/>
  <c r="D98" i="9" s="1"/>
  <c r="K106" i="9"/>
  <c r="AG106" i="9"/>
  <c r="D106" i="9" s="1"/>
  <c r="K290" i="9"/>
  <c r="AG290" i="9"/>
  <c r="D290" i="9" s="1"/>
  <c r="K329" i="9"/>
  <c r="AG329" i="9"/>
  <c r="D329" i="9" s="1"/>
  <c r="K417" i="9"/>
  <c r="AG417" i="9"/>
  <c r="D417" i="9" s="1"/>
  <c r="K325" i="9"/>
  <c r="AG325" i="9"/>
  <c r="D325" i="9" s="1"/>
  <c r="K368" i="9"/>
  <c r="AG368" i="9"/>
  <c r="D368" i="9" s="1"/>
  <c r="K370" i="9"/>
  <c r="AG370" i="9"/>
  <c r="D370" i="9" s="1"/>
  <c r="K387" i="9"/>
  <c r="C22" i="28"/>
  <c r="F22" i="28" s="1"/>
  <c r="G22" i="28" s="1"/>
  <c r="H22" i="28" s="1"/>
  <c r="K401" i="9"/>
  <c r="C64" i="28"/>
  <c r="F64" i="28" s="1"/>
  <c r="G64" i="28" s="1"/>
  <c r="H64" i="28" s="1"/>
  <c r="K359" i="9"/>
  <c r="AG359" i="9"/>
  <c r="D359" i="9" s="1"/>
  <c r="K462" i="9"/>
  <c r="C93" i="28"/>
  <c r="F93" i="28" s="1"/>
  <c r="G93" i="28" s="1"/>
  <c r="H93" i="28" s="1"/>
  <c r="K468" i="9"/>
  <c r="C99" i="28"/>
  <c r="F99" i="28" s="1"/>
  <c r="G99" i="28" s="1"/>
  <c r="H99" i="28" s="1"/>
  <c r="AG468" i="9"/>
  <c r="D468" i="9" s="1"/>
  <c r="K482" i="9"/>
  <c r="C113" i="28"/>
  <c r="F113" i="28" s="1"/>
  <c r="G113" i="28" s="1"/>
  <c r="H113" i="28" s="1"/>
  <c r="AG482" i="9"/>
  <c r="D482" i="9" s="1"/>
  <c r="K434" i="9"/>
  <c r="C17" i="28"/>
  <c r="F17" i="28" s="1"/>
  <c r="G17" i="28" s="1"/>
  <c r="H17" i="28" s="1"/>
  <c r="K461" i="9"/>
  <c r="C92" i="28"/>
  <c r="F92" i="28" s="1"/>
  <c r="G92" i="28" s="1"/>
  <c r="H92" i="28" s="1"/>
  <c r="K179" i="9"/>
  <c r="AG179" i="9"/>
  <c r="D179" i="9" s="1"/>
  <c r="K207" i="9"/>
  <c r="AG207" i="9"/>
  <c r="D207" i="9" s="1"/>
  <c r="K215" i="9"/>
  <c r="AG215" i="9"/>
  <c r="D215" i="9" s="1"/>
  <c r="K239" i="9"/>
  <c r="AG239" i="9"/>
  <c r="D239" i="9" s="1"/>
  <c r="K249" i="9"/>
  <c r="AG249" i="9"/>
  <c r="D249" i="9" s="1"/>
  <c r="K263" i="9"/>
  <c r="C61" i="28"/>
  <c r="F61" i="28" s="1"/>
  <c r="G61" i="28" s="1"/>
  <c r="H61" i="28" s="1"/>
  <c r="K270" i="9"/>
  <c r="AG270" i="9"/>
  <c r="D270" i="9" s="1"/>
  <c r="K261" i="9"/>
  <c r="C60" i="28"/>
  <c r="F60" i="28" s="1"/>
  <c r="G60" i="28" s="1"/>
  <c r="H60" i="28" s="1"/>
  <c r="K203" i="9"/>
  <c r="AG203" i="9"/>
  <c r="D203" i="9" s="1"/>
  <c r="K182" i="9"/>
  <c r="AG182" i="9"/>
  <c r="D182" i="9" s="1"/>
  <c r="K116" i="9"/>
  <c r="AG116" i="9"/>
  <c r="D116" i="9" s="1"/>
  <c r="K124" i="9"/>
  <c r="AG124" i="9"/>
  <c r="D124" i="9" s="1"/>
  <c r="K347" i="9"/>
  <c r="AG347" i="9"/>
  <c r="D347" i="9" s="1"/>
  <c r="K355" i="9"/>
  <c r="AG355" i="9"/>
  <c r="D355" i="9" s="1"/>
  <c r="K334" i="9"/>
  <c r="AG334" i="9"/>
  <c r="D334" i="9" s="1"/>
  <c r="K430" i="9"/>
  <c r="C9" i="28"/>
  <c r="F9" i="28" s="1"/>
  <c r="G9" i="28" s="1"/>
  <c r="H9" i="28" s="1"/>
  <c r="K389" i="9"/>
  <c r="C47" i="28"/>
  <c r="F47" i="28" s="1"/>
  <c r="G47" i="28" s="1"/>
  <c r="H47" i="28" s="1"/>
  <c r="K403" i="9"/>
  <c r="C71" i="28"/>
  <c r="F71" i="28" s="1"/>
  <c r="G71" i="28" s="1"/>
  <c r="H71" i="28" s="1"/>
  <c r="K407" i="9"/>
  <c r="AG407" i="9"/>
  <c r="D407" i="9" s="1"/>
  <c r="K322" i="9"/>
  <c r="AG322" i="9"/>
  <c r="D322" i="9" s="1"/>
  <c r="K447" i="9"/>
  <c r="C78" i="28"/>
  <c r="F78" i="28" s="1"/>
  <c r="G78" i="28" s="1"/>
  <c r="H78" i="28" s="1"/>
  <c r="K477" i="9"/>
  <c r="C108" i="28"/>
  <c r="F108" i="28" s="1"/>
  <c r="G108" i="28" s="1"/>
  <c r="H108" i="28" s="1"/>
  <c r="AG477" i="9"/>
  <c r="D477" i="9" s="1"/>
  <c r="K500" i="9"/>
  <c r="C131" i="28"/>
  <c r="F131" i="28" s="1"/>
  <c r="G131" i="28" s="1"/>
  <c r="H131" i="28" s="1"/>
  <c r="AG500" i="9"/>
  <c r="D500" i="9" s="1"/>
  <c r="K473" i="9"/>
  <c r="C104" i="28"/>
  <c r="F104" i="28" s="1"/>
  <c r="G104" i="28" s="1"/>
  <c r="H104" i="28" s="1"/>
  <c r="K472" i="9"/>
  <c r="C103" i="28"/>
  <c r="F103" i="28" s="1"/>
  <c r="G103" i="28" s="1"/>
  <c r="H103" i="28" s="1"/>
  <c r="K200" i="9"/>
  <c r="C30" i="28"/>
  <c r="F30" i="28" s="1"/>
  <c r="G30" i="28" s="1"/>
  <c r="H30" i="28" s="1"/>
  <c r="K224" i="9"/>
  <c r="AG224" i="9"/>
  <c r="D224" i="9" s="1"/>
  <c r="K232" i="9"/>
  <c r="AG232" i="9"/>
  <c r="D232" i="9" s="1"/>
  <c r="K258" i="9"/>
  <c r="C59" i="28"/>
  <c r="F59" i="28" s="1"/>
  <c r="G59" i="28" s="1"/>
  <c r="H59" i="28" s="1"/>
  <c r="AG258" i="9"/>
  <c r="D258" i="9" s="1"/>
  <c r="K265" i="9"/>
  <c r="C62" i="28"/>
  <c r="F62" i="28" s="1"/>
  <c r="G62" i="28" s="1"/>
  <c r="H62" i="28" s="1"/>
  <c r="K295" i="9"/>
  <c r="AG295" i="9"/>
  <c r="D295" i="9" s="1"/>
  <c r="K302" i="9"/>
  <c r="C42" i="28"/>
  <c r="F42" i="28" s="1"/>
  <c r="G42" i="28" s="1"/>
  <c r="H42" i="28" s="1"/>
  <c r="K284" i="9"/>
  <c r="AG284" i="9"/>
  <c r="D284" i="9" s="1"/>
  <c r="K304" i="9"/>
  <c r="AG304" i="9"/>
  <c r="D304" i="9" s="1"/>
  <c r="K108" i="9"/>
  <c r="AG108" i="9"/>
  <c r="D108" i="9" s="1"/>
  <c r="K133" i="9"/>
  <c r="AG133" i="9"/>
  <c r="D133" i="9" s="1"/>
  <c r="K140" i="9"/>
  <c r="AG140" i="9"/>
  <c r="D140" i="9" s="1"/>
  <c r="K96" i="9"/>
  <c r="AG96" i="9"/>
  <c r="D96" i="9" s="1"/>
  <c r="K363" i="9"/>
  <c r="AG363" i="9"/>
  <c r="D363" i="9" s="1"/>
  <c r="K318" i="9"/>
  <c r="AG318" i="9"/>
  <c r="D318" i="9" s="1"/>
  <c r="K316" i="9"/>
  <c r="AG316" i="9"/>
  <c r="D316" i="9" s="1"/>
  <c r="K358" i="9"/>
  <c r="AG358" i="9"/>
  <c r="D358" i="9" s="1"/>
  <c r="K411" i="9"/>
  <c r="AG411" i="9"/>
  <c r="D411" i="9" s="1"/>
  <c r="K409" i="9"/>
  <c r="AG409" i="9"/>
  <c r="D409" i="9" s="1"/>
  <c r="K421" i="9"/>
  <c r="C55" i="28"/>
  <c r="F55" i="28" s="1"/>
  <c r="G55" i="28" s="1"/>
  <c r="H55" i="28" s="1"/>
  <c r="K340" i="9"/>
  <c r="AG340" i="9"/>
  <c r="D340" i="9" s="1"/>
  <c r="K443" i="9"/>
  <c r="C74" i="28"/>
  <c r="F74" i="28" s="1"/>
  <c r="G74" i="28" s="1"/>
  <c r="H74" i="28" s="1"/>
  <c r="K486" i="9"/>
  <c r="C117" i="28"/>
  <c r="F117" i="28" s="1"/>
  <c r="G117" i="28" s="1"/>
  <c r="H117" i="28" s="1"/>
  <c r="K445" i="9"/>
  <c r="C76" i="28"/>
  <c r="F76" i="28" s="1"/>
  <c r="G76" i="28" s="1"/>
  <c r="H76" i="28" s="1"/>
  <c r="K449" i="9"/>
  <c r="C80" i="28"/>
  <c r="F80" i="28" s="1"/>
  <c r="G80" i="28" s="1"/>
  <c r="H80" i="28" s="1"/>
  <c r="K490" i="9"/>
  <c r="C121" i="28"/>
  <c r="F121" i="28" s="1"/>
  <c r="G121" i="28" s="1"/>
  <c r="H121" i="28" s="1"/>
  <c r="AG490" i="9"/>
  <c r="D490" i="9" s="1"/>
  <c r="K217" i="9"/>
  <c r="C36" i="28"/>
  <c r="F36" i="28" s="1"/>
  <c r="G36" i="28" s="1"/>
  <c r="H36" i="28" s="1"/>
  <c r="K241" i="9"/>
  <c r="C53" i="28"/>
  <c r="F53" i="28" s="1"/>
  <c r="G53" i="28" s="1"/>
  <c r="H53" i="28" s="1"/>
  <c r="AG241" i="9"/>
  <c r="D241" i="9" s="1"/>
  <c r="K251" i="9"/>
  <c r="AG251" i="9"/>
  <c r="D251" i="9" s="1"/>
  <c r="K276" i="9"/>
  <c r="AG276" i="9"/>
  <c r="D276" i="9" s="1"/>
  <c r="K297" i="9"/>
  <c r="AG297" i="9"/>
  <c r="D297" i="9" s="1"/>
  <c r="K104" i="9"/>
  <c r="AG104" i="9"/>
  <c r="D104" i="9" s="1"/>
  <c r="K189" i="9"/>
  <c r="AG189" i="9"/>
  <c r="D189" i="9" s="1"/>
  <c r="K132" i="9"/>
  <c r="AG132" i="9"/>
  <c r="D132" i="9" s="1"/>
  <c r="K100" i="9"/>
  <c r="AG100" i="9"/>
  <c r="D100" i="9" s="1"/>
  <c r="K127" i="9"/>
  <c r="AG127" i="9"/>
  <c r="D127" i="9" s="1"/>
  <c r="K157" i="9"/>
  <c r="C8" i="28"/>
  <c r="F8" i="28" s="1"/>
  <c r="G8" i="28" s="1"/>
  <c r="H8" i="28" s="1"/>
  <c r="K142" i="9"/>
  <c r="AG142" i="9"/>
  <c r="D142" i="9" s="1"/>
  <c r="K114" i="9"/>
  <c r="AG114" i="9"/>
  <c r="D114" i="9" s="1"/>
  <c r="K371" i="9"/>
  <c r="AG371" i="9"/>
  <c r="D371" i="9" s="1"/>
  <c r="K336" i="9"/>
  <c r="AG336" i="9"/>
  <c r="D336" i="9" s="1"/>
  <c r="K332" i="9"/>
  <c r="AG332" i="9"/>
  <c r="D332" i="9" s="1"/>
  <c r="K366" i="9"/>
  <c r="AG366" i="9"/>
  <c r="D366" i="9" s="1"/>
  <c r="K425" i="9"/>
  <c r="AG425" i="9"/>
  <c r="D425" i="9" s="1"/>
  <c r="K423" i="9"/>
  <c r="AG423" i="9"/>
  <c r="D423" i="9" s="1"/>
  <c r="K357" i="9"/>
  <c r="AG357" i="9"/>
  <c r="D357" i="9" s="1"/>
  <c r="K367" i="9"/>
  <c r="AG367" i="9"/>
  <c r="D367" i="9" s="1"/>
  <c r="K487" i="9"/>
  <c r="C118" i="28"/>
  <c r="F118" i="28" s="1"/>
  <c r="G118" i="28" s="1"/>
  <c r="H118" i="28" s="1"/>
  <c r="K495" i="9"/>
  <c r="C126" i="28"/>
  <c r="F126" i="28" s="1"/>
  <c r="G126" i="28" s="1"/>
  <c r="H126" i="28" s="1"/>
  <c r="K460" i="9"/>
  <c r="C91" i="28"/>
  <c r="F91" i="28" s="1"/>
  <c r="G91" i="28" s="1"/>
  <c r="H91" i="28" s="1"/>
  <c r="K480" i="9"/>
  <c r="C111" i="28"/>
  <c r="F111" i="28" s="1"/>
  <c r="G111" i="28" s="1"/>
  <c r="H111" i="28" s="1"/>
  <c r="K444" i="9"/>
  <c r="C75" i="28"/>
  <c r="F75" i="28" s="1"/>
  <c r="G75" i="28" s="1"/>
  <c r="H75" i="28" s="1"/>
  <c r="K234" i="9"/>
  <c r="AG234" i="9"/>
  <c r="D234" i="9" s="1"/>
  <c r="K260" i="9"/>
  <c r="AG260" i="9"/>
  <c r="D260" i="9" s="1"/>
  <c r="K267" i="9"/>
  <c r="AG267" i="9"/>
  <c r="D267" i="9" s="1"/>
  <c r="K306" i="9"/>
  <c r="AG306" i="9"/>
  <c r="D306" i="9" s="1"/>
  <c r="K237" i="9"/>
  <c r="C52" i="28"/>
  <c r="F52" i="28" s="1"/>
  <c r="G52" i="28" s="1"/>
  <c r="H52" i="28" s="1"/>
  <c r="K164" i="9"/>
  <c r="AG164" i="9"/>
  <c r="D164" i="9" s="1"/>
  <c r="K149" i="9"/>
  <c r="AG149" i="9"/>
  <c r="D149" i="9" s="1"/>
  <c r="K274" i="9"/>
  <c r="AG274" i="9"/>
  <c r="D274" i="9" s="1"/>
  <c r="K118" i="9"/>
  <c r="AG118" i="9"/>
  <c r="D118" i="9" s="1"/>
  <c r="K136" i="9"/>
  <c r="AG136" i="9"/>
  <c r="D136" i="9" s="1"/>
  <c r="K212" i="9"/>
  <c r="AG212" i="9"/>
  <c r="D212" i="9" s="1"/>
  <c r="K166" i="9"/>
  <c r="AG166" i="9"/>
  <c r="D166" i="9" s="1"/>
  <c r="K131" i="9"/>
  <c r="AG131" i="9"/>
  <c r="D131" i="9" s="1"/>
  <c r="K390" i="9"/>
  <c r="C25" i="28"/>
  <c r="F25" i="28" s="1"/>
  <c r="G25" i="28" s="1"/>
  <c r="H25" i="28" s="1"/>
  <c r="K352" i="9"/>
  <c r="AG352" i="9"/>
  <c r="D352" i="9" s="1"/>
  <c r="K350" i="9"/>
  <c r="AG350" i="9"/>
  <c r="D350" i="9" s="1"/>
  <c r="K382" i="9"/>
  <c r="AG382" i="9"/>
  <c r="D382" i="9" s="1"/>
  <c r="K356" i="9"/>
  <c r="AG356" i="9"/>
  <c r="D356" i="9" s="1"/>
  <c r="K333" i="9"/>
  <c r="AG333" i="9"/>
  <c r="D333" i="9" s="1"/>
  <c r="K400" i="9"/>
  <c r="C27" i="28"/>
  <c r="F27" i="28" s="1"/>
  <c r="G27" i="28" s="1"/>
  <c r="H27" i="28" s="1"/>
  <c r="K383" i="9"/>
  <c r="C68" i="28"/>
  <c r="F68" i="28" s="1"/>
  <c r="G68" i="28" s="1"/>
  <c r="H68" i="28" s="1"/>
  <c r="K467" i="9"/>
  <c r="C98" i="28"/>
  <c r="F98" i="28" s="1"/>
  <c r="G98" i="28" s="1"/>
  <c r="H98" i="28" s="1"/>
  <c r="AG467" i="9"/>
  <c r="D467" i="9" s="1"/>
  <c r="K513" i="9"/>
  <c r="AG513" i="9"/>
  <c r="D513" i="9" s="1"/>
  <c r="K469" i="9"/>
  <c r="C100" i="28"/>
  <c r="F100" i="28" s="1"/>
  <c r="G100" i="28" s="1"/>
  <c r="H100" i="28" s="1"/>
  <c r="K489" i="9"/>
  <c r="C120" i="28"/>
  <c r="F120" i="28" s="1"/>
  <c r="G120" i="28" s="1"/>
  <c r="H120" i="28" s="1"/>
  <c r="K479" i="9"/>
  <c r="C110" i="28"/>
  <c r="F110" i="28" s="1"/>
  <c r="G110" i="28" s="1"/>
  <c r="H110" i="28" s="1"/>
  <c r="K253" i="9"/>
  <c r="AG253" i="9"/>
  <c r="D253" i="9" s="1"/>
  <c r="K282" i="9"/>
  <c r="AG282" i="9"/>
  <c r="D282" i="9" s="1"/>
  <c r="K299" i="9"/>
  <c r="C40" i="28"/>
  <c r="F40" i="28" s="1"/>
  <c r="G40" i="28" s="1"/>
  <c r="H40" i="28" s="1"/>
  <c r="K101" i="9"/>
  <c r="AG101" i="9"/>
  <c r="D101" i="9" s="1"/>
  <c r="K122" i="9"/>
  <c r="AG122" i="9"/>
  <c r="D122" i="9" s="1"/>
  <c r="K97" i="9"/>
  <c r="AG97" i="9"/>
  <c r="D97" i="9" s="1"/>
  <c r="K156" i="9"/>
  <c r="AG156" i="9"/>
  <c r="D156" i="9" s="1"/>
  <c r="K110" i="9"/>
  <c r="AG110" i="9"/>
  <c r="D110" i="9" s="1"/>
  <c r="K159" i="9"/>
  <c r="C11" i="28"/>
  <c r="F11" i="28" s="1"/>
  <c r="G11" i="28" s="1"/>
  <c r="H11" i="28" s="1"/>
  <c r="K176" i="9"/>
  <c r="AG176" i="9"/>
  <c r="D176" i="9" s="1"/>
  <c r="K228" i="9"/>
  <c r="AG228" i="9"/>
  <c r="D228" i="9" s="1"/>
  <c r="K278" i="9"/>
  <c r="AG278" i="9"/>
  <c r="D278" i="9" s="1"/>
  <c r="K148" i="9"/>
  <c r="AG148" i="9"/>
  <c r="D148" i="9" s="1"/>
  <c r="K412" i="9"/>
  <c r="AG412" i="9"/>
  <c r="D412" i="9" s="1"/>
  <c r="K376" i="9"/>
  <c r="AG376" i="9"/>
  <c r="D376" i="9" s="1"/>
  <c r="K365" i="9"/>
  <c r="AG365" i="9"/>
  <c r="D365" i="9" s="1"/>
  <c r="K398" i="9"/>
  <c r="AG398" i="9"/>
  <c r="D398" i="9" s="1"/>
  <c r="K319" i="9"/>
  <c r="AG319" i="9"/>
  <c r="D319" i="9" s="1"/>
  <c r="K351" i="9"/>
  <c r="AG351" i="9"/>
  <c r="D351" i="9" s="1"/>
  <c r="K313" i="9"/>
  <c r="AG313" i="9"/>
  <c r="D313" i="9" s="1"/>
  <c r="K399" i="9"/>
  <c r="AG399" i="9"/>
  <c r="D399" i="9" s="1"/>
  <c r="K494" i="9"/>
  <c r="C125" i="28"/>
  <c r="F125" i="28" s="1"/>
  <c r="G125" i="28" s="1"/>
  <c r="H125" i="28" s="1"/>
  <c r="K431" i="9"/>
  <c r="C14" i="28"/>
  <c r="F14" i="28" s="1"/>
  <c r="G14" i="28" s="1"/>
  <c r="H14" i="28" s="1"/>
  <c r="K432" i="9"/>
  <c r="C15" i="28"/>
  <c r="F15" i="28" s="1"/>
  <c r="G15" i="28" s="1"/>
  <c r="H15" i="28" s="1"/>
  <c r="K458" i="9"/>
  <c r="C89" i="28"/>
  <c r="F89" i="28" s="1"/>
  <c r="G89" i="28" s="1"/>
  <c r="H89" i="28" s="1"/>
  <c r="AG458" i="9"/>
  <c r="D458" i="9" s="1"/>
  <c r="K497" i="9"/>
  <c r="C128" i="28"/>
  <c r="F128" i="28" s="1"/>
  <c r="G128" i="28" s="1"/>
  <c r="H128" i="28" s="1"/>
  <c r="S63" i="9"/>
  <c r="R63" i="9"/>
  <c r="U63" i="9" s="1"/>
  <c r="S134" i="9"/>
  <c r="R134" i="9"/>
  <c r="U134" i="9" s="1"/>
  <c r="S41" i="9"/>
  <c r="R41" i="9"/>
  <c r="U41" i="9" s="1"/>
  <c r="AF41" i="9" s="1"/>
  <c r="R42" i="9"/>
  <c r="U42" i="9" s="1"/>
  <c r="AF42" i="9" s="1"/>
  <c r="S42" i="9"/>
  <c r="S147" i="9"/>
  <c r="R147" i="9"/>
  <c r="U147" i="9" s="1"/>
  <c r="S15" i="9"/>
  <c r="R15" i="9"/>
  <c r="U15" i="9" s="1"/>
  <c r="AF15" i="9" s="1"/>
  <c r="R64" i="9"/>
  <c r="U64" i="9" s="1"/>
  <c r="S64" i="9"/>
  <c r="R26" i="9"/>
  <c r="U26" i="9" s="1"/>
  <c r="S26" i="9"/>
  <c r="R130" i="9"/>
  <c r="U130" i="9" s="1"/>
  <c r="S130" i="9"/>
  <c r="R48" i="9"/>
  <c r="U48" i="9" s="1"/>
  <c r="AF48" i="9" s="1"/>
  <c r="S48" i="9"/>
  <c r="S144" i="9"/>
  <c r="R144" i="9"/>
  <c r="U144" i="9" s="1"/>
  <c r="AF144" i="9" s="1"/>
  <c r="R72" i="9"/>
  <c r="U72" i="9" s="1"/>
  <c r="S72" i="9"/>
  <c r="S69" i="9"/>
  <c r="R69" i="9"/>
  <c r="U69" i="9" s="1"/>
  <c r="AF69" i="9" s="1"/>
  <c r="S74" i="9"/>
  <c r="R74" i="9"/>
  <c r="U74" i="9" s="1"/>
  <c r="AF74" i="9" s="1"/>
  <c r="R29" i="9"/>
  <c r="U29" i="9" s="1"/>
  <c r="S29" i="9"/>
  <c r="AG86" i="9"/>
  <c r="D86" i="9" s="1"/>
  <c r="R70" i="9"/>
  <c r="U70" i="9" s="1"/>
  <c r="S70" i="9"/>
  <c r="R146" i="9"/>
  <c r="U146" i="9" s="1"/>
  <c r="AF146" i="9" s="1"/>
  <c r="S146" i="9"/>
  <c r="S55" i="9"/>
  <c r="R55" i="9"/>
  <c r="U55" i="9" s="1"/>
  <c r="AF55" i="9" s="1"/>
  <c r="R46" i="9"/>
  <c r="U46" i="9" s="1"/>
  <c r="AF46" i="9" s="1"/>
  <c r="S46" i="9"/>
  <c r="R4" i="9"/>
  <c r="U4" i="9" s="1"/>
  <c r="S4" i="9"/>
  <c r="R138" i="9"/>
  <c r="U138" i="9" s="1"/>
  <c r="S138" i="9"/>
  <c r="S73" i="9"/>
  <c r="R73" i="9"/>
  <c r="U73" i="9" s="1"/>
  <c r="S16" i="9"/>
  <c r="R16" i="9"/>
  <c r="U16" i="9" s="1"/>
  <c r="R89" i="9"/>
  <c r="U89" i="9" s="1"/>
  <c r="S89" i="9"/>
  <c r="S71" i="9"/>
  <c r="R71" i="9"/>
  <c r="U71" i="9" s="1"/>
  <c r="AF71" i="9" s="1"/>
  <c r="R11" i="9"/>
  <c r="U11" i="9" s="1"/>
  <c r="AF11" i="9" s="1"/>
  <c r="S11" i="9"/>
  <c r="R30" i="9"/>
  <c r="U30" i="9" s="1"/>
  <c r="AF30" i="9" s="1"/>
  <c r="S30" i="9"/>
  <c r="R13" i="9"/>
  <c r="U13" i="9" s="1"/>
  <c r="AF13" i="9" s="1"/>
  <c r="S13" i="9"/>
  <c r="S3" i="9"/>
  <c r="R3" i="9"/>
  <c r="U3" i="9" s="1"/>
  <c r="AF3" i="9" s="1"/>
  <c r="S54" i="9"/>
  <c r="R54" i="9"/>
  <c r="U54" i="9" s="1"/>
  <c r="S21" i="9"/>
  <c r="R21" i="9"/>
  <c r="U21" i="9" s="1"/>
  <c r="AF21" i="9" s="1"/>
  <c r="R34" i="9"/>
  <c r="U34" i="9" s="1"/>
  <c r="AF34" i="9" s="1"/>
  <c r="S34" i="9"/>
  <c r="R83" i="9"/>
  <c r="U83" i="9" s="1"/>
  <c r="S83" i="9"/>
  <c r="R27" i="9"/>
  <c r="U27" i="9" s="1"/>
  <c r="AF27" i="9" s="1"/>
  <c r="S27" i="9"/>
  <c r="R7" i="9"/>
  <c r="U7" i="9" s="1"/>
  <c r="S7" i="9"/>
  <c r="S14" i="9"/>
  <c r="R14" i="9"/>
  <c r="U14" i="9" s="1"/>
  <c r="S57" i="9"/>
  <c r="R57" i="9"/>
  <c r="U57" i="9" s="1"/>
  <c r="AF57" i="9" s="1"/>
  <c r="R62" i="9"/>
  <c r="U62" i="9" s="1"/>
  <c r="S62" i="9"/>
  <c r="R22" i="9"/>
  <c r="U22" i="9" s="1"/>
  <c r="AF22" i="9" s="1"/>
  <c r="S22" i="9"/>
  <c r="S37" i="9"/>
  <c r="R37" i="9"/>
  <c r="U37" i="9" s="1"/>
  <c r="S66" i="9"/>
  <c r="R66" i="9"/>
  <c r="U66" i="9" s="1"/>
  <c r="AF66" i="9" s="1"/>
  <c r="S28" i="9"/>
  <c r="R28" i="9"/>
  <c r="U28" i="9" s="1"/>
  <c r="S8" i="9"/>
  <c r="R8" i="9"/>
  <c r="U8" i="9" s="1"/>
  <c r="S36" i="9"/>
  <c r="R36" i="9"/>
  <c r="U36" i="9" s="1"/>
  <c r="S65" i="9"/>
  <c r="R65" i="9"/>
  <c r="U65" i="9" s="1"/>
  <c r="AF65" i="9" s="1"/>
  <c r="S51" i="9"/>
  <c r="R51" i="9"/>
  <c r="U51" i="9" s="1"/>
  <c r="AF51" i="9" s="1"/>
  <c r="R84" i="9"/>
  <c r="U84" i="9" s="1"/>
  <c r="AF84" i="9" s="1"/>
  <c r="S84" i="9"/>
  <c r="R68" i="9"/>
  <c r="U68" i="9" s="1"/>
  <c r="AF68" i="9" s="1"/>
  <c r="S68" i="9"/>
  <c r="R77" i="9"/>
  <c r="U77" i="9" s="1"/>
  <c r="AF77" i="9" s="1"/>
  <c r="S77" i="9"/>
  <c r="S75" i="9"/>
  <c r="R75" i="9"/>
  <c r="U75" i="9" s="1"/>
  <c r="R32" i="9"/>
  <c r="U32" i="9" s="1"/>
  <c r="S32" i="9"/>
  <c r="R67" i="9"/>
  <c r="U67" i="9" s="1"/>
  <c r="S67" i="9"/>
  <c r="S76" i="9"/>
  <c r="R76" i="9"/>
  <c r="U76" i="9" s="1"/>
  <c r="S50" i="9"/>
  <c r="R50" i="9"/>
  <c r="U50" i="9" s="1"/>
  <c r="AF50" i="9" s="1"/>
  <c r="S81" i="9"/>
  <c r="R81" i="9"/>
  <c r="U81" i="9" s="1"/>
  <c r="AF81" i="9" s="1"/>
  <c r="S79" i="9"/>
  <c r="R79" i="9"/>
  <c r="U79" i="9" s="1"/>
  <c r="AF79" i="9" s="1"/>
  <c r="R103" i="9"/>
  <c r="U103" i="9" s="1"/>
  <c r="AF103" i="9" s="1"/>
  <c r="S103" i="9"/>
  <c r="S5" i="9"/>
  <c r="R5" i="9"/>
  <c r="U5" i="9" s="1"/>
  <c r="R78" i="9"/>
  <c r="U78" i="9" s="1"/>
  <c r="S78" i="9"/>
  <c r="R87" i="9"/>
  <c r="U87" i="9" s="1"/>
  <c r="AF87" i="9" s="1"/>
  <c r="S87" i="9"/>
  <c r="S58" i="9"/>
  <c r="R58" i="9"/>
  <c r="U58" i="9" s="1"/>
  <c r="AF58" i="9" s="1"/>
  <c r="R310" i="9"/>
  <c r="U310" i="9" s="1"/>
  <c r="AF310" i="9" s="1"/>
  <c r="S310" i="9"/>
  <c r="S35" i="9"/>
  <c r="R35" i="9"/>
  <c r="U35" i="9" s="1"/>
  <c r="R88" i="9"/>
  <c r="U88" i="9" s="1"/>
  <c r="AF88" i="9" s="1"/>
  <c r="S88" i="9"/>
  <c r="S10" i="9"/>
  <c r="R10" i="9"/>
  <c r="U10" i="9" s="1"/>
  <c r="AF10" i="9" s="1"/>
  <c r="S17" i="9"/>
  <c r="R17" i="9"/>
  <c r="U17" i="9" s="1"/>
  <c r="S80" i="9"/>
  <c r="R80" i="9"/>
  <c r="U80" i="9" s="1"/>
  <c r="R112" i="9"/>
  <c r="U112" i="9" s="1"/>
  <c r="S112" i="9"/>
  <c r="S49" i="9"/>
  <c r="R49" i="9"/>
  <c r="U49" i="9" s="1"/>
  <c r="AF49" i="9" s="1"/>
  <c r="R312" i="9"/>
  <c r="U312" i="9" s="1"/>
  <c r="AF312" i="9" s="1"/>
  <c r="S312" i="9"/>
  <c r="R121" i="9"/>
  <c r="U121" i="9" s="1"/>
  <c r="AF121" i="9" s="1"/>
  <c r="S121" i="9"/>
  <c r="R308" i="9"/>
  <c r="U308" i="9" s="1"/>
  <c r="AF308" i="9" s="1"/>
  <c r="S308" i="9"/>
  <c r="R38" i="9"/>
  <c r="U38" i="9" s="1"/>
  <c r="AF38" i="9" s="1"/>
  <c r="S38" i="9"/>
  <c r="R125" i="9"/>
  <c r="U125" i="9" s="1"/>
  <c r="AF125" i="9" s="1"/>
  <c r="S125" i="9"/>
  <c r="S12" i="9"/>
  <c r="R12" i="9"/>
  <c r="U12" i="9" s="1"/>
  <c r="R56" i="9"/>
  <c r="U56" i="9" s="1"/>
  <c r="S56" i="9"/>
  <c r="S44" i="9"/>
  <c r="R44" i="9"/>
  <c r="U44" i="9" s="1"/>
  <c r="R6" i="9"/>
  <c r="U6" i="9" s="1"/>
  <c r="AF6" i="9" s="1"/>
  <c r="S6" i="9"/>
  <c r="R23" i="9"/>
  <c r="U23" i="9" s="1"/>
  <c r="AF23" i="9" s="1"/>
  <c r="S23" i="9"/>
  <c r="S39" i="9"/>
  <c r="R39" i="9"/>
  <c r="U39" i="9" s="1"/>
  <c r="AF39" i="9" s="1"/>
  <c r="R19" i="9"/>
  <c r="U19" i="9" s="1"/>
  <c r="AF19" i="9" s="1"/>
  <c r="S19" i="9"/>
  <c r="S60" i="9"/>
  <c r="R60" i="9"/>
  <c r="U60" i="9" s="1"/>
  <c r="AF60" i="9" s="1"/>
  <c r="R94" i="9"/>
  <c r="U94" i="9" s="1"/>
  <c r="S94" i="9"/>
  <c r="R33" i="9"/>
  <c r="U33" i="9" s="1"/>
  <c r="S33" i="9"/>
  <c r="S47" i="9"/>
  <c r="R47" i="9"/>
  <c r="U47" i="9" s="1"/>
  <c r="S311" i="9"/>
  <c r="R311" i="9"/>
  <c r="U311" i="9" s="1"/>
  <c r="S92" i="9"/>
  <c r="R92" i="9"/>
  <c r="U92" i="9" s="1"/>
  <c r="AF92" i="9" s="1"/>
  <c r="S45" i="9"/>
  <c r="R45" i="9"/>
  <c r="U45" i="9" s="1"/>
  <c r="AF45" i="9" s="1"/>
  <c r="S43" i="9"/>
  <c r="R43" i="9"/>
  <c r="U43" i="9" s="1"/>
  <c r="S61" i="9"/>
  <c r="R61" i="9"/>
  <c r="U61" i="9" s="1"/>
  <c r="R31" i="9"/>
  <c r="U31" i="9" s="1"/>
  <c r="S31" i="9"/>
  <c r="S82" i="9"/>
  <c r="R82" i="9"/>
  <c r="U82" i="9" s="1"/>
  <c r="AF82" i="9" s="1"/>
  <c r="R9" i="9"/>
  <c r="U9" i="9" s="1"/>
  <c r="AF9" i="9" s="1"/>
  <c r="S9" i="9"/>
  <c r="S309" i="9"/>
  <c r="R309" i="9"/>
  <c r="U309" i="9" s="1"/>
  <c r="AF309" i="9" s="1"/>
  <c r="R59" i="9"/>
  <c r="U59" i="9" s="1"/>
  <c r="AF59" i="9" s="1"/>
  <c r="S59" i="9"/>
  <c r="S53" i="9"/>
  <c r="R53" i="9"/>
  <c r="U53" i="9" s="1"/>
  <c r="S25" i="9"/>
  <c r="R25" i="9"/>
  <c r="U25" i="9" s="1"/>
  <c r="S40" i="9"/>
  <c r="R40" i="9"/>
  <c r="U40" i="9" s="1"/>
  <c r="R24" i="9"/>
  <c r="U24" i="9" s="1"/>
  <c r="S24" i="9"/>
  <c r="R18" i="9"/>
  <c r="U18" i="9" s="1"/>
  <c r="AF18" i="9" s="1"/>
  <c r="S18" i="9"/>
  <c r="R20" i="9"/>
  <c r="U20" i="9" s="1"/>
  <c r="AF20" i="9" s="1"/>
  <c r="S20" i="9"/>
  <c r="S52" i="9"/>
  <c r="R52" i="9"/>
  <c r="U52" i="9" s="1"/>
  <c r="AF52" i="9" s="1"/>
  <c r="S2" i="9"/>
  <c r="R2" i="9"/>
  <c r="U2" i="9" s="1"/>
  <c r="L2" i="9"/>
  <c r="Z18" i="37" l="1"/>
  <c r="S18" i="37"/>
  <c r="V18" i="37" s="1"/>
  <c r="N20" i="37"/>
  <c r="O19" i="37"/>
  <c r="AH17" i="37"/>
  <c r="AI17" i="37" s="1"/>
  <c r="AJ17" i="37" s="1"/>
  <c r="AJ16" i="37"/>
  <c r="K20" i="38"/>
  <c r="AM6" i="37"/>
  <c r="AN6" i="37" s="1"/>
  <c r="AK6" i="37"/>
  <c r="AM13" i="37"/>
  <c r="AN13" i="37" s="1"/>
  <c r="AK13" i="37"/>
  <c r="AM15" i="37"/>
  <c r="AN15" i="37" s="1"/>
  <c r="AK15" i="37"/>
  <c r="AK3" i="37"/>
  <c r="AM3" i="37"/>
  <c r="AN3" i="37" s="1"/>
  <c r="AM7" i="37"/>
  <c r="AN7" i="37" s="1"/>
  <c r="AK7" i="37"/>
  <c r="AK8" i="37"/>
  <c r="AM8" i="37"/>
  <c r="AN8" i="37" s="1"/>
  <c r="AK9" i="37"/>
  <c r="AM9" i="37"/>
  <c r="AN9" i="37" s="1"/>
  <c r="AM4" i="37"/>
  <c r="AN4" i="37" s="1"/>
  <c r="AK4" i="37"/>
  <c r="AM5" i="37"/>
  <c r="AN5" i="37" s="1"/>
  <c r="AK5" i="37"/>
  <c r="AK12" i="37"/>
  <c r="AM12" i="37"/>
  <c r="AN12" i="37" s="1"/>
  <c r="AK10" i="37"/>
  <c r="AM10" i="37"/>
  <c r="AN10" i="37" s="1"/>
  <c r="AM11" i="37"/>
  <c r="AN11" i="37" s="1"/>
  <c r="AK11" i="37"/>
  <c r="AK14" i="37"/>
  <c r="AM14" i="37"/>
  <c r="AN14" i="37" s="1"/>
  <c r="H135" i="28"/>
  <c r="H133" i="28"/>
  <c r="G134" i="28"/>
  <c r="D3" i="28"/>
  <c r="D136" i="28" s="1"/>
  <c r="D5" i="8" s="1"/>
  <c r="AH444" i="9"/>
  <c r="AH488" i="9"/>
  <c r="AH445" i="9"/>
  <c r="AH402" i="9"/>
  <c r="AH129" i="9"/>
  <c r="AH401" i="9"/>
  <c r="AH218" i="9"/>
  <c r="AH269" i="9"/>
  <c r="AH400" i="9"/>
  <c r="AH511" i="9"/>
  <c r="AH390" i="9"/>
  <c r="AH480" i="9"/>
  <c r="AH486" i="9"/>
  <c r="AH403" i="9"/>
  <c r="AH387" i="9"/>
  <c r="AH383" i="9"/>
  <c r="AH98" i="9"/>
  <c r="AH225" i="9"/>
  <c r="AH342" i="9"/>
  <c r="AH219" i="9"/>
  <c r="AH429" i="9"/>
  <c r="AH493" i="9"/>
  <c r="AH322" i="9"/>
  <c r="AH347" i="9"/>
  <c r="AH198" i="9"/>
  <c r="AH287" i="9"/>
  <c r="AH317" i="9"/>
  <c r="AH499" i="9"/>
  <c r="AH216" i="9"/>
  <c r="AH392" i="9"/>
  <c r="AH292" i="9"/>
  <c r="AH415" i="9"/>
  <c r="AH221" i="9"/>
  <c r="AH378" i="9"/>
  <c r="AH139" i="9"/>
  <c r="AH338" i="9"/>
  <c r="AH113" i="9"/>
  <c r="AH365" i="9"/>
  <c r="AH110" i="9"/>
  <c r="AH479" i="9"/>
  <c r="AH131" i="9"/>
  <c r="AH100" i="9"/>
  <c r="AH363" i="9"/>
  <c r="AH472" i="9"/>
  <c r="AH249" i="9"/>
  <c r="AH482" i="9"/>
  <c r="AH370" i="9"/>
  <c r="AH214" i="9"/>
  <c r="AH397" i="9"/>
  <c r="AH235" i="9"/>
  <c r="AH326" i="9"/>
  <c r="AH305" i="9"/>
  <c r="AH294" i="9"/>
  <c r="AH111" i="9"/>
  <c r="AH248" i="9"/>
  <c r="AH420" i="9"/>
  <c r="AH206" i="9"/>
  <c r="AH117" i="9"/>
  <c r="AH105" i="9"/>
  <c r="AH428" i="9"/>
  <c r="AH501" i="9"/>
  <c r="AH243" i="9"/>
  <c r="AH159" i="9"/>
  <c r="AH161" i="9"/>
  <c r="AH448" i="9"/>
  <c r="AH307" i="9"/>
  <c r="AH442" i="9"/>
  <c r="AH508" i="9"/>
  <c r="AH143" i="9"/>
  <c r="AH474" i="9"/>
  <c r="AH237" i="9"/>
  <c r="AH460" i="9"/>
  <c r="AH443" i="9"/>
  <c r="AH433" i="9"/>
  <c r="AH230" i="9"/>
  <c r="AH366" i="9"/>
  <c r="AH295" i="9"/>
  <c r="AH222" i="9"/>
  <c r="AH361" i="9"/>
  <c r="AH169" i="9"/>
  <c r="AH323" i="9"/>
  <c r="AH434" i="9"/>
  <c r="AH512" i="9"/>
  <c r="AH432" i="9"/>
  <c r="AH398" i="9"/>
  <c r="AH253" i="9"/>
  <c r="AH302" i="9"/>
  <c r="AH413" i="9"/>
  <c r="AH491" i="9"/>
  <c r="AH495" i="9"/>
  <c r="AH217" i="9"/>
  <c r="AH340" i="9"/>
  <c r="AH407" i="9"/>
  <c r="AH124" i="9"/>
  <c r="AH466" i="9"/>
  <c r="AH377" i="9"/>
  <c r="AH123" i="9"/>
  <c r="AH368" i="9"/>
  <c r="AH362" i="9"/>
  <c r="AH485" i="9"/>
  <c r="AH210" i="9"/>
  <c r="AH145" i="9"/>
  <c r="AH489" i="9"/>
  <c r="AH336" i="9"/>
  <c r="AH421" i="9"/>
  <c r="AH265" i="9"/>
  <c r="AH473" i="9"/>
  <c r="AH116" i="9"/>
  <c r="AH468" i="9"/>
  <c r="AH153" i="9"/>
  <c r="AH227" i="9"/>
  <c r="AH344" i="9"/>
  <c r="AH174" i="9"/>
  <c r="AH151" i="9"/>
  <c r="AH452" i="9"/>
  <c r="AH384" i="9"/>
  <c r="AH349" i="9"/>
  <c r="AH191" i="9"/>
  <c r="AH99" i="9"/>
  <c r="AH331" i="9"/>
  <c r="AH173" i="9"/>
  <c r="AH109" i="9"/>
  <c r="AH405" i="9"/>
  <c r="AH510" i="9"/>
  <c r="AH451" i="9"/>
  <c r="AH319" i="9"/>
  <c r="AH176" i="9"/>
  <c r="AH282" i="9"/>
  <c r="AH352" i="9"/>
  <c r="AH251" i="9"/>
  <c r="AH284" i="9"/>
  <c r="AH339" i="9"/>
  <c r="AH296" i="9"/>
  <c r="AH240" i="9"/>
  <c r="AH154" i="9"/>
  <c r="AH120" i="9"/>
  <c r="AH396" i="9"/>
  <c r="AH502" i="9"/>
  <c r="AH95" i="9"/>
  <c r="AH386" i="9"/>
  <c r="AH209" i="9"/>
  <c r="AH91" i="9"/>
  <c r="AH187" i="9"/>
  <c r="AH435" i="9"/>
  <c r="AH155" i="9"/>
  <c r="AH419" i="9"/>
  <c r="AH376" i="9"/>
  <c r="AH132" i="9"/>
  <c r="AH96" i="9"/>
  <c r="AH239" i="9"/>
  <c r="AH300" i="9"/>
  <c r="AH328" i="9"/>
  <c r="AH298" i="9"/>
  <c r="AH170" i="9"/>
  <c r="AH242" i="9"/>
  <c r="AH333" i="9"/>
  <c r="AH267" i="9"/>
  <c r="AH487" i="9"/>
  <c r="AH189" i="9"/>
  <c r="AH490" i="9"/>
  <c r="AH140" i="9"/>
  <c r="AH215" i="9"/>
  <c r="AH325" i="9"/>
  <c r="AH245" i="9"/>
  <c r="AH324" i="9"/>
  <c r="AH303" i="9"/>
  <c r="AH465" i="9"/>
  <c r="AH372" i="9"/>
  <c r="AH259" i="9"/>
  <c r="AH180" i="9"/>
  <c r="AH471" i="9"/>
  <c r="AH250" i="9"/>
  <c r="AH463" i="9"/>
  <c r="AH380" i="9"/>
  <c r="AH272" i="9"/>
  <c r="AH453" i="9"/>
  <c r="AH186" i="9"/>
  <c r="AH246" i="9"/>
  <c r="AH195" i="9"/>
  <c r="AH388" i="9"/>
  <c r="AH450" i="9"/>
  <c r="AH192" i="9"/>
  <c r="AH496" i="9"/>
  <c r="AH316" i="9"/>
  <c r="AH447" i="9"/>
  <c r="AH270" i="9"/>
  <c r="AH106" i="9"/>
  <c r="AH268" i="9"/>
  <c r="AH283" i="9"/>
  <c r="AH85" i="9"/>
  <c r="AH102" i="9"/>
  <c r="AH127" i="9"/>
  <c r="AH241" i="9"/>
  <c r="AH162" i="9"/>
  <c r="AH119" i="9"/>
  <c r="AH504" i="9"/>
  <c r="AH494" i="9"/>
  <c r="AH459" i="9"/>
  <c r="AH167" i="9"/>
  <c r="AH197" i="9"/>
  <c r="AH289" i="9"/>
  <c r="AH166" i="9"/>
  <c r="AH341" i="9"/>
  <c r="AH257" i="9"/>
  <c r="AH330" i="9"/>
  <c r="AH426" i="9"/>
  <c r="AH393" i="9"/>
  <c r="AH299" i="9"/>
  <c r="AH90" i="9"/>
  <c r="AH389" i="9"/>
  <c r="AH182" i="9"/>
  <c r="AH196" i="9"/>
  <c r="AH346" i="9"/>
  <c r="AH220" i="9"/>
  <c r="AH185" i="9"/>
  <c r="AH244" i="9"/>
  <c r="AH236" i="9"/>
  <c r="AH184" i="9"/>
  <c r="AH314" i="9"/>
  <c r="AH394" i="9"/>
  <c r="AH204" i="9"/>
  <c r="AH262" i="9"/>
  <c r="AH375" i="9"/>
  <c r="AH183" i="9"/>
  <c r="AH226" i="9"/>
  <c r="AH315" i="9"/>
  <c r="AH507" i="9"/>
  <c r="AH164" i="9"/>
  <c r="AH318" i="9"/>
  <c r="AH457" i="9"/>
  <c r="AH271" i="9"/>
  <c r="AH190" i="9"/>
  <c r="AH231" i="9"/>
  <c r="AH126" i="9"/>
  <c r="AH374" i="9"/>
  <c r="AH158" i="9"/>
  <c r="AH395" i="9"/>
  <c r="AH135" i="9"/>
  <c r="AH431" i="9"/>
  <c r="AH332" i="9"/>
  <c r="AH379" i="9"/>
  <c r="AH171" i="9"/>
  <c r="AH211" i="9"/>
  <c r="AH107" i="9"/>
  <c r="AH156" i="9"/>
  <c r="AH306" i="9"/>
  <c r="AH178" i="9"/>
  <c r="AH128" i="9"/>
  <c r="AH412" i="9"/>
  <c r="AH97" i="9"/>
  <c r="AH212" i="9"/>
  <c r="AH371" i="9"/>
  <c r="AH86" i="9"/>
  <c r="AH399" i="9"/>
  <c r="AH148" i="9"/>
  <c r="AH122" i="9"/>
  <c r="AH469" i="9"/>
  <c r="AH356" i="9"/>
  <c r="AH136" i="9"/>
  <c r="AH260" i="9"/>
  <c r="AH104" i="9"/>
  <c r="AH409" i="9"/>
  <c r="AH133" i="9"/>
  <c r="AH258" i="9"/>
  <c r="AH500" i="9"/>
  <c r="AH207" i="9"/>
  <c r="AH462" i="9"/>
  <c r="AH417" i="9"/>
  <c r="AH254" i="9"/>
  <c r="AH385" i="9"/>
  <c r="AH115" i="9"/>
  <c r="AH408" i="9"/>
  <c r="AH233" i="9"/>
  <c r="AH172" i="9"/>
  <c r="AH321" i="9"/>
  <c r="AH223" i="9"/>
  <c r="AH345" i="9"/>
  <c r="AH288" i="9"/>
  <c r="AH152" i="9"/>
  <c r="AH439" i="9"/>
  <c r="AH293" i="9"/>
  <c r="AH355" i="9"/>
  <c r="AH481" i="9"/>
  <c r="AH264" i="9"/>
  <c r="AH475" i="9"/>
  <c r="AH137" i="9"/>
  <c r="AH454" i="9"/>
  <c r="AH149" i="9"/>
  <c r="AH484" i="9"/>
  <c r="AH427" i="9"/>
  <c r="AH213" i="9"/>
  <c r="AH354" i="9"/>
  <c r="AH416" i="9"/>
  <c r="AH367" i="9"/>
  <c r="AH114" i="9"/>
  <c r="AH449" i="9"/>
  <c r="AH203" i="9"/>
  <c r="AH205" i="9"/>
  <c r="AH438" i="9"/>
  <c r="AH391" i="9"/>
  <c r="AH279" i="9"/>
  <c r="AH446" i="9"/>
  <c r="AH343" i="9"/>
  <c r="AH360" i="9"/>
  <c r="AH175" i="9"/>
  <c r="AH273" i="9"/>
  <c r="AH353" i="9"/>
  <c r="AH150" i="9"/>
  <c r="AH364" i="9"/>
  <c r="AH497" i="9"/>
  <c r="AH313" i="9"/>
  <c r="AH278" i="9"/>
  <c r="AH101" i="9"/>
  <c r="AH382" i="9"/>
  <c r="AH118" i="9"/>
  <c r="AH234" i="9"/>
  <c r="AH297" i="9"/>
  <c r="AH411" i="9"/>
  <c r="AH108" i="9"/>
  <c r="AH430" i="9"/>
  <c r="AH179" i="9"/>
  <c r="AH329" i="9"/>
  <c r="AH247" i="9"/>
  <c r="AH436" i="9"/>
  <c r="AH256" i="9"/>
  <c r="AH410" i="9"/>
  <c r="AH335" i="9"/>
  <c r="AH280" i="9"/>
  <c r="AH348" i="9"/>
  <c r="AH199" i="9"/>
  <c r="AH202" i="9"/>
  <c r="AH277" i="9"/>
  <c r="AH163" i="9"/>
  <c r="AH291" i="9"/>
  <c r="AH301" i="9"/>
  <c r="AH238" i="9"/>
  <c r="AH425" i="9"/>
  <c r="AH513" i="9"/>
  <c r="AH142" i="9"/>
  <c r="AH477" i="9"/>
  <c r="AH418" i="9"/>
  <c r="AH337" i="9"/>
  <c r="AH509" i="9"/>
  <c r="AH263" i="9"/>
  <c r="AH188" i="9"/>
  <c r="AH275" i="9"/>
  <c r="AH498" i="9"/>
  <c r="AH373" i="9"/>
  <c r="AH229" i="9"/>
  <c r="AH141" i="9"/>
  <c r="AH478" i="9"/>
  <c r="AH194" i="9"/>
  <c r="AH281" i="9"/>
  <c r="AH503" i="9"/>
  <c r="AH369" i="9"/>
  <c r="AH200" i="9"/>
  <c r="AH357" i="9"/>
  <c r="AH232" i="9"/>
  <c r="AH261" i="9"/>
  <c r="AH359" i="9"/>
  <c r="AH381" i="9"/>
  <c r="AH177" i="9"/>
  <c r="AH422" i="9"/>
  <c r="AH252" i="9"/>
  <c r="AH483" i="9"/>
  <c r="AH285" i="9"/>
  <c r="AH327" i="9"/>
  <c r="AH168" i="9"/>
  <c r="AH351" i="9"/>
  <c r="AH228" i="9"/>
  <c r="AH350" i="9"/>
  <c r="AH274" i="9"/>
  <c r="AH276" i="9"/>
  <c r="AH358" i="9"/>
  <c r="AH304" i="9"/>
  <c r="AH461" i="9"/>
  <c r="AH290" i="9"/>
  <c r="AH455" i="9"/>
  <c r="AH441" i="9"/>
  <c r="AH406" i="9"/>
  <c r="AH470" i="9"/>
  <c r="AH93" i="9"/>
  <c r="AH458" i="9"/>
  <c r="AH467" i="9"/>
  <c r="AH423" i="9"/>
  <c r="AH157" i="9"/>
  <c r="AH224" i="9"/>
  <c r="AH334" i="9"/>
  <c r="AH464" i="9"/>
  <c r="AH424" i="9"/>
  <c r="AH208" i="9"/>
  <c r="AH193" i="9"/>
  <c r="AH255" i="9"/>
  <c r="AH201" i="9"/>
  <c r="AH266" i="9"/>
  <c r="AH492" i="9"/>
  <c r="AH181" i="9"/>
  <c r="AH414" i="9"/>
  <c r="AH286" i="9"/>
  <c r="AH505" i="9"/>
  <c r="AH456" i="9"/>
  <c r="AH404" i="9"/>
  <c r="AH506" i="9"/>
  <c r="AH320" i="9"/>
  <c r="AH165" i="9"/>
  <c r="AH440" i="9"/>
  <c r="AH437" i="9"/>
  <c r="AH476" i="9"/>
  <c r="AH160" i="9"/>
  <c r="AI514" i="9"/>
  <c r="AG58" i="9"/>
  <c r="D58" i="9" s="1"/>
  <c r="AG57" i="9"/>
  <c r="D57" i="9" s="1"/>
  <c r="AG3" i="9"/>
  <c r="D3" i="9" s="1"/>
  <c r="AF64" i="9"/>
  <c r="AG64" i="9" s="1"/>
  <c r="D64" i="9" s="1"/>
  <c r="AF63" i="9"/>
  <c r="AG63" i="9" s="1"/>
  <c r="D63" i="9" s="1"/>
  <c r="AF12" i="9"/>
  <c r="AG12" i="9" s="1"/>
  <c r="D12" i="9" s="1"/>
  <c r="AG65" i="9"/>
  <c r="D65" i="9" s="1"/>
  <c r="AG87" i="9"/>
  <c r="D87" i="9" s="1"/>
  <c r="AG60" i="9"/>
  <c r="D60" i="9" s="1"/>
  <c r="AG74" i="9"/>
  <c r="D74" i="9" s="1"/>
  <c r="AG15" i="9"/>
  <c r="D15" i="9" s="1"/>
  <c r="AG125" i="9"/>
  <c r="D125" i="9" s="1"/>
  <c r="AF44" i="9"/>
  <c r="AG44" i="9" s="1"/>
  <c r="D44" i="9" s="1"/>
  <c r="AF67" i="9"/>
  <c r="AG67" i="9" s="1"/>
  <c r="D67" i="9" s="1"/>
  <c r="AF61" i="9"/>
  <c r="AG61" i="9" s="1"/>
  <c r="D61" i="9" s="1"/>
  <c r="AF147" i="9"/>
  <c r="AG147" i="9" s="1"/>
  <c r="D147" i="9" s="1"/>
  <c r="AF56" i="9"/>
  <c r="AG56" i="9" s="1"/>
  <c r="D56" i="9" s="1"/>
  <c r="AG18" i="9"/>
  <c r="D18" i="9" s="1"/>
  <c r="AF24" i="9"/>
  <c r="AG24" i="9" s="1"/>
  <c r="D24" i="9" s="1"/>
  <c r="AF7" i="9"/>
  <c r="AG7" i="9" s="1"/>
  <c r="D7" i="9" s="1"/>
  <c r="AF25" i="9"/>
  <c r="AG25" i="9" s="1"/>
  <c r="D25" i="9" s="1"/>
  <c r="AF29" i="9"/>
  <c r="AG29" i="9" s="1"/>
  <c r="D29" i="9" s="1"/>
  <c r="AF112" i="9"/>
  <c r="AG112" i="9" s="1"/>
  <c r="D112" i="9" s="1"/>
  <c r="AF94" i="9"/>
  <c r="AG94" i="9" s="1"/>
  <c r="D94" i="9" s="1"/>
  <c r="AG82" i="9"/>
  <c r="D82" i="9" s="1"/>
  <c r="AG39" i="9"/>
  <c r="D39" i="9" s="1"/>
  <c r="AG19" i="9"/>
  <c r="D19" i="9" s="1"/>
  <c r="AG66" i="9"/>
  <c r="D66" i="9" s="1"/>
  <c r="AF53" i="9"/>
  <c r="AG53" i="9" s="1"/>
  <c r="D53" i="9" s="1"/>
  <c r="AF40" i="9"/>
  <c r="AG40" i="9" s="1"/>
  <c r="D40" i="9" s="1"/>
  <c r="AF31" i="9"/>
  <c r="AG31" i="9" s="1"/>
  <c r="D31" i="9" s="1"/>
  <c r="AF54" i="9"/>
  <c r="AG54" i="9" s="1"/>
  <c r="D54" i="9" s="1"/>
  <c r="AF70" i="9"/>
  <c r="AG70" i="9" s="1"/>
  <c r="D70" i="9" s="1"/>
  <c r="AF32" i="9"/>
  <c r="AG32" i="9" s="1"/>
  <c r="D32" i="9" s="1"/>
  <c r="AF80" i="9"/>
  <c r="AG80" i="9" s="1"/>
  <c r="D80" i="9" s="1"/>
  <c r="AF33" i="9"/>
  <c r="AG33" i="9" s="1"/>
  <c r="D33" i="9" s="1"/>
  <c r="AF36" i="9"/>
  <c r="AG36" i="9" s="1"/>
  <c r="D36" i="9" s="1"/>
  <c r="AF47" i="9"/>
  <c r="AG47" i="9" s="1"/>
  <c r="D47" i="9" s="1"/>
  <c r="AF14" i="9"/>
  <c r="AG14" i="9" s="1"/>
  <c r="D14" i="9" s="1"/>
  <c r="AF130" i="9"/>
  <c r="AG130" i="9" s="1"/>
  <c r="D130" i="9" s="1"/>
  <c r="AG10" i="9"/>
  <c r="D10" i="9" s="1"/>
  <c r="AG69" i="9"/>
  <c r="D69" i="9" s="1"/>
  <c r="AG38" i="9"/>
  <c r="D38" i="9" s="1"/>
  <c r="AG308" i="9"/>
  <c r="D308" i="9" s="1"/>
  <c r="AG146" i="9"/>
  <c r="D146" i="9" s="1"/>
  <c r="AG9" i="9"/>
  <c r="D9" i="9" s="1"/>
  <c r="AG45" i="9"/>
  <c r="D45" i="9" s="1"/>
  <c r="AG77" i="9"/>
  <c r="D77" i="9" s="1"/>
  <c r="AG88" i="9"/>
  <c r="D88" i="9" s="1"/>
  <c r="AG79" i="9"/>
  <c r="D79" i="9" s="1"/>
  <c r="AG30" i="9"/>
  <c r="D30" i="9" s="1"/>
  <c r="AG92" i="9"/>
  <c r="D92" i="9" s="1"/>
  <c r="AG46" i="9"/>
  <c r="D46" i="9" s="1"/>
  <c r="AG59" i="9"/>
  <c r="D59" i="9" s="1"/>
  <c r="AG23" i="9"/>
  <c r="D23" i="9" s="1"/>
  <c r="AG121" i="9"/>
  <c r="D121" i="9" s="1"/>
  <c r="AG81" i="9"/>
  <c r="D81" i="9" s="1"/>
  <c r="AG34" i="9"/>
  <c r="D34" i="9" s="1"/>
  <c r="AG11" i="9"/>
  <c r="D11" i="9" s="1"/>
  <c r="AG55" i="9"/>
  <c r="D55" i="9" s="1"/>
  <c r="AF37" i="9"/>
  <c r="AG37" i="9" s="1"/>
  <c r="D37" i="9" s="1"/>
  <c r="AF73" i="9"/>
  <c r="AG73" i="9" s="1"/>
  <c r="D73" i="9" s="1"/>
  <c r="AF17" i="9"/>
  <c r="AG17" i="9" s="1"/>
  <c r="D17" i="9" s="1"/>
  <c r="AF78" i="9"/>
  <c r="AG78" i="9" s="1"/>
  <c r="D78" i="9" s="1"/>
  <c r="AF8" i="9"/>
  <c r="AG8" i="9" s="1"/>
  <c r="D8" i="9" s="1"/>
  <c r="AF76" i="9"/>
  <c r="AG76" i="9" s="1"/>
  <c r="D76" i="9" s="1"/>
  <c r="AF16" i="9"/>
  <c r="AG16" i="9" s="1"/>
  <c r="D16" i="9" s="1"/>
  <c r="AF43" i="9"/>
  <c r="AG43" i="9" s="1"/>
  <c r="D43" i="9" s="1"/>
  <c r="AG49" i="9"/>
  <c r="D49" i="9" s="1"/>
  <c r="AG13" i="9"/>
  <c r="D13" i="9" s="1"/>
  <c r="AG103" i="9"/>
  <c r="D103" i="9" s="1"/>
  <c r="AG52" i="9"/>
  <c r="D52" i="9" s="1"/>
  <c r="AG68" i="9"/>
  <c r="D68" i="9" s="1"/>
  <c r="AG144" i="9"/>
  <c r="D144" i="9" s="1"/>
  <c r="AG42" i="9"/>
  <c r="D42" i="9" s="1"/>
  <c r="AG309" i="9"/>
  <c r="D309" i="9" s="1"/>
  <c r="AG84" i="9"/>
  <c r="D84" i="9" s="1"/>
  <c r="AG22" i="9"/>
  <c r="D22" i="9" s="1"/>
  <c r="AG21" i="9"/>
  <c r="D21" i="9" s="1"/>
  <c r="AG71" i="9"/>
  <c r="D71" i="9" s="1"/>
  <c r="AG310" i="9"/>
  <c r="D310" i="9" s="1"/>
  <c r="K2" i="9"/>
  <c r="AF2" i="9"/>
  <c r="AG27" i="9"/>
  <c r="D27" i="9" s="1"/>
  <c r="AG20" i="9"/>
  <c r="D20" i="9" s="1"/>
  <c r="AG6" i="9"/>
  <c r="D6" i="9" s="1"/>
  <c r="AG312" i="9"/>
  <c r="D312" i="9" s="1"/>
  <c r="AG50" i="9"/>
  <c r="D50" i="9" s="1"/>
  <c r="AG51" i="9"/>
  <c r="D51" i="9" s="1"/>
  <c r="AG48" i="9"/>
  <c r="D48" i="9" s="1"/>
  <c r="AG41" i="9"/>
  <c r="D41" i="9" s="1"/>
  <c r="AF89" i="9"/>
  <c r="AG89" i="9" s="1"/>
  <c r="D89" i="9" s="1"/>
  <c r="AF35" i="9"/>
  <c r="AG35" i="9" s="1"/>
  <c r="D35" i="9" s="1"/>
  <c r="AF26" i="9"/>
  <c r="AG26" i="9" s="1"/>
  <c r="D26" i="9" s="1"/>
  <c r="AF28" i="9"/>
  <c r="AG28" i="9" s="1"/>
  <c r="D28" i="9" s="1"/>
  <c r="AF311" i="9"/>
  <c r="AG311" i="9" s="1"/>
  <c r="D311" i="9" s="1"/>
  <c r="AF4" i="9"/>
  <c r="AG4" i="9" s="1"/>
  <c r="D4" i="9" s="1"/>
  <c r="AF83" i="9"/>
  <c r="AG83" i="9" s="1"/>
  <c r="D83" i="9" s="1"/>
  <c r="AF72" i="9"/>
  <c r="AG72" i="9" s="1"/>
  <c r="D72" i="9" s="1"/>
  <c r="AF5" i="9"/>
  <c r="AG5" i="9" s="1"/>
  <c r="D5" i="9" s="1"/>
  <c r="AF75" i="9"/>
  <c r="AG75" i="9" s="1"/>
  <c r="D75" i="9" s="1"/>
  <c r="AF138" i="9"/>
  <c r="AG138" i="9" s="1"/>
  <c r="D138" i="9" s="1"/>
  <c r="AF134" i="9"/>
  <c r="AG134" i="9" s="1"/>
  <c r="D134" i="9" s="1"/>
  <c r="AF62" i="9"/>
  <c r="AG62" i="9" s="1"/>
  <c r="D62" i="9" s="1"/>
  <c r="C136" i="28"/>
  <c r="L514" i="9"/>
  <c r="U514" i="9"/>
  <c r="K18" i="38" l="1"/>
  <c r="K19" i="38"/>
  <c r="M19" i="38" s="1"/>
  <c r="AH18" i="37"/>
  <c r="AI18" i="37" s="1"/>
  <c r="S19" i="37"/>
  <c r="V19" i="37" s="1"/>
  <c r="Z19" i="37"/>
  <c r="O20" i="37"/>
  <c r="N21" i="37"/>
  <c r="AK17" i="37"/>
  <c r="E17" i="37"/>
  <c r="AM17" i="37" s="1"/>
  <c r="AN17" i="37" s="1"/>
  <c r="AK16" i="37"/>
  <c r="E16" i="37"/>
  <c r="AM16" i="37" s="1"/>
  <c r="AN16" i="37" s="1"/>
  <c r="K15" i="38"/>
  <c r="F4" i="8" s="1"/>
  <c r="H134" i="28"/>
  <c r="F3" i="28"/>
  <c r="G3" i="28" s="1"/>
  <c r="H3" i="28" s="1"/>
  <c r="H136" i="28" s="1"/>
  <c r="AH31" i="9"/>
  <c r="AH7" i="9"/>
  <c r="AH83" i="9"/>
  <c r="AH16" i="9"/>
  <c r="AH30" i="9"/>
  <c r="AH80" i="9"/>
  <c r="AH24" i="9"/>
  <c r="AH63" i="9"/>
  <c r="AH36" i="9"/>
  <c r="AH311" i="9"/>
  <c r="AH70" i="9"/>
  <c r="AH18" i="9"/>
  <c r="AH64" i="9"/>
  <c r="AH65" i="9"/>
  <c r="AH72" i="9"/>
  <c r="AH310" i="9"/>
  <c r="AH79" i="9"/>
  <c r="AH71" i="9"/>
  <c r="AH88" i="9"/>
  <c r="AH28" i="9"/>
  <c r="AH21" i="9"/>
  <c r="AH78" i="9"/>
  <c r="AH77" i="9"/>
  <c r="AH54" i="9"/>
  <c r="AH56" i="9"/>
  <c r="AH3" i="9"/>
  <c r="AH49" i="9"/>
  <c r="AH12" i="9"/>
  <c r="AH32" i="9"/>
  <c r="AH26" i="9"/>
  <c r="AH22" i="9"/>
  <c r="AH17" i="9"/>
  <c r="AH45" i="9"/>
  <c r="AH147" i="9"/>
  <c r="AH33" i="9"/>
  <c r="AH4" i="9"/>
  <c r="AH76" i="9"/>
  <c r="AH8" i="9"/>
  <c r="AH35" i="9"/>
  <c r="AH84" i="9"/>
  <c r="AH73" i="9"/>
  <c r="AH9" i="9"/>
  <c r="AH40" i="9"/>
  <c r="AH61" i="9"/>
  <c r="AH89" i="9"/>
  <c r="AH309" i="9"/>
  <c r="AH37" i="9"/>
  <c r="AH146" i="9"/>
  <c r="AH53" i="9"/>
  <c r="AH67" i="9"/>
  <c r="AH57" i="9"/>
  <c r="AH25" i="9"/>
  <c r="AH41" i="9"/>
  <c r="AH42" i="9"/>
  <c r="AH55" i="9"/>
  <c r="AH308" i="9"/>
  <c r="AH66" i="9"/>
  <c r="AH44" i="9"/>
  <c r="AH58" i="9"/>
  <c r="AH46" i="9"/>
  <c r="AH11" i="9"/>
  <c r="AH19" i="9"/>
  <c r="AH51" i="9"/>
  <c r="AH50" i="9"/>
  <c r="AH10" i="9"/>
  <c r="AH82" i="9"/>
  <c r="AH15" i="9"/>
  <c r="AH69" i="9"/>
  <c r="AH62" i="9"/>
  <c r="AH81" i="9"/>
  <c r="AH134" i="9"/>
  <c r="AH312" i="9"/>
  <c r="AH121" i="9"/>
  <c r="AH130" i="9"/>
  <c r="AH94" i="9"/>
  <c r="AH74" i="9"/>
  <c r="AH27" i="9"/>
  <c r="AH43" i="9"/>
  <c r="AH144" i="9"/>
  <c r="AH38" i="9"/>
  <c r="AH68" i="9"/>
  <c r="AH39" i="9"/>
  <c r="AH138" i="9"/>
  <c r="AH6" i="9"/>
  <c r="AH103" i="9"/>
  <c r="AH23" i="9"/>
  <c r="AH14" i="9"/>
  <c r="AH112" i="9"/>
  <c r="AH60" i="9"/>
  <c r="AH5" i="9"/>
  <c r="AH92" i="9"/>
  <c r="AH48" i="9"/>
  <c r="AH34" i="9"/>
  <c r="AH125" i="9"/>
  <c r="AH52" i="9"/>
  <c r="AH75" i="9"/>
  <c r="AH20" i="9"/>
  <c r="AH13" i="9"/>
  <c r="AH59" i="9"/>
  <c r="AH47" i="9"/>
  <c r="AH29" i="9"/>
  <c r="AH87" i="9"/>
  <c r="D4" i="8"/>
  <c r="F136" i="28"/>
  <c r="AG2" i="9"/>
  <c r="AH2" i="9" s="1"/>
  <c r="AH19" i="37" l="1"/>
  <c r="AI19" i="37" s="1"/>
  <c r="S20" i="37"/>
  <c r="V20" i="37" s="1"/>
  <c r="Z20" i="37"/>
  <c r="O21" i="37"/>
  <c r="N22" i="37"/>
  <c r="AJ18" i="37"/>
  <c r="E18" i="37" s="1"/>
  <c r="M18" i="38"/>
  <c r="AH514" i="9"/>
  <c r="D2" i="9"/>
  <c r="N23" i="37" l="1"/>
  <c r="O22" i="37"/>
  <c r="S21" i="37"/>
  <c r="V21" i="37" s="1"/>
  <c r="Z21" i="37"/>
  <c r="AH20" i="37"/>
  <c r="AI20" i="37" s="1"/>
  <c r="AM18" i="37"/>
  <c r="AN18" i="37" s="1"/>
  <c r="AK18" i="37"/>
  <c r="AJ19" i="37"/>
  <c r="E19" i="37" s="1"/>
  <c r="D8" i="8"/>
  <c r="E6" i="8" s="1"/>
  <c r="AH21" i="37" l="1"/>
  <c r="AI21" i="37" s="1"/>
  <c r="Z22" i="37"/>
  <c r="S22" i="37"/>
  <c r="V22" i="37" s="1"/>
  <c r="N24" i="37"/>
  <c r="O23" i="37"/>
  <c r="AJ20" i="37"/>
  <c r="E20" i="37" s="1"/>
  <c r="AM19" i="37"/>
  <c r="AN19" i="37" s="1"/>
  <c r="AK19" i="37"/>
  <c r="D10" i="8"/>
  <c r="D9" i="8" s="1"/>
  <c r="E7" i="8"/>
  <c r="E5" i="8"/>
  <c r="E4" i="8"/>
  <c r="E30" i="12"/>
  <c r="F30" i="12" s="1"/>
  <c r="D34" i="12"/>
  <c r="E34" i="12" s="1"/>
  <c r="F34" i="12" s="1"/>
  <c r="AH22" i="37" l="1"/>
  <c r="AI22" i="37" s="1"/>
  <c r="AJ22" i="37" s="1"/>
  <c r="Z23" i="37"/>
  <c r="S23" i="37"/>
  <c r="V23" i="37" s="1"/>
  <c r="O24" i="37"/>
  <c r="N25" i="37"/>
  <c r="AK20" i="37"/>
  <c r="AM20" i="37"/>
  <c r="AN20" i="37" s="1"/>
  <c r="AJ21" i="37"/>
  <c r="E21" i="37" s="1"/>
  <c r="AH23" i="37" l="1"/>
  <c r="AI23" i="37" s="1"/>
  <c r="AJ23" i="37" s="1"/>
  <c r="N26" i="37"/>
  <c r="O25" i="37"/>
  <c r="S24" i="37"/>
  <c r="V24" i="37" s="1"/>
  <c r="Z24" i="37"/>
  <c r="AK22" i="37"/>
  <c r="E22" i="37"/>
  <c r="AM22" i="37" s="1"/>
  <c r="AN22" i="37" s="1"/>
  <c r="AK21" i="37"/>
  <c r="AM21" i="37"/>
  <c r="AN21" i="37" s="1"/>
  <c r="AH24" i="37" l="1"/>
  <c r="AI24" i="37" s="1"/>
  <c r="S25" i="37"/>
  <c r="V25" i="37" s="1"/>
  <c r="Z25" i="37"/>
  <c r="N27" i="37"/>
  <c r="O26" i="37"/>
  <c r="E23" i="37"/>
  <c r="AM23" i="37" s="1"/>
  <c r="AN23" i="37" s="1"/>
  <c r="AK23" i="37"/>
  <c r="AH25" i="37" l="1"/>
  <c r="AI25" i="37" s="1"/>
  <c r="N28" i="37"/>
  <c r="O27" i="37"/>
  <c r="S26" i="37"/>
  <c r="V26" i="37" s="1"/>
  <c r="Z26" i="37"/>
  <c r="AJ24" i="37"/>
  <c r="E24" i="37" s="1"/>
  <c r="N29" i="37" l="1"/>
  <c r="O28" i="37"/>
  <c r="S27" i="37"/>
  <c r="V27" i="37" s="1"/>
  <c r="Z27" i="37"/>
  <c r="AH26" i="37"/>
  <c r="AI26" i="37" s="1"/>
  <c r="AK24" i="37"/>
  <c r="AM24" i="37"/>
  <c r="AN24" i="37" s="1"/>
  <c r="AJ25" i="37"/>
  <c r="E25" i="37" s="1"/>
  <c r="AH27" i="37" l="1"/>
  <c r="AI27" i="37" s="1"/>
  <c r="S28" i="37"/>
  <c r="V28" i="37" s="1"/>
  <c r="Z28" i="37"/>
  <c r="N30" i="37"/>
  <c r="O29" i="37"/>
  <c r="AM25" i="37"/>
  <c r="AN25" i="37" s="1"/>
  <c r="AK25" i="37"/>
  <c r="AJ26" i="37"/>
  <c r="E26" i="37" s="1"/>
  <c r="AH28" i="37" l="1"/>
  <c r="AI28" i="37" s="1"/>
  <c r="S29" i="37"/>
  <c r="V29" i="37" s="1"/>
  <c r="Z29" i="37"/>
  <c r="N31" i="37"/>
  <c r="O30" i="37"/>
  <c r="AK26" i="37"/>
  <c r="AM26" i="37"/>
  <c r="AN26" i="37" s="1"/>
  <c r="AJ27" i="37"/>
  <c r="E27" i="37" s="1"/>
  <c r="AH29" i="37" l="1"/>
  <c r="AI29" i="37" s="1"/>
  <c r="S30" i="37"/>
  <c r="V30" i="37" s="1"/>
  <c r="Z30" i="37"/>
  <c r="O31" i="37"/>
  <c r="N32" i="37"/>
  <c r="AK27" i="37"/>
  <c r="AM27" i="37"/>
  <c r="AN27" i="37" s="1"/>
  <c r="AJ28" i="37"/>
  <c r="E28" i="37" s="1"/>
  <c r="AH30" i="37" l="1"/>
  <c r="AI30" i="37" s="1"/>
  <c r="AJ30" i="37" s="1"/>
  <c r="Z31" i="37"/>
  <c r="S31" i="37"/>
  <c r="V31" i="37" s="1"/>
  <c r="O32" i="37"/>
  <c r="N33" i="37"/>
  <c r="AJ29" i="37"/>
  <c r="AM28" i="37"/>
  <c r="AN28" i="37" s="1"/>
  <c r="AK28" i="37"/>
  <c r="S32" i="37" l="1"/>
  <c r="V32" i="37" s="1"/>
  <c r="Z32" i="37"/>
  <c r="O33" i="37"/>
  <c r="N34" i="37"/>
  <c r="AH31" i="37"/>
  <c r="AI31" i="37" s="1"/>
  <c r="E30" i="37"/>
  <c r="AM30" i="37" s="1"/>
  <c r="AN30" i="37" s="1"/>
  <c r="AK29" i="37"/>
  <c r="E29" i="37"/>
  <c r="AM29" i="37" s="1"/>
  <c r="AN29" i="37" s="1"/>
  <c r="AK30" i="37"/>
  <c r="AH32" i="37" l="1"/>
  <c r="AI32" i="37" s="1"/>
  <c r="S33" i="37"/>
  <c r="V33" i="37" s="1"/>
  <c r="Z33" i="37"/>
  <c r="N35" i="37"/>
  <c r="O34" i="37"/>
  <c r="AJ31" i="37"/>
  <c r="E31" i="37" s="1"/>
  <c r="AH33" i="37" l="1"/>
  <c r="AI33" i="37" s="1"/>
  <c r="Z34" i="37"/>
  <c r="S34" i="37"/>
  <c r="V34" i="37" s="1"/>
  <c r="O35" i="37"/>
  <c r="N36" i="37"/>
  <c r="AK31" i="37"/>
  <c r="AM31" i="37"/>
  <c r="AN31" i="37" s="1"/>
  <c r="AJ32" i="37"/>
  <c r="E32" i="37" s="1"/>
  <c r="AH34" i="37" l="1"/>
  <c r="AI34" i="37" s="1"/>
  <c r="S35" i="37"/>
  <c r="V35" i="37" s="1"/>
  <c r="Z35" i="37"/>
  <c r="O36" i="37"/>
  <c r="N37" i="37"/>
  <c r="AK32" i="37"/>
  <c r="AM32" i="37"/>
  <c r="AN32" i="37" s="1"/>
  <c r="AJ33" i="37"/>
  <c r="E33" i="37" s="1"/>
  <c r="AH35" i="37" l="1"/>
  <c r="AI35" i="37" s="1"/>
  <c r="O37" i="37"/>
  <c r="N38" i="37"/>
  <c r="S36" i="37"/>
  <c r="V36" i="37" s="1"/>
  <c r="Z36" i="37"/>
  <c r="AJ34" i="37"/>
  <c r="E34" i="37" s="1"/>
  <c r="AK33" i="37"/>
  <c r="AM33" i="37"/>
  <c r="AN33" i="37" s="1"/>
  <c r="O38" i="37" l="1"/>
  <c r="N39" i="37"/>
  <c r="S37" i="37"/>
  <c r="V37" i="37" s="1"/>
  <c r="Z37" i="37"/>
  <c r="AH36" i="37"/>
  <c r="AI36" i="37" s="1"/>
  <c r="AJ35" i="37"/>
  <c r="E35" i="37" s="1"/>
  <c r="AM34" i="37"/>
  <c r="AN34" i="37" s="1"/>
  <c r="AK34" i="37"/>
  <c r="AH37" i="37" l="1"/>
  <c r="AI37" i="37" s="1"/>
  <c r="Z38" i="37"/>
  <c r="S38" i="37"/>
  <c r="V38" i="37" s="1"/>
  <c r="O39" i="37"/>
  <c r="N40" i="37"/>
  <c r="AM35" i="37"/>
  <c r="AN35" i="37" s="1"/>
  <c r="AK35" i="37"/>
  <c r="AJ36" i="37"/>
  <c r="E36" i="37" s="1"/>
  <c r="Z39" i="37" l="1"/>
  <c r="S39" i="37"/>
  <c r="V39" i="37" s="1"/>
  <c r="AH38" i="37"/>
  <c r="AI38" i="37" s="1"/>
  <c r="O40" i="37"/>
  <c r="N41" i="37"/>
  <c r="AM36" i="37"/>
  <c r="AN36" i="37" s="1"/>
  <c r="AK36" i="37"/>
  <c r="AJ37" i="37"/>
  <c r="E37" i="37" s="1"/>
  <c r="AH39" i="37" l="1"/>
  <c r="AI39" i="37" s="1"/>
  <c r="S40" i="37"/>
  <c r="V40" i="37" s="1"/>
  <c r="Z40" i="37"/>
  <c r="O41" i="37"/>
  <c r="N42" i="37"/>
  <c r="AM37" i="37"/>
  <c r="AN37" i="37" s="1"/>
  <c r="AK37" i="37"/>
  <c r="AJ38" i="37"/>
  <c r="E38" i="37" s="1"/>
  <c r="AH40" i="37" l="1"/>
  <c r="AI40" i="37" s="1"/>
  <c r="AJ40" i="37" s="1"/>
  <c r="Z41" i="37"/>
  <c r="S41" i="37"/>
  <c r="V41" i="37" s="1"/>
  <c r="N43" i="37"/>
  <c r="O42" i="37"/>
  <c r="AJ39" i="37"/>
  <c r="E39" i="37" s="1"/>
  <c r="AK38" i="37"/>
  <c r="AM38" i="37"/>
  <c r="AN38" i="37" s="1"/>
  <c r="AH41" i="37" l="1"/>
  <c r="AI41" i="37" s="1"/>
  <c r="Z42" i="37"/>
  <c r="S42" i="37"/>
  <c r="V42" i="37" s="1"/>
  <c r="N44" i="37"/>
  <c r="O43" i="37"/>
  <c r="AK40" i="37"/>
  <c r="E40" i="37"/>
  <c r="AM40" i="37" s="1"/>
  <c r="AN40" i="37" s="1"/>
  <c r="AM39" i="37"/>
  <c r="AN39" i="37" s="1"/>
  <c r="AK39" i="37"/>
  <c r="O44" i="37" l="1"/>
  <c r="N45" i="37"/>
  <c r="S43" i="37"/>
  <c r="V43" i="37" s="1"/>
  <c r="Z43" i="37"/>
  <c r="AH42" i="37"/>
  <c r="AI42" i="37" s="1"/>
  <c r="AJ41" i="37"/>
  <c r="AK41" i="37" s="1"/>
  <c r="S44" i="37" l="1"/>
  <c r="V44" i="37" s="1"/>
  <c r="Z44" i="37"/>
  <c r="AH43" i="37"/>
  <c r="AI43" i="37" s="1"/>
  <c r="O45" i="37"/>
  <c r="N46" i="37"/>
  <c r="E41" i="37"/>
  <c r="AM41" i="37" s="1"/>
  <c r="AN41" i="37" s="1"/>
  <c r="AJ42" i="37"/>
  <c r="E42" i="37" s="1"/>
  <c r="AH44" i="37" l="1"/>
  <c r="AI44" i="37" s="1"/>
  <c r="S45" i="37"/>
  <c r="V45" i="37" s="1"/>
  <c r="Z45" i="37"/>
  <c r="N47" i="37"/>
  <c r="O46" i="37"/>
  <c r="AM42" i="37"/>
  <c r="AN42" i="37" s="1"/>
  <c r="AK42" i="37"/>
  <c r="AJ43" i="37"/>
  <c r="E43" i="37" s="1"/>
  <c r="AH45" i="37" l="1"/>
  <c r="AI45" i="37" s="1"/>
  <c r="Z46" i="37"/>
  <c r="S46" i="37"/>
  <c r="V46" i="37" s="1"/>
  <c r="O47" i="37"/>
  <c r="N48" i="37"/>
  <c r="AM43" i="37"/>
  <c r="AN43" i="37" s="1"/>
  <c r="AK43" i="37"/>
  <c r="AJ44" i="37"/>
  <c r="E44" i="37" s="1"/>
  <c r="O48" i="37" l="1"/>
  <c r="N49" i="37"/>
  <c r="S47" i="37"/>
  <c r="V47" i="37" s="1"/>
  <c r="Z47" i="37"/>
  <c r="AH46" i="37"/>
  <c r="AI46" i="37" s="1"/>
  <c r="AJ46" i="37" s="1"/>
  <c r="AJ45" i="37"/>
  <c r="E45" i="37" s="1"/>
  <c r="AM44" i="37"/>
  <c r="AN44" i="37" s="1"/>
  <c r="AK44" i="37"/>
  <c r="E46" i="37" l="1"/>
  <c r="AM46" i="37" s="1"/>
  <c r="AN46" i="37" s="1"/>
  <c r="AK46" i="37"/>
  <c r="Z48" i="37"/>
  <c r="S48" i="37"/>
  <c r="V48" i="37" s="1"/>
  <c r="AH47" i="37"/>
  <c r="AI47" i="37" s="1"/>
  <c r="N50" i="37"/>
  <c r="O49" i="37"/>
  <c r="AM45" i="37"/>
  <c r="AN45" i="37" s="1"/>
  <c r="AK45" i="37"/>
  <c r="AH48" i="37" l="1"/>
  <c r="AI48" i="37" s="1"/>
  <c r="O50" i="37"/>
  <c r="N51" i="37"/>
  <c r="Z49" i="37"/>
  <c r="S49" i="37"/>
  <c r="V49" i="37" s="1"/>
  <c r="AJ47" i="37"/>
  <c r="E47" i="37" s="1"/>
  <c r="Z50" i="37" l="1"/>
  <c r="S50" i="37"/>
  <c r="V50" i="37" s="1"/>
  <c r="AH49" i="37"/>
  <c r="AI49" i="37" s="1"/>
  <c r="AJ49" i="37" s="1"/>
  <c r="N52" i="37"/>
  <c r="O51" i="37"/>
  <c r="AJ48" i="37"/>
  <c r="E48" i="37" s="1"/>
  <c r="AM47" i="37"/>
  <c r="AN47" i="37" s="1"/>
  <c r="AK47" i="37"/>
  <c r="AH50" i="37" l="1"/>
  <c r="AI50" i="37" s="1"/>
  <c r="Z51" i="37"/>
  <c r="S51" i="37"/>
  <c r="V51" i="37" s="1"/>
  <c r="O52" i="37"/>
  <c r="N53" i="37"/>
  <c r="AK49" i="37"/>
  <c r="E49" i="37"/>
  <c r="AM49" i="37" s="1"/>
  <c r="AN49" i="37" s="1"/>
  <c r="AM48" i="37"/>
  <c r="AN48" i="37" s="1"/>
  <c r="AK48" i="37"/>
  <c r="AH51" i="37" l="1"/>
  <c r="AI51" i="37" s="1"/>
  <c r="S52" i="37"/>
  <c r="V52" i="37" s="1"/>
  <c r="Z52" i="37"/>
  <c r="O53" i="37"/>
  <c r="N54" i="37"/>
  <c r="AJ50" i="37"/>
  <c r="E50" i="37" s="1"/>
  <c r="O54" i="37" l="1"/>
  <c r="N55" i="37"/>
  <c r="S53" i="37"/>
  <c r="V53" i="37" s="1"/>
  <c r="Z53" i="37"/>
  <c r="AH52" i="37"/>
  <c r="AI52" i="37" s="1"/>
  <c r="AJ51" i="37"/>
  <c r="E51" i="37" s="1"/>
  <c r="AM50" i="37"/>
  <c r="AN50" i="37" s="1"/>
  <c r="AK50" i="37"/>
  <c r="AH53" i="37" l="1"/>
  <c r="AI53" i="37" s="1"/>
  <c r="S54" i="37"/>
  <c r="V54" i="37" s="1"/>
  <c r="Z54" i="37"/>
  <c r="O55" i="37"/>
  <c r="N56" i="37"/>
  <c r="AJ52" i="37"/>
  <c r="E52" i="37" s="1"/>
  <c r="AK51" i="37"/>
  <c r="AM51" i="37"/>
  <c r="AN51" i="37" s="1"/>
  <c r="S55" i="37" l="1"/>
  <c r="V55" i="37" s="1"/>
  <c r="Z55" i="37"/>
  <c r="N57" i="37"/>
  <c r="O56" i="37"/>
  <c r="AH54" i="37"/>
  <c r="AI54" i="37" s="1"/>
  <c r="AM52" i="37"/>
  <c r="AN52" i="37" s="1"/>
  <c r="AK52" i="37"/>
  <c r="AJ53" i="37"/>
  <c r="E53" i="37" s="1"/>
  <c r="AH55" i="37" l="1"/>
  <c r="AI55" i="37" s="1"/>
  <c r="AJ55" i="37" s="1"/>
  <c r="Z56" i="37"/>
  <c r="S56" i="37"/>
  <c r="V56" i="37" s="1"/>
  <c r="N58" i="37"/>
  <c r="O57" i="37"/>
  <c r="AJ54" i="37"/>
  <c r="E54" i="37" s="1"/>
  <c r="AM53" i="37"/>
  <c r="AN53" i="37" s="1"/>
  <c r="AK53" i="37"/>
  <c r="AH56" i="37" l="1"/>
  <c r="AI56" i="37" s="1"/>
  <c r="O58" i="37"/>
  <c r="N59" i="37"/>
  <c r="S57" i="37"/>
  <c r="V57" i="37" s="1"/>
  <c r="Z57" i="37"/>
  <c r="AK55" i="37"/>
  <c r="E55" i="37"/>
  <c r="AM55" i="37" s="1"/>
  <c r="AN55" i="37" s="1"/>
  <c r="AK54" i="37"/>
  <c r="AM54" i="37"/>
  <c r="AN54" i="37" s="1"/>
  <c r="AH57" i="37" l="1"/>
  <c r="AI57" i="37" s="1"/>
  <c r="AJ57" i="37" s="1"/>
  <c r="S58" i="37"/>
  <c r="V58" i="37" s="1"/>
  <c r="Z58" i="37"/>
  <c r="O59" i="37"/>
  <c r="N60" i="37"/>
  <c r="AJ56" i="37"/>
  <c r="E56" i="37" s="1"/>
  <c r="AH58" i="37" l="1"/>
  <c r="AI58" i="37" s="1"/>
  <c r="N61" i="37"/>
  <c r="O60" i="37"/>
  <c r="S59" i="37"/>
  <c r="V59" i="37" s="1"/>
  <c r="Z59" i="37"/>
  <c r="AK57" i="37"/>
  <c r="E57" i="37"/>
  <c r="AM57" i="37" s="1"/>
  <c r="AN57" i="37" s="1"/>
  <c r="AK56" i="37"/>
  <c r="AM56" i="37"/>
  <c r="AN56" i="37" s="1"/>
  <c r="AH59" i="37" l="1"/>
  <c r="AI59" i="37" s="1"/>
  <c r="Z60" i="37"/>
  <c r="S60" i="37"/>
  <c r="V60" i="37" s="1"/>
  <c r="O61" i="37"/>
  <c r="N62" i="37"/>
  <c r="AJ58" i="37"/>
  <c r="Z61" i="37" l="1"/>
  <c r="S61" i="37"/>
  <c r="V61" i="37" s="1"/>
  <c r="O62" i="37"/>
  <c r="N63" i="37"/>
  <c r="AH60" i="37"/>
  <c r="AI60" i="37" s="1"/>
  <c r="AK58" i="37"/>
  <c r="E58" i="37"/>
  <c r="AM58" i="37" s="1"/>
  <c r="AN58" i="37" s="1"/>
  <c r="AJ59" i="37"/>
  <c r="E59" i="37" s="1"/>
  <c r="AH61" i="37" l="1"/>
  <c r="AI61" i="37" s="1"/>
  <c r="AJ61" i="37" s="1"/>
  <c r="O63" i="37"/>
  <c r="N64" i="37"/>
  <c r="S62" i="37"/>
  <c r="V62" i="37" s="1"/>
  <c r="Z62" i="37"/>
  <c r="AM59" i="37"/>
  <c r="AN59" i="37" s="1"/>
  <c r="AK59" i="37"/>
  <c r="AJ60" i="37"/>
  <c r="E60" i="37" s="1"/>
  <c r="AH62" i="37" l="1"/>
  <c r="AI62" i="37" s="1"/>
  <c r="Z63" i="37"/>
  <c r="S63" i="37"/>
  <c r="V63" i="37" s="1"/>
  <c r="N65" i="37"/>
  <c r="O64" i="37"/>
  <c r="AK61" i="37"/>
  <c r="E61" i="37"/>
  <c r="AM61" i="37" s="1"/>
  <c r="AN61" i="37" s="1"/>
  <c r="AM60" i="37"/>
  <c r="AN60" i="37" s="1"/>
  <c r="AK60" i="37"/>
  <c r="S64" i="37" l="1"/>
  <c r="V64" i="37" s="1"/>
  <c r="Z64" i="37"/>
  <c r="N66" i="37"/>
  <c r="O65" i="37"/>
  <c r="AH63" i="37"/>
  <c r="AI63" i="37" s="1"/>
  <c r="AJ63" i="37" s="1"/>
  <c r="E63" i="37" s="1"/>
  <c r="AM63" i="37" s="1"/>
  <c r="AN63" i="37" s="1"/>
  <c r="AJ62" i="37"/>
  <c r="E62" i="37" s="1"/>
  <c r="AK63" i="37" l="1"/>
  <c r="S65" i="37"/>
  <c r="V65" i="37" s="1"/>
  <c r="Z65" i="37"/>
  <c r="O66" i="37"/>
  <c r="N67" i="37"/>
  <c r="AH64" i="37"/>
  <c r="AI64" i="37" s="1"/>
  <c r="AJ64" i="37" s="1"/>
  <c r="AK64" i="37" s="1"/>
  <c r="AK62" i="37"/>
  <c r="AM62" i="37"/>
  <c r="AN62" i="37" s="1"/>
  <c r="AH65" i="37" l="1"/>
  <c r="AI65" i="37" s="1"/>
  <c r="AJ65" i="37" s="1"/>
  <c r="E65" i="37" s="1"/>
  <c r="S66" i="37"/>
  <c r="V66" i="37" s="1"/>
  <c r="Z66" i="37"/>
  <c r="N68" i="37"/>
  <c r="O67" i="37"/>
  <c r="E64" i="37"/>
  <c r="AM64" i="37" s="1"/>
  <c r="AN64" i="37" s="1"/>
  <c r="AH66" i="37" l="1"/>
  <c r="AI66" i="37" s="1"/>
  <c r="AJ66" i="37" s="1"/>
  <c r="E66" i="37" s="1"/>
  <c r="AM66" i="37" s="1"/>
  <c r="AN66" i="37" s="1"/>
  <c r="Z67" i="37"/>
  <c r="S67" i="37"/>
  <c r="V67" i="37" s="1"/>
  <c r="O68" i="37"/>
  <c r="N69" i="37"/>
  <c r="AK65" i="37"/>
  <c r="AM65" i="37"/>
  <c r="AN65" i="37" s="1"/>
  <c r="AK66" i="37" l="1"/>
  <c r="AH67" i="37"/>
  <c r="AI67" i="37" s="1"/>
  <c r="AJ67" i="37" s="1"/>
  <c r="E67" i="37" s="1"/>
  <c r="AM67" i="37" s="1"/>
  <c r="AN67" i="37" s="1"/>
  <c r="O69" i="37"/>
  <c r="N70" i="37"/>
  <c r="S68" i="37"/>
  <c r="V68" i="37" s="1"/>
  <c r="Z68" i="37"/>
  <c r="AH68" i="37" l="1"/>
  <c r="AI68" i="37" s="1"/>
  <c r="AJ68" i="37" s="1"/>
  <c r="E68" i="37" s="1"/>
  <c r="AM68" i="37" s="1"/>
  <c r="AN68" i="37" s="1"/>
  <c r="AK67" i="37"/>
  <c r="Z69" i="37"/>
  <c r="S69" i="37"/>
  <c r="V69" i="37" s="1"/>
  <c r="N71" i="37"/>
  <c r="O70" i="37"/>
  <c r="AK68" i="37" l="1"/>
  <c r="Z70" i="37"/>
  <c r="S70" i="37"/>
  <c r="V70" i="37" s="1"/>
  <c r="AH69" i="37"/>
  <c r="AI69" i="37" s="1"/>
  <c r="AJ69" i="37" s="1"/>
  <c r="O71" i="37"/>
  <c r="N72" i="37"/>
  <c r="O72" i="37" l="1"/>
  <c r="N73" i="37"/>
  <c r="S71" i="37"/>
  <c r="V71" i="37" s="1"/>
  <c r="Z71" i="37"/>
  <c r="E69" i="37"/>
  <c r="AM69" i="37" s="1"/>
  <c r="AN69" i="37" s="1"/>
  <c r="AK69" i="37"/>
  <c r="AH70" i="37"/>
  <c r="AI70" i="37" s="1"/>
  <c r="AJ70" i="37" s="1"/>
  <c r="O73" i="37" l="1"/>
  <c r="N74" i="37"/>
  <c r="S72" i="37"/>
  <c r="V72" i="37" s="1"/>
  <c r="Z72" i="37"/>
  <c r="E70" i="37"/>
  <c r="AM70" i="37" s="1"/>
  <c r="AN70" i="37" s="1"/>
  <c r="AK70" i="37"/>
  <c r="AH71" i="37"/>
  <c r="AI71" i="37" s="1"/>
  <c r="AJ71" i="37" s="1"/>
  <c r="O74" i="37" l="1"/>
  <c r="N75" i="37"/>
  <c r="Z73" i="37"/>
  <c r="S73" i="37"/>
  <c r="V73" i="37" s="1"/>
  <c r="E71" i="37"/>
  <c r="AM71" i="37" s="1"/>
  <c r="AN71" i="37" s="1"/>
  <c r="AK71" i="37"/>
  <c r="AH72" i="37"/>
  <c r="AI72" i="37" s="1"/>
  <c r="AJ72" i="37" s="1"/>
  <c r="N76" i="37" l="1"/>
  <c r="O75" i="37"/>
  <c r="E72" i="37"/>
  <c r="AM72" i="37" s="1"/>
  <c r="AN72" i="37" s="1"/>
  <c r="AK72" i="37"/>
  <c r="AH73" i="37"/>
  <c r="AI73" i="37" s="1"/>
  <c r="AJ73" i="37" s="1"/>
  <c r="S74" i="37"/>
  <c r="V74" i="37" s="1"/>
  <c r="Z74" i="37"/>
  <c r="AH74" i="37" l="1"/>
  <c r="AI74" i="37" s="1"/>
  <c r="AJ74" i="37" s="1"/>
  <c r="AK73" i="37"/>
  <c r="E73" i="37"/>
  <c r="AM73" i="37" s="1"/>
  <c r="AN73" i="37" s="1"/>
  <c r="S75" i="37"/>
  <c r="V75" i="37" s="1"/>
  <c r="Z75" i="37"/>
  <c r="O76" i="37"/>
  <c r="N77" i="37"/>
  <c r="AH75" i="37" l="1"/>
  <c r="AI75" i="37" s="1"/>
  <c r="AJ75" i="37" s="1"/>
  <c r="E75" i="37" s="1"/>
  <c r="AM75" i="37" s="1"/>
  <c r="AN75" i="37" s="1"/>
  <c r="Z76" i="37"/>
  <c r="S76" i="37"/>
  <c r="V76" i="37" s="1"/>
  <c r="O77" i="37"/>
  <c r="N78" i="37"/>
  <c r="AK74" i="37"/>
  <c r="E74" i="37"/>
  <c r="AM74" i="37" s="1"/>
  <c r="AN74" i="37" s="1"/>
  <c r="AK75" i="37" l="1"/>
  <c r="AH76" i="37"/>
  <c r="AI76" i="37" s="1"/>
  <c r="AJ76" i="37" s="1"/>
  <c r="E76" i="37" s="1"/>
  <c r="AM76" i="37" s="1"/>
  <c r="AN76" i="37" s="1"/>
  <c r="O78" i="37"/>
  <c r="N79" i="37"/>
  <c r="Z77" i="37"/>
  <c r="S77" i="37"/>
  <c r="V77" i="37" s="1"/>
  <c r="AK76" i="37" l="1"/>
  <c r="AH77" i="37"/>
  <c r="AI77" i="37" s="1"/>
  <c r="AJ77" i="37" s="1"/>
  <c r="O79" i="37"/>
  <c r="N80" i="37"/>
  <c r="Z78" i="37"/>
  <c r="S78" i="37"/>
  <c r="V78" i="37" s="1"/>
  <c r="AH78" i="37" l="1"/>
  <c r="AI78" i="37" s="1"/>
  <c r="AJ78" i="37" s="1"/>
  <c r="N81" i="37"/>
  <c r="O80" i="37"/>
  <c r="E77" i="37"/>
  <c r="AM77" i="37" s="1"/>
  <c r="AN77" i="37" s="1"/>
  <c r="AK77" i="37"/>
  <c r="Z79" i="37"/>
  <c r="S79" i="37"/>
  <c r="V79" i="37" s="1"/>
  <c r="S80" i="37" l="1"/>
  <c r="V80" i="37" s="1"/>
  <c r="Z80" i="37"/>
  <c r="O81" i="37"/>
  <c r="N82" i="37"/>
  <c r="AH79" i="37"/>
  <c r="AI79" i="37" s="1"/>
  <c r="AJ79" i="37" s="1"/>
  <c r="AK78" i="37"/>
  <c r="E78" i="37"/>
  <c r="AM78" i="37" s="1"/>
  <c r="AN78" i="37" s="1"/>
  <c r="AK79" i="37" l="1"/>
  <c r="E79" i="37"/>
  <c r="AM79" i="37" s="1"/>
  <c r="AN79" i="37" s="1"/>
  <c r="O82" i="37"/>
  <c r="N83" i="37"/>
  <c r="S81" i="37"/>
  <c r="V81" i="37" s="1"/>
  <c r="Z81" i="37"/>
  <c r="AH80" i="37"/>
  <c r="AI80" i="37" s="1"/>
  <c r="AJ80" i="37" s="1"/>
  <c r="AH81" i="37" l="1"/>
  <c r="AI81" i="37" s="1"/>
  <c r="AJ81" i="37" s="1"/>
  <c r="E81" i="37" s="1"/>
  <c r="AM81" i="37" s="1"/>
  <c r="AN81" i="37" s="1"/>
  <c r="E80" i="37"/>
  <c r="AM80" i="37" s="1"/>
  <c r="AN80" i="37" s="1"/>
  <c r="AK80" i="37"/>
  <c r="S82" i="37"/>
  <c r="V82" i="37" s="1"/>
  <c r="Z82" i="37"/>
  <c r="O83" i="37"/>
  <c r="N84" i="37"/>
  <c r="AH82" i="37" l="1"/>
  <c r="AI82" i="37" s="1"/>
  <c r="AJ82" i="37" s="1"/>
  <c r="AK81" i="37"/>
  <c r="S83" i="37"/>
  <c r="V83" i="37" s="1"/>
  <c r="Z83" i="37"/>
  <c r="O84" i="37"/>
  <c r="N85" i="37"/>
  <c r="E82" i="37" l="1"/>
  <c r="AM82" i="37" s="1"/>
  <c r="AN82" i="37" s="1"/>
  <c r="AK82" i="37"/>
  <c r="AH83" i="37"/>
  <c r="AI83" i="37" s="1"/>
  <c r="AJ83" i="37" s="1"/>
  <c r="S84" i="37"/>
  <c r="V84" i="37" s="1"/>
  <c r="Z84" i="37"/>
  <c r="O85" i="37"/>
  <c r="N86" i="37"/>
  <c r="E83" i="37"/>
  <c r="AM83" i="37" s="1"/>
  <c r="AN83" i="37" s="1"/>
  <c r="AK83" i="37"/>
  <c r="AH84" i="37" l="1"/>
  <c r="AI84" i="37" s="1"/>
  <c r="AJ84" i="37" s="1"/>
  <c r="AK84" i="37" s="1"/>
  <c r="Z85" i="37"/>
  <c r="S85" i="37"/>
  <c r="V85" i="37" s="1"/>
  <c r="N87" i="37"/>
  <c r="O86" i="37"/>
  <c r="E84" i="37" l="1"/>
  <c r="AM84" i="37" s="1"/>
  <c r="AN84" i="37" s="1"/>
  <c r="S86" i="37"/>
  <c r="V86" i="37" s="1"/>
  <c r="Z86" i="37"/>
  <c r="AH86" i="37" s="1"/>
  <c r="AI86" i="37" s="1"/>
  <c r="AJ86" i="37" s="1"/>
  <c r="N88" i="37"/>
  <c r="O87" i="37"/>
  <c r="AH85" i="37"/>
  <c r="AI85" i="37" s="1"/>
  <c r="AJ85" i="37" s="1"/>
  <c r="AK86" i="37" l="1"/>
  <c r="E86" i="37"/>
  <c r="AM86" i="37" s="1"/>
  <c r="AN86" i="37" s="1"/>
  <c r="E85" i="37"/>
  <c r="AM85" i="37" s="1"/>
  <c r="AN85" i="37" s="1"/>
  <c r="AK85" i="37"/>
  <c r="Z87" i="37"/>
  <c r="S87" i="37"/>
  <c r="V87" i="37" s="1"/>
  <c r="O88" i="37"/>
  <c r="N89" i="37"/>
  <c r="O89" i="37" l="1"/>
  <c r="N90" i="37"/>
  <c r="S88" i="37"/>
  <c r="V88" i="37" s="1"/>
  <c r="Z88" i="37"/>
  <c r="AH87" i="37"/>
  <c r="AI87" i="37" s="1"/>
  <c r="AJ87" i="37" s="1"/>
  <c r="AH88" i="37" l="1"/>
  <c r="AI88" i="37" s="1"/>
  <c r="AJ88" i="37" s="1"/>
  <c r="E88" i="37" s="1"/>
  <c r="AM88" i="37" s="1"/>
  <c r="AN88" i="37" s="1"/>
  <c r="E87" i="37"/>
  <c r="AM87" i="37" s="1"/>
  <c r="AN87" i="37" s="1"/>
  <c r="AK87" i="37"/>
  <c r="N91" i="37"/>
  <c r="O90" i="37"/>
  <c r="S89" i="37"/>
  <c r="V89" i="37" s="1"/>
  <c r="Z89" i="37"/>
  <c r="AK88" i="37" l="1"/>
  <c r="AH89" i="37"/>
  <c r="AI89" i="37" s="1"/>
  <c r="AJ89" i="37" s="1"/>
  <c r="AK89" i="37" s="1"/>
  <c r="Z90" i="37"/>
  <c r="S90" i="37"/>
  <c r="V90" i="37" s="1"/>
  <c r="O91" i="37"/>
  <c r="N92" i="37"/>
  <c r="E89" i="37" l="1"/>
  <c r="AM89" i="37" s="1"/>
  <c r="AN89" i="37" s="1"/>
  <c r="O92" i="37"/>
  <c r="N93" i="37"/>
  <c r="Z91" i="37"/>
  <c r="S91" i="37"/>
  <c r="V91" i="37" s="1"/>
  <c r="AH90" i="37"/>
  <c r="AI90" i="37" s="1"/>
  <c r="AJ90" i="37" s="1"/>
  <c r="AK90" i="37" l="1"/>
  <c r="E90" i="37"/>
  <c r="AM90" i="37" s="1"/>
  <c r="AN90" i="37" s="1"/>
  <c r="AH91" i="37"/>
  <c r="AI91" i="37" s="1"/>
  <c r="AJ91" i="37" s="1"/>
  <c r="N94" i="37"/>
  <c r="O93" i="37"/>
  <c r="Z92" i="37"/>
  <c r="S92" i="37"/>
  <c r="V92" i="37" s="1"/>
  <c r="AH92" i="37" l="1"/>
  <c r="AI92" i="37" s="1"/>
  <c r="AJ92" i="37" s="1"/>
  <c r="Z93" i="37"/>
  <c r="S93" i="37"/>
  <c r="V93" i="37" s="1"/>
  <c r="N95" i="37"/>
  <c r="O94" i="37"/>
  <c r="AK91" i="37"/>
  <c r="E91" i="37"/>
  <c r="AM91" i="37" s="1"/>
  <c r="AN91" i="37" s="1"/>
  <c r="AK92" i="37" l="1"/>
  <c r="E92" i="37"/>
  <c r="AM92" i="37" s="1"/>
  <c r="AN92" i="37" s="1"/>
  <c r="S94" i="37"/>
  <c r="V94" i="37" s="1"/>
  <c r="Z94" i="37"/>
  <c r="O95" i="37"/>
  <c r="N96" i="37"/>
  <c r="AH93" i="37"/>
  <c r="AI93" i="37" s="1"/>
  <c r="AJ93" i="37" s="1"/>
  <c r="AH94" i="37" l="1"/>
  <c r="AI94" i="37" s="1"/>
  <c r="AJ94" i="37" s="1"/>
  <c r="N97" i="37"/>
  <c r="O96" i="37"/>
  <c r="E93" i="37"/>
  <c r="AM93" i="37" s="1"/>
  <c r="AN93" i="37" s="1"/>
  <c r="AK93" i="37"/>
  <c r="S95" i="37"/>
  <c r="V95" i="37" s="1"/>
  <c r="Z95" i="37"/>
  <c r="E94" i="37" l="1"/>
  <c r="AM94" i="37" s="1"/>
  <c r="AN94" i="37" s="1"/>
  <c r="AK94" i="37"/>
  <c r="AH95" i="37"/>
  <c r="AI95" i="37" s="1"/>
  <c r="AJ95" i="37" s="1"/>
  <c r="AK95" i="37" s="1"/>
  <c r="S96" i="37"/>
  <c r="V96" i="37" s="1"/>
  <c r="Z96" i="37"/>
  <c r="O97" i="37"/>
  <c r="N98" i="37"/>
  <c r="E95" i="37" l="1"/>
  <c r="AM95" i="37" s="1"/>
  <c r="AN95" i="37" s="1"/>
  <c r="AH96" i="37"/>
  <c r="AI96" i="37" s="1"/>
  <c r="AJ96" i="37" s="1"/>
  <c r="Z97" i="37"/>
  <c r="S97" i="37"/>
  <c r="V97" i="37" s="1"/>
  <c r="O98" i="37"/>
  <c r="N99" i="37"/>
  <c r="AK96" i="37" l="1"/>
  <c r="E96" i="37"/>
  <c r="AM96" i="37" s="1"/>
  <c r="AN96" i="37" s="1"/>
  <c r="S98" i="37"/>
  <c r="V98" i="37" s="1"/>
  <c r="Z98" i="37"/>
  <c r="N100" i="37"/>
  <c r="O99" i="37"/>
  <c r="AH97" i="37"/>
  <c r="AI97" i="37" s="1"/>
  <c r="AJ97" i="37" s="1"/>
  <c r="AH98" i="37" l="1"/>
  <c r="AI98" i="37" s="1"/>
  <c r="AJ98" i="37" s="1"/>
  <c r="Z99" i="37"/>
  <c r="S99" i="37"/>
  <c r="V99" i="37" s="1"/>
  <c r="N101" i="37"/>
  <c r="O100" i="37"/>
  <c r="E97" i="37"/>
  <c r="AM97" i="37" s="1"/>
  <c r="AN97" i="37" s="1"/>
  <c r="AK97" i="37"/>
  <c r="E98" i="37"/>
  <c r="AM98" i="37" s="1"/>
  <c r="AN98" i="37" s="1"/>
  <c r="AK98" i="37"/>
  <c r="AH99" i="37" l="1"/>
  <c r="AI99" i="37" s="1"/>
  <c r="AJ99" i="37" s="1"/>
  <c r="E99" i="37" s="1"/>
  <c r="AM99" i="37" s="1"/>
  <c r="AN99" i="37" s="1"/>
  <c r="S100" i="37"/>
  <c r="V100" i="37" s="1"/>
  <c r="Z100" i="37"/>
  <c r="N102" i="37"/>
  <c r="O101" i="37"/>
  <c r="AH100" i="37" l="1"/>
  <c r="AI100" i="37" s="1"/>
  <c r="AJ100" i="37" s="1"/>
  <c r="AK99" i="37"/>
  <c r="Z101" i="37"/>
  <c r="S101" i="37"/>
  <c r="V101" i="37" s="1"/>
  <c r="O102" i="37"/>
  <c r="N103" i="37"/>
  <c r="E100" i="37"/>
  <c r="AM100" i="37" s="1"/>
  <c r="AN100" i="37" s="1"/>
  <c r="AK100" i="37"/>
  <c r="O103" i="37" l="1"/>
  <c r="N104" i="37"/>
  <c r="Z102" i="37"/>
  <c r="S102" i="37"/>
  <c r="V102" i="37" s="1"/>
  <c r="AH101" i="37"/>
  <c r="AI101" i="37" s="1"/>
  <c r="AJ101" i="37" s="1"/>
  <c r="E101" i="37" l="1"/>
  <c r="AM101" i="37" s="1"/>
  <c r="AN101" i="37" s="1"/>
  <c r="AK101" i="37"/>
  <c r="AH102" i="37"/>
  <c r="AI102" i="37" s="1"/>
  <c r="AJ102" i="37" s="1"/>
  <c r="O104" i="37"/>
  <c r="N105" i="37"/>
  <c r="S103" i="37"/>
  <c r="V103" i="37" s="1"/>
  <c r="Z103" i="37"/>
  <c r="AH103" i="37" l="1"/>
  <c r="AI103" i="37" s="1"/>
  <c r="AJ103" i="37" s="1"/>
  <c r="E103" i="37" s="1"/>
  <c r="AM103" i="37" s="1"/>
  <c r="AN103" i="37" s="1"/>
  <c r="S104" i="37"/>
  <c r="V104" i="37" s="1"/>
  <c r="Z104" i="37"/>
  <c r="O105" i="37"/>
  <c r="N106" i="37"/>
  <c r="E102" i="37"/>
  <c r="AM102" i="37" s="1"/>
  <c r="AN102" i="37" s="1"/>
  <c r="AK102" i="37"/>
  <c r="AK103" i="37" l="1"/>
  <c r="AH104" i="37"/>
  <c r="AI104" i="37" s="1"/>
  <c r="AJ104" i="37" s="1"/>
  <c r="Z105" i="37"/>
  <c r="S105" i="37"/>
  <c r="V105" i="37" s="1"/>
  <c r="O106" i="37"/>
  <c r="N107" i="37"/>
  <c r="E104" i="37"/>
  <c r="AM104" i="37" s="1"/>
  <c r="AN104" i="37" s="1"/>
  <c r="AK104" i="37"/>
  <c r="S106" i="37" l="1"/>
  <c r="V106" i="37" s="1"/>
  <c r="Z106" i="37"/>
  <c r="AH106" i="37" s="1"/>
  <c r="AI106" i="37" s="1"/>
  <c r="AJ106" i="37" s="1"/>
  <c r="O107" i="37"/>
  <c r="N108" i="37"/>
  <c r="AH105" i="37"/>
  <c r="AI105" i="37" s="1"/>
  <c r="AJ105" i="37" s="1"/>
  <c r="AK105" i="37" l="1"/>
  <c r="E105" i="37"/>
  <c r="AM105" i="37" s="1"/>
  <c r="AN105" i="37" s="1"/>
  <c r="N109" i="37"/>
  <c r="O108" i="37"/>
  <c r="S107" i="37"/>
  <c r="V107" i="37" s="1"/>
  <c r="Z107" i="37"/>
  <c r="E106" i="37"/>
  <c r="AM106" i="37" s="1"/>
  <c r="AN106" i="37" s="1"/>
  <c r="AK106" i="37"/>
  <c r="AH107" i="37" l="1"/>
  <c r="AI107" i="37" s="1"/>
  <c r="AJ107" i="37" s="1"/>
  <c r="E107" i="37" s="1"/>
  <c r="AM107" i="37" s="1"/>
  <c r="AN107" i="37" s="1"/>
  <c r="S108" i="37"/>
  <c r="V108" i="37" s="1"/>
  <c r="Z108" i="37"/>
  <c r="O109" i="37"/>
  <c r="N110" i="37"/>
  <c r="AK107" i="37" l="1"/>
  <c r="AH108" i="37"/>
  <c r="AI108" i="37" s="1"/>
  <c r="AJ108" i="37" s="1"/>
  <c r="N111" i="37"/>
  <c r="O110" i="37"/>
  <c r="S109" i="37"/>
  <c r="V109" i="37" s="1"/>
  <c r="Z109" i="37"/>
  <c r="E108" i="37"/>
  <c r="AM108" i="37" s="1"/>
  <c r="AN108" i="37" s="1"/>
  <c r="AK108" i="37"/>
  <c r="AH109" i="37" l="1"/>
  <c r="AI109" i="37" s="1"/>
  <c r="AJ109" i="37" s="1"/>
  <c r="E109" i="37" s="1"/>
  <c r="AM109" i="37" s="1"/>
  <c r="AN109" i="37" s="1"/>
  <c r="S110" i="37"/>
  <c r="V110" i="37" s="1"/>
  <c r="Z110" i="37"/>
  <c r="O111" i="37"/>
  <c r="N112" i="37"/>
  <c r="AH110" i="37" l="1"/>
  <c r="AI110" i="37" s="1"/>
  <c r="AJ110" i="37" s="1"/>
  <c r="E110" i="37" s="1"/>
  <c r="AM110" i="37" s="1"/>
  <c r="AN110" i="37" s="1"/>
  <c r="AK109" i="37"/>
  <c r="N113" i="37"/>
  <c r="O112" i="37"/>
  <c r="Z111" i="37"/>
  <c r="S111" i="37"/>
  <c r="V111" i="37" s="1"/>
  <c r="AK110" i="37" l="1"/>
  <c r="AH111" i="37"/>
  <c r="AI111" i="37" s="1"/>
  <c r="AJ111" i="37" s="1"/>
  <c r="E111" i="37" s="1"/>
  <c r="AM111" i="37" s="1"/>
  <c r="AN111" i="37" s="1"/>
  <c r="O113" i="37"/>
  <c r="N114" i="37"/>
  <c r="S112" i="37"/>
  <c r="V112" i="37" s="1"/>
  <c r="Z112" i="37"/>
  <c r="AK111" i="37" l="1"/>
  <c r="AH112" i="37"/>
  <c r="AI112" i="37" s="1"/>
  <c r="AJ112" i="37" s="1"/>
  <c r="E112" i="37" s="1"/>
  <c r="AM112" i="37" s="1"/>
  <c r="AN112" i="37" s="1"/>
  <c r="N115" i="37"/>
  <c r="O114" i="37"/>
  <c r="S113" i="37"/>
  <c r="V113" i="37" s="1"/>
  <c r="Z113" i="37"/>
  <c r="AK112" i="37" l="1"/>
  <c r="AH113" i="37"/>
  <c r="AI113" i="37" s="1"/>
  <c r="AJ113" i="37" s="1"/>
  <c r="E113" i="37" s="1"/>
  <c r="AM113" i="37" s="1"/>
  <c r="AN113" i="37" s="1"/>
  <c r="S114" i="37"/>
  <c r="V114" i="37" s="1"/>
  <c r="Z114" i="37"/>
  <c r="O115" i="37"/>
  <c r="N116" i="37"/>
  <c r="AK113" i="37" l="1"/>
  <c r="AH114" i="37"/>
  <c r="AI114" i="37" s="1"/>
  <c r="AJ114" i="37" s="1"/>
  <c r="E114" i="37" s="1"/>
  <c r="AM114" i="37" s="1"/>
  <c r="AN114" i="37" s="1"/>
  <c r="Z115" i="37"/>
  <c r="S115" i="37"/>
  <c r="V115" i="37" s="1"/>
  <c r="O116" i="37"/>
  <c r="N117" i="37"/>
  <c r="AK114" i="37" l="1"/>
  <c r="O117" i="37"/>
  <c r="N118" i="37"/>
  <c r="Z116" i="37"/>
  <c r="S116" i="37"/>
  <c r="V116" i="37" s="1"/>
  <c r="AH115" i="37"/>
  <c r="AI115" i="37" s="1"/>
  <c r="AJ115" i="37" s="1"/>
  <c r="Z117" i="37" l="1"/>
  <c r="S117" i="37"/>
  <c r="V117" i="37" s="1"/>
  <c r="E115" i="37"/>
  <c r="AM115" i="37" s="1"/>
  <c r="AN115" i="37" s="1"/>
  <c r="AK115" i="37"/>
  <c r="AH116" i="37"/>
  <c r="AI116" i="37" s="1"/>
  <c r="AJ116" i="37" s="1"/>
  <c r="O118" i="37"/>
  <c r="N119" i="37"/>
  <c r="O119" i="37" l="1"/>
  <c r="N120" i="37"/>
  <c r="E116" i="37"/>
  <c r="AM116" i="37" s="1"/>
  <c r="AN116" i="37" s="1"/>
  <c r="AK116" i="37"/>
  <c r="S118" i="37"/>
  <c r="V118" i="37" s="1"/>
  <c r="Z118" i="37"/>
  <c r="AH117" i="37"/>
  <c r="AI117" i="37" s="1"/>
  <c r="AJ117" i="37" s="1"/>
  <c r="AH118" i="37" l="1"/>
  <c r="AI118" i="37" s="1"/>
  <c r="AJ118" i="37" s="1"/>
  <c r="E118" i="37" s="1"/>
  <c r="AM118" i="37" s="1"/>
  <c r="AN118" i="37" s="1"/>
  <c r="E117" i="37"/>
  <c r="AM117" i="37" s="1"/>
  <c r="AN117" i="37" s="1"/>
  <c r="AK117" i="37"/>
  <c r="O120" i="37"/>
  <c r="N121" i="37"/>
  <c r="Z119" i="37"/>
  <c r="S119" i="37"/>
  <c r="V119" i="37" s="1"/>
  <c r="AK118" i="37" l="1"/>
  <c r="AH119" i="37"/>
  <c r="AI119" i="37" s="1"/>
  <c r="AJ119" i="37" s="1"/>
  <c r="N122" i="37"/>
  <c r="O121" i="37"/>
  <c r="S120" i="37"/>
  <c r="V120" i="37" s="1"/>
  <c r="Z120" i="37"/>
  <c r="AH120" i="37" s="1"/>
  <c r="AI120" i="37" s="1"/>
  <c r="AJ120" i="37" s="1"/>
  <c r="E120" i="37" s="1"/>
  <c r="AM120" i="37" s="1"/>
  <c r="AN120" i="37" s="1"/>
  <c r="E119" i="37" l="1"/>
  <c r="AM119" i="37" s="1"/>
  <c r="AN119" i="37" s="1"/>
  <c r="AK119" i="37"/>
  <c r="AK120" i="37"/>
  <c r="S121" i="37"/>
  <c r="V121" i="37" s="1"/>
  <c r="Z121" i="37"/>
  <c r="O122" i="37"/>
  <c r="N123" i="37"/>
  <c r="O123" i="37" l="1"/>
  <c r="N124" i="37"/>
  <c r="Z122" i="37"/>
  <c r="S122" i="37"/>
  <c r="V122" i="37" s="1"/>
  <c r="AH121" i="37"/>
  <c r="AI121" i="37" s="1"/>
  <c r="AJ121" i="37" s="1"/>
  <c r="AH122" i="37" l="1"/>
  <c r="AI122" i="37" s="1"/>
  <c r="AJ122" i="37" s="1"/>
  <c r="AK122" i="37" s="1"/>
  <c r="E121" i="37"/>
  <c r="AM121" i="37" s="1"/>
  <c r="AN121" i="37" s="1"/>
  <c r="AK121" i="37"/>
  <c r="N125" i="37"/>
  <c r="O124" i="37"/>
  <c r="S123" i="37"/>
  <c r="V123" i="37" s="1"/>
  <c r="Z123" i="37"/>
  <c r="E122" i="37" l="1"/>
  <c r="AM122" i="37" s="1"/>
  <c r="AN122" i="37" s="1"/>
  <c r="Z124" i="37"/>
  <c r="S124" i="37"/>
  <c r="V124" i="37" s="1"/>
  <c r="O125" i="37"/>
  <c r="N126" i="37"/>
  <c r="AH123" i="37"/>
  <c r="AI123" i="37" s="1"/>
  <c r="AJ123" i="37" s="1"/>
  <c r="AH124" i="37" l="1"/>
  <c r="AI124" i="37" s="1"/>
  <c r="AJ124" i="37" s="1"/>
  <c r="E124" i="37" s="1"/>
  <c r="AM124" i="37" s="1"/>
  <c r="AN124" i="37" s="1"/>
  <c r="Z125" i="37"/>
  <c r="S125" i="37"/>
  <c r="V125" i="37" s="1"/>
  <c r="E123" i="37"/>
  <c r="AM123" i="37" s="1"/>
  <c r="AN123" i="37" s="1"/>
  <c r="AK123" i="37"/>
  <c r="O126" i="37"/>
  <c r="N127" i="37"/>
  <c r="AK124" i="37" l="1"/>
  <c r="Z126" i="37"/>
  <c r="S126" i="37"/>
  <c r="V126" i="37" s="1"/>
  <c r="AH125" i="37"/>
  <c r="AI125" i="37" s="1"/>
  <c r="AJ125" i="37" s="1"/>
  <c r="O127" i="37"/>
  <c r="N128" i="37"/>
  <c r="AH126" i="37" l="1"/>
  <c r="AI126" i="37" s="1"/>
  <c r="AJ126" i="37" s="1"/>
  <c r="O128" i="37"/>
  <c r="N129" i="37"/>
  <c r="Z127" i="37"/>
  <c r="S127" i="37"/>
  <c r="V127" i="37" s="1"/>
  <c r="AK125" i="37"/>
  <c r="E125" i="37"/>
  <c r="AM125" i="37" s="1"/>
  <c r="AN125" i="37" s="1"/>
  <c r="Z128" i="37" l="1"/>
  <c r="S128" i="37"/>
  <c r="V128" i="37" s="1"/>
  <c r="E126" i="37"/>
  <c r="AM126" i="37" s="1"/>
  <c r="AN126" i="37" s="1"/>
  <c r="AK126" i="37"/>
  <c r="AH127" i="37"/>
  <c r="AI127" i="37" s="1"/>
  <c r="AJ127" i="37" s="1"/>
  <c r="N130" i="37"/>
  <c r="O129" i="37"/>
  <c r="AH128" i="37" l="1"/>
  <c r="AI128" i="37" s="1"/>
  <c r="AJ128" i="37" s="1"/>
  <c r="AK128" i="37" s="1"/>
  <c r="S129" i="37"/>
  <c r="V129" i="37" s="1"/>
  <c r="Z129" i="37"/>
  <c r="O130" i="37"/>
  <c r="N131" i="37"/>
  <c r="E127" i="37"/>
  <c r="AM127" i="37" s="1"/>
  <c r="AN127" i="37" s="1"/>
  <c r="AK127" i="37"/>
  <c r="E128" i="37" l="1"/>
  <c r="AM128" i="37" s="1"/>
  <c r="AN128" i="37" s="1"/>
  <c r="O131" i="37"/>
  <c r="N132" i="37"/>
  <c r="Z130" i="37"/>
  <c r="S130" i="37"/>
  <c r="V130" i="37" s="1"/>
  <c r="AH129" i="37"/>
  <c r="AI129" i="37" s="1"/>
  <c r="AJ129" i="37" s="1"/>
  <c r="E129" i="37" l="1"/>
  <c r="AM129" i="37" s="1"/>
  <c r="AN129" i="37" s="1"/>
  <c r="AK129" i="37"/>
  <c r="AH130" i="37"/>
  <c r="AI130" i="37" s="1"/>
  <c r="AJ130" i="37" s="1"/>
  <c r="Z131" i="37"/>
  <c r="S131" i="37"/>
  <c r="V131" i="37" s="1"/>
  <c r="N133" i="37"/>
  <c r="O132" i="37"/>
  <c r="S132" i="37" l="1"/>
  <c r="V132" i="37" s="1"/>
  <c r="Z132" i="37"/>
  <c r="E130" i="37"/>
  <c r="AM130" i="37" s="1"/>
  <c r="AN130" i="37" s="1"/>
  <c r="AK130" i="37"/>
  <c r="O133" i="37"/>
  <c r="N134" i="37"/>
  <c r="AH131" i="37"/>
  <c r="AI131" i="37" s="1"/>
  <c r="AJ131" i="37" s="1"/>
  <c r="S133" i="37" l="1"/>
  <c r="V133" i="37" s="1"/>
  <c r="Z133" i="37"/>
  <c r="AK131" i="37"/>
  <c r="E131" i="37"/>
  <c r="AM131" i="37" s="1"/>
  <c r="AN131" i="37" s="1"/>
  <c r="N135" i="37"/>
  <c r="O134" i="37"/>
  <c r="AH132" i="37"/>
  <c r="AI132" i="37" s="1"/>
  <c r="AJ132" i="37" s="1"/>
  <c r="AH133" i="37" l="1"/>
  <c r="AI133" i="37" s="1"/>
  <c r="AJ133" i="37" s="1"/>
  <c r="E132" i="37"/>
  <c r="AM132" i="37" s="1"/>
  <c r="AN132" i="37" s="1"/>
  <c r="AK132" i="37"/>
  <c r="N136" i="37"/>
  <c r="O135" i="37"/>
  <c r="S134" i="37"/>
  <c r="V134" i="37" s="1"/>
  <c r="Z134" i="37"/>
  <c r="AH134" i="37" l="1"/>
  <c r="AI134" i="37" s="1"/>
  <c r="AJ134" i="37" s="1"/>
  <c r="E133" i="37"/>
  <c r="AM133" i="37" s="1"/>
  <c r="AN133" i="37" s="1"/>
  <c r="AK133" i="37"/>
  <c r="AK134" i="37"/>
  <c r="E134" i="37"/>
  <c r="AM134" i="37" s="1"/>
  <c r="AN134" i="37" s="1"/>
  <c r="Z135" i="37"/>
  <c r="S135" i="37"/>
  <c r="V135" i="37" s="1"/>
  <c r="O136" i="37"/>
  <c r="N137" i="37"/>
  <c r="S136" i="37" l="1"/>
  <c r="V136" i="37" s="1"/>
  <c r="Z136" i="37"/>
  <c r="AH136" i="37" s="1"/>
  <c r="AI136" i="37" s="1"/>
  <c r="AJ136" i="37" s="1"/>
  <c r="N138" i="37"/>
  <c r="O137" i="37"/>
  <c r="AH135" i="37"/>
  <c r="AI135" i="37" s="1"/>
  <c r="AJ135" i="37" s="1"/>
  <c r="E135" i="37" l="1"/>
  <c r="AM135" i="37" s="1"/>
  <c r="AN135" i="37" s="1"/>
  <c r="AK135" i="37"/>
  <c r="S137" i="37"/>
  <c r="V137" i="37" s="1"/>
  <c r="Z137" i="37"/>
  <c r="O138" i="37"/>
  <c r="N139" i="37"/>
  <c r="E136" i="37"/>
  <c r="AM136" i="37" s="1"/>
  <c r="AN136" i="37" s="1"/>
  <c r="AK136" i="37"/>
  <c r="AH137" i="37" l="1"/>
  <c r="AI137" i="37" s="1"/>
  <c r="AJ137" i="37" s="1"/>
  <c r="S138" i="37"/>
  <c r="V138" i="37" s="1"/>
  <c r="Z138" i="37"/>
  <c r="O139" i="37"/>
  <c r="N140" i="37"/>
  <c r="E137" i="37"/>
  <c r="AM137" i="37" s="1"/>
  <c r="AN137" i="37" s="1"/>
  <c r="AK137" i="37"/>
  <c r="O140" i="37" l="1"/>
  <c r="N141" i="37"/>
  <c r="S139" i="37"/>
  <c r="V139" i="37" s="1"/>
  <c r="Z139" i="37"/>
  <c r="AH138" i="37"/>
  <c r="AI138" i="37" s="1"/>
  <c r="AJ138" i="37" s="1"/>
  <c r="AK138" i="37" l="1"/>
  <c r="E138" i="37"/>
  <c r="AM138" i="37" s="1"/>
  <c r="AN138" i="37" s="1"/>
  <c r="Z140" i="37"/>
  <c r="S140" i="37"/>
  <c r="V140" i="37" s="1"/>
  <c r="AH139" i="37"/>
  <c r="AI139" i="37" s="1"/>
  <c r="AJ139" i="37" s="1"/>
  <c r="N142" i="37"/>
  <c r="O141" i="37"/>
  <c r="AH140" i="37" l="1"/>
  <c r="AI140" i="37" s="1"/>
  <c r="AJ140" i="37" s="1"/>
  <c r="S141" i="37"/>
  <c r="V141" i="37" s="1"/>
  <c r="Z141" i="37"/>
  <c r="AK139" i="37"/>
  <c r="E139" i="37"/>
  <c r="AM139" i="37" s="1"/>
  <c r="AN139" i="37" s="1"/>
  <c r="O142" i="37"/>
  <c r="N143" i="37"/>
  <c r="E140" i="37"/>
  <c r="AM140" i="37" s="1"/>
  <c r="AN140" i="37" s="1"/>
  <c r="AK140" i="37"/>
  <c r="AH141" i="37" l="1"/>
  <c r="AI141" i="37" s="1"/>
  <c r="AJ141" i="37" s="1"/>
  <c r="N144" i="37"/>
  <c r="O143" i="37"/>
  <c r="S142" i="37"/>
  <c r="V142" i="37" s="1"/>
  <c r="Z142" i="37"/>
  <c r="E141" i="37" l="1"/>
  <c r="AM141" i="37" s="1"/>
  <c r="AN141" i="37" s="1"/>
  <c r="AK141" i="37"/>
  <c r="AH142" i="37"/>
  <c r="AI142" i="37" s="1"/>
  <c r="AJ142" i="37" s="1"/>
  <c r="Z143" i="37"/>
  <c r="S143" i="37"/>
  <c r="V143" i="37" s="1"/>
  <c r="O144" i="37"/>
  <c r="N145" i="37"/>
  <c r="S144" i="37" l="1"/>
  <c r="V144" i="37" s="1"/>
  <c r="Z144" i="37"/>
  <c r="AK142" i="37"/>
  <c r="E142" i="37"/>
  <c r="AM142" i="37" s="1"/>
  <c r="AN142" i="37" s="1"/>
  <c r="N146" i="37"/>
  <c r="O145" i="37"/>
  <c r="AH143" i="37"/>
  <c r="AI143" i="37" s="1"/>
  <c r="AJ143" i="37" s="1"/>
  <c r="AH144" i="37" l="1"/>
  <c r="AI144" i="37" s="1"/>
  <c r="AJ144" i="37" s="1"/>
  <c r="O146" i="37"/>
  <c r="N147" i="37"/>
  <c r="AK143" i="37"/>
  <c r="E143" i="37"/>
  <c r="AM143" i="37" s="1"/>
  <c r="AN143" i="37" s="1"/>
  <c r="Z145" i="37"/>
  <c r="S145" i="37"/>
  <c r="V145" i="37" s="1"/>
  <c r="AK144" i="37"/>
  <c r="E144" i="37"/>
  <c r="AM144" i="37" s="1"/>
  <c r="AN144" i="37" s="1"/>
  <c r="AH145" i="37" l="1"/>
  <c r="AI145" i="37" s="1"/>
  <c r="AJ145" i="37" s="1"/>
  <c r="AK145" i="37" s="1"/>
  <c r="O147" i="37"/>
  <c r="N148" i="37"/>
  <c r="Z146" i="37"/>
  <c r="S146" i="37"/>
  <c r="V146" i="37" s="1"/>
  <c r="E145" i="37" l="1"/>
  <c r="AM145" i="37" s="1"/>
  <c r="AN145" i="37" s="1"/>
  <c r="N149" i="37"/>
  <c r="O148" i="37"/>
  <c r="Z147" i="37"/>
  <c r="S147" i="37"/>
  <c r="V147" i="37" s="1"/>
  <c r="AH146" i="37"/>
  <c r="AI146" i="37" s="1"/>
  <c r="AJ146" i="37" s="1"/>
  <c r="AK146" i="37" l="1"/>
  <c r="E146" i="37"/>
  <c r="AM146" i="37" s="1"/>
  <c r="AN146" i="37" s="1"/>
  <c r="AH147" i="37"/>
  <c r="AI147" i="37" s="1"/>
  <c r="AJ147" i="37" s="1"/>
  <c r="Z148" i="37"/>
  <c r="S148" i="37"/>
  <c r="V148" i="37" s="1"/>
  <c r="N150" i="37"/>
  <c r="O149" i="37"/>
  <c r="O150" i="37" l="1"/>
  <c r="N151" i="37"/>
  <c r="E147" i="37"/>
  <c r="AM147" i="37" s="1"/>
  <c r="AN147" i="37" s="1"/>
  <c r="AK147" i="37"/>
  <c r="S149" i="37"/>
  <c r="V149" i="37" s="1"/>
  <c r="Z149" i="37"/>
  <c r="AH148" i="37"/>
  <c r="AI148" i="37" s="1"/>
  <c r="AJ148" i="37" s="1"/>
  <c r="AH149" i="37" l="1"/>
  <c r="AI149" i="37" s="1"/>
  <c r="AJ149" i="37" s="1"/>
  <c r="O151" i="37"/>
  <c r="N152" i="37"/>
  <c r="Z150" i="37"/>
  <c r="S150" i="37"/>
  <c r="V150" i="37" s="1"/>
  <c r="E148" i="37"/>
  <c r="AM148" i="37" s="1"/>
  <c r="AN148" i="37" s="1"/>
  <c r="AK148" i="37"/>
  <c r="AK149" i="37" l="1"/>
  <c r="E149" i="37"/>
  <c r="AM149" i="37" s="1"/>
  <c r="AN149" i="37" s="1"/>
  <c r="Z151" i="37"/>
  <c r="S151" i="37"/>
  <c r="V151" i="37" s="1"/>
  <c r="O152" i="37"/>
  <c r="N153" i="37"/>
  <c r="AH150" i="37"/>
  <c r="AI150" i="37" s="1"/>
  <c r="AJ150" i="37" s="1"/>
  <c r="S152" i="37" l="1"/>
  <c r="V152" i="37" s="1"/>
  <c r="Z152" i="37"/>
  <c r="AH151" i="37"/>
  <c r="AI151" i="37" s="1"/>
  <c r="AJ151" i="37" s="1"/>
  <c r="AK150" i="37"/>
  <c r="E150" i="37"/>
  <c r="AM150" i="37" s="1"/>
  <c r="AN150" i="37" s="1"/>
  <c r="O153" i="37"/>
  <c r="N154" i="37"/>
  <c r="O154" i="37" l="1"/>
  <c r="N155" i="37"/>
  <c r="Z153" i="37"/>
  <c r="S153" i="37"/>
  <c r="V153" i="37" s="1"/>
  <c r="AK151" i="37"/>
  <c r="E151" i="37"/>
  <c r="AM151" i="37" s="1"/>
  <c r="AN151" i="37" s="1"/>
  <c r="AH152" i="37"/>
  <c r="AI152" i="37" s="1"/>
  <c r="AJ152" i="37" s="1"/>
  <c r="E152" i="37" l="1"/>
  <c r="AM152" i="37" s="1"/>
  <c r="AN152" i="37" s="1"/>
  <c r="AK152" i="37"/>
  <c r="AH153" i="37"/>
  <c r="AI153" i="37" s="1"/>
  <c r="AJ153" i="37" s="1"/>
  <c r="N156" i="37"/>
  <c r="O155" i="37"/>
  <c r="S154" i="37"/>
  <c r="V154" i="37" s="1"/>
  <c r="Z154" i="37"/>
  <c r="Z155" i="37" l="1"/>
  <c r="S155" i="37"/>
  <c r="V155" i="37" s="1"/>
  <c r="N157" i="37"/>
  <c r="O156" i="37"/>
  <c r="AH154" i="37"/>
  <c r="AI154" i="37" s="1"/>
  <c r="AJ154" i="37" s="1"/>
  <c r="E153" i="37"/>
  <c r="AM153" i="37" s="1"/>
  <c r="AN153" i="37" s="1"/>
  <c r="AK153" i="37"/>
  <c r="AH155" i="37" l="1"/>
  <c r="AI155" i="37" s="1"/>
  <c r="AJ155" i="37" s="1"/>
  <c r="AK155" i="37" s="1"/>
  <c r="E154" i="37"/>
  <c r="AM154" i="37" s="1"/>
  <c r="AN154" i="37" s="1"/>
  <c r="AK154" i="37"/>
  <c r="Z156" i="37"/>
  <c r="S156" i="37"/>
  <c r="V156" i="37" s="1"/>
  <c r="E155" i="37"/>
  <c r="AM155" i="37" s="1"/>
  <c r="AN155" i="37" s="1"/>
  <c r="N158" i="37"/>
  <c r="O157" i="37"/>
  <c r="O158" i="37" l="1"/>
  <c r="N159" i="37"/>
  <c r="Z157" i="37"/>
  <c r="S157" i="37"/>
  <c r="V157" i="37" s="1"/>
  <c r="AH156" i="37"/>
  <c r="AI156" i="37" s="1"/>
  <c r="AJ156" i="37" s="1"/>
  <c r="E156" i="37" l="1"/>
  <c r="AM156" i="37" s="1"/>
  <c r="AN156" i="37" s="1"/>
  <c r="AK156" i="37"/>
  <c r="AH157" i="37"/>
  <c r="AI157" i="37" s="1"/>
  <c r="AJ157" i="37" s="1"/>
  <c r="O159" i="37"/>
  <c r="N160" i="37"/>
  <c r="Z158" i="37"/>
  <c r="S158" i="37"/>
  <c r="V158" i="37" s="1"/>
  <c r="AH158" i="37" l="1"/>
  <c r="AI158" i="37" s="1"/>
  <c r="AJ158" i="37" s="1"/>
  <c r="E158" i="37" s="1"/>
  <c r="AM158" i="37" s="1"/>
  <c r="AN158" i="37" s="1"/>
  <c r="Z159" i="37"/>
  <c r="S159" i="37"/>
  <c r="V159" i="37" s="1"/>
  <c r="N161" i="37"/>
  <c r="O160" i="37"/>
  <c r="E157" i="37"/>
  <c r="AM157" i="37" s="1"/>
  <c r="AN157" i="37" s="1"/>
  <c r="AK157" i="37"/>
  <c r="AK158" i="37" l="1"/>
  <c r="Z160" i="37"/>
  <c r="S160" i="37"/>
  <c r="V160" i="37" s="1"/>
  <c r="O161" i="37"/>
  <c r="N162" i="37"/>
  <c r="AH159" i="37"/>
  <c r="AI159" i="37" s="1"/>
  <c r="AJ159" i="37" s="1"/>
  <c r="N163" i="37" l="1"/>
  <c r="O162" i="37"/>
  <c r="AK159" i="37"/>
  <c r="E159" i="37"/>
  <c r="AM159" i="37" s="1"/>
  <c r="AN159" i="37" s="1"/>
  <c r="S161" i="37"/>
  <c r="V161" i="37" s="1"/>
  <c r="Z161" i="37"/>
  <c r="AH160" i="37"/>
  <c r="AI160" i="37" s="1"/>
  <c r="AJ160" i="37" s="1"/>
  <c r="AK160" i="37" l="1"/>
  <c r="E160" i="37"/>
  <c r="AM160" i="37" s="1"/>
  <c r="AN160" i="37" s="1"/>
  <c r="AH161" i="37"/>
  <c r="AI161" i="37" s="1"/>
  <c r="AJ161" i="37" s="1"/>
  <c r="S162" i="37"/>
  <c r="V162" i="37" s="1"/>
  <c r="Z162" i="37"/>
  <c r="N164" i="37"/>
  <c r="O163" i="37"/>
  <c r="AH162" i="37" l="1"/>
  <c r="AI162" i="37" s="1"/>
  <c r="AJ162" i="37" s="1"/>
  <c r="E162" i="37" s="1"/>
  <c r="AM162" i="37" s="1"/>
  <c r="AN162" i="37" s="1"/>
  <c r="Z163" i="37"/>
  <c r="S163" i="37"/>
  <c r="V163" i="37" s="1"/>
  <c r="N165" i="37"/>
  <c r="O164" i="37"/>
  <c r="E161" i="37"/>
  <c r="AM161" i="37" s="1"/>
  <c r="AN161" i="37" s="1"/>
  <c r="AK161" i="37"/>
  <c r="AK162" i="37" l="1"/>
  <c r="Z164" i="37"/>
  <c r="S164" i="37"/>
  <c r="V164" i="37" s="1"/>
  <c r="O165" i="37"/>
  <c r="N166" i="37"/>
  <c r="AH163" i="37"/>
  <c r="AI163" i="37" s="1"/>
  <c r="AJ163" i="37" s="1"/>
  <c r="Z165" i="37" l="1"/>
  <c r="S165" i="37"/>
  <c r="V165" i="37" s="1"/>
  <c r="E163" i="37"/>
  <c r="AM163" i="37" s="1"/>
  <c r="AN163" i="37" s="1"/>
  <c r="AK163" i="37"/>
  <c r="N167" i="37"/>
  <c r="O166" i="37"/>
  <c r="AH164" i="37"/>
  <c r="AI164" i="37" s="1"/>
  <c r="AJ164" i="37" s="1"/>
  <c r="S166" i="37" l="1"/>
  <c r="V166" i="37" s="1"/>
  <c r="Z166" i="37"/>
  <c r="E164" i="37"/>
  <c r="AM164" i="37" s="1"/>
  <c r="AN164" i="37" s="1"/>
  <c r="AK164" i="37"/>
  <c r="O167" i="37"/>
  <c r="N168" i="37"/>
  <c r="AH165" i="37"/>
  <c r="AI165" i="37" s="1"/>
  <c r="AJ165" i="37" s="1"/>
  <c r="AH166" i="37" l="1"/>
  <c r="AI166" i="37" s="1"/>
  <c r="AJ166" i="37" s="1"/>
  <c r="E165" i="37"/>
  <c r="AM165" i="37" s="1"/>
  <c r="AN165" i="37" s="1"/>
  <c r="AK165" i="37"/>
  <c r="O168" i="37"/>
  <c r="N169" i="37"/>
  <c r="Z167" i="37"/>
  <c r="S167" i="37"/>
  <c r="V167" i="37" s="1"/>
  <c r="E166" i="37"/>
  <c r="AM166" i="37" s="1"/>
  <c r="AN166" i="37" s="1"/>
  <c r="AK166" i="37"/>
  <c r="AH167" i="37" l="1"/>
  <c r="AI167" i="37" s="1"/>
  <c r="AJ167" i="37" s="1"/>
  <c r="O169" i="37"/>
  <c r="N170" i="37"/>
  <c r="S168" i="37"/>
  <c r="V168" i="37" s="1"/>
  <c r="Z168" i="37"/>
  <c r="AH168" i="37" l="1"/>
  <c r="AI168" i="37" s="1"/>
  <c r="AJ168" i="37" s="1"/>
  <c r="E168" i="37" s="1"/>
  <c r="AM168" i="37" s="1"/>
  <c r="AN168" i="37" s="1"/>
  <c r="E167" i="37"/>
  <c r="AM167" i="37" s="1"/>
  <c r="AN167" i="37" s="1"/>
  <c r="AK167" i="37"/>
  <c r="O170" i="37"/>
  <c r="N171" i="37"/>
  <c r="S169" i="37"/>
  <c r="V169" i="37" s="1"/>
  <c r="Z169" i="37"/>
  <c r="AK168" i="37" l="1"/>
  <c r="AH169" i="37"/>
  <c r="AI169" i="37" s="1"/>
  <c r="AJ169" i="37" s="1"/>
  <c r="E169" i="37" s="1"/>
  <c r="AM169" i="37" s="1"/>
  <c r="AN169" i="37" s="1"/>
  <c r="N172" i="37"/>
  <c r="O171" i="37"/>
  <c r="S170" i="37"/>
  <c r="V170" i="37" s="1"/>
  <c r="Z170" i="37"/>
  <c r="AK169" i="37" l="1"/>
  <c r="AH170" i="37"/>
  <c r="AI170" i="37" s="1"/>
  <c r="AJ170" i="37" s="1"/>
  <c r="E170" i="37" s="1"/>
  <c r="AM170" i="37" s="1"/>
  <c r="AN170" i="37" s="1"/>
  <c r="Z171" i="37"/>
  <c r="S171" i="37"/>
  <c r="V171" i="37" s="1"/>
  <c r="O172" i="37"/>
  <c r="N173" i="37"/>
  <c r="AK170" i="37" l="1"/>
  <c r="O173" i="37"/>
  <c r="N174" i="37"/>
  <c r="S172" i="37"/>
  <c r="V172" i="37" s="1"/>
  <c r="Z172" i="37"/>
  <c r="AH171" i="37"/>
  <c r="AI171" i="37" s="1"/>
  <c r="AJ171" i="37" s="1"/>
  <c r="AH172" i="37" l="1"/>
  <c r="AI172" i="37" s="1"/>
  <c r="AJ172" i="37" s="1"/>
  <c r="E172" i="37" s="1"/>
  <c r="AM172" i="37" s="1"/>
  <c r="AN172" i="37" s="1"/>
  <c r="E171" i="37"/>
  <c r="AM171" i="37" s="1"/>
  <c r="AN171" i="37" s="1"/>
  <c r="AK171" i="37"/>
  <c r="N175" i="37"/>
  <c r="O174" i="37"/>
  <c r="Z173" i="37"/>
  <c r="S173" i="37"/>
  <c r="V173" i="37" s="1"/>
  <c r="AK172" i="37" l="1"/>
  <c r="Z174" i="37"/>
  <c r="S174" i="37"/>
  <c r="V174" i="37" s="1"/>
  <c r="AH173" i="37"/>
  <c r="AI173" i="37" s="1"/>
  <c r="AJ173" i="37" s="1"/>
  <c r="N176" i="37"/>
  <c r="O175" i="37"/>
  <c r="N177" i="37" l="1"/>
  <c r="O176" i="37"/>
  <c r="Z175" i="37"/>
  <c r="S175" i="37"/>
  <c r="V175" i="37" s="1"/>
  <c r="E173" i="37"/>
  <c r="AM173" i="37" s="1"/>
  <c r="AN173" i="37" s="1"/>
  <c r="AK173" i="37"/>
  <c r="AH174" i="37"/>
  <c r="AI174" i="37" s="1"/>
  <c r="AJ174" i="37" s="1"/>
  <c r="S176" i="37" l="1"/>
  <c r="V176" i="37" s="1"/>
  <c r="Z176" i="37"/>
  <c r="AK174" i="37"/>
  <c r="E174" i="37"/>
  <c r="AM174" i="37" s="1"/>
  <c r="AN174" i="37" s="1"/>
  <c r="AH175" i="37"/>
  <c r="AI175" i="37" s="1"/>
  <c r="AJ175" i="37" s="1"/>
  <c r="O177" i="37"/>
  <c r="N178" i="37"/>
  <c r="AH176" i="37" l="1"/>
  <c r="AI176" i="37" s="1"/>
  <c r="AJ176" i="37" s="1"/>
  <c r="N179" i="37"/>
  <c r="O178" i="37"/>
  <c r="AK175" i="37"/>
  <c r="E175" i="37"/>
  <c r="AM175" i="37" s="1"/>
  <c r="AN175" i="37" s="1"/>
  <c r="Z177" i="37"/>
  <c r="S177" i="37"/>
  <c r="V177" i="37" s="1"/>
  <c r="E176" i="37"/>
  <c r="AM176" i="37" s="1"/>
  <c r="AN176" i="37" s="1"/>
  <c r="AK176" i="37"/>
  <c r="AH177" i="37" l="1"/>
  <c r="AI177" i="37" s="1"/>
  <c r="AJ177" i="37" s="1"/>
  <c r="S178" i="37"/>
  <c r="V178" i="37" s="1"/>
  <c r="Z178" i="37"/>
  <c r="O179" i="37"/>
  <c r="N180" i="37"/>
  <c r="N181" i="37" l="1"/>
  <c r="O180" i="37"/>
  <c r="Z179" i="37"/>
  <c r="S179" i="37"/>
  <c r="V179" i="37" s="1"/>
  <c r="AH178" i="37"/>
  <c r="AI178" i="37" s="1"/>
  <c r="AJ178" i="37" s="1"/>
  <c r="E177" i="37"/>
  <c r="AM177" i="37" s="1"/>
  <c r="AN177" i="37" s="1"/>
  <c r="AK177" i="37"/>
  <c r="S180" i="37" l="1"/>
  <c r="V180" i="37" s="1"/>
  <c r="Z180" i="37"/>
  <c r="E178" i="37"/>
  <c r="AM178" i="37" s="1"/>
  <c r="AN178" i="37" s="1"/>
  <c r="AK178" i="37"/>
  <c r="AH179" i="37"/>
  <c r="AI179" i="37" s="1"/>
  <c r="AJ179" i="37" s="1"/>
  <c r="O181" i="37"/>
  <c r="N182" i="37"/>
  <c r="AH180" i="37" l="1"/>
  <c r="AI180" i="37" s="1"/>
  <c r="AJ180" i="37" s="1"/>
  <c r="E180" i="37" s="1"/>
  <c r="AM180" i="37" s="1"/>
  <c r="AN180" i="37" s="1"/>
  <c r="N183" i="37"/>
  <c r="O182" i="37"/>
  <c r="Z181" i="37"/>
  <c r="S181" i="37"/>
  <c r="V181" i="37" s="1"/>
  <c r="E179" i="37"/>
  <c r="AM179" i="37" s="1"/>
  <c r="AN179" i="37" s="1"/>
  <c r="AK179" i="37"/>
  <c r="AK180" i="37" l="1"/>
  <c r="S182" i="37"/>
  <c r="V182" i="37" s="1"/>
  <c r="Z182" i="37"/>
  <c r="AH182" i="37" s="1"/>
  <c r="AI182" i="37" s="1"/>
  <c r="AJ182" i="37" s="1"/>
  <c r="AH181" i="37"/>
  <c r="AI181" i="37" s="1"/>
  <c r="AJ181" i="37" s="1"/>
  <c r="O183" i="37"/>
  <c r="N184" i="37"/>
  <c r="O184" i="37" l="1"/>
  <c r="N185" i="37"/>
  <c r="E181" i="37"/>
  <c r="AM181" i="37" s="1"/>
  <c r="AN181" i="37" s="1"/>
  <c r="AK181" i="37"/>
  <c r="S183" i="37"/>
  <c r="V183" i="37" s="1"/>
  <c r="Z183" i="37"/>
  <c r="AK182" i="37"/>
  <c r="E182" i="37"/>
  <c r="AM182" i="37" s="1"/>
  <c r="AN182" i="37" s="1"/>
  <c r="AH183" i="37" l="1"/>
  <c r="AI183" i="37" s="1"/>
  <c r="AJ183" i="37" s="1"/>
  <c r="E183" i="37" s="1"/>
  <c r="AM183" i="37" s="1"/>
  <c r="AN183" i="37" s="1"/>
  <c r="O185" i="37"/>
  <c r="N186" i="37"/>
  <c r="Z184" i="37"/>
  <c r="S184" i="37"/>
  <c r="V184" i="37" s="1"/>
  <c r="AK183" i="37" l="1"/>
  <c r="AH184" i="37"/>
  <c r="AI184" i="37" s="1"/>
  <c r="AJ184" i="37" s="1"/>
  <c r="O186" i="37"/>
  <c r="N187" i="37"/>
  <c r="Z185" i="37"/>
  <c r="S185" i="37"/>
  <c r="V185" i="37" s="1"/>
  <c r="Z186" i="37" l="1"/>
  <c r="S186" i="37"/>
  <c r="V186" i="37" s="1"/>
  <c r="AH185" i="37"/>
  <c r="AI185" i="37" s="1"/>
  <c r="AJ185" i="37" s="1"/>
  <c r="O187" i="37"/>
  <c r="N188" i="37"/>
  <c r="E184" i="37"/>
  <c r="AM184" i="37" s="1"/>
  <c r="AN184" i="37" s="1"/>
  <c r="AK184" i="37"/>
  <c r="N189" i="37" l="1"/>
  <c r="O188" i="37"/>
  <c r="Z187" i="37"/>
  <c r="S187" i="37"/>
  <c r="V187" i="37" s="1"/>
  <c r="E185" i="37"/>
  <c r="AM185" i="37" s="1"/>
  <c r="AN185" i="37" s="1"/>
  <c r="AK185" i="37"/>
  <c r="AH186" i="37"/>
  <c r="AI186" i="37" s="1"/>
  <c r="AJ186" i="37" s="1"/>
  <c r="S188" i="37" l="1"/>
  <c r="V188" i="37" s="1"/>
  <c r="Z188" i="37"/>
  <c r="AH188" i="37" s="1"/>
  <c r="AI188" i="37" s="1"/>
  <c r="AJ188" i="37" s="1"/>
  <c r="E186" i="37"/>
  <c r="AM186" i="37" s="1"/>
  <c r="AN186" i="37" s="1"/>
  <c r="AK186" i="37"/>
  <c r="AH187" i="37"/>
  <c r="AI187" i="37" s="1"/>
  <c r="AJ187" i="37" s="1"/>
  <c r="O189" i="37"/>
  <c r="N190" i="37"/>
  <c r="S189" i="37" l="1"/>
  <c r="V189" i="37" s="1"/>
  <c r="Z189" i="37"/>
  <c r="E188" i="37"/>
  <c r="AM188" i="37" s="1"/>
  <c r="AN188" i="37" s="1"/>
  <c r="AK188" i="37"/>
  <c r="O190" i="37"/>
  <c r="N191" i="37"/>
  <c r="E187" i="37"/>
  <c r="AM187" i="37" s="1"/>
  <c r="AN187" i="37" s="1"/>
  <c r="AK187" i="37"/>
  <c r="AH189" i="37" l="1"/>
  <c r="AI189" i="37" s="1"/>
  <c r="AJ189" i="37" s="1"/>
  <c r="O191" i="37"/>
  <c r="N192" i="37"/>
  <c r="Z190" i="37"/>
  <c r="S190" i="37"/>
  <c r="V190" i="37" s="1"/>
  <c r="E189" i="37" l="1"/>
  <c r="AM189" i="37" s="1"/>
  <c r="AN189" i="37" s="1"/>
  <c r="AK189" i="37"/>
  <c r="AH190" i="37"/>
  <c r="AI190" i="37" s="1"/>
  <c r="AJ190" i="37" s="1"/>
  <c r="E190" i="37" s="1"/>
  <c r="AM190" i="37" s="1"/>
  <c r="AN190" i="37" s="1"/>
  <c r="O192" i="37"/>
  <c r="N193" i="37"/>
  <c r="S191" i="37"/>
  <c r="V191" i="37" s="1"/>
  <c r="Z191" i="37"/>
  <c r="AH191" i="37" l="1"/>
  <c r="AI191" i="37" s="1"/>
  <c r="AJ191" i="37" s="1"/>
  <c r="E191" i="37" s="1"/>
  <c r="AM191" i="37" s="1"/>
  <c r="AN191" i="37" s="1"/>
  <c r="AK190" i="37"/>
  <c r="N194" i="37"/>
  <c r="O193" i="37"/>
  <c r="S192" i="37"/>
  <c r="V192" i="37" s="1"/>
  <c r="Z192" i="37"/>
  <c r="AK191" i="37" l="1"/>
  <c r="AH192" i="37"/>
  <c r="AI192" i="37" s="1"/>
  <c r="AJ192" i="37" s="1"/>
  <c r="AK192" i="37" s="1"/>
  <c r="S193" i="37"/>
  <c r="V193" i="37" s="1"/>
  <c r="Z193" i="37"/>
  <c r="O194" i="37"/>
  <c r="N195" i="37"/>
  <c r="E192" i="37" l="1"/>
  <c r="AM192" i="37" s="1"/>
  <c r="AN192" i="37" s="1"/>
  <c r="AH193" i="37"/>
  <c r="AI193" i="37" s="1"/>
  <c r="AJ193" i="37" s="1"/>
  <c r="O195" i="37"/>
  <c r="N196" i="37"/>
  <c r="Z194" i="37"/>
  <c r="S194" i="37"/>
  <c r="V194" i="37" s="1"/>
  <c r="AK193" i="37"/>
  <c r="E193" i="37"/>
  <c r="AM193" i="37" s="1"/>
  <c r="AN193" i="37" s="1"/>
  <c r="AH194" i="37" l="1"/>
  <c r="AI194" i="37" s="1"/>
  <c r="AJ194" i="37" s="1"/>
  <c r="O196" i="37"/>
  <c r="N197" i="37"/>
  <c r="S195" i="37"/>
  <c r="V195" i="37" s="1"/>
  <c r="Z195" i="37"/>
  <c r="AH195" i="37" l="1"/>
  <c r="AI195" i="37" s="1"/>
  <c r="AJ195" i="37" s="1"/>
  <c r="E195" i="37" s="1"/>
  <c r="AM195" i="37" s="1"/>
  <c r="AN195" i="37" s="1"/>
  <c r="S196" i="37"/>
  <c r="V196" i="37" s="1"/>
  <c r="Z196" i="37"/>
  <c r="N198" i="37"/>
  <c r="O197" i="37"/>
  <c r="E194" i="37"/>
  <c r="AM194" i="37" s="1"/>
  <c r="AN194" i="37" s="1"/>
  <c r="AK194" i="37"/>
  <c r="AH196" i="37" l="1"/>
  <c r="AI196" i="37" s="1"/>
  <c r="AJ196" i="37" s="1"/>
  <c r="AK195" i="37"/>
  <c r="S197" i="37"/>
  <c r="V197" i="37" s="1"/>
  <c r="Z197" i="37"/>
  <c r="O198" i="37"/>
  <c r="N199" i="37"/>
  <c r="AH197" i="37" l="1"/>
  <c r="AI197" i="37" s="1"/>
  <c r="AJ197" i="37" s="1"/>
  <c r="E197" i="37" s="1"/>
  <c r="AM197" i="37" s="1"/>
  <c r="AN197" i="37" s="1"/>
  <c r="E196" i="37"/>
  <c r="AM196" i="37" s="1"/>
  <c r="AN196" i="37" s="1"/>
  <c r="AK196" i="37"/>
  <c r="N200" i="37"/>
  <c r="O199" i="37"/>
  <c r="S198" i="37"/>
  <c r="V198" i="37" s="1"/>
  <c r="Z198" i="37"/>
  <c r="AK197" i="37" l="1"/>
  <c r="AH198" i="37"/>
  <c r="AI198" i="37" s="1"/>
  <c r="AJ198" i="37" s="1"/>
  <c r="E198" i="37" s="1"/>
  <c r="AM198" i="37" s="1"/>
  <c r="AN198" i="37" s="1"/>
  <c r="S199" i="37"/>
  <c r="V199" i="37" s="1"/>
  <c r="Z199" i="37"/>
  <c r="O200" i="37"/>
  <c r="N201" i="37"/>
  <c r="AK198" i="37" l="1"/>
  <c r="AH199" i="37"/>
  <c r="AI199" i="37" s="1"/>
  <c r="AJ199" i="37" s="1"/>
  <c r="E199" i="37" s="1"/>
  <c r="AM199" i="37" s="1"/>
  <c r="AN199" i="37" s="1"/>
  <c r="S200" i="37"/>
  <c r="V200" i="37" s="1"/>
  <c r="Z200" i="37"/>
  <c r="N202" i="37"/>
  <c r="O201" i="37"/>
  <c r="AK199" i="37" l="1"/>
  <c r="AH200" i="37"/>
  <c r="AI200" i="37" s="1"/>
  <c r="AJ200" i="37" s="1"/>
  <c r="E200" i="37" s="1"/>
  <c r="AM200" i="37" s="1"/>
  <c r="AN200" i="37" s="1"/>
  <c r="O202" i="37"/>
  <c r="N203" i="37"/>
  <c r="Z201" i="37"/>
  <c r="S201" i="37"/>
  <c r="V201" i="37" s="1"/>
  <c r="AK200" i="37" l="1"/>
  <c r="AH201" i="37"/>
  <c r="AI201" i="37" s="1"/>
  <c r="AJ201" i="37" s="1"/>
  <c r="N204" i="37"/>
  <c r="O203" i="37"/>
  <c r="S202" i="37"/>
  <c r="V202" i="37" s="1"/>
  <c r="Z202" i="37"/>
  <c r="AH202" i="37" s="1"/>
  <c r="AI202" i="37" s="1"/>
  <c r="AJ202" i="37" s="1"/>
  <c r="E202" i="37" s="1"/>
  <c r="AM202" i="37" s="1"/>
  <c r="AN202" i="37" s="1"/>
  <c r="AK202" i="37" l="1"/>
  <c r="Z203" i="37"/>
  <c r="S203" i="37"/>
  <c r="V203" i="37" s="1"/>
  <c r="O204" i="37"/>
  <c r="N205" i="37"/>
  <c r="E201" i="37"/>
  <c r="AM201" i="37" s="1"/>
  <c r="AN201" i="37" s="1"/>
  <c r="AK201" i="37"/>
  <c r="O205" i="37" l="1"/>
  <c r="N206" i="37"/>
  <c r="Z204" i="37"/>
  <c r="S204" i="37"/>
  <c r="V204" i="37" s="1"/>
  <c r="AH203" i="37"/>
  <c r="AI203" i="37" s="1"/>
  <c r="AJ203" i="37" s="1"/>
  <c r="E203" i="37" l="1"/>
  <c r="AM203" i="37" s="1"/>
  <c r="AN203" i="37" s="1"/>
  <c r="AK203" i="37"/>
  <c r="AH204" i="37"/>
  <c r="AI204" i="37" s="1"/>
  <c r="AJ204" i="37" s="1"/>
  <c r="N207" i="37"/>
  <c r="O206" i="37"/>
  <c r="Z205" i="37"/>
  <c r="S205" i="37"/>
  <c r="V205" i="37" s="1"/>
  <c r="AH205" i="37" l="1"/>
  <c r="AI205" i="37" s="1"/>
  <c r="AJ205" i="37" s="1"/>
  <c r="O207" i="37"/>
  <c r="N208" i="37"/>
  <c r="S206" i="37"/>
  <c r="V206" i="37" s="1"/>
  <c r="Z206" i="37"/>
  <c r="E204" i="37"/>
  <c r="AM204" i="37" s="1"/>
  <c r="AN204" i="37" s="1"/>
  <c r="AK204" i="37"/>
  <c r="AH206" i="37" l="1"/>
  <c r="AI206" i="37" s="1"/>
  <c r="AJ206" i="37" s="1"/>
  <c r="S207" i="37"/>
  <c r="V207" i="37" s="1"/>
  <c r="Z207" i="37"/>
  <c r="O208" i="37"/>
  <c r="N209" i="37"/>
  <c r="E205" i="37"/>
  <c r="AM205" i="37" s="1"/>
  <c r="AN205" i="37" s="1"/>
  <c r="AK205" i="37"/>
  <c r="AH207" i="37" l="1"/>
  <c r="AI207" i="37" s="1"/>
  <c r="AJ207" i="37" s="1"/>
  <c r="E207" i="37" s="1"/>
  <c r="AM207" i="37" s="1"/>
  <c r="AN207" i="37" s="1"/>
  <c r="E206" i="37"/>
  <c r="AM206" i="37" s="1"/>
  <c r="AN206" i="37" s="1"/>
  <c r="AK206" i="37"/>
  <c r="S208" i="37"/>
  <c r="V208" i="37" s="1"/>
  <c r="Z208" i="37"/>
  <c r="O209" i="37"/>
  <c r="N210" i="37"/>
  <c r="AK207" i="37" l="1"/>
  <c r="AH208" i="37"/>
  <c r="AI208" i="37" s="1"/>
  <c r="AJ208" i="37" s="1"/>
  <c r="Z209" i="37"/>
  <c r="S209" i="37"/>
  <c r="V209" i="37" s="1"/>
  <c r="N211" i="37"/>
  <c r="O210" i="37"/>
  <c r="AK208" i="37" l="1"/>
  <c r="E208" i="37"/>
  <c r="AM208" i="37" s="1"/>
  <c r="AN208" i="37" s="1"/>
  <c r="Z210" i="37"/>
  <c r="S210" i="37"/>
  <c r="V210" i="37" s="1"/>
  <c r="O211" i="37"/>
  <c r="N212" i="37"/>
  <c r="AH209" i="37"/>
  <c r="AI209" i="37" s="1"/>
  <c r="AJ209" i="37" s="1"/>
  <c r="E209" i="37" l="1"/>
  <c r="AM209" i="37" s="1"/>
  <c r="AN209" i="37" s="1"/>
  <c r="AK209" i="37"/>
  <c r="N213" i="37"/>
  <c r="O212" i="37"/>
  <c r="Z211" i="37"/>
  <c r="S211" i="37"/>
  <c r="V211" i="37" s="1"/>
  <c r="AH210" i="37"/>
  <c r="AI210" i="37" s="1"/>
  <c r="AJ210" i="37" s="1"/>
  <c r="Z212" i="37" l="1"/>
  <c r="S212" i="37"/>
  <c r="V212" i="37" s="1"/>
  <c r="E210" i="37"/>
  <c r="AM210" i="37" s="1"/>
  <c r="AN210" i="37" s="1"/>
  <c r="AK210" i="37"/>
  <c r="AH211" i="37"/>
  <c r="AI211" i="37" s="1"/>
  <c r="AJ211" i="37" s="1"/>
  <c r="O213" i="37"/>
  <c r="N214" i="37"/>
  <c r="O214" i="37" l="1"/>
  <c r="N215" i="37"/>
  <c r="E211" i="37"/>
  <c r="AM211" i="37" s="1"/>
  <c r="AN211" i="37" s="1"/>
  <c r="AK211" i="37"/>
  <c r="Z213" i="37"/>
  <c r="S213" i="37"/>
  <c r="V213" i="37" s="1"/>
  <c r="AH212" i="37"/>
  <c r="AI212" i="37" s="1"/>
  <c r="AJ212" i="37" s="1"/>
  <c r="AH213" i="37" l="1"/>
  <c r="AI213" i="37" s="1"/>
  <c r="AJ213" i="37" s="1"/>
  <c r="E213" i="37" s="1"/>
  <c r="AM213" i="37" s="1"/>
  <c r="AN213" i="37" s="1"/>
  <c r="AK212" i="37"/>
  <c r="E212" i="37"/>
  <c r="AM212" i="37" s="1"/>
  <c r="AN212" i="37" s="1"/>
  <c r="O215" i="37"/>
  <c r="N216" i="37"/>
  <c r="S214" i="37"/>
  <c r="V214" i="37" s="1"/>
  <c r="Z214" i="37"/>
  <c r="AK213" i="37" l="1"/>
  <c r="AH214" i="37"/>
  <c r="AI214" i="37" s="1"/>
  <c r="AJ214" i="37" s="1"/>
  <c r="E214" i="37" s="1"/>
  <c r="AM214" i="37" s="1"/>
  <c r="AN214" i="37" s="1"/>
  <c r="N217" i="37"/>
  <c r="O216" i="37"/>
  <c r="Z215" i="37"/>
  <c r="S215" i="37"/>
  <c r="V215" i="37" s="1"/>
  <c r="AK214" i="37" l="1"/>
  <c r="Z216" i="37"/>
  <c r="S216" i="37"/>
  <c r="V216" i="37" s="1"/>
  <c r="AH215" i="37"/>
  <c r="AI215" i="37" s="1"/>
  <c r="AJ215" i="37" s="1"/>
  <c r="O217" i="37"/>
  <c r="N218" i="37"/>
  <c r="O218" i="37" l="1"/>
  <c r="N219" i="37"/>
  <c r="E215" i="37"/>
  <c r="AM215" i="37" s="1"/>
  <c r="AN215" i="37" s="1"/>
  <c r="AK215" i="37"/>
  <c r="S217" i="37"/>
  <c r="V217" i="37" s="1"/>
  <c r="Z217" i="37"/>
  <c r="AH216" i="37"/>
  <c r="AI216" i="37" s="1"/>
  <c r="AJ216" i="37" s="1"/>
  <c r="AH217" i="37" l="1"/>
  <c r="AI217" i="37" s="1"/>
  <c r="AJ217" i="37" s="1"/>
  <c r="AK217" i="37" s="1"/>
  <c r="E216" i="37"/>
  <c r="AM216" i="37" s="1"/>
  <c r="AN216" i="37" s="1"/>
  <c r="AK216" i="37"/>
  <c r="O219" i="37"/>
  <c r="N220" i="37"/>
  <c r="Z218" i="37"/>
  <c r="S218" i="37"/>
  <c r="V218" i="37" s="1"/>
  <c r="E217" i="37" l="1"/>
  <c r="AM217" i="37" s="1"/>
  <c r="AN217" i="37" s="1"/>
  <c r="S219" i="37"/>
  <c r="V219" i="37" s="1"/>
  <c r="Z219" i="37"/>
  <c r="AH218" i="37"/>
  <c r="AI218" i="37" s="1"/>
  <c r="AJ218" i="37" s="1"/>
  <c r="N221" i="37"/>
  <c r="O220" i="37"/>
  <c r="AH219" i="37" l="1"/>
  <c r="AI219" i="37" s="1"/>
  <c r="AJ219" i="37" s="1"/>
  <c r="AK219" i="37" s="1"/>
  <c r="E218" i="37"/>
  <c r="AM218" i="37" s="1"/>
  <c r="AN218" i="37" s="1"/>
  <c r="AK218" i="37"/>
  <c r="S220" i="37"/>
  <c r="V220" i="37" s="1"/>
  <c r="Z220" i="37"/>
  <c r="O221" i="37"/>
  <c r="N222" i="37"/>
  <c r="E219" i="37" l="1"/>
  <c r="AM219" i="37" s="1"/>
  <c r="AN219" i="37" s="1"/>
  <c r="AH220" i="37"/>
  <c r="AI220" i="37" s="1"/>
  <c r="AJ220" i="37" s="1"/>
  <c r="AK220" i="37" s="1"/>
  <c r="Z221" i="37"/>
  <c r="S221" i="37"/>
  <c r="V221" i="37" s="1"/>
  <c r="O222" i="37"/>
  <c r="N223" i="37"/>
  <c r="E220" i="37" l="1"/>
  <c r="AM220" i="37" s="1"/>
  <c r="AN220" i="37" s="1"/>
  <c r="N224" i="37"/>
  <c r="O223" i="37"/>
  <c r="S222" i="37"/>
  <c r="V222" i="37" s="1"/>
  <c r="Z222" i="37"/>
  <c r="AH221" i="37"/>
  <c r="AI221" i="37" s="1"/>
  <c r="AJ221" i="37" s="1"/>
  <c r="AH222" i="37" l="1"/>
  <c r="AI222" i="37" s="1"/>
  <c r="AJ222" i="37" s="1"/>
  <c r="E222" i="37" s="1"/>
  <c r="AM222" i="37" s="1"/>
  <c r="AN222" i="37" s="1"/>
  <c r="S223" i="37"/>
  <c r="V223" i="37" s="1"/>
  <c r="Z223" i="37"/>
  <c r="E221" i="37"/>
  <c r="AM221" i="37" s="1"/>
  <c r="AN221" i="37" s="1"/>
  <c r="AK221" i="37"/>
  <c r="N225" i="37"/>
  <c r="O224" i="37"/>
  <c r="AK222" i="37" l="1"/>
  <c r="AH223" i="37"/>
  <c r="AI223" i="37" s="1"/>
  <c r="AJ223" i="37" s="1"/>
  <c r="S224" i="37"/>
  <c r="V224" i="37" s="1"/>
  <c r="Z224" i="37"/>
  <c r="O225" i="37"/>
  <c r="N226" i="37"/>
  <c r="E223" i="37"/>
  <c r="AM223" i="37" s="1"/>
  <c r="AN223" i="37" s="1"/>
  <c r="AK223" i="37"/>
  <c r="AH224" i="37" l="1"/>
  <c r="AI224" i="37" s="1"/>
  <c r="AJ224" i="37" s="1"/>
  <c r="E224" i="37" s="1"/>
  <c r="AM224" i="37" s="1"/>
  <c r="AN224" i="37" s="1"/>
  <c r="Z225" i="37"/>
  <c r="S225" i="37"/>
  <c r="V225" i="37" s="1"/>
  <c r="N227" i="37"/>
  <c r="O226" i="37"/>
  <c r="AK224" i="37" l="1"/>
  <c r="Z226" i="37"/>
  <c r="S226" i="37"/>
  <c r="V226" i="37" s="1"/>
  <c r="O227" i="37"/>
  <c r="N228" i="37"/>
  <c r="AH225" i="37"/>
  <c r="AI225" i="37" s="1"/>
  <c r="AJ225" i="37" s="1"/>
  <c r="E225" i="37" l="1"/>
  <c r="AM225" i="37" s="1"/>
  <c r="AN225" i="37" s="1"/>
  <c r="AK225" i="37"/>
  <c r="O228" i="37"/>
  <c r="N229" i="37"/>
  <c r="Z227" i="37"/>
  <c r="S227" i="37"/>
  <c r="V227" i="37" s="1"/>
  <c r="AH226" i="37"/>
  <c r="AI226" i="37" s="1"/>
  <c r="AJ226" i="37" s="1"/>
  <c r="E226" i="37" l="1"/>
  <c r="AM226" i="37" s="1"/>
  <c r="AN226" i="37" s="1"/>
  <c r="AK226" i="37"/>
  <c r="AH227" i="37"/>
  <c r="AI227" i="37" s="1"/>
  <c r="AJ227" i="37" s="1"/>
  <c r="N230" i="37"/>
  <c r="O229" i="37"/>
  <c r="S228" i="37"/>
  <c r="V228" i="37" s="1"/>
  <c r="Z228" i="37"/>
  <c r="AH228" i="37" l="1"/>
  <c r="AI228" i="37" s="1"/>
  <c r="AJ228" i="37" s="1"/>
  <c r="E228" i="37" s="1"/>
  <c r="AM228" i="37" s="1"/>
  <c r="AN228" i="37" s="1"/>
  <c r="N231" i="37"/>
  <c r="O230" i="37"/>
  <c r="Z229" i="37"/>
  <c r="S229" i="37"/>
  <c r="V229" i="37" s="1"/>
  <c r="AK227" i="37"/>
  <c r="E227" i="37"/>
  <c r="AM227" i="37" s="1"/>
  <c r="AN227" i="37" s="1"/>
  <c r="AK228" i="37" l="1"/>
  <c r="S230" i="37"/>
  <c r="V230" i="37" s="1"/>
  <c r="Z230" i="37"/>
  <c r="AH230" i="37" s="1"/>
  <c r="AI230" i="37" s="1"/>
  <c r="AJ230" i="37" s="1"/>
  <c r="E230" i="37" s="1"/>
  <c r="AM230" i="37" s="1"/>
  <c r="AN230" i="37" s="1"/>
  <c r="AH229" i="37"/>
  <c r="AI229" i="37" s="1"/>
  <c r="AJ229" i="37" s="1"/>
  <c r="O231" i="37"/>
  <c r="N232" i="37"/>
  <c r="AK230" i="37"/>
  <c r="N233" i="37" l="1"/>
  <c r="O232" i="37"/>
  <c r="AK229" i="37"/>
  <c r="E229" i="37"/>
  <c r="AM229" i="37" s="1"/>
  <c r="AN229" i="37" s="1"/>
  <c r="S231" i="37"/>
  <c r="V231" i="37" s="1"/>
  <c r="Z231" i="37"/>
  <c r="AH231" i="37" l="1"/>
  <c r="AI231" i="37" s="1"/>
  <c r="AJ231" i="37" s="1"/>
  <c r="S232" i="37"/>
  <c r="V232" i="37" s="1"/>
  <c r="Z232" i="37"/>
  <c r="N234" i="37"/>
  <c r="O233" i="37"/>
  <c r="AH232" i="37" l="1"/>
  <c r="AI232" i="37" s="1"/>
  <c r="AJ232" i="37" s="1"/>
  <c r="AK232" i="37" s="1"/>
  <c r="AK231" i="37"/>
  <c r="E231" i="37"/>
  <c r="AM231" i="37" s="1"/>
  <c r="AN231" i="37" s="1"/>
  <c r="S233" i="37"/>
  <c r="V233" i="37" s="1"/>
  <c r="Z233" i="37"/>
  <c r="O234" i="37"/>
  <c r="N235" i="37"/>
  <c r="E232" i="37" l="1"/>
  <c r="AM232" i="37" s="1"/>
  <c r="AN232" i="37" s="1"/>
  <c r="AH233" i="37"/>
  <c r="AI233" i="37" s="1"/>
  <c r="AJ233" i="37" s="1"/>
  <c r="Z234" i="37"/>
  <c r="S234" i="37"/>
  <c r="V234" i="37" s="1"/>
  <c r="O235" i="37"/>
  <c r="N236" i="37"/>
  <c r="E233" i="37"/>
  <c r="AM233" i="37" s="1"/>
  <c r="AN233" i="37" s="1"/>
  <c r="AK233" i="37"/>
  <c r="O236" i="37" l="1"/>
  <c r="N237" i="37"/>
  <c r="S235" i="37"/>
  <c r="V235" i="37" s="1"/>
  <c r="Z235" i="37"/>
  <c r="AH234" i="37"/>
  <c r="AI234" i="37" s="1"/>
  <c r="AJ234" i="37" s="1"/>
  <c r="AH235" i="37" l="1"/>
  <c r="AI235" i="37" s="1"/>
  <c r="AJ235" i="37" s="1"/>
  <c r="E235" i="37" s="1"/>
  <c r="AM235" i="37" s="1"/>
  <c r="AN235" i="37" s="1"/>
  <c r="AK234" i="37"/>
  <c r="E234" i="37"/>
  <c r="AM234" i="37" s="1"/>
  <c r="AN234" i="37" s="1"/>
  <c r="O237" i="37"/>
  <c r="N238" i="37"/>
  <c r="Z236" i="37"/>
  <c r="S236" i="37"/>
  <c r="V236" i="37" s="1"/>
  <c r="AK235" i="37" l="1"/>
  <c r="AH236" i="37"/>
  <c r="AI236" i="37" s="1"/>
  <c r="AJ236" i="37" s="1"/>
  <c r="O238" i="37"/>
  <c r="N239" i="37"/>
  <c r="S237" i="37"/>
  <c r="V237" i="37" s="1"/>
  <c r="Z237" i="37"/>
  <c r="AH237" i="37" l="1"/>
  <c r="AI237" i="37" s="1"/>
  <c r="AJ237" i="37" s="1"/>
  <c r="E237" i="37" s="1"/>
  <c r="AM237" i="37" s="1"/>
  <c r="AN237" i="37" s="1"/>
  <c r="O239" i="37"/>
  <c r="N240" i="37"/>
  <c r="S238" i="37"/>
  <c r="V238" i="37" s="1"/>
  <c r="Z238" i="37"/>
  <c r="E236" i="37"/>
  <c r="AM236" i="37" s="1"/>
  <c r="AN236" i="37" s="1"/>
  <c r="AK236" i="37"/>
  <c r="AH238" i="37" l="1"/>
  <c r="AI238" i="37" s="1"/>
  <c r="AJ238" i="37" s="1"/>
  <c r="AK238" i="37" s="1"/>
  <c r="AK237" i="37"/>
  <c r="O240" i="37"/>
  <c r="N241" i="37"/>
  <c r="S239" i="37"/>
  <c r="V239" i="37" s="1"/>
  <c r="Z239" i="37"/>
  <c r="E238" i="37" l="1"/>
  <c r="AM238" i="37" s="1"/>
  <c r="AN238" i="37" s="1"/>
  <c r="AH239" i="37"/>
  <c r="AI239" i="37" s="1"/>
  <c r="AJ239" i="37" s="1"/>
  <c r="S240" i="37"/>
  <c r="V240" i="37" s="1"/>
  <c r="Z240" i="37"/>
  <c r="E239" i="37"/>
  <c r="AM239" i="37" s="1"/>
  <c r="AN239" i="37" s="1"/>
  <c r="AK239" i="37"/>
  <c r="O241" i="37"/>
  <c r="N242" i="37"/>
  <c r="AH240" i="37" l="1"/>
  <c r="AI240" i="37" s="1"/>
  <c r="AJ240" i="37" s="1"/>
  <c r="AK240" i="37" s="1"/>
  <c r="N243" i="37"/>
  <c r="O242" i="37"/>
  <c r="Z241" i="37"/>
  <c r="S241" i="37"/>
  <c r="V241" i="37" s="1"/>
  <c r="E240" i="37" l="1"/>
  <c r="AM240" i="37" s="1"/>
  <c r="AN240" i="37" s="1"/>
  <c r="AH241" i="37"/>
  <c r="AI241" i="37" s="1"/>
  <c r="AJ241" i="37" s="1"/>
  <c r="S242" i="37"/>
  <c r="V242" i="37" s="1"/>
  <c r="Z242" i="37"/>
  <c r="N244" i="37"/>
  <c r="O243" i="37"/>
  <c r="AH242" i="37" l="1"/>
  <c r="AI242" i="37" s="1"/>
  <c r="AJ242" i="37" s="1"/>
  <c r="N245" i="37"/>
  <c r="O244" i="37"/>
  <c r="Z243" i="37"/>
  <c r="S243" i="37"/>
  <c r="V243" i="37" s="1"/>
  <c r="AK241" i="37"/>
  <c r="E241" i="37"/>
  <c r="AM241" i="37" s="1"/>
  <c r="AN241" i="37" s="1"/>
  <c r="E242" i="37" l="1"/>
  <c r="AM242" i="37" s="1"/>
  <c r="AN242" i="37" s="1"/>
  <c r="AK242" i="37"/>
  <c r="AH243" i="37"/>
  <c r="AI243" i="37" s="1"/>
  <c r="AJ243" i="37" s="1"/>
  <c r="S244" i="37"/>
  <c r="V244" i="37" s="1"/>
  <c r="Z244" i="37"/>
  <c r="O245" i="37"/>
  <c r="N246" i="37"/>
  <c r="AH244" i="37" l="1"/>
  <c r="AI244" i="37" s="1"/>
  <c r="AJ244" i="37" s="1"/>
  <c r="E244" i="37" s="1"/>
  <c r="AM244" i="37" s="1"/>
  <c r="AN244" i="37" s="1"/>
  <c r="N247" i="37"/>
  <c r="O246" i="37"/>
  <c r="Z245" i="37"/>
  <c r="S245" i="37"/>
  <c r="V245" i="37" s="1"/>
  <c r="AK243" i="37"/>
  <c r="E243" i="37"/>
  <c r="AM243" i="37" s="1"/>
  <c r="AN243" i="37" s="1"/>
  <c r="AK244" i="37" l="1"/>
  <c r="AH245" i="37"/>
  <c r="AI245" i="37" s="1"/>
  <c r="AJ245" i="37" s="1"/>
  <c r="Z246" i="37"/>
  <c r="S246" i="37"/>
  <c r="V246" i="37" s="1"/>
  <c r="O247" i="37"/>
  <c r="N248" i="37"/>
  <c r="O248" i="37" l="1"/>
  <c r="N249" i="37"/>
  <c r="Z247" i="37"/>
  <c r="S247" i="37"/>
  <c r="V247" i="37" s="1"/>
  <c r="AH246" i="37"/>
  <c r="AI246" i="37" s="1"/>
  <c r="AJ246" i="37" s="1"/>
  <c r="E245" i="37"/>
  <c r="AM245" i="37" s="1"/>
  <c r="AN245" i="37" s="1"/>
  <c r="AK245" i="37"/>
  <c r="AH247" i="37" l="1"/>
  <c r="AI247" i="37" s="1"/>
  <c r="AJ247" i="37" s="1"/>
  <c r="E246" i="37"/>
  <c r="AM246" i="37" s="1"/>
  <c r="AN246" i="37" s="1"/>
  <c r="AK246" i="37"/>
  <c r="N250" i="37"/>
  <c r="O249" i="37"/>
  <c r="S248" i="37"/>
  <c r="V248" i="37" s="1"/>
  <c r="Z248" i="37"/>
  <c r="Z249" i="37" l="1"/>
  <c r="S249" i="37"/>
  <c r="V249" i="37" s="1"/>
  <c r="AH248" i="37"/>
  <c r="AI248" i="37" s="1"/>
  <c r="AJ248" i="37" s="1"/>
  <c r="O250" i="37"/>
  <c r="N251" i="37"/>
  <c r="AK247" i="37"/>
  <c r="E247" i="37"/>
  <c r="AM247" i="37" s="1"/>
  <c r="AN247" i="37" s="1"/>
  <c r="O251" i="37" l="1"/>
  <c r="N252" i="37"/>
  <c r="Z250" i="37"/>
  <c r="S250" i="37"/>
  <c r="V250" i="37" s="1"/>
  <c r="E248" i="37"/>
  <c r="AM248" i="37" s="1"/>
  <c r="AN248" i="37" s="1"/>
  <c r="AK248" i="37"/>
  <c r="AH249" i="37"/>
  <c r="AI249" i="37" s="1"/>
  <c r="AJ249" i="37" s="1"/>
  <c r="AK249" i="37" l="1"/>
  <c r="E249" i="37"/>
  <c r="AM249" i="37" s="1"/>
  <c r="AN249" i="37" s="1"/>
  <c r="AH250" i="37"/>
  <c r="AI250" i="37" s="1"/>
  <c r="AJ250" i="37" s="1"/>
  <c r="N253" i="37"/>
  <c r="O252" i="37"/>
  <c r="Z251" i="37"/>
  <c r="S251" i="37"/>
  <c r="V251" i="37" s="1"/>
  <c r="AH251" i="37" l="1"/>
  <c r="AI251" i="37" s="1"/>
  <c r="AJ251" i="37" s="1"/>
  <c r="Z252" i="37"/>
  <c r="S252" i="37"/>
  <c r="V252" i="37" s="1"/>
  <c r="N254" i="37"/>
  <c r="O253" i="37"/>
  <c r="E250" i="37"/>
  <c r="AM250" i="37" s="1"/>
  <c r="AN250" i="37" s="1"/>
  <c r="AK250" i="37"/>
  <c r="E251" i="37" l="1"/>
  <c r="AM251" i="37" s="1"/>
  <c r="AN251" i="37" s="1"/>
  <c r="AK251" i="37"/>
  <c r="Z253" i="37"/>
  <c r="S253" i="37"/>
  <c r="V253" i="37" s="1"/>
  <c r="O254" i="37"/>
  <c r="N255" i="37"/>
  <c r="AH252" i="37"/>
  <c r="AI252" i="37" s="1"/>
  <c r="AJ252" i="37" s="1"/>
  <c r="E252" i="37" l="1"/>
  <c r="AM252" i="37" s="1"/>
  <c r="AN252" i="37" s="1"/>
  <c r="AK252" i="37"/>
  <c r="N256" i="37"/>
  <c r="O255" i="37"/>
  <c r="S254" i="37"/>
  <c r="V254" i="37" s="1"/>
  <c r="Z254" i="37"/>
  <c r="AH254" i="37" s="1"/>
  <c r="AI254" i="37" s="1"/>
  <c r="AJ254" i="37" s="1"/>
  <c r="E254" i="37" s="1"/>
  <c r="AM254" i="37" s="1"/>
  <c r="AN254" i="37" s="1"/>
  <c r="AH253" i="37"/>
  <c r="AI253" i="37" s="1"/>
  <c r="AJ253" i="37" s="1"/>
  <c r="AK254" i="37" l="1"/>
  <c r="AK253" i="37"/>
  <c r="E253" i="37"/>
  <c r="AM253" i="37" s="1"/>
  <c r="AN253" i="37" s="1"/>
  <c r="S255" i="37"/>
  <c r="V255" i="37" s="1"/>
  <c r="Z255" i="37"/>
  <c r="N257" i="37"/>
  <c r="O256" i="37"/>
  <c r="AH255" i="37" l="1"/>
  <c r="AI255" i="37" s="1"/>
  <c r="AJ255" i="37" s="1"/>
  <c r="N258" i="37"/>
  <c r="O257" i="37"/>
  <c r="Z256" i="37"/>
  <c r="S256" i="37"/>
  <c r="V256" i="37" s="1"/>
  <c r="AK255" i="37"/>
  <c r="E255" i="37"/>
  <c r="AM255" i="37" s="1"/>
  <c r="AN255" i="37" s="1"/>
  <c r="AH256" i="37" l="1"/>
  <c r="AI256" i="37" s="1"/>
  <c r="AJ256" i="37" s="1"/>
  <c r="Z257" i="37"/>
  <c r="S257" i="37"/>
  <c r="V257" i="37" s="1"/>
  <c r="O258" i="37"/>
  <c r="N259" i="37"/>
  <c r="AH257" i="37" l="1"/>
  <c r="AI257" i="37" s="1"/>
  <c r="AJ257" i="37" s="1"/>
  <c r="S258" i="37"/>
  <c r="V258" i="37" s="1"/>
  <c r="Z258" i="37"/>
  <c r="O259" i="37"/>
  <c r="N260" i="37"/>
  <c r="E256" i="37"/>
  <c r="AM256" i="37" s="1"/>
  <c r="AN256" i="37" s="1"/>
  <c r="AK256" i="37"/>
  <c r="AH258" i="37" l="1"/>
  <c r="AI258" i="37" s="1"/>
  <c r="AJ258" i="37" s="1"/>
  <c r="E257" i="37"/>
  <c r="AM257" i="37" s="1"/>
  <c r="AN257" i="37" s="1"/>
  <c r="AK257" i="37"/>
  <c r="O260" i="37"/>
  <c r="N261" i="37"/>
  <c r="Z259" i="37"/>
  <c r="S259" i="37"/>
  <c r="V259" i="37" s="1"/>
  <c r="E258" i="37"/>
  <c r="AM258" i="37" s="1"/>
  <c r="AN258" i="37" s="1"/>
  <c r="AK258" i="37"/>
  <c r="AH259" i="37" l="1"/>
  <c r="AI259" i="37" s="1"/>
  <c r="AJ259" i="37" s="1"/>
  <c r="N262" i="37"/>
  <c r="O261" i="37"/>
  <c r="S260" i="37"/>
  <c r="V260" i="37" s="1"/>
  <c r="Z260" i="37"/>
  <c r="AH260" i="37" s="1"/>
  <c r="AI260" i="37" s="1"/>
  <c r="AJ260" i="37" s="1"/>
  <c r="E260" i="37" s="1"/>
  <c r="AM260" i="37" s="1"/>
  <c r="AN260" i="37" s="1"/>
  <c r="AK260" i="37" l="1"/>
  <c r="Z261" i="37"/>
  <c r="S261" i="37"/>
  <c r="V261" i="37" s="1"/>
  <c r="O262" i="37"/>
  <c r="N263" i="37"/>
  <c r="AK259" i="37"/>
  <c r="E259" i="37"/>
  <c r="AM259" i="37" s="1"/>
  <c r="AN259" i="37" s="1"/>
  <c r="N264" i="37" l="1"/>
  <c r="O263" i="37"/>
  <c r="S262" i="37"/>
  <c r="V262" i="37" s="1"/>
  <c r="Z262" i="37"/>
  <c r="AH262" i="37" s="1"/>
  <c r="AI262" i="37" s="1"/>
  <c r="AJ262" i="37" s="1"/>
  <c r="AH261" i="37"/>
  <c r="AI261" i="37" s="1"/>
  <c r="AJ261" i="37" s="1"/>
  <c r="E261" i="37" l="1"/>
  <c r="AM261" i="37" s="1"/>
  <c r="AN261" i="37" s="1"/>
  <c r="AK261" i="37"/>
  <c r="E262" i="37"/>
  <c r="AM262" i="37" s="1"/>
  <c r="AN262" i="37" s="1"/>
  <c r="AK262" i="37"/>
  <c r="Z263" i="37"/>
  <c r="S263" i="37"/>
  <c r="V263" i="37" s="1"/>
  <c r="N265" i="37"/>
  <c r="O264" i="37"/>
  <c r="Z264" i="37" l="1"/>
  <c r="S264" i="37"/>
  <c r="V264" i="37" s="1"/>
  <c r="N266" i="37"/>
  <c r="O265" i="37"/>
  <c r="AH263" i="37"/>
  <c r="AI263" i="37" s="1"/>
  <c r="AJ263" i="37" s="1"/>
  <c r="S265" i="37" l="1"/>
  <c r="V265" i="37" s="1"/>
  <c r="Z265" i="37"/>
  <c r="E263" i="37"/>
  <c r="AM263" i="37" s="1"/>
  <c r="AN263" i="37" s="1"/>
  <c r="AK263" i="37"/>
  <c r="N267" i="37"/>
  <c r="O266" i="37"/>
  <c r="AH264" i="37"/>
  <c r="AI264" i="37" s="1"/>
  <c r="AJ264" i="37" s="1"/>
  <c r="AH265" i="37" l="1"/>
  <c r="AI265" i="37" s="1"/>
  <c r="AJ265" i="37" s="1"/>
  <c r="AK264" i="37"/>
  <c r="E264" i="37"/>
  <c r="AM264" i="37" s="1"/>
  <c r="AN264" i="37" s="1"/>
  <c r="O267" i="37"/>
  <c r="N268" i="37"/>
  <c r="Z266" i="37"/>
  <c r="S266" i="37"/>
  <c r="V266" i="37" s="1"/>
  <c r="AK265" i="37"/>
  <c r="E265" i="37"/>
  <c r="AM265" i="37" s="1"/>
  <c r="AN265" i="37" s="1"/>
  <c r="O268" i="37" l="1"/>
  <c r="N269" i="37"/>
  <c r="AH266" i="37"/>
  <c r="AI266" i="37" s="1"/>
  <c r="AJ266" i="37" s="1"/>
  <c r="S267" i="37"/>
  <c r="V267" i="37" s="1"/>
  <c r="Z267" i="37"/>
  <c r="AH267" i="37" l="1"/>
  <c r="AI267" i="37" s="1"/>
  <c r="AJ267" i="37" s="1"/>
  <c r="E267" i="37" s="1"/>
  <c r="AM267" i="37" s="1"/>
  <c r="AN267" i="37" s="1"/>
  <c r="E266" i="37"/>
  <c r="AM266" i="37" s="1"/>
  <c r="AN266" i="37" s="1"/>
  <c r="AK266" i="37"/>
  <c r="N270" i="37"/>
  <c r="O269" i="37"/>
  <c r="S268" i="37"/>
  <c r="V268" i="37" s="1"/>
  <c r="Z268" i="37"/>
  <c r="AK267" i="37" l="1"/>
  <c r="AH268" i="37"/>
  <c r="AI268" i="37" s="1"/>
  <c r="AJ268" i="37" s="1"/>
  <c r="E268" i="37" s="1"/>
  <c r="AM268" i="37" s="1"/>
  <c r="AN268" i="37" s="1"/>
  <c r="Z269" i="37"/>
  <c r="S269" i="37"/>
  <c r="V269" i="37" s="1"/>
  <c r="N271" i="37"/>
  <c r="O270" i="37"/>
  <c r="AK268" i="37" l="1"/>
  <c r="Z270" i="37"/>
  <c r="S270" i="37"/>
  <c r="V270" i="37" s="1"/>
  <c r="O271" i="37"/>
  <c r="N272" i="37"/>
  <c r="AH269" i="37"/>
  <c r="AI269" i="37" s="1"/>
  <c r="AJ269" i="37" s="1"/>
  <c r="E269" i="37" l="1"/>
  <c r="AM269" i="37" s="1"/>
  <c r="AN269" i="37" s="1"/>
  <c r="AK269" i="37"/>
  <c r="O272" i="37"/>
  <c r="N273" i="37"/>
  <c r="Z271" i="37"/>
  <c r="S271" i="37"/>
  <c r="V271" i="37" s="1"/>
  <c r="AH270" i="37"/>
  <c r="AI270" i="37" s="1"/>
  <c r="AJ270" i="37" s="1"/>
  <c r="AK270" i="37" l="1"/>
  <c r="E270" i="37"/>
  <c r="AM270" i="37" s="1"/>
  <c r="AN270" i="37" s="1"/>
  <c r="O273" i="37"/>
  <c r="N274" i="37"/>
  <c r="AH271" i="37"/>
  <c r="AI271" i="37" s="1"/>
  <c r="AJ271" i="37" s="1"/>
  <c r="S272" i="37"/>
  <c r="V272" i="37" s="1"/>
  <c r="Z272" i="37"/>
  <c r="AH272" i="37" l="1"/>
  <c r="AI272" i="37" s="1"/>
  <c r="AJ272" i="37" s="1"/>
  <c r="E272" i="37" s="1"/>
  <c r="AM272" i="37" s="1"/>
  <c r="AN272" i="37" s="1"/>
  <c r="E271" i="37"/>
  <c r="AM271" i="37" s="1"/>
  <c r="AN271" i="37" s="1"/>
  <c r="AK271" i="37"/>
  <c r="O274" i="37"/>
  <c r="N275" i="37"/>
  <c r="Z273" i="37"/>
  <c r="S273" i="37"/>
  <c r="V273" i="37" s="1"/>
  <c r="AK272" i="37" l="1"/>
  <c r="N276" i="37"/>
  <c r="O275" i="37"/>
  <c r="Z274" i="37"/>
  <c r="S274" i="37"/>
  <c r="V274" i="37" s="1"/>
  <c r="AH273" i="37"/>
  <c r="AI273" i="37" s="1"/>
  <c r="AJ273" i="37" s="1"/>
  <c r="E273" i="37" l="1"/>
  <c r="AM273" i="37" s="1"/>
  <c r="AN273" i="37" s="1"/>
  <c r="AK273" i="37"/>
  <c r="AH274" i="37"/>
  <c r="AI274" i="37" s="1"/>
  <c r="AJ274" i="37" s="1"/>
  <c r="S275" i="37"/>
  <c r="V275" i="37" s="1"/>
  <c r="Z275" i="37"/>
  <c r="N277" i="37"/>
  <c r="O276" i="37"/>
  <c r="AH275" i="37" l="1"/>
  <c r="AI275" i="37" s="1"/>
  <c r="AJ275" i="37" s="1"/>
  <c r="AK275" i="37" s="1"/>
  <c r="Z276" i="37"/>
  <c r="S276" i="37"/>
  <c r="V276" i="37" s="1"/>
  <c r="O277" i="37"/>
  <c r="N278" i="37"/>
  <c r="E274" i="37"/>
  <c r="AM274" i="37" s="1"/>
  <c r="AN274" i="37" s="1"/>
  <c r="AK274" i="37"/>
  <c r="E275" i="37" l="1"/>
  <c r="AM275" i="37" s="1"/>
  <c r="AN275" i="37" s="1"/>
  <c r="O278" i="37"/>
  <c r="N279" i="37"/>
  <c r="Z277" i="37"/>
  <c r="S277" i="37"/>
  <c r="V277" i="37" s="1"/>
  <c r="AH276" i="37"/>
  <c r="AI276" i="37" s="1"/>
  <c r="AJ276" i="37" s="1"/>
  <c r="AH277" i="37" l="1"/>
  <c r="AI277" i="37" s="1"/>
  <c r="AJ277" i="37" s="1"/>
  <c r="AK276" i="37"/>
  <c r="E276" i="37"/>
  <c r="AM276" i="37" s="1"/>
  <c r="AN276" i="37" s="1"/>
  <c r="O279" i="37"/>
  <c r="N280" i="37"/>
  <c r="S278" i="37"/>
  <c r="V278" i="37" s="1"/>
  <c r="Z278" i="37"/>
  <c r="AH278" i="37" l="1"/>
  <c r="AI278" i="37" s="1"/>
  <c r="AJ278" i="37" s="1"/>
  <c r="AK278" i="37" s="1"/>
  <c r="N281" i="37"/>
  <c r="O280" i="37"/>
  <c r="S279" i="37"/>
  <c r="V279" i="37" s="1"/>
  <c r="Z279" i="37"/>
  <c r="E277" i="37"/>
  <c r="AM277" i="37" s="1"/>
  <c r="AN277" i="37" s="1"/>
  <c r="AK277" i="37"/>
  <c r="AH279" i="37" l="1"/>
  <c r="AI279" i="37" s="1"/>
  <c r="AJ279" i="37" s="1"/>
  <c r="AK279" i="37" s="1"/>
  <c r="E278" i="37"/>
  <c r="AM278" i="37" s="1"/>
  <c r="AN278" i="37" s="1"/>
  <c r="Z280" i="37"/>
  <c r="S280" i="37"/>
  <c r="V280" i="37" s="1"/>
  <c r="N282" i="37"/>
  <c r="O281" i="37"/>
  <c r="E279" i="37" l="1"/>
  <c r="AM279" i="37" s="1"/>
  <c r="AN279" i="37" s="1"/>
  <c r="N283" i="37"/>
  <c r="O282" i="37"/>
  <c r="S281" i="37"/>
  <c r="V281" i="37" s="1"/>
  <c r="Z281" i="37"/>
  <c r="AH280" i="37"/>
  <c r="AI280" i="37" s="1"/>
  <c r="AJ280" i="37" s="1"/>
  <c r="AH281" i="37" l="1"/>
  <c r="AI281" i="37" s="1"/>
  <c r="AJ281" i="37" s="1"/>
  <c r="E281" i="37" s="1"/>
  <c r="AM281" i="37" s="1"/>
  <c r="AN281" i="37" s="1"/>
  <c r="AK280" i="37"/>
  <c r="E280" i="37"/>
  <c r="AM280" i="37" s="1"/>
  <c r="AN280" i="37" s="1"/>
  <c r="S282" i="37"/>
  <c r="V282" i="37" s="1"/>
  <c r="Z282" i="37"/>
  <c r="O283" i="37"/>
  <c r="N284" i="37"/>
  <c r="AK281" i="37" l="1"/>
  <c r="AH282" i="37"/>
  <c r="AI282" i="37" s="1"/>
  <c r="AJ282" i="37" s="1"/>
  <c r="N285" i="37"/>
  <c r="O284" i="37"/>
  <c r="Z283" i="37"/>
  <c r="S283" i="37"/>
  <c r="V283" i="37" s="1"/>
  <c r="AK282" i="37" l="1"/>
  <c r="E282" i="37"/>
  <c r="AM282" i="37" s="1"/>
  <c r="AN282" i="37" s="1"/>
  <c r="AH283" i="37"/>
  <c r="AI283" i="37" s="1"/>
  <c r="AJ283" i="37" s="1"/>
  <c r="S284" i="37"/>
  <c r="V284" i="37" s="1"/>
  <c r="Z284" i="37"/>
  <c r="O285" i="37"/>
  <c r="N286" i="37"/>
  <c r="AH284" i="37" l="1"/>
  <c r="AI284" i="37" s="1"/>
  <c r="AJ284" i="37" s="1"/>
  <c r="E284" i="37" s="1"/>
  <c r="AM284" i="37" s="1"/>
  <c r="AN284" i="37" s="1"/>
  <c r="Z285" i="37"/>
  <c r="S285" i="37"/>
  <c r="V285" i="37" s="1"/>
  <c r="O286" i="37"/>
  <c r="N287" i="37"/>
  <c r="E283" i="37"/>
  <c r="AM283" i="37" s="1"/>
  <c r="AN283" i="37" s="1"/>
  <c r="AK283" i="37"/>
  <c r="AK284" i="37" l="1"/>
  <c r="O287" i="37"/>
  <c r="N288" i="37"/>
  <c r="S286" i="37"/>
  <c r="V286" i="37" s="1"/>
  <c r="Z286" i="37"/>
  <c r="AH285" i="37"/>
  <c r="AI285" i="37" s="1"/>
  <c r="AJ285" i="37" s="1"/>
  <c r="AH286" i="37" l="1"/>
  <c r="AI286" i="37" s="1"/>
  <c r="AJ286" i="37" s="1"/>
  <c r="E286" i="37" s="1"/>
  <c r="AM286" i="37" s="1"/>
  <c r="AN286" i="37" s="1"/>
  <c r="AK285" i="37"/>
  <c r="E285" i="37"/>
  <c r="AM285" i="37" s="1"/>
  <c r="AN285" i="37" s="1"/>
  <c r="N289" i="37"/>
  <c r="O288" i="37"/>
  <c r="S287" i="37"/>
  <c r="V287" i="37" s="1"/>
  <c r="Z287" i="37"/>
  <c r="AK286" i="37" l="1"/>
  <c r="AH287" i="37"/>
  <c r="AI287" i="37" s="1"/>
  <c r="AJ287" i="37" s="1"/>
  <c r="E287" i="37" s="1"/>
  <c r="AM287" i="37" s="1"/>
  <c r="AN287" i="37" s="1"/>
  <c r="Z288" i="37"/>
  <c r="S288" i="37"/>
  <c r="V288" i="37" s="1"/>
  <c r="N290" i="37"/>
  <c r="O289" i="37"/>
  <c r="AK287" i="37" l="1"/>
  <c r="S289" i="37"/>
  <c r="V289" i="37" s="1"/>
  <c r="Z289" i="37"/>
  <c r="AH289" i="37" s="1"/>
  <c r="AI289" i="37" s="1"/>
  <c r="AJ289" i="37" s="1"/>
  <c r="O290" i="37"/>
  <c r="N291" i="37"/>
  <c r="AH288" i="37"/>
  <c r="AI288" i="37" s="1"/>
  <c r="AJ288" i="37" s="1"/>
  <c r="E289" i="37"/>
  <c r="AM289" i="37" s="1"/>
  <c r="AN289" i="37" s="1"/>
  <c r="AK289" i="37"/>
  <c r="N292" i="37" l="1"/>
  <c r="O291" i="37"/>
  <c r="AK288" i="37"/>
  <c r="E288" i="37"/>
  <c r="AM288" i="37" s="1"/>
  <c r="AN288" i="37" s="1"/>
  <c r="Z290" i="37"/>
  <c r="S290" i="37"/>
  <c r="V290" i="37" s="1"/>
  <c r="AH290" i="37" l="1"/>
  <c r="AI290" i="37" s="1"/>
  <c r="AJ290" i="37" s="1"/>
  <c r="Z291" i="37"/>
  <c r="S291" i="37"/>
  <c r="V291" i="37" s="1"/>
  <c r="N293" i="37"/>
  <c r="O292" i="37"/>
  <c r="AH291" i="37" l="1"/>
  <c r="AI291" i="37" s="1"/>
  <c r="AJ291" i="37" s="1"/>
  <c r="Z292" i="37"/>
  <c r="S292" i="37"/>
  <c r="V292" i="37" s="1"/>
  <c r="O293" i="37"/>
  <c r="N294" i="37"/>
  <c r="E290" i="37"/>
  <c r="AM290" i="37" s="1"/>
  <c r="AN290" i="37" s="1"/>
  <c r="AK290" i="37"/>
  <c r="E291" i="37" l="1"/>
  <c r="AM291" i="37" s="1"/>
  <c r="AN291" i="37" s="1"/>
  <c r="AK291" i="37"/>
  <c r="Z293" i="37"/>
  <c r="S293" i="37"/>
  <c r="V293" i="37" s="1"/>
  <c r="N295" i="37"/>
  <c r="O294" i="37"/>
  <c r="AH292" i="37"/>
  <c r="AI292" i="37" s="1"/>
  <c r="AJ292" i="37" s="1"/>
  <c r="E292" i="37" l="1"/>
  <c r="AM292" i="37" s="1"/>
  <c r="AN292" i="37" s="1"/>
  <c r="AK292" i="37"/>
  <c r="N296" i="37"/>
  <c r="O295" i="37"/>
  <c r="S294" i="37"/>
  <c r="V294" i="37" s="1"/>
  <c r="Z294" i="37"/>
  <c r="AH293" i="37"/>
  <c r="AI293" i="37" s="1"/>
  <c r="AJ293" i="37" s="1"/>
  <c r="AH294" i="37" l="1"/>
  <c r="AI294" i="37" s="1"/>
  <c r="AJ294" i="37" s="1"/>
  <c r="E294" i="37" s="1"/>
  <c r="AM294" i="37" s="1"/>
  <c r="AN294" i="37" s="1"/>
  <c r="E293" i="37"/>
  <c r="AM293" i="37" s="1"/>
  <c r="AN293" i="37" s="1"/>
  <c r="AK293" i="37"/>
  <c r="S295" i="37"/>
  <c r="V295" i="37" s="1"/>
  <c r="Z295" i="37"/>
  <c r="O296" i="37"/>
  <c r="N297" i="37"/>
  <c r="AK294" i="37" l="1"/>
  <c r="AH295" i="37"/>
  <c r="AI295" i="37" s="1"/>
  <c r="AJ295" i="37" s="1"/>
  <c r="E295" i="37" s="1"/>
  <c r="AM295" i="37" s="1"/>
  <c r="AN295" i="37" s="1"/>
  <c r="O297" i="37"/>
  <c r="N298" i="37"/>
  <c r="Z296" i="37"/>
  <c r="S296" i="37"/>
  <c r="V296" i="37" s="1"/>
  <c r="AK295" i="37" l="1"/>
  <c r="AH296" i="37"/>
  <c r="AI296" i="37" s="1"/>
  <c r="AJ296" i="37" s="1"/>
  <c r="N299" i="37"/>
  <c r="O298" i="37"/>
  <c r="Z297" i="37"/>
  <c r="S297" i="37"/>
  <c r="V297" i="37" s="1"/>
  <c r="Z298" i="37" l="1"/>
  <c r="S298" i="37"/>
  <c r="V298" i="37" s="1"/>
  <c r="AH297" i="37"/>
  <c r="AI297" i="37" s="1"/>
  <c r="AJ297" i="37" s="1"/>
  <c r="N300" i="37"/>
  <c r="O299" i="37"/>
  <c r="E296" i="37"/>
  <c r="AM296" i="37" s="1"/>
  <c r="AN296" i="37" s="1"/>
  <c r="AK296" i="37"/>
  <c r="S299" i="37" l="1"/>
  <c r="V299" i="37" s="1"/>
  <c r="Z299" i="37"/>
  <c r="O300" i="37"/>
  <c r="N301" i="37"/>
  <c r="E297" i="37"/>
  <c r="AM297" i="37" s="1"/>
  <c r="AN297" i="37" s="1"/>
  <c r="AK297" i="37"/>
  <c r="AH298" i="37"/>
  <c r="AI298" i="37" s="1"/>
  <c r="AJ298" i="37" s="1"/>
  <c r="AH299" i="37" l="1"/>
  <c r="AI299" i="37" s="1"/>
  <c r="AJ299" i="37" s="1"/>
  <c r="E298" i="37"/>
  <c r="AM298" i="37" s="1"/>
  <c r="AN298" i="37" s="1"/>
  <c r="AK298" i="37"/>
  <c r="O301" i="37"/>
  <c r="N302" i="37"/>
  <c r="Z300" i="37"/>
  <c r="S300" i="37"/>
  <c r="V300" i="37" s="1"/>
  <c r="E299" i="37"/>
  <c r="AM299" i="37" s="1"/>
  <c r="AN299" i="37" s="1"/>
  <c r="AK299" i="37"/>
  <c r="AH300" i="37" l="1"/>
  <c r="AI300" i="37" s="1"/>
  <c r="AJ300" i="37" s="1"/>
  <c r="N303" i="37"/>
  <c r="O302" i="37"/>
  <c r="S301" i="37"/>
  <c r="V301" i="37" s="1"/>
  <c r="Z301" i="37"/>
  <c r="AH301" i="37" l="1"/>
  <c r="AI301" i="37" s="1"/>
  <c r="AJ301" i="37" s="1"/>
  <c r="E301" i="37" s="1"/>
  <c r="AM301" i="37" s="1"/>
  <c r="AN301" i="37" s="1"/>
  <c r="Z302" i="37"/>
  <c r="S302" i="37"/>
  <c r="V302" i="37" s="1"/>
  <c r="O303" i="37"/>
  <c r="N304" i="37"/>
  <c r="E300" i="37"/>
  <c r="AM300" i="37" s="1"/>
  <c r="AN300" i="37" s="1"/>
  <c r="AK300" i="37"/>
  <c r="AK301" i="37" l="1"/>
  <c r="O304" i="37"/>
  <c r="N305" i="37"/>
  <c r="S303" i="37"/>
  <c r="V303" i="37" s="1"/>
  <c r="Z303" i="37"/>
  <c r="AH302" i="37"/>
  <c r="AI302" i="37" s="1"/>
  <c r="AJ302" i="37" s="1"/>
  <c r="E302" i="37" l="1"/>
  <c r="AM302" i="37" s="1"/>
  <c r="AN302" i="37" s="1"/>
  <c r="AK302" i="37"/>
  <c r="AH303" i="37"/>
  <c r="AI303" i="37" s="1"/>
  <c r="AJ303" i="37" s="1"/>
  <c r="O305" i="37"/>
  <c r="N306" i="37"/>
  <c r="S304" i="37"/>
  <c r="V304" i="37" s="1"/>
  <c r="Z304" i="37"/>
  <c r="AH304" i="37" l="1"/>
  <c r="AI304" i="37" s="1"/>
  <c r="AJ304" i="37" s="1"/>
  <c r="E304" i="37" s="1"/>
  <c r="AM304" i="37" s="1"/>
  <c r="AN304" i="37" s="1"/>
  <c r="Z305" i="37"/>
  <c r="S305" i="37"/>
  <c r="V305" i="37" s="1"/>
  <c r="O306" i="37"/>
  <c r="N307" i="37"/>
  <c r="E303" i="37"/>
  <c r="AM303" i="37" s="1"/>
  <c r="AN303" i="37" s="1"/>
  <c r="AK303" i="37"/>
  <c r="AK304" i="37" l="1"/>
  <c r="O307" i="37"/>
  <c r="N308" i="37"/>
  <c r="S306" i="37"/>
  <c r="V306" i="37" s="1"/>
  <c r="Z306" i="37"/>
  <c r="AH305" i="37"/>
  <c r="AI305" i="37" s="1"/>
  <c r="AJ305" i="37" s="1"/>
  <c r="AH306" i="37" l="1"/>
  <c r="AI306" i="37" s="1"/>
  <c r="AJ306" i="37" s="1"/>
  <c r="E306" i="37" s="1"/>
  <c r="AM306" i="37" s="1"/>
  <c r="AN306" i="37" s="1"/>
  <c r="E305" i="37"/>
  <c r="AM305" i="37" s="1"/>
  <c r="AN305" i="37" s="1"/>
  <c r="AK305" i="37"/>
  <c r="O308" i="37"/>
  <c r="N309" i="37"/>
  <c r="S307" i="37"/>
  <c r="V307" i="37" s="1"/>
  <c r="Z307" i="37"/>
  <c r="AK306" i="37" l="1"/>
  <c r="AH307" i="37"/>
  <c r="AI307" i="37" s="1"/>
  <c r="AJ307" i="37" s="1"/>
  <c r="N310" i="37"/>
  <c r="O309" i="37"/>
  <c r="S308" i="37"/>
  <c r="V308" i="37" s="1"/>
  <c r="Z308" i="37"/>
  <c r="AH308" i="37" l="1"/>
  <c r="AI308" i="37" s="1"/>
  <c r="AJ308" i="37" s="1"/>
  <c r="E308" i="37" s="1"/>
  <c r="AM308" i="37" s="1"/>
  <c r="AN308" i="37" s="1"/>
  <c r="AK307" i="37"/>
  <c r="E307" i="37"/>
  <c r="AM307" i="37" s="1"/>
  <c r="AN307" i="37" s="1"/>
  <c r="S309" i="37"/>
  <c r="V309" i="37" s="1"/>
  <c r="Z309" i="37"/>
  <c r="AK308" i="37"/>
  <c r="N311" i="37"/>
  <c r="O310" i="37"/>
  <c r="AH309" i="37" l="1"/>
  <c r="AI309" i="37" s="1"/>
  <c r="AJ309" i="37" s="1"/>
  <c r="E309" i="37" s="1"/>
  <c r="AM309" i="37" s="1"/>
  <c r="AN309" i="37" s="1"/>
  <c r="N312" i="37"/>
  <c r="O311" i="37"/>
  <c r="Z310" i="37"/>
  <c r="S310" i="37"/>
  <c r="V310" i="37" s="1"/>
  <c r="AK309" i="37" l="1"/>
  <c r="S311" i="37"/>
  <c r="V311" i="37" s="1"/>
  <c r="Z311" i="37"/>
  <c r="AH310" i="37"/>
  <c r="AI310" i="37" s="1"/>
  <c r="AJ310" i="37" s="1"/>
  <c r="O312" i="37"/>
  <c r="N313" i="37"/>
  <c r="AH311" i="37" l="1"/>
  <c r="AI311" i="37" s="1"/>
  <c r="AJ311" i="37" s="1"/>
  <c r="N314" i="37"/>
  <c r="O313" i="37"/>
  <c r="E310" i="37"/>
  <c r="AM310" i="37" s="1"/>
  <c r="AN310" i="37" s="1"/>
  <c r="AK310" i="37"/>
  <c r="S312" i="37"/>
  <c r="V312" i="37" s="1"/>
  <c r="Z312" i="37"/>
  <c r="E311" i="37" l="1"/>
  <c r="AM311" i="37" s="1"/>
  <c r="AN311" i="37" s="1"/>
  <c r="AK311" i="37"/>
  <c r="AH312" i="37"/>
  <c r="AI312" i="37" s="1"/>
  <c r="AJ312" i="37" s="1"/>
  <c r="S313" i="37"/>
  <c r="V313" i="37" s="1"/>
  <c r="Z313" i="37"/>
  <c r="O314" i="37"/>
  <c r="N315" i="37"/>
  <c r="AH313" i="37" l="1"/>
  <c r="AI313" i="37" s="1"/>
  <c r="AJ313" i="37" s="1"/>
  <c r="E313" i="37" s="1"/>
  <c r="AM313" i="37" s="1"/>
  <c r="AN313" i="37" s="1"/>
  <c r="S314" i="37"/>
  <c r="V314" i="37" s="1"/>
  <c r="Z314" i="37"/>
  <c r="O315" i="37"/>
  <c r="N316" i="37"/>
  <c r="E312" i="37"/>
  <c r="AM312" i="37" s="1"/>
  <c r="AN312" i="37" s="1"/>
  <c r="AK312" i="37"/>
  <c r="AK313" i="37" l="1"/>
  <c r="AH314" i="37"/>
  <c r="AI314" i="37" s="1"/>
  <c r="AJ314" i="37" s="1"/>
  <c r="O316" i="37"/>
  <c r="N317" i="37"/>
  <c r="Z315" i="37"/>
  <c r="S315" i="37"/>
  <c r="V315" i="37" s="1"/>
  <c r="E314" i="37" l="1"/>
  <c r="AM314" i="37" s="1"/>
  <c r="AN314" i="37" s="1"/>
  <c r="AK314" i="37"/>
  <c r="AH315" i="37"/>
  <c r="AI315" i="37" s="1"/>
  <c r="AJ315" i="37" s="1"/>
  <c r="O317" i="37"/>
  <c r="N318" i="37"/>
  <c r="S316" i="37"/>
  <c r="V316" i="37" s="1"/>
  <c r="Z316" i="37"/>
  <c r="AH316" i="37" l="1"/>
  <c r="AI316" i="37" s="1"/>
  <c r="AJ316" i="37" s="1"/>
  <c r="AK316" i="37" s="1"/>
  <c r="N319" i="37"/>
  <c r="O318" i="37"/>
  <c r="S317" i="37"/>
  <c r="V317" i="37" s="1"/>
  <c r="Z317" i="37"/>
  <c r="AH317" i="37" s="1"/>
  <c r="AI317" i="37" s="1"/>
  <c r="AJ317" i="37" s="1"/>
  <c r="AK315" i="37"/>
  <c r="E315" i="37"/>
  <c r="AM315" i="37" s="1"/>
  <c r="AN315" i="37" s="1"/>
  <c r="E316" i="37" l="1"/>
  <c r="AM316" i="37" s="1"/>
  <c r="AN316" i="37" s="1"/>
  <c r="S318" i="37"/>
  <c r="V318" i="37" s="1"/>
  <c r="Z318" i="37"/>
  <c r="E317" i="37"/>
  <c r="AM317" i="37" s="1"/>
  <c r="AN317" i="37" s="1"/>
  <c r="AK317" i="37"/>
  <c r="O319" i="37"/>
  <c r="N320" i="37"/>
  <c r="AH318" i="37" l="1"/>
  <c r="AI318" i="37" s="1"/>
  <c r="AJ318" i="37" s="1"/>
  <c r="E318" i="37" s="1"/>
  <c r="AM318" i="37" s="1"/>
  <c r="AN318" i="37" s="1"/>
  <c r="Z319" i="37"/>
  <c r="S319" i="37"/>
  <c r="V319" i="37" s="1"/>
  <c r="N321" i="37"/>
  <c r="O320" i="37"/>
  <c r="AK318" i="37" l="1"/>
  <c r="N322" i="37"/>
  <c r="O321" i="37"/>
  <c r="S320" i="37"/>
  <c r="V320" i="37" s="1"/>
  <c r="Z320" i="37"/>
  <c r="AH319" i="37"/>
  <c r="AI319" i="37" s="1"/>
  <c r="AJ319" i="37" s="1"/>
  <c r="AH320" i="37" l="1"/>
  <c r="AI320" i="37" s="1"/>
  <c r="AJ320" i="37" s="1"/>
  <c r="E319" i="37"/>
  <c r="AM319" i="37" s="1"/>
  <c r="AN319" i="37" s="1"/>
  <c r="AK319" i="37"/>
  <c r="E320" i="37"/>
  <c r="AM320" i="37" s="1"/>
  <c r="AN320" i="37" s="1"/>
  <c r="AK320" i="37"/>
  <c r="S321" i="37"/>
  <c r="V321" i="37" s="1"/>
  <c r="Z321" i="37"/>
  <c r="N323" i="37"/>
  <c r="O322" i="37"/>
  <c r="AH321" i="37" l="1"/>
  <c r="AI321" i="37" s="1"/>
  <c r="AJ321" i="37" s="1"/>
  <c r="O323" i="37"/>
  <c r="N324" i="37"/>
  <c r="S322" i="37"/>
  <c r="V322" i="37" s="1"/>
  <c r="Z322" i="37"/>
  <c r="AK321" i="37"/>
  <c r="E321" i="37"/>
  <c r="AM321" i="37" s="1"/>
  <c r="AN321" i="37" s="1"/>
  <c r="AH322" i="37" l="1"/>
  <c r="AI322" i="37" s="1"/>
  <c r="AJ322" i="37" s="1"/>
  <c r="E322" i="37" s="1"/>
  <c r="AM322" i="37" s="1"/>
  <c r="AN322" i="37" s="1"/>
  <c r="O324" i="37"/>
  <c r="N325" i="37"/>
  <c r="S323" i="37"/>
  <c r="V323" i="37" s="1"/>
  <c r="Z323" i="37"/>
  <c r="AH323" i="37" l="1"/>
  <c r="AI323" i="37" s="1"/>
  <c r="AJ323" i="37" s="1"/>
  <c r="E323" i="37" s="1"/>
  <c r="AM323" i="37" s="1"/>
  <c r="AN323" i="37" s="1"/>
  <c r="AK322" i="37"/>
  <c r="N326" i="37"/>
  <c r="O325" i="37"/>
  <c r="S324" i="37"/>
  <c r="V324" i="37" s="1"/>
  <c r="Z324" i="37"/>
  <c r="AK323" i="37" l="1"/>
  <c r="AH324" i="37"/>
  <c r="AI324" i="37" s="1"/>
  <c r="AJ324" i="37" s="1"/>
  <c r="AK324" i="37" s="1"/>
  <c r="Z325" i="37"/>
  <c r="S325" i="37"/>
  <c r="V325" i="37" s="1"/>
  <c r="O326" i="37"/>
  <c r="N327" i="37"/>
  <c r="E324" i="37" l="1"/>
  <c r="AM324" i="37" s="1"/>
  <c r="AN324" i="37" s="1"/>
  <c r="N328" i="37"/>
  <c r="O327" i="37"/>
  <c r="S326" i="37"/>
  <c r="V326" i="37" s="1"/>
  <c r="Z326" i="37"/>
  <c r="AH326" i="37" s="1"/>
  <c r="AI326" i="37" s="1"/>
  <c r="AJ326" i="37" s="1"/>
  <c r="AH325" i="37"/>
  <c r="AI325" i="37" s="1"/>
  <c r="AJ325" i="37" s="1"/>
  <c r="E325" i="37" l="1"/>
  <c r="AM325" i="37" s="1"/>
  <c r="AN325" i="37" s="1"/>
  <c r="AK325" i="37"/>
  <c r="AK326" i="37"/>
  <c r="E326" i="37"/>
  <c r="AM326" i="37" s="1"/>
  <c r="AN326" i="37" s="1"/>
  <c r="Z327" i="37"/>
  <c r="S327" i="37"/>
  <c r="V327" i="37" s="1"/>
  <c r="O328" i="37"/>
  <c r="N329" i="37"/>
  <c r="S328" i="37" l="1"/>
  <c r="V328" i="37" s="1"/>
  <c r="Z328" i="37"/>
  <c r="AH328" i="37" s="1"/>
  <c r="AI328" i="37" s="1"/>
  <c r="AJ328" i="37" s="1"/>
  <c r="N330" i="37"/>
  <c r="O329" i="37"/>
  <c r="AH327" i="37"/>
  <c r="AI327" i="37" s="1"/>
  <c r="AJ327" i="37" s="1"/>
  <c r="S329" i="37" l="1"/>
  <c r="V329" i="37" s="1"/>
  <c r="Z329" i="37"/>
  <c r="AK327" i="37"/>
  <c r="E327" i="37"/>
  <c r="AM327" i="37" s="1"/>
  <c r="AN327" i="37" s="1"/>
  <c r="O330" i="37"/>
  <c r="N331" i="37"/>
  <c r="E328" i="37"/>
  <c r="AM328" i="37" s="1"/>
  <c r="AN328" i="37" s="1"/>
  <c r="AK328" i="37"/>
  <c r="AH329" i="37" l="1"/>
  <c r="AI329" i="37" s="1"/>
  <c r="AJ329" i="37" s="1"/>
  <c r="O331" i="37"/>
  <c r="N332" i="37"/>
  <c r="S330" i="37"/>
  <c r="V330" i="37" s="1"/>
  <c r="Z330" i="37"/>
  <c r="E329" i="37" l="1"/>
  <c r="AM329" i="37" s="1"/>
  <c r="AN329" i="37" s="1"/>
  <c r="AK329" i="37"/>
  <c r="AH330" i="37"/>
  <c r="AI330" i="37" s="1"/>
  <c r="AJ330" i="37" s="1"/>
  <c r="AK330" i="37" s="1"/>
  <c r="O332" i="37"/>
  <c r="N333" i="37"/>
  <c r="S331" i="37"/>
  <c r="V331" i="37" s="1"/>
  <c r="Z331" i="37"/>
  <c r="E330" i="37" l="1"/>
  <c r="AM330" i="37" s="1"/>
  <c r="AN330" i="37" s="1"/>
  <c r="AH331" i="37"/>
  <c r="AI331" i="37" s="1"/>
  <c r="AJ331" i="37" s="1"/>
  <c r="AK331" i="37" s="1"/>
  <c r="O333" i="37"/>
  <c r="N334" i="37"/>
  <c r="Z332" i="37"/>
  <c r="S332" i="37"/>
  <c r="V332" i="37" s="1"/>
  <c r="E331" i="37" l="1"/>
  <c r="AM331" i="37" s="1"/>
  <c r="AN331" i="37" s="1"/>
  <c r="AH332" i="37"/>
  <c r="AI332" i="37" s="1"/>
  <c r="AJ332" i="37" s="1"/>
  <c r="N335" i="37"/>
  <c r="O334" i="37"/>
  <c r="S333" i="37"/>
  <c r="V333" i="37" s="1"/>
  <c r="Z333" i="37"/>
  <c r="AH333" i="37" l="1"/>
  <c r="AI333" i="37" s="1"/>
  <c r="AJ333" i="37" s="1"/>
  <c r="E333" i="37" s="1"/>
  <c r="AM333" i="37" s="1"/>
  <c r="AN333" i="37" s="1"/>
  <c r="S334" i="37"/>
  <c r="V334" i="37" s="1"/>
  <c r="Z334" i="37"/>
  <c r="N336" i="37"/>
  <c r="O335" i="37"/>
  <c r="E332" i="37"/>
  <c r="AM332" i="37" s="1"/>
  <c r="AN332" i="37" s="1"/>
  <c r="AK332" i="37"/>
  <c r="AK333" i="37" l="1"/>
  <c r="AH334" i="37"/>
  <c r="AI334" i="37" s="1"/>
  <c r="AJ334" i="37" s="1"/>
  <c r="S335" i="37"/>
  <c r="V335" i="37" s="1"/>
  <c r="Z335" i="37"/>
  <c r="O336" i="37"/>
  <c r="N337" i="37"/>
  <c r="AH335" i="37" l="1"/>
  <c r="AI335" i="37" s="1"/>
  <c r="AJ335" i="37" s="1"/>
  <c r="E334" i="37"/>
  <c r="AM334" i="37" s="1"/>
  <c r="AN334" i="37" s="1"/>
  <c r="AK334" i="37"/>
  <c r="O337" i="37"/>
  <c r="N338" i="37"/>
  <c r="Z336" i="37"/>
  <c r="S336" i="37"/>
  <c r="V336" i="37" s="1"/>
  <c r="E335" i="37" l="1"/>
  <c r="AM335" i="37" s="1"/>
  <c r="AN335" i="37" s="1"/>
  <c r="AK335" i="37"/>
  <c r="AH336" i="37"/>
  <c r="AI336" i="37" s="1"/>
  <c r="AJ336" i="37" s="1"/>
  <c r="N339" i="37"/>
  <c r="O338" i="37"/>
  <c r="Z337" i="37"/>
  <c r="S337" i="37"/>
  <c r="V337" i="37" s="1"/>
  <c r="AH337" i="37" l="1"/>
  <c r="AI337" i="37" s="1"/>
  <c r="AJ337" i="37" s="1"/>
  <c r="S338" i="37"/>
  <c r="V338" i="37" s="1"/>
  <c r="Z338" i="37"/>
  <c r="O339" i="37"/>
  <c r="N340" i="37"/>
  <c r="AK336" i="37"/>
  <c r="E336" i="37"/>
  <c r="AM336" i="37" s="1"/>
  <c r="AN336" i="37" s="1"/>
  <c r="AH338" i="37" l="1"/>
  <c r="AI338" i="37" s="1"/>
  <c r="AJ338" i="37" s="1"/>
  <c r="E337" i="37"/>
  <c r="AM337" i="37" s="1"/>
  <c r="AN337" i="37" s="1"/>
  <c r="AK337" i="37"/>
  <c r="O340" i="37"/>
  <c r="N341" i="37"/>
  <c r="S339" i="37"/>
  <c r="V339" i="37" s="1"/>
  <c r="Z339" i="37"/>
  <c r="E338" i="37"/>
  <c r="AM338" i="37" s="1"/>
  <c r="AN338" i="37" s="1"/>
  <c r="AK338" i="37"/>
  <c r="AH339" i="37" l="1"/>
  <c r="AI339" i="37" s="1"/>
  <c r="AJ339" i="37" s="1"/>
  <c r="E339" i="37" s="1"/>
  <c r="AM339" i="37" s="1"/>
  <c r="AN339" i="37" s="1"/>
  <c r="O341" i="37"/>
  <c r="N342" i="37"/>
  <c r="S340" i="37"/>
  <c r="V340" i="37" s="1"/>
  <c r="Z340" i="37"/>
  <c r="AK339" i="37" l="1"/>
  <c r="AH340" i="37"/>
  <c r="AI340" i="37" s="1"/>
  <c r="AJ340" i="37" s="1"/>
  <c r="AK340" i="37" s="1"/>
  <c r="N343" i="37"/>
  <c r="O342" i="37"/>
  <c r="Z341" i="37"/>
  <c r="S341" i="37"/>
  <c r="V341" i="37" s="1"/>
  <c r="E340" i="37" l="1"/>
  <c r="AM340" i="37" s="1"/>
  <c r="AN340" i="37" s="1"/>
  <c r="AH341" i="37"/>
  <c r="AI341" i="37" s="1"/>
  <c r="AJ341" i="37" s="1"/>
  <c r="Z342" i="37"/>
  <c r="S342" i="37"/>
  <c r="V342" i="37" s="1"/>
  <c r="N344" i="37"/>
  <c r="O343" i="37"/>
  <c r="Z343" i="37" l="1"/>
  <c r="S343" i="37"/>
  <c r="V343" i="37" s="1"/>
  <c r="O344" i="37"/>
  <c r="N345" i="37"/>
  <c r="AH342" i="37"/>
  <c r="AI342" i="37" s="1"/>
  <c r="AJ342" i="37" s="1"/>
  <c r="E341" i="37"/>
  <c r="AM341" i="37" s="1"/>
  <c r="AN341" i="37" s="1"/>
  <c r="AK341" i="37"/>
  <c r="E342" i="37" l="1"/>
  <c r="AM342" i="37" s="1"/>
  <c r="AN342" i="37" s="1"/>
  <c r="AK342" i="37"/>
  <c r="N346" i="37"/>
  <c r="O345" i="37"/>
  <c r="S344" i="37"/>
  <c r="V344" i="37" s="1"/>
  <c r="Z344" i="37"/>
  <c r="AH343" i="37"/>
  <c r="AI343" i="37" s="1"/>
  <c r="AJ343" i="37" s="1"/>
  <c r="AH344" i="37" l="1"/>
  <c r="AI344" i="37" s="1"/>
  <c r="AJ344" i="37" s="1"/>
  <c r="AK344" i="37" s="1"/>
  <c r="AK343" i="37"/>
  <c r="E343" i="37"/>
  <c r="AM343" i="37" s="1"/>
  <c r="AN343" i="37" s="1"/>
  <c r="S345" i="37"/>
  <c r="V345" i="37" s="1"/>
  <c r="Z345" i="37"/>
  <c r="N347" i="37"/>
  <c r="O346" i="37"/>
  <c r="E344" i="37" l="1"/>
  <c r="AM344" i="37" s="1"/>
  <c r="AN344" i="37" s="1"/>
  <c r="AH345" i="37"/>
  <c r="AI345" i="37" s="1"/>
  <c r="AJ345" i="37" s="1"/>
  <c r="AK345" i="37" s="1"/>
  <c r="O347" i="37"/>
  <c r="N348" i="37"/>
  <c r="S346" i="37"/>
  <c r="V346" i="37" s="1"/>
  <c r="Z346" i="37"/>
  <c r="E345" i="37" l="1"/>
  <c r="AM345" i="37" s="1"/>
  <c r="AN345" i="37" s="1"/>
  <c r="AH346" i="37"/>
  <c r="AI346" i="37" s="1"/>
  <c r="AJ346" i="37" s="1"/>
  <c r="AK346" i="37" s="1"/>
  <c r="O348" i="37"/>
  <c r="N349" i="37"/>
  <c r="Z347" i="37"/>
  <c r="S347" i="37"/>
  <c r="V347" i="37" s="1"/>
  <c r="E346" i="37" l="1"/>
  <c r="AM346" i="37" s="1"/>
  <c r="AN346" i="37" s="1"/>
  <c r="O349" i="37"/>
  <c r="N350" i="37"/>
  <c r="AH347" i="37"/>
  <c r="AI347" i="37" s="1"/>
  <c r="AJ347" i="37" s="1"/>
  <c r="Z348" i="37"/>
  <c r="S348" i="37"/>
  <c r="V348" i="37" s="1"/>
  <c r="AH348" i="37" l="1"/>
  <c r="AI348" i="37" s="1"/>
  <c r="AJ348" i="37" s="1"/>
  <c r="E348" i="37" s="1"/>
  <c r="AM348" i="37" s="1"/>
  <c r="AN348" i="37" s="1"/>
  <c r="AK347" i="37"/>
  <c r="E347" i="37"/>
  <c r="AM347" i="37" s="1"/>
  <c r="AN347" i="37" s="1"/>
  <c r="O350" i="37"/>
  <c r="N351" i="37"/>
  <c r="S349" i="37"/>
  <c r="V349" i="37" s="1"/>
  <c r="Z349" i="37"/>
  <c r="AH349" i="37" l="1"/>
  <c r="AI349" i="37" s="1"/>
  <c r="AJ349" i="37" s="1"/>
  <c r="AK349" i="37" s="1"/>
  <c r="AK348" i="37"/>
  <c r="N352" i="37"/>
  <c r="O351" i="37"/>
  <c r="E349" i="37"/>
  <c r="AM349" i="37" s="1"/>
  <c r="AN349" i="37" s="1"/>
  <c r="S350" i="37"/>
  <c r="V350" i="37" s="1"/>
  <c r="Z350" i="37"/>
  <c r="AH350" i="37" l="1"/>
  <c r="AI350" i="37" s="1"/>
  <c r="AJ350" i="37" s="1"/>
  <c r="E350" i="37" s="1"/>
  <c r="AM350" i="37" s="1"/>
  <c r="AN350" i="37" s="1"/>
  <c r="S351" i="37"/>
  <c r="V351" i="37" s="1"/>
  <c r="Z351" i="37"/>
  <c r="O352" i="37"/>
  <c r="N353" i="37"/>
  <c r="AK350" i="37" l="1"/>
  <c r="AH351" i="37"/>
  <c r="AI351" i="37" s="1"/>
  <c r="AJ351" i="37" s="1"/>
  <c r="AK351" i="37" s="1"/>
  <c r="N354" i="37"/>
  <c r="O353" i="37"/>
  <c r="S352" i="37"/>
  <c r="V352" i="37" s="1"/>
  <c r="Z352" i="37"/>
  <c r="E351" i="37" l="1"/>
  <c r="AM351" i="37" s="1"/>
  <c r="AN351" i="37" s="1"/>
  <c r="AH352" i="37"/>
  <c r="AI352" i="37" s="1"/>
  <c r="AJ352" i="37" s="1"/>
  <c r="AK352" i="37" s="1"/>
  <c r="S353" i="37"/>
  <c r="V353" i="37" s="1"/>
  <c r="Z353" i="37"/>
  <c r="O354" i="37"/>
  <c r="N355" i="37"/>
  <c r="E352" i="37" l="1"/>
  <c r="AM352" i="37" s="1"/>
  <c r="AN352" i="37" s="1"/>
  <c r="AH353" i="37"/>
  <c r="AI353" i="37" s="1"/>
  <c r="AJ353" i="37" s="1"/>
  <c r="E353" i="37" s="1"/>
  <c r="AM353" i="37" s="1"/>
  <c r="AN353" i="37" s="1"/>
  <c r="O355" i="37"/>
  <c r="N356" i="37"/>
  <c r="S354" i="37"/>
  <c r="V354" i="37" s="1"/>
  <c r="Z354" i="37"/>
  <c r="AK353" i="37" l="1"/>
  <c r="AH354" i="37"/>
  <c r="AI354" i="37" s="1"/>
  <c r="AJ354" i="37" s="1"/>
  <c r="E354" i="37" s="1"/>
  <c r="AM354" i="37" s="1"/>
  <c r="AN354" i="37" s="1"/>
  <c r="O356" i="37"/>
  <c r="N357" i="37"/>
  <c r="Z355" i="37"/>
  <c r="S355" i="37"/>
  <c r="V355" i="37" s="1"/>
  <c r="AK354" i="37" l="1"/>
  <c r="AH355" i="37"/>
  <c r="AI355" i="37" s="1"/>
  <c r="AJ355" i="37" s="1"/>
  <c r="O357" i="37"/>
  <c r="N358" i="37"/>
  <c r="S356" i="37"/>
  <c r="V356" i="37" s="1"/>
  <c r="Z356" i="37"/>
  <c r="AH356" i="37" l="1"/>
  <c r="AI356" i="37" s="1"/>
  <c r="AJ356" i="37" s="1"/>
  <c r="E356" i="37" s="1"/>
  <c r="AM356" i="37" s="1"/>
  <c r="AN356" i="37" s="1"/>
  <c r="N359" i="37"/>
  <c r="O358" i="37"/>
  <c r="Z357" i="37"/>
  <c r="S357" i="37"/>
  <c r="V357" i="37" s="1"/>
  <c r="E355" i="37"/>
  <c r="AM355" i="37" s="1"/>
  <c r="AN355" i="37" s="1"/>
  <c r="AK355" i="37"/>
  <c r="AK356" i="37" l="1"/>
  <c r="AH357" i="37"/>
  <c r="AI357" i="37" s="1"/>
  <c r="AJ357" i="37" s="1"/>
  <c r="S358" i="37"/>
  <c r="V358" i="37" s="1"/>
  <c r="Z358" i="37"/>
  <c r="O359" i="37"/>
  <c r="N360" i="37"/>
  <c r="AH358" i="37" l="1"/>
  <c r="AI358" i="37" s="1"/>
  <c r="AJ358" i="37" s="1"/>
  <c r="E358" i="37" s="1"/>
  <c r="AM358" i="37" s="1"/>
  <c r="AN358" i="37" s="1"/>
  <c r="Z359" i="37"/>
  <c r="S359" i="37"/>
  <c r="V359" i="37" s="1"/>
  <c r="N361" i="37"/>
  <c r="O360" i="37"/>
  <c r="AK357" i="37"/>
  <c r="E357" i="37"/>
  <c r="AM357" i="37" s="1"/>
  <c r="AN357" i="37" s="1"/>
  <c r="AK358" i="37" l="1"/>
  <c r="S360" i="37"/>
  <c r="V360" i="37" s="1"/>
  <c r="Z360" i="37"/>
  <c r="AH360" i="37" s="1"/>
  <c r="AI360" i="37" s="1"/>
  <c r="AJ360" i="37" s="1"/>
  <c r="O361" i="37"/>
  <c r="N362" i="37"/>
  <c r="AH359" i="37"/>
  <c r="AI359" i="37" s="1"/>
  <c r="AJ359" i="37" s="1"/>
  <c r="E360" i="37"/>
  <c r="AM360" i="37" s="1"/>
  <c r="AN360" i="37" s="1"/>
  <c r="AK360" i="37"/>
  <c r="E359" i="37" l="1"/>
  <c r="AM359" i="37" s="1"/>
  <c r="AN359" i="37" s="1"/>
  <c r="AK359" i="37"/>
  <c r="N363" i="37"/>
  <c r="O362" i="37"/>
  <c r="Z361" i="37"/>
  <c r="S361" i="37"/>
  <c r="V361" i="37" s="1"/>
  <c r="S362" i="37" l="1"/>
  <c r="V362" i="37" s="1"/>
  <c r="Z362" i="37"/>
  <c r="AH361" i="37"/>
  <c r="AI361" i="37" s="1"/>
  <c r="AJ361" i="37" s="1"/>
  <c r="O363" i="37"/>
  <c r="N364" i="37"/>
  <c r="AH362" i="37" l="1"/>
  <c r="AI362" i="37" s="1"/>
  <c r="AJ362" i="37" s="1"/>
  <c r="E362" i="37" s="1"/>
  <c r="AM362" i="37" s="1"/>
  <c r="AN362" i="37" s="1"/>
  <c r="O364" i="37"/>
  <c r="N365" i="37"/>
  <c r="Z363" i="37"/>
  <c r="S363" i="37"/>
  <c r="V363" i="37" s="1"/>
  <c r="AK361" i="37"/>
  <c r="E361" i="37"/>
  <c r="AM361" i="37" s="1"/>
  <c r="AN361" i="37" s="1"/>
  <c r="AK362" i="37" l="1"/>
  <c r="AH363" i="37"/>
  <c r="AI363" i="37" s="1"/>
  <c r="AJ363" i="37" s="1"/>
  <c r="O365" i="37"/>
  <c r="N366" i="37"/>
  <c r="S364" i="37"/>
  <c r="V364" i="37" s="1"/>
  <c r="Z364" i="37"/>
  <c r="AH364" i="37" l="1"/>
  <c r="AI364" i="37" s="1"/>
  <c r="AJ364" i="37" s="1"/>
  <c r="E364" i="37" s="1"/>
  <c r="AM364" i="37" s="1"/>
  <c r="AN364" i="37" s="1"/>
  <c r="O366" i="37"/>
  <c r="N367" i="37"/>
  <c r="S365" i="37"/>
  <c r="V365" i="37" s="1"/>
  <c r="Z365" i="37"/>
  <c r="E363" i="37"/>
  <c r="AM363" i="37" s="1"/>
  <c r="AN363" i="37" s="1"/>
  <c r="AK363" i="37"/>
  <c r="AK364" i="37" l="1"/>
  <c r="AH365" i="37"/>
  <c r="AI365" i="37" s="1"/>
  <c r="AJ365" i="37" s="1"/>
  <c r="N368" i="37"/>
  <c r="O367" i="37"/>
  <c r="S366" i="37"/>
  <c r="V366" i="37" s="1"/>
  <c r="Z366" i="37"/>
  <c r="AH366" i="37" l="1"/>
  <c r="AI366" i="37" s="1"/>
  <c r="AJ366" i="37" s="1"/>
  <c r="E366" i="37" s="1"/>
  <c r="AM366" i="37" s="1"/>
  <c r="AN366" i="37" s="1"/>
  <c r="Z367" i="37"/>
  <c r="S367" i="37"/>
  <c r="V367" i="37" s="1"/>
  <c r="N369" i="37"/>
  <c r="O368" i="37"/>
  <c r="E365" i="37"/>
  <c r="AM365" i="37" s="1"/>
  <c r="AN365" i="37" s="1"/>
  <c r="AK365" i="37"/>
  <c r="AK366" i="37" l="1"/>
  <c r="O369" i="37"/>
  <c r="N370" i="37"/>
  <c r="AH367" i="37"/>
  <c r="AI367" i="37" s="1"/>
  <c r="AJ367" i="37" s="1"/>
  <c r="Z368" i="37"/>
  <c r="S368" i="37"/>
  <c r="V368" i="37" s="1"/>
  <c r="AH368" i="37" l="1"/>
  <c r="AI368" i="37" s="1"/>
  <c r="AJ368" i="37" s="1"/>
  <c r="AK367" i="37"/>
  <c r="E367" i="37"/>
  <c r="AM367" i="37" s="1"/>
  <c r="AN367" i="37" s="1"/>
  <c r="O370" i="37"/>
  <c r="N371" i="37"/>
  <c r="S369" i="37"/>
  <c r="V369" i="37" s="1"/>
  <c r="Z369" i="37"/>
  <c r="AH369" i="37" l="1"/>
  <c r="AI369" i="37" s="1"/>
  <c r="AJ369" i="37" s="1"/>
  <c r="E369" i="37" s="1"/>
  <c r="AM369" i="37" s="1"/>
  <c r="AN369" i="37" s="1"/>
  <c r="S370" i="37"/>
  <c r="V370" i="37" s="1"/>
  <c r="Z370" i="37"/>
  <c r="O371" i="37"/>
  <c r="N372" i="37"/>
  <c r="AK368" i="37"/>
  <c r="E368" i="37"/>
  <c r="AM368" i="37" s="1"/>
  <c r="AN368" i="37" s="1"/>
  <c r="AK369" i="37" l="1"/>
  <c r="AH370" i="37"/>
  <c r="AI370" i="37" s="1"/>
  <c r="AJ370" i="37" s="1"/>
  <c r="O372" i="37"/>
  <c r="N373" i="37"/>
  <c r="Z371" i="37"/>
  <c r="S371" i="37"/>
  <c r="V371" i="37" s="1"/>
  <c r="E370" i="37" l="1"/>
  <c r="AM370" i="37" s="1"/>
  <c r="AN370" i="37" s="1"/>
  <c r="AK370" i="37"/>
  <c r="AH371" i="37"/>
  <c r="AI371" i="37" s="1"/>
  <c r="AJ371" i="37" s="1"/>
  <c r="O373" i="37"/>
  <c r="N374" i="37"/>
  <c r="S372" i="37"/>
  <c r="V372" i="37" s="1"/>
  <c r="Z372" i="37"/>
  <c r="AH372" i="37" l="1"/>
  <c r="AI372" i="37" s="1"/>
  <c r="AJ372" i="37" s="1"/>
  <c r="E372" i="37" s="1"/>
  <c r="AM372" i="37" s="1"/>
  <c r="AN372" i="37" s="1"/>
  <c r="O374" i="37"/>
  <c r="N375" i="37"/>
  <c r="S373" i="37"/>
  <c r="V373" i="37" s="1"/>
  <c r="Z373" i="37"/>
  <c r="E371" i="37"/>
  <c r="AM371" i="37" s="1"/>
  <c r="AN371" i="37" s="1"/>
  <c r="AK371" i="37"/>
  <c r="AK372" i="37" l="1"/>
  <c r="AH373" i="37"/>
  <c r="AI373" i="37" s="1"/>
  <c r="AJ373" i="37" s="1"/>
  <c r="E373" i="37" s="1"/>
  <c r="AM373" i="37" s="1"/>
  <c r="AN373" i="37" s="1"/>
  <c r="O375" i="37"/>
  <c r="N376" i="37"/>
  <c r="Z374" i="37"/>
  <c r="S374" i="37"/>
  <c r="V374" i="37" s="1"/>
  <c r="AK373" i="37" l="1"/>
  <c r="AH374" i="37"/>
  <c r="AI374" i="37" s="1"/>
  <c r="AJ374" i="37" s="1"/>
  <c r="O376" i="37"/>
  <c r="N377" i="37"/>
  <c r="Z375" i="37"/>
  <c r="S375" i="37"/>
  <c r="V375" i="37" s="1"/>
  <c r="N378" i="37" l="1"/>
  <c r="O377" i="37"/>
  <c r="AH375" i="37"/>
  <c r="AI375" i="37" s="1"/>
  <c r="AJ375" i="37" s="1"/>
  <c r="S376" i="37"/>
  <c r="V376" i="37" s="1"/>
  <c r="Z376" i="37"/>
  <c r="AK374" i="37"/>
  <c r="E374" i="37"/>
  <c r="AM374" i="37" s="1"/>
  <c r="AN374" i="37" s="1"/>
  <c r="AH376" i="37" l="1"/>
  <c r="AI376" i="37" s="1"/>
  <c r="AJ376" i="37" s="1"/>
  <c r="AK376" i="37" s="1"/>
  <c r="E375" i="37"/>
  <c r="AM375" i="37" s="1"/>
  <c r="AN375" i="37" s="1"/>
  <c r="AK375" i="37"/>
  <c r="Z377" i="37"/>
  <c r="S377" i="37"/>
  <c r="V377" i="37" s="1"/>
  <c r="O378" i="37"/>
  <c r="N379" i="37"/>
  <c r="E376" i="37" l="1"/>
  <c r="AM376" i="37" s="1"/>
  <c r="AN376" i="37" s="1"/>
  <c r="S378" i="37"/>
  <c r="V378" i="37" s="1"/>
  <c r="Z378" i="37"/>
  <c r="O379" i="37"/>
  <c r="N380" i="37"/>
  <c r="AH377" i="37"/>
  <c r="AI377" i="37" s="1"/>
  <c r="AJ377" i="37" s="1"/>
  <c r="AH378" i="37" l="1"/>
  <c r="AI378" i="37" s="1"/>
  <c r="AJ378" i="37" s="1"/>
  <c r="O380" i="37"/>
  <c r="N381" i="37"/>
  <c r="E377" i="37"/>
  <c r="AM377" i="37" s="1"/>
  <c r="AN377" i="37" s="1"/>
  <c r="AK377" i="37"/>
  <c r="S379" i="37"/>
  <c r="V379" i="37" s="1"/>
  <c r="Z379" i="37"/>
  <c r="AK378" i="37"/>
  <c r="E378" i="37"/>
  <c r="AM378" i="37" s="1"/>
  <c r="AN378" i="37" s="1"/>
  <c r="AH379" i="37" l="1"/>
  <c r="AI379" i="37" s="1"/>
  <c r="AJ379" i="37" s="1"/>
  <c r="E379" i="37" s="1"/>
  <c r="AM379" i="37" s="1"/>
  <c r="AN379" i="37" s="1"/>
  <c r="AK379" i="37"/>
  <c r="N382" i="37"/>
  <c r="O381" i="37"/>
  <c r="S380" i="37"/>
  <c r="V380" i="37" s="1"/>
  <c r="Z380" i="37"/>
  <c r="AH380" i="37" l="1"/>
  <c r="AI380" i="37" s="1"/>
  <c r="AJ380" i="37" s="1"/>
  <c r="AK380" i="37" s="1"/>
  <c r="E380" i="37"/>
  <c r="AM380" i="37" s="1"/>
  <c r="AN380" i="37" s="1"/>
  <c r="S381" i="37"/>
  <c r="V381" i="37" s="1"/>
  <c r="Z381" i="37"/>
  <c r="N383" i="37"/>
  <c r="O382" i="37"/>
  <c r="S382" i="37" l="1"/>
  <c r="V382" i="37" s="1"/>
  <c r="Z382" i="37"/>
  <c r="O383" i="37"/>
  <c r="N384" i="37"/>
  <c r="AH381" i="37"/>
  <c r="AI381" i="37" s="1"/>
  <c r="AJ381" i="37" s="1"/>
  <c r="AH382" i="37" l="1"/>
  <c r="AI382" i="37" s="1"/>
  <c r="AJ382" i="37" s="1"/>
  <c r="O384" i="37"/>
  <c r="N385" i="37"/>
  <c r="E381" i="37"/>
  <c r="AM381" i="37" s="1"/>
  <c r="AN381" i="37" s="1"/>
  <c r="AK381" i="37"/>
  <c r="Z383" i="37"/>
  <c r="S383" i="37"/>
  <c r="V383" i="37" s="1"/>
  <c r="AK382" i="37" l="1"/>
  <c r="E382" i="37"/>
  <c r="AM382" i="37" s="1"/>
  <c r="AN382" i="37" s="1"/>
  <c r="AH383" i="37"/>
  <c r="AI383" i="37" s="1"/>
  <c r="AJ383" i="37" s="1"/>
  <c r="O385" i="37"/>
  <c r="N386" i="37"/>
  <c r="S384" i="37"/>
  <c r="V384" i="37" s="1"/>
  <c r="Z384" i="37"/>
  <c r="AH384" i="37" l="1"/>
  <c r="AI384" i="37" s="1"/>
  <c r="AJ384" i="37" s="1"/>
  <c r="O386" i="37"/>
  <c r="N387" i="37"/>
  <c r="E384" i="37"/>
  <c r="AM384" i="37" s="1"/>
  <c r="AN384" i="37" s="1"/>
  <c r="AK384" i="37"/>
  <c r="S385" i="37"/>
  <c r="V385" i="37" s="1"/>
  <c r="Z385" i="37"/>
  <c r="AK383" i="37"/>
  <c r="E383" i="37"/>
  <c r="AM383" i="37" s="1"/>
  <c r="AN383" i="37" s="1"/>
  <c r="AH385" i="37" l="1"/>
  <c r="AI385" i="37" s="1"/>
  <c r="AJ385" i="37" s="1"/>
  <c r="AK385" i="37" s="1"/>
  <c r="O387" i="37"/>
  <c r="N388" i="37"/>
  <c r="S386" i="37"/>
  <c r="V386" i="37" s="1"/>
  <c r="Z386" i="37"/>
  <c r="AH386" i="37" l="1"/>
  <c r="AI386" i="37" s="1"/>
  <c r="AJ386" i="37" s="1"/>
  <c r="AK386" i="37" s="1"/>
  <c r="E385" i="37"/>
  <c r="AM385" i="37" s="1"/>
  <c r="AN385" i="37" s="1"/>
  <c r="N389" i="37"/>
  <c r="O388" i="37"/>
  <c r="Z387" i="37"/>
  <c r="S387" i="37"/>
  <c r="V387" i="37" s="1"/>
  <c r="E386" i="37" l="1"/>
  <c r="AM386" i="37" s="1"/>
  <c r="AN386" i="37" s="1"/>
  <c r="AH387" i="37"/>
  <c r="AI387" i="37" s="1"/>
  <c r="AJ387" i="37" s="1"/>
  <c r="S388" i="37"/>
  <c r="V388" i="37" s="1"/>
  <c r="Z388" i="37"/>
  <c r="N390" i="37"/>
  <c r="O389" i="37"/>
  <c r="AH388" i="37" l="1"/>
  <c r="AI388" i="37" s="1"/>
  <c r="AJ388" i="37" s="1"/>
  <c r="N391" i="37"/>
  <c r="O390" i="37"/>
  <c r="S389" i="37"/>
  <c r="V389" i="37" s="1"/>
  <c r="Z389" i="37"/>
  <c r="E388" i="37"/>
  <c r="AM388" i="37" s="1"/>
  <c r="AN388" i="37" s="1"/>
  <c r="AK388" i="37"/>
  <c r="AK387" i="37"/>
  <c r="E387" i="37"/>
  <c r="AM387" i="37" s="1"/>
  <c r="AN387" i="37" s="1"/>
  <c r="AH389" i="37" l="1"/>
  <c r="AI389" i="37" s="1"/>
  <c r="AJ389" i="37" s="1"/>
  <c r="S390" i="37"/>
  <c r="V390" i="37" s="1"/>
  <c r="Z390" i="37"/>
  <c r="N392" i="37"/>
  <c r="O391" i="37"/>
  <c r="AH390" i="37" l="1"/>
  <c r="AI390" i="37" s="1"/>
  <c r="AJ390" i="37" s="1"/>
  <c r="AK389" i="37"/>
  <c r="E389" i="37"/>
  <c r="AM389" i="37" s="1"/>
  <c r="AN389" i="37" s="1"/>
  <c r="S391" i="37"/>
  <c r="V391" i="37" s="1"/>
  <c r="Z391" i="37"/>
  <c r="N393" i="37"/>
  <c r="O392" i="37"/>
  <c r="AK390" i="37"/>
  <c r="E390" i="37"/>
  <c r="AM390" i="37" s="1"/>
  <c r="AN390" i="37" s="1"/>
  <c r="AH391" i="37" l="1"/>
  <c r="AI391" i="37" s="1"/>
  <c r="AJ391" i="37" s="1"/>
  <c r="N394" i="37"/>
  <c r="O393" i="37"/>
  <c r="Z392" i="37"/>
  <c r="S392" i="37"/>
  <c r="V392" i="37" s="1"/>
  <c r="AK391" i="37"/>
  <c r="E391" i="37"/>
  <c r="AM391" i="37" s="1"/>
  <c r="AN391" i="37" s="1"/>
  <c r="AH392" i="37" l="1"/>
  <c r="AI392" i="37" s="1"/>
  <c r="AJ392" i="37" s="1"/>
  <c r="S393" i="37"/>
  <c r="V393" i="37" s="1"/>
  <c r="Z393" i="37"/>
  <c r="O394" i="37"/>
  <c r="N395" i="37"/>
  <c r="AH393" i="37" l="1"/>
  <c r="AI393" i="37" s="1"/>
  <c r="AJ393" i="37" s="1"/>
  <c r="O395" i="37"/>
  <c r="N396" i="37"/>
  <c r="S394" i="37"/>
  <c r="V394" i="37" s="1"/>
  <c r="Z394" i="37"/>
  <c r="E393" i="37"/>
  <c r="AM393" i="37" s="1"/>
  <c r="AN393" i="37" s="1"/>
  <c r="AK393" i="37"/>
  <c r="E392" i="37"/>
  <c r="AM392" i="37" s="1"/>
  <c r="AN392" i="37" s="1"/>
  <c r="AK392" i="37"/>
  <c r="AH394" i="37" l="1"/>
  <c r="AI394" i="37" s="1"/>
  <c r="AJ394" i="37" s="1"/>
  <c r="E394" i="37" s="1"/>
  <c r="AM394" i="37" s="1"/>
  <c r="AN394" i="37" s="1"/>
  <c r="N397" i="37"/>
  <c r="O396" i="37"/>
  <c r="Z395" i="37"/>
  <c r="S395" i="37"/>
  <c r="V395" i="37" s="1"/>
  <c r="AK394" i="37" l="1"/>
  <c r="Z396" i="37"/>
  <c r="S396" i="37"/>
  <c r="V396" i="37" s="1"/>
  <c r="AH395" i="37"/>
  <c r="AI395" i="37" s="1"/>
  <c r="AJ395" i="37" s="1"/>
  <c r="O397" i="37"/>
  <c r="N398" i="37"/>
  <c r="S397" i="37" l="1"/>
  <c r="V397" i="37" s="1"/>
  <c r="Z397" i="37"/>
  <c r="O398" i="37"/>
  <c r="N399" i="37"/>
  <c r="E395" i="37"/>
  <c r="AM395" i="37" s="1"/>
  <c r="AN395" i="37" s="1"/>
  <c r="AK395" i="37"/>
  <c r="AH396" i="37"/>
  <c r="AI396" i="37" s="1"/>
  <c r="AJ396" i="37" s="1"/>
  <c r="AH397" i="37" l="1"/>
  <c r="AI397" i="37" s="1"/>
  <c r="AJ397" i="37" s="1"/>
  <c r="N400" i="37"/>
  <c r="O399" i="37"/>
  <c r="E396" i="37"/>
  <c r="AM396" i="37" s="1"/>
  <c r="AN396" i="37" s="1"/>
  <c r="AK396" i="37"/>
  <c r="S398" i="37"/>
  <c r="V398" i="37" s="1"/>
  <c r="Z398" i="37"/>
  <c r="E397" i="37"/>
  <c r="AM397" i="37" s="1"/>
  <c r="AN397" i="37" s="1"/>
  <c r="AK397" i="37"/>
  <c r="AH398" i="37" l="1"/>
  <c r="AI398" i="37" s="1"/>
  <c r="AJ398" i="37" s="1"/>
  <c r="E398" i="37" s="1"/>
  <c r="AM398" i="37" s="1"/>
  <c r="AN398" i="37" s="1"/>
  <c r="Z399" i="37"/>
  <c r="S399" i="37"/>
  <c r="V399" i="37" s="1"/>
  <c r="N401" i="37"/>
  <c r="O400" i="37"/>
  <c r="AK398" i="37" l="1"/>
  <c r="S400" i="37"/>
  <c r="V400" i="37" s="1"/>
  <c r="Z400" i="37"/>
  <c r="O401" i="37"/>
  <c r="N402" i="37"/>
  <c r="AH399" i="37"/>
  <c r="AI399" i="37" s="1"/>
  <c r="AJ399" i="37" s="1"/>
  <c r="AH400" i="37" l="1"/>
  <c r="AI400" i="37" s="1"/>
  <c r="AJ400" i="37" s="1"/>
  <c r="Z401" i="37"/>
  <c r="S401" i="37"/>
  <c r="V401" i="37" s="1"/>
  <c r="AK399" i="37"/>
  <c r="E399" i="37"/>
  <c r="AM399" i="37" s="1"/>
  <c r="AN399" i="37" s="1"/>
  <c r="N403" i="37"/>
  <c r="O402" i="37"/>
  <c r="E400" i="37" l="1"/>
  <c r="AM400" i="37" s="1"/>
  <c r="AN400" i="37" s="1"/>
  <c r="AK400" i="37"/>
  <c r="S402" i="37"/>
  <c r="V402" i="37" s="1"/>
  <c r="Z402" i="37"/>
  <c r="O403" i="37"/>
  <c r="N404" i="37"/>
  <c r="AH401" i="37"/>
  <c r="AI401" i="37" s="1"/>
  <c r="AJ401" i="37" s="1"/>
  <c r="AH402" i="37" l="1"/>
  <c r="AI402" i="37" s="1"/>
  <c r="AJ402" i="37" s="1"/>
  <c r="N405" i="37"/>
  <c r="O404" i="37"/>
  <c r="E401" i="37"/>
  <c r="AM401" i="37" s="1"/>
  <c r="AN401" i="37" s="1"/>
  <c r="AK401" i="37"/>
  <c r="S403" i="37"/>
  <c r="V403" i="37" s="1"/>
  <c r="Z403" i="37"/>
  <c r="AK402" i="37"/>
  <c r="E402" i="37"/>
  <c r="AM402" i="37" s="1"/>
  <c r="AN402" i="37" s="1"/>
  <c r="AH403" i="37" l="1"/>
  <c r="AI403" i="37" s="1"/>
  <c r="AJ403" i="37" s="1"/>
  <c r="S404" i="37"/>
  <c r="V404" i="37" s="1"/>
  <c r="Z404" i="37"/>
  <c r="N406" i="37"/>
  <c r="O405" i="37"/>
  <c r="AH404" i="37" l="1"/>
  <c r="AI404" i="37" s="1"/>
  <c r="AJ404" i="37" s="1"/>
  <c r="AK403" i="37"/>
  <c r="E403" i="37"/>
  <c r="AM403" i="37" s="1"/>
  <c r="AN403" i="37" s="1"/>
  <c r="S405" i="37"/>
  <c r="V405" i="37" s="1"/>
  <c r="Z405" i="37"/>
  <c r="O406" i="37"/>
  <c r="N407" i="37"/>
  <c r="AH405" i="37" l="1"/>
  <c r="AI405" i="37" s="1"/>
  <c r="AJ405" i="37" s="1"/>
  <c r="E404" i="37"/>
  <c r="AM404" i="37" s="1"/>
  <c r="AN404" i="37" s="1"/>
  <c r="AK404" i="37"/>
  <c r="N408" i="37"/>
  <c r="O407" i="37"/>
  <c r="S406" i="37"/>
  <c r="V406" i="37" s="1"/>
  <c r="Z406" i="37"/>
  <c r="AH406" i="37" l="1"/>
  <c r="AI406" i="37" s="1"/>
  <c r="AJ406" i="37" s="1"/>
  <c r="E406" i="37" s="1"/>
  <c r="AM406" i="37" s="1"/>
  <c r="AN406" i="37" s="1"/>
  <c r="AK405" i="37"/>
  <c r="E405" i="37"/>
  <c r="AM405" i="37" s="1"/>
  <c r="AN405" i="37" s="1"/>
  <c r="AK406" i="37"/>
  <c r="Z407" i="37"/>
  <c r="S407" i="37"/>
  <c r="V407" i="37" s="1"/>
  <c r="N409" i="37"/>
  <c r="O408" i="37"/>
  <c r="S408" i="37" l="1"/>
  <c r="V408" i="37" s="1"/>
  <c r="Z408" i="37"/>
  <c r="AH408" i="37" s="1"/>
  <c r="AI408" i="37" s="1"/>
  <c r="AJ408" i="37" s="1"/>
  <c r="O409" i="37"/>
  <c r="N410" i="37"/>
  <c r="AH407" i="37"/>
  <c r="AI407" i="37" s="1"/>
  <c r="AJ407" i="37" s="1"/>
  <c r="O410" i="37" l="1"/>
  <c r="N411" i="37"/>
  <c r="E407" i="37"/>
  <c r="AM407" i="37" s="1"/>
  <c r="AN407" i="37" s="1"/>
  <c r="AK407" i="37"/>
  <c r="S409" i="37"/>
  <c r="V409" i="37" s="1"/>
  <c r="Z409" i="37"/>
  <c r="E408" i="37"/>
  <c r="AM408" i="37" s="1"/>
  <c r="AN408" i="37" s="1"/>
  <c r="AK408" i="37"/>
  <c r="AH409" i="37" l="1"/>
  <c r="AI409" i="37" s="1"/>
  <c r="AJ409" i="37" s="1"/>
  <c r="E409" i="37" s="1"/>
  <c r="AM409" i="37" s="1"/>
  <c r="AN409" i="37" s="1"/>
  <c r="O411" i="37"/>
  <c r="N412" i="37"/>
  <c r="Z410" i="37"/>
  <c r="S410" i="37"/>
  <c r="V410" i="37" s="1"/>
  <c r="AK409" i="37" l="1"/>
  <c r="O412" i="37"/>
  <c r="N413" i="37"/>
  <c r="AH410" i="37"/>
  <c r="AI410" i="37" s="1"/>
  <c r="AJ410" i="37" s="1"/>
  <c r="Z411" i="37"/>
  <c r="S411" i="37"/>
  <c r="V411" i="37" s="1"/>
  <c r="AH411" i="37" l="1"/>
  <c r="AI411" i="37" s="1"/>
  <c r="AJ411" i="37" s="1"/>
  <c r="AK410" i="37"/>
  <c r="E410" i="37"/>
  <c r="AM410" i="37" s="1"/>
  <c r="AN410" i="37" s="1"/>
  <c r="O413" i="37"/>
  <c r="N414" i="37"/>
  <c r="S412" i="37"/>
  <c r="V412" i="37" s="1"/>
  <c r="Z412" i="37"/>
  <c r="AH412" i="37" l="1"/>
  <c r="AI412" i="37" s="1"/>
  <c r="AJ412" i="37" s="1"/>
  <c r="E412" i="37" s="1"/>
  <c r="AM412" i="37" s="1"/>
  <c r="AN412" i="37" s="1"/>
  <c r="N415" i="37"/>
  <c r="O414" i="37"/>
  <c r="S413" i="37"/>
  <c r="V413" i="37" s="1"/>
  <c r="Z413" i="37"/>
  <c r="E411" i="37"/>
  <c r="AM411" i="37" s="1"/>
  <c r="AN411" i="37" s="1"/>
  <c r="AK411" i="37"/>
  <c r="AK412" i="37" l="1"/>
  <c r="AH413" i="37"/>
  <c r="AI413" i="37" s="1"/>
  <c r="AJ413" i="37" s="1"/>
  <c r="S414" i="37"/>
  <c r="V414" i="37" s="1"/>
  <c r="Z414" i="37"/>
  <c r="O415" i="37"/>
  <c r="N416" i="37"/>
  <c r="AH414" i="37" l="1"/>
  <c r="AI414" i="37" s="1"/>
  <c r="AJ414" i="37" s="1"/>
  <c r="E413" i="37"/>
  <c r="AM413" i="37" s="1"/>
  <c r="AN413" i="37" s="1"/>
  <c r="AK413" i="37"/>
  <c r="N417" i="37"/>
  <c r="O416" i="37"/>
  <c r="S415" i="37"/>
  <c r="V415" i="37" s="1"/>
  <c r="Z415" i="37"/>
  <c r="AK414" i="37"/>
  <c r="E414" i="37"/>
  <c r="AM414" i="37" s="1"/>
  <c r="AN414" i="37" s="1"/>
  <c r="AH415" i="37" l="1"/>
  <c r="AI415" i="37" s="1"/>
  <c r="AJ415" i="37" s="1"/>
  <c r="E415" i="37" s="1"/>
  <c r="AM415" i="37" s="1"/>
  <c r="AN415" i="37" s="1"/>
  <c r="Z416" i="37"/>
  <c r="S416" i="37"/>
  <c r="V416" i="37" s="1"/>
  <c r="O417" i="37"/>
  <c r="N418" i="37"/>
  <c r="AK415" i="37" l="1"/>
  <c r="N419" i="37"/>
  <c r="O418" i="37"/>
  <c r="Z417" i="37"/>
  <c r="S417" i="37"/>
  <c r="V417" i="37" s="1"/>
  <c r="AH416" i="37"/>
  <c r="AI416" i="37" s="1"/>
  <c r="AJ416" i="37" s="1"/>
  <c r="AH417" i="37" l="1"/>
  <c r="AI417" i="37" s="1"/>
  <c r="AJ417" i="37" s="1"/>
  <c r="E416" i="37"/>
  <c r="AM416" i="37" s="1"/>
  <c r="AN416" i="37" s="1"/>
  <c r="AK416" i="37"/>
  <c r="Z418" i="37"/>
  <c r="S418" i="37"/>
  <c r="V418" i="37" s="1"/>
  <c r="N420" i="37"/>
  <c r="O419" i="37"/>
  <c r="O420" i="37" l="1"/>
  <c r="N421" i="37"/>
  <c r="Z419" i="37"/>
  <c r="S419" i="37"/>
  <c r="V419" i="37" s="1"/>
  <c r="AH418" i="37"/>
  <c r="AI418" i="37" s="1"/>
  <c r="AJ418" i="37" s="1"/>
  <c r="AK417" i="37"/>
  <c r="E417" i="37"/>
  <c r="AM417" i="37" s="1"/>
  <c r="AN417" i="37" s="1"/>
  <c r="E418" i="37" l="1"/>
  <c r="AM418" i="37" s="1"/>
  <c r="AN418" i="37" s="1"/>
  <c r="AK418" i="37"/>
  <c r="AH419" i="37"/>
  <c r="AI419" i="37" s="1"/>
  <c r="AJ419" i="37" s="1"/>
  <c r="O421" i="37"/>
  <c r="N422" i="37"/>
  <c r="Z420" i="37"/>
  <c r="S420" i="37"/>
  <c r="V420" i="37" s="1"/>
  <c r="S421" i="37" l="1"/>
  <c r="V421" i="37" s="1"/>
  <c r="Z421" i="37"/>
  <c r="O422" i="37"/>
  <c r="N423" i="37"/>
  <c r="AH420" i="37"/>
  <c r="AI420" i="37" s="1"/>
  <c r="AJ420" i="37" s="1"/>
  <c r="E419" i="37"/>
  <c r="AM419" i="37" s="1"/>
  <c r="AN419" i="37" s="1"/>
  <c r="AK419" i="37"/>
  <c r="AH421" i="37" l="1"/>
  <c r="AI421" i="37" s="1"/>
  <c r="AJ421" i="37" s="1"/>
  <c r="O423" i="37"/>
  <c r="N424" i="37"/>
  <c r="E420" i="37"/>
  <c r="AM420" i="37" s="1"/>
  <c r="AN420" i="37" s="1"/>
  <c r="AK420" i="37"/>
  <c r="Z422" i="37"/>
  <c r="S422" i="37"/>
  <c r="V422" i="37" s="1"/>
  <c r="AK421" i="37" l="1"/>
  <c r="E421" i="37"/>
  <c r="AM421" i="37" s="1"/>
  <c r="AN421" i="37" s="1"/>
  <c r="AH422" i="37"/>
  <c r="AI422" i="37" s="1"/>
  <c r="AJ422" i="37" s="1"/>
  <c r="O424" i="37"/>
  <c r="N425" i="37"/>
  <c r="S423" i="37"/>
  <c r="V423" i="37" s="1"/>
  <c r="Z423" i="37"/>
  <c r="AH423" i="37" l="1"/>
  <c r="AI423" i="37" s="1"/>
  <c r="AJ423" i="37" s="1"/>
  <c r="AK423" i="37" s="1"/>
  <c r="N426" i="37"/>
  <c r="O425" i="37"/>
  <c r="S424" i="37"/>
  <c r="V424" i="37" s="1"/>
  <c r="Z424" i="37"/>
  <c r="E422" i="37"/>
  <c r="AM422" i="37" s="1"/>
  <c r="AN422" i="37" s="1"/>
  <c r="AK422" i="37"/>
  <c r="E423" i="37" l="1"/>
  <c r="AM423" i="37" s="1"/>
  <c r="AN423" i="37" s="1"/>
  <c r="AH424" i="37"/>
  <c r="AI424" i="37" s="1"/>
  <c r="AJ424" i="37" s="1"/>
  <c r="AK424" i="37" s="1"/>
  <c r="Z425" i="37"/>
  <c r="S425" i="37"/>
  <c r="V425" i="37" s="1"/>
  <c r="O426" i="37"/>
  <c r="N427" i="37"/>
  <c r="E424" i="37" l="1"/>
  <c r="AM424" i="37" s="1"/>
  <c r="AN424" i="37" s="1"/>
  <c r="O427" i="37"/>
  <c r="N428" i="37"/>
  <c r="S426" i="37"/>
  <c r="V426" i="37" s="1"/>
  <c r="Z426" i="37"/>
  <c r="AH425" i="37"/>
  <c r="AI425" i="37" s="1"/>
  <c r="AJ425" i="37" s="1"/>
  <c r="AH426" i="37" l="1"/>
  <c r="AI426" i="37" s="1"/>
  <c r="AJ426" i="37" s="1"/>
  <c r="AK426" i="37" s="1"/>
  <c r="E425" i="37"/>
  <c r="AM425" i="37" s="1"/>
  <c r="AN425" i="37" s="1"/>
  <c r="AK425" i="37"/>
  <c r="O428" i="37"/>
  <c r="N429" i="37"/>
  <c r="Z427" i="37"/>
  <c r="S427" i="37"/>
  <c r="V427" i="37" s="1"/>
  <c r="E426" i="37" l="1"/>
  <c r="AM426" i="37" s="1"/>
  <c r="AN426" i="37" s="1"/>
  <c r="AH427" i="37"/>
  <c r="AI427" i="37" s="1"/>
  <c r="AJ427" i="37" s="1"/>
  <c r="N430" i="37"/>
  <c r="O429" i="37"/>
  <c r="S428" i="37"/>
  <c r="V428" i="37" s="1"/>
  <c r="Z428" i="37"/>
  <c r="AH428" i="37" l="1"/>
  <c r="AI428" i="37" s="1"/>
  <c r="AJ428" i="37" s="1"/>
  <c r="AK428" i="37" s="1"/>
  <c r="S429" i="37"/>
  <c r="V429" i="37" s="1"/>
  <c r="Z429" i="37"/>
  <c r="E428" i="37"/>
  <c r="AM428" i="37" s="1"/>
  <c r="AN428" i="37" s="1"/>
  <c r="N431" i="37"/>
  <c r="O430" i="37"/>
  <c r="E427" i="37"/>
  <c r="AM427" i="37" s="1"/>
  <c r="AN427" i="37" s="1"/>
  <c r="AK427" i="37"/>
  <c r="AH429" i="37" l="1"/>
  <c r="AI429" i="37" s="1"/>
  <c r="AJ429" i="37" s="1"/>
  <c r="E429" i="37" s="1"/>
  <c r="AM429" i="37" s="1"/>
  <c r="AN429" i="37" s="1"/>
  <c r="N432" i="37"/>
  <c r="O431" i="37"/>
  <c r="S430" i="37"/>
  <c r="V430" i="37" s="1"/>
  <c r="Z430" i="37"/>
  <c r="AH430" i="37" s="1"/>
  <c r="AI430" i="37" s="1"/>
  <c r="AJ430" i="37" s="1"/>
  <c r="AK429" i="37" l="1"/>
  <c r="E430" i="37"/>
  <c r="AM430" i="37" s="1"/>
  <c r="AN430" i="37" s="1"/>
  <c r="AK430" i="37"/>
  <c r="Z431" i="37"/>
  <c r="S431" i="37"/>
  <c r="V431" i="37" s="1"/>
  <c r="N433" i="37"/>
  <c r="O432" i="37"/>
  <c r="S432" i="37" l="1"/>
  <c r="V432" i="37" s="1"/>
  <c r="Z432" i="37"/>
  <c r="O433" i="37"/>
  <c r="N434" i="37"/>
  <c r="AH431" i="37"/>
  <c r="AI431" i="37" s="1"/>
  <c r="AJ431" i="37" s="1"/>
  <c r="AH432" i="37" l="1"/>
  <c r="AI432" i="37" s="1"/>
  <c r="AJ432" i="37" s="1"/>
  <c r="AK431" i="37"/>
  <c r="E431" i="37"/>
  <c r="AM431" i="37" s="1"/>
  <c r="AN431" i="37" s="1"/>
  <c r="N435" i="37"/>
  <c r="O434" i="37"/>
  <c r="S433" i="37"/>
  <c r="V433" i="37" s="1"/>
  <c r="Z433" i="37"/>
  <c r="AH433" i="37" l="1"/>
  <c r="AI433" i="37" s="1"/>
  <c r="AJ433" i="37" s="1"/>
  <c r="E433" i="37" s="1"/>
  <c r="AM433" i="37" s="1"/>
  <c r="AN433" i="37" s="1"/>
  <c r="E432" i="37"/>
  <c r="AM432" i="37" s="1"/>
  <c r="AN432" i="37" s="1"/>
  <c r="AK432" i="37"/>
  <c r="S434" i="37"/>
  <c r="V434" i="37" s="1"/>
  <c r="Z434" i="37"/>
  <c r="O435" i="37"/>
  <c r="N436" i="37"/>
  <c r="AK433" i="37" l="1"/>
  <c r="AH434" i="37"/>
  <c r="AI434" i="37" s="1"/>
  <c r="AJ434" i="37" s="1"/>
  <c r="N437" i="37"/>
  <c r="O436" i="37"/>
  <c r="S435" i="37"/>
  <c r="V435" i="37" s="1"/>
  <c r="Z435" i="37"/>
  <c r="AK434" i="37" l="1"/>
  <c r="E434" i="37"/>
  <c r="AM434" i="37" s="1"/>
  <c r="AN434" i="37" s="1"/>
  <c r="AH435" i="37"/>
  <c r="AI435" i="37" s="1"/>
  <c r="AJ435" i="37" s="1"/>
  <c r="AK435" i="37" s="1"/>
  <c r="S436" i="37"/>
  <c r="V436" i="37" s="1"/>
  <c r="Z436" i="37"/>
  <c r="O437" i="37"/>
  <c r="N438" i="37"/>
  <c r="E435" i="37" l="1"/>
  <c r="AM435" i="37" s="1"/>
  <c r="AN435" i="37" s="1"/>
  <c r="N439" i="37"/>
  <c r="O438" i="37"/>
  <c r="Z437" i="37"/>
  <c r="S437" i="37"/>
  <c r="V437" i="37" s="1"/>
  <c r="AH436" i="37"/>
  <c r="AI436" i="37" s="1"/>
  <c r="AJ436" i="37" s="1"/>
  <c r="AH437" i="37" l="1"/>
  <c r="AI437" i="37" s="1"/>
  <c r="AJ437" i="37" s="1"/>
  <c r="E436" i="37"/>
  <c r="AM436" i="37" s="1"/>
  <c r="AN436" i="37" s="1"/>
  <c r="AK436" i="37"/>
  <c r="Z438" i="37"/>
  <c r="S438" i="37"/>
  <c r="V438" i="37" s="1"/>
  <c r="N440" i="37"/>
  <c r="O439" i="37"/>
  <c r="AH438" i="37" l="1"/>
  <c r="AI438" i="37" s="1"/>
  <c r="AJ438" i="37" s="1"/>
  <c r="Z439" i="37"/>
  <c r="S439" i="37"/>
  <c r="V439" i="37" s="1"/>
  <c r="N441" i="37"/>
  <c r="O440" i="37"/>
  <c r="E437" i="37"/>
  <c r="AM437" i="37" s="1"/>
  <c r="AN437" i="37" s="1"/>
  <c r="AK437" i="37"/>
  <c r="AK438" i="37" l="1"/>
  <c r="E438" i="37"/>
  <c r="AM438" i="37" s="1"/>
  <c r="AN438" i="37" s="1"/>
  <c r="Z440" i="37"/>
  <c r="S440" i="37"/>
  <c r="V440" i="37" s="1"/>
  <c r="O441" i="37"/>
  <c r="N442" i="37"/>
  <c r="AH439" i="37"/>
  <c r="AI439" i="37" s="1"/>
  <c r="AJ439" i="37" s="1"/>
  <c r="N443" i="37" l="1"/>
  <c r="O442" i="37"/>
  <c r="E439" i="37"/>
  <c r="AM439" i="37" s="1"/>
  <c r="AN439" i="37" s="1"/>
  <c r="AK439" i="37"/>
  <c r="S441" i="37"/>
  <c r="V441" i="37" s="1"/>
  <c r="Z441" i="37"/>
  <c r="AH441" i="37" s="1"/>
  <c r="AI441" i="37" s="1"/>
  <c r="AJ441" i="37" s="1"/>
  <c r="AH440" i="37"/>
  <c r="AI440" i="37" s="1"/>
  <c r="AJ440" i="37" s="1"/>
  <c r="E440" i="37" l="1"/>
  <c r="AM440" i="37" s="1"/>
  <c r="AN440" i="37" s="1"/>
  <c r="AK440" i="37"/>
  <c r="AK441" i="37"/>
  <c r="E441" i="37"/>
  <c r="AM441" i="37" s="1"/>
  <c r="AN441" i="37" s="1"/>
  <c r="Z442" i="37"/>
  <c r="S442" i="37"/>
  <c r="V442" i="37" s="1"/>
  <c r="O443" i="37"/>
  <c r="N444" i="37"/>
  <c r="O444" i="37" l="1"/>
  <c r="N445" i="37"/>
  <c r="Z443" i="37"/>
  <c r="S443" i="37"/>
  <c r="V443" i="37" s="1"/>
  <c r="AH442" i="37"/>
  <c r="AI442" i="37" s="1"/>
  <c r="AJ442" i="37" s="1"/>
  <c r="AH443" i="37" l="1"/>
  <c r="AI443" i="37" s="1"/>
  <c r="AJ443" i="37" s="1"/>
  <c r="AK442" i="37"/>
  <c r="E442" i="37"/>
  <c r="AM442" i="37" s="1"/>
  <c r="AN442" i="37" s="1"/>
  <c r="O445" i="37"/>
  <c r="N446" i="37"/>
  <c r="Z444" i="37"/>
  <c r="S444" i="37"/>
  <c r="V444" i="37" s="1"/>
  <c r="AH444" i="37" l="1"/>
  <c r="AI444" i="37" s="1"/>
  <c r="AJ444" i="37" s="1"/>
  <c r="N447" i="37"/>
  <c r="O446" i="37"/>
  <c r="Z445" i="37"/>
  <c r="S445" i="37"/>
  <c r="V445" i="37" s="1"/>
  <c r="AK443" i="37"/>
  <c r="E443" i="37"/>
  <c r="AM443" i="37" s="1"/>
  <c r="AN443" i="37" s="1"/>
  <c r="S446" i="37" l="1"/>
  <c r="V446" i="37" s="1"/>
  <c r="Z446" i="37"/>
  <c r="AH445" i="37"/>
  <c r="AI445" i="37" s="1"/>
  <c r="AJ445" i="37" s="1"/>
  <c r="O447" i="37"/>
  <c r="N448" i="37"/>
  <c r="E444" i="37"/>
  <c r="AM444" i="37" s="1"/>
  <c r="AN444" i="37" s="1"/>
  <c r="AK444" i="37"/>
  <c r="AH446" i="37" l="1"/>
  <c r="AI446" i="37" s="1"/>
  <c r="AJ446" i="37" s="1"/>
  <c r="S447" i="37"/>
  <c r="V447" i="37" s="1"/>
  <c r="Z447" i="37"/>
  <c r="N449" i="37"/>
  <c r="O448" i="37"/>
  <c r="E445" i="37"/>
  <c r="AM445" i="37" s="1"/>
  <c r="AN445" i="37" s="1"/>
  <c r="AK445" i="37"/>
  <c r="E446" i="37"/>
  <c r="AM446" i="37" s="1"/>
  <c r="AN446" i="37" s="1"/>
  <c r="AK446" i="37"/>
  <c r="AH447" i="37" l="1"/>
  <c r="AI447" i="37" s="1"/>
  <c r="AJ447" i="37" s="1"/>
  <c r="Z448" i="37"/>
  <c r="S448" i="37"/>
  <c r="V448" i="37" s="1"/>
  <c r="N450" i="37"/>
  <c r="O449" i="37"/>
  <c r="E447" i="37"/>
  <c r="AM447" i="37" s="1"/>
  <c r="AN447" i="37" s="1"/>
  <c r="AK447" i="37"/>
  <c r="N451" i="37" l="1"/>
  <c r="O450" i="37"/>
  <c r="S449" i="37"/>
  <c r="V449" i="37" s="1"/>
  <c r="Z449" i="37"/>
  <c r="AH449" i="37" s="1"/>
  <c r="AI449" i="37" s="1"/>
  <c r="AJ449" i="37" s="1"/>
  <c r="AH448" i="37"/>
  <c r="AI448" i="37" s="1"/>
  <c r="AJ448" i="37" s="1"/>
  <c r="AK448" i="37" l="1"/>
  <c r="E448" i="37"/>
  <c r="AM448" i="37" s="1"/>
  <c r="AN448" i="37" s="1"/>
  <c r="E449" i="37"/>
  <c r="AM449" i="37" s="1"/>
  <c r="AN449" i="37" s="1"/>
  <c r="AK449" i="37"/>
  <c r="S450" i="37"/>
  <c r="V450" i="37" s="1"/>
  <c r="Z450" i="37"/>
  <c r="O451" i="37"/>
  <c r="N452" i="37"/>
  <c r="Z451" i="37" l="1"/>
  <c r="S451" i="37"/>
  <c r="V451" i="37" s="1"/>
  <c r="N453" i="37"/>
  <c r="O452" i="37"/>
  <c r="AH450" i="37"/>
  <c r="AI450" i="37" s="1"/>
  <c r="AJ450" i="37" s="1"/>
  <c r="O453" i="37" l="1"/>
  <c r="N454" i="37"/>
  <c r="E450" i="37"/>
  <c r="AM450" i="37" s="1"/>
  <c r="AN450" i="37" s="1"/>
  <c r="AK450" i="37"/>
  <c r="S452" i="37"/>
  <c r="V452" i="37" s="1"/>
  <c r="Z452" i="37"/>
  <c r="AH451" i="37"/>
  <c r="AI451" i="37" s="1"/>
  <c r="AJ451" i="37" s="1"/>
  <c r="AH452" i="37" l="1"/>
  <c r="AI452" i="37" s="1"/>
  <c r="AJ452" i="37" s="1"/>
  <c r="E452" i="37" s="1"/>
  <c r="AM452" i="37" s="1"/>
  <c r="AN452" i="37" s="1"/>
  <c r="E451" i="37"/>
  <c r="AM451" i="37" s="1"/>
  <c r="AN451" i="37" s="1"/>
  <c r="AK451" i="37"/>
  <c r="O454" i="37"/>
  <c r="N455" i="37"/>
  <c r="Z453" i="37"/>
  <c r="S453" i="37"/>
  <c r="V453" i="37" s="1"/>
  <c r="AK452" i="37" l="1"/>
  <c r="N456" i="37"/>
  <c r="O455" i="37"/>
  <c r="AH453" i="37"/>
  <c r="AI453" i="37" s="1"/>
  <c r="AJ453" i="37" s="1"/>
  <c r="Z454" i="37"/>
  <c r="S454" i="37"/>
  <c r="V454" i="37" s="1"/>
  <c r="E453" i="37" l="1"/>
  <c r="AM453" i="37" s="1"/>
  <c r="AN453" i="37" s="1"/>
  <c r="AK453" i="37"/>
  <c r="AH454" i="37"/>
  <c r="AI454" i="37" s="1"/>
  <c r="AJ454" i="37" s="1"/>
  <c r="S455" i="37"/>
  <c r="V455" i="37" s="1"/>
  <c r="Z455" i="37"/>
  <c r="O456" i="37"/>
  <c r="N457" i="37"/>
  <c r="AH455" i="37" l="1"/>
  <c r="AI455" i="37" s="1"/>
  <c r="AJ455" i="37" s="1"/>
  <c r="N458" i="37"/>
  <c r="O457" i="37"/>
  <c r="Z456" i="37"/>
  <c r="S456" i="37"/>
  <c r="V456" i="37" s="1"/>
  <c r="E454" i="37"/>
  <c r="AM454" i="37" s="1"/>
  <c r="AN454" i="37" s="1"/>
  <c r="AK454" i="37"/>
  <c r="AK455" i="37" l="1"/>
  <c r="E455" i="37"/>
  <c r="AM455" i="37" s="1"/>
  <c r="AN455" i="37" s="1"/>
  <c r="AH456" i="37"/>
  <c r="AI456" i="37" s="1"/>
  <c r="AJ456" i="37" s="1"/>
  <c r="S457" i="37"/>
  <c r="V457" i="37" s="1"/>
  <c r="Z457" i="37"/>
  <c r="N459" i="37"/>
  <c r="O458" i="37"/>
  <c r="AH457" i="37" l="1"/>
  <c r="AI457" i="37" s="1"/>
  <c r="AJ457" i="37" s="1"/>
  <c r="O459" i="37"/>
  <c r="N460" i="37"/>
  <c r="S458" i="37"/>
  <c r="V458" i="37" s="1"/>
  <c r="Z458" i="37"/>
  <c r="E457" i="37"/>
  <c r="AM457" i="37" s="1"/>
  <c r="AN457" i="37" s="1"/>
  <c r="AK457" i="37"/>
  <c r="AK456" i="37"/>
  <c r="E456" i="37"/>
  <c r="AM456" i="37" s="1"/>
  <c r="AN456" i="37" s="1"/>
  <c r="AH458" i="37" l="1"/>
  <c r="AI458" i="37" s="1"/>
  <c r="AJ458" i="37" s="1"/>
  <c r="AK458" i="37" s="1"/>
  <c r="N461" i="37"/>
  <c r="O460" i="37"/>
  <c r="S459" i="37"/>
  <c r="V459" i="37" s="1"/>
  <c r="Z459" i="37"/>
  <c r="AH459" i="37" l="1"/>
  <c r="AI459" i="37" s="1"/>
  <c r="AJ459" i="37" s="1"/>
  <c r="E459" i="37" s="1"/>
  <c r="AM459" i="37" s="1"/>
  <c r="AN459" i="37" s="1"/>
  <c r="E458" i="37"/>
  <c r="AM458" i="37" s="1"/>
  <c r="AN458" i="37" s="1"/>
  <c r="Z460" i="37"/>
  <c r="S460" i="37"/>
  <c r="V460" i="37" s="1"/>
  <c r="O461" i="37"/>
  <c r="N462" i="37"/>
  <c r="AK459" i="37" l="1"/>
  <c r="N463" i="37"/>
  <c r="O462" i="37"/>
  <c r="Z461" i="37"/>
  <c r="S461" i="37"/>
  <c r="V461" i="37" s="1"/>
  <c r="AH460" i="37"/>
  <c r="AI460" i="37" s="1"/>
  <c r="AJ460" i="37" s="1"/>
  <c r="E460" i="37" l="1"/>
  <c r="AM460" i="37" s="1"/>
  <c r="AN460" i="37" s="1"/>
  <c r="AK460" i="37"/>
  <c r="AH461" i="37"/>
  <c r="AI461" i="37" s="1"/>
  <c r="AJ461" i="37" s="1"/>
  <c r="Z462" i="37"/>
  <c r="S462" i="37"/>
  <c r="V462" i="37" s="1"/>
  <c r="O463" i="37"/>
  <c r="N464" i="37"/>
  <c r="AH462" i="37" l="1"/>
  <c r="AI462" i="37" s="1"/>
  <c r="AJ462" i="37" s="1"/>
  <c r="O464" i="37"/>
  <c r="N465" i="37"/>
  <c r="Z463" i="37"/>
  <c r="S463" i="37"/>
  <c r="V463" i="37" s="1"/>
  <c r="AK461" i="37"/>
  <c r="E461" i="37"/>
  <c r="AM461" i="37" s="1"/>
  <c r="AN461" i="37" s="1"/>
  <c r="AK462" i="37" l="1"/>
  <c r="E462" i="37"/>
  <c r="AM462" i="37" s="1"/>
  <c r="AN462" i="37" s="1"/>
  <c r="AH463" i="37"/>
  <c r="AI463" i="37" s="1"/>
  <c r="AJ463" i="37" s="1"/>
  <c r="O465" i="37"/>
  <c r="N466" i="37"/>
  <c r="Z464" i="37"/>
  <c r="S464" i="37"/>
  <c r="V464" i="37" s="1"/>
  <c r="N467" i="37" l="1"/>
  <c r="O466" i="37"/>
  <c r="AH464" i="37"/>
  <c r="AI464" i="37" s="1"/>
  <c r="AJ464" i="37" s="1"/>
  <c r="Z465" i="37"/>
  <c r="S465" i="37"/>
  <c r="V465" i="37" s="1"/>
  <c r="E463" i="37"/>
  <c r="AM463" i="37" s="1"/>
  <c r="AN463" i="37" s="1"/>
  <c r="AK463" i="37"/>
  <c r="AH465" i="37" l="1"/>
  <c r="AI465" i="37" s="1"/>
  <c r="AJ465" i="37" s="1"/>
  <c r="AK464" i="37"/>
  <c r="E464" i="37"/>
  <c r="AM464" i="37" s="1"/>
  <c r="AN464" i="37" s="1"/>
  <c r="S466" i="37"/>
  <c r="V466" i="37" s="1"/>
  <c r="Z466" i="37"/>
  <c r="N468" i="37"/>
  <c r="O467" i="37"/>
  <c r="AH466" i="37" l="1"/>
  <c r="AI466" i="37" s="1"/>
  <c r="AJ466" i="37" s="1"/>
  <c r="E465" i="37"/>
  <c r="AM465" i="37" s="1"/>
  <c r="AN465" i="37" s="1"/>
  <c r="AK465" i="37"/>
  <c r="O468" i="37"/>
  <c r="N469" i="37"/>
  <c r="Z467" i="37"/>
  <c r="S467" i="37"/>
  <c r="V467" i="37" s="1"/>
  <c r="E466" i="37" l="1"/>
  <c r="AM466" i="37" s="1"/>
  <c r="AN466" i="37" s="1"/>
  <c r="AK466" i="37"/>
  <c r="AH467" i="37"/>
  <c r="AI467" i="37" s="1"/>
  <c r="AJ467" i="37" s="1"/>
  <c r="N470" i="37"/>
  <c r="O469" i="37"/>
  <c r="Z468" i="37"/>
  <c r="S468" i="37"/>
  <c r="V468" i="37" s="1"/>
  <c r="S469" i="37" l="1"/>
  <c r="V469" i="37" s="1"/>
  <c r="Z469" i="37"/>
  <c r="AH468" i="37"/>
  <c r="AI468" i="37" s="1"/>
  <c r="AJ468" i="37" s="1"/>
  <c r="N471" i="37"/>
  <c r="O470" i="37"/>
  <c r="E467" i="37"/>
  <c r="AM467" i="37" s="1"/>
  <c r="AN467" i="37" s="1"/>
  <c r="AK467" i="37"/>
  <c r="AH469" i="37" l="1"/>
  <c r="AI469" i="37" s="1"/>
  <c r="AJ469" i="37" s="1"/>
  <c r="O471" i="37"/>
  <c r="N472" i="37"/>
  <c r="Z470" i="37"/>
  <c r="S470" i="37"/>
  <c r="V470" i="37" s="1"/>
  <c r="E468" i="37"/>
  <c r="AM468" i="37" s="1"/>
  <c r="AN468" i="37" s="1"/>
  <c r="AK468" i="37"/>
  <c r="E469" i="37"/>
  <c r="AM469" i="37" s="1"/>
  <c r="AN469" i="37" s="1"/>
  <c r="AK469" i="37"/>
  <c r="AH470" i="37" l="1"/>
  <c r="AI470" i="37" s="1"/>
  <c r="AJ470" i="37" s="1"/>
  <c r="N473" i="37"/>
  <c r="O472" i="37"/>
  <c r="S471" i="37"/>
  <c r="V471" i="37" s="1"/>
  <c r="Z471" i="37"/>
  <c r="Z472" i="37" l="1"/>
  <c r="S472" i="37"/>
  <c r="V472" i="37" s="1"/>
  <c r="AH471" i="37"/>
  <c r="AI471" i="37" s="1"/>
  <c r="AJ471" i="37" s="1"/>
  <c r="O473" i="37"/>
  <c r="N474" i="37"/>
  <c r="E470" i="37"/>
  <c r="AM470" i="37" s="1"/>
  <c r="AN470" i="37" s="1"/>
  <c r="AK470" i="37"/>
  <c r="S473" i="37" l="1"/>
  <c r="V473" i="37" s="1"/>
  <c r="Z473" i="37"/>
  <c r="O474" i="37"/>
  <c r="N475" i="37"/>
  <c r="E471" i="37"/>
  <c r="AM471" i="37" s="1"/>
  <c r="AN471" i="37" s="1"/>
  <c r="AK471" i="37"/>
  <c r="AH472" i="37"/>
  <c r="AI472" i="37" s="1"/>
  <c r="AJ472" i="37" s="1"/>
  <c r="AH473" i="37" l="1"/>
  <c r="AI473" i="37" s="1"/>
  <c r="AJ473" i="37" s="1"/>
  <c r="E473" i="37" s="1"/>
  <c r="AM473" i="37" s="1"/>
  <c r="AN473" i="37" s="1"/>
  <c r="E472" i="37"/>
  <c r="AM472" i="37" s="1"/>
  <c r="AN472" i="37" s="1"/>
  <c r="AK472" i="37"/>
  <c r="O475" i="37"/>
  <c r="N476" i="37"/>
  <c r="S474" i="37"/>
  <c r="V474" i="37" s="1"/>
  <c r="Z474" i="37"/>
  <c r="AK473" i="37" l="1"/>
  <c r="AH474" i="37"/>
  <c r="AI474" i="37" s="1"/>
  <c r="AJ474" i="37" s="1"/>
  <c r="S475" i="37"/>
  <c r="V475" i="37" s="1"/>
  <c r="Z475" i="37"/>
  <c r="N477" i="37"/>
  <c r="O476" i="37"/>
  <c r="AH475" i="37" l="1"/>
  <c r="AI475" i="37" s="1"/>
  <c r="AJ475" i="37" s="1"/>
  <c r="E475" i="37" s="1"/>
  <c r="AM475" i="37" s="1"/>
  <c r="AN475" i="37" s="1"/>
  <c r="AK474" i="37"/>
  <c r="E474" i="37"/>
  <c r="AM474" i="37" s="1"/>
  <c r="AN474" i="37" s="1"/>
  <c r="O477" i="37"/>
  <c r="N478" i="37"/>
  <c r="Z476" i="37"/>
  <c r="S476" i="37"/>
  <c r="V476" i="37" s="1"/>
  <c r="AK475" i="37" l="1"/>
  <c r="AH476" i="37"/>
  <c r="AI476" i="37" s="1"/>
  <c r="AJ476" i="37" s="1"/>
  <c r="O478" i="37"/>
  <c r="N479" i="37"/>
  <c r="S477" i="37"/>
  <c r="V477" i="37" s="1"/>
  <c r="Z477" i="37"/>
  <c r="AH477" i="37" l="1"/>
  <c r="AI477" i="37" s="1"/>
  <c r="AJ477" i="37" s="1"/>
  <c r="E477" i="37" s="1"/>
  <c r="AM477" i="37" s="1"/>
  <c r="AN477" i="37" s="1"/>
  <c r="N480" i="37"/>
  <c r="O479" i="37"/>
  <c r="Z478" i="37"/>
  <c r="S478" i="37"/>
  <c r="V478" i="37" s="1"/>
  <c r="E476" i="37"/>
  <c r="AM476" i="37" s="1"/>
  <c r="AN476" i="37" s="1"/>
  <c r="AK476" i="37"/>
  <c r="AK477" i="37" l="1"/>
  <c r="AH478" i="37"/>
  <c r="AI478" i="37" s="1"/>
  <c r="AJ478" i="37" s="1"/>
  <c r="O480" i="37"/>
  <c r="N481" i="37"/>
  <c r="Z479" i="37"/>
  <c r="S479" i="37"/>
  <c r="V479" i="37" s="1"/>
  <c r="E478" i="37" l="1"/>
  <c r="AM478" i="37" s="1"/>
  <c r="AN478" i="37" s="1"/>
  <c r="AK478" i="37"/>
  <c r="AH479" i="37"/>
  <c r="AI479" i="37" s="1"/>
  <c r="AJ479" i="37" s="1"/>
  <c r="O481" i="37"/>
  <c r="N482" i="37"/>
  <c r="S480" i="37"/>
  <c r="V480" i="37" s="1"/>
  <c r="Z480" i="37"/>
  <c r="AH480" i="37" l="1"/>
  <c r="AI480" i="37" s="1"/>
  <c r="AJ480" i="37" s="1"/>
  <c r="O482" i="37"/>
  <c r="N483" i="37"/>
  <c r="Z481" i="37"/>
  <c r="S481" i="37"/>
  <c r="V481" i="37" s="1"/>
  <c r="AK479" i="37"/>
  <c r="E479" i="37"/>
  <c r="AM479" i="37" s="1"/>
  <c r="AN479" i="37" s="1"/>
  <c r="AK480" i="37" l="1"/>
  <c r="E480" i="37"/>
  <c r="AM480" i="37" s="1"/>
  <c r="AN480" i="37" s="1"/>
  <c r="AH481" i="37"/>
  <c r="AI481" i="37" s="1"/>
  <c r="AJ481" i="37" s="1"/>
  <c r="N484" i="37"/>
  <c r="O483" i="37"/>
  <c r="S482" i="37"/>
  <c r="V482" i="37" s="1"/>
  <c r="Z482" i="37"/>
  <c r="AH482" i="37" l="1"/>
  <c r="AI482" i="37" s="1"/>
  <c r="AJ482" i="37" s="1"/>
  <c r="E482" i="37" s="1"/>
  <c r="AM482" i="37" s="1"/>
  <c r="AN482" i="37" s="1"/>
  <c r="Z483" i="37"/>
  <c r="S483" i="37"/>
  <c r="V483" i="37" s="1"/>
  <c r="O484" i="37"/>
  <c r="N485" i="37"/>
  <c r="E481" i="37"/>
  <c r="AM481" i="37" s="1"/>
  <c r="AN481" i="37" s="1"/>
  <c r="AK481" i="37"/>
  <c r="AK482" i="37" l="1"/>
  <c r="O485" i="37"/>
  <c r="N486" i="37"/>
  <c r="S484" i="37"/>
  <c r="V484" i="37" s="1"/>
  <c r="Z484" i="37"/>
  <c r="AH483" i="37"/>
  <c r="AI483" i="37" s="1"/>
  <c r="AJ483" i="37" s="1"/>
  <c r="AH484" i="37" l="1"/>
  <c r="AI484" i="37" s="1"/>
  <c r="AJ484" i="37" s="1"/>
  <c r="AK484" i="37" s="1"/>
  <c r="E483" i="37"/>
  <c r="AM483" i="37" s="1"/>
  <c r="AN483" i="37" s="1"/>
  <c r="AK483" i="37"/>
  <c r="O486" i="37"/>
  <c r="N487" i="37"/>
  <c r="S485" i="37"/>
  <c r="V485" i="37" s="1"/>
  <c r="Z485" i="37"/>
  <c r="E484" i="37" l="1"/>
  <c r="AM484" i="37" s="1"/>
  <c r="AN484" i="37" s="1"/>
  <c r="AH485" i="37"/>
  <c r="AI485" i="37" s="1"/>
  <c r="AJ485" i="37" s="1"/>
  <c r="E485" i="37" s="1"/>
  <c r="AM485" i="37" s="1"/>
  <c r="AN485" i="37" s="1"/>
  <c r="O487" i="37"/>
  <c r="N488" i="37"/>
  <c r="Z486" i="37"/>
  <c r="S486" i="37"/>
  <c r="V486" i="37" s="1"/>
  <c r="AK485" i="37" l="1"/>
  <c r="AH486" i="37"/>
  <c r="AI486" i="37" s="1"/>
  <c r="AJ486" i="37" s="1"/>
  <c r="O488" i="37"/>
  <c r="N489" i="37"/>
  <c r="S487" i="37"/>
  <c r="V487" i="37" s="1"/>
  <c r="Z487" i="37"/>
  <c r="AH487" i="37" l="1"/>
  <c r="AI487" i="37" s="1"/>
  <c r="AJ487" i="37" s="1"/>
  <c r="AK487" i="37" s="1"/>
  <c r="O489" i="37"/>
  <c r="N490" i="37"/>
  <c r="S488" i="37"/>
  <c r="V488" i="37" s="1"/>
  <c r="Z488" i="37"/>
  <c r="E486" i="37"/>
  <c r="AM486" i="37" s="1"/>
  <c r="AN486" i="37" s="1"/>
  <c r="AK486" i="37"/>
  <c r="E487" i="37" l="1"/>
  <c r="AM487" i="37" s="1"/>
  <c r="AN487" i="37" s="1"/>
  <c r="AH488" i="37"/>
  <c r="AI488" i="37" s="1"/>
  <c r="AJ488" i="37" s="1"/>
  <c r="E488" i="37" s="1"/>
  <c r="AM488" i="37" s="1"/>
  <c r="AN488" i="37" s="1"/>
  <c r="O490" i="37"/>
  <c r="N491" i="37"/>
  <c r="S489" i="37"/>
  <c r="V489" i="37" s="1"/>
  <c r="Z489" i="37"/>
  <c r="AH489" i="37" l="1"/>
  <c r="AI489" i="37" s="1"/>
  <c r="AJ489" i="37" s="1"/>
  <c r="AK489" i="37" s="1"/>
  <c r="AK488" i="37"/>
  <c r="N492" i="37"/>
  <c r="O491" i="37"/>
  <c r="Z490" i="37"/>
  <c r="S490" i="37"/>
  <c r="V490" i="37" s="1"/>
  <c r="E489" i="37" l="1"/>
  <c r="AM489" i="37" s="1"/>
  <c r="AN489" i="37" s="1"/>
  <c r="Z491" i="37"/>
  <c r="S491" i="37"/>
  <c r="V491" i="37" s="1"/>
  <c r="AH490" i="37"/>
  <c r="AI490" i="37" s="1"/>
  <c r="AJ490" i="37" s="1"/>
  <c r="N493" i="37"/>
  <c r="O492" i="37"/>
  <c r="O493" i="37" l="1"/>
  <c r="N494" i="37"/>
  <c r="S492" i="37"/>
  <c r="V492" i="37" s="1"/>
  <c r="Z492" i="37"/>
  <c r="E490" i="37"/>
  <c r="AM490" i="37" s="1"/>
  <c r="AN490" i="37" s="1"/>
  <c r="AK490" i="37"/>
  <c r="AH491" i="37"/>
  <c r="AI491" i="37" s="1"/>
  <c r="AJ491" i="37" s="1"/>
  <c r="AH492" i="37" l="1"/>
  <c r="AI492" i="37" s="1"/>
  <c r="AJ492" i="37" s="1"/>
  <c r="E492" i="37" s="1"/>
  <c r="AM492" i="37" s="1"/>
  <c r="AN492" i="37" s="1"/>
  <c r="E491" i="37"/>
  <c r="AM491" i="37" s="1"/>
  <c r="AN491" i="37" s="1"/>
  <c r="AK491" i="37"/>
  <c r="N495" i="37"/>
  <c r="O494" i="37"/>
  <c r="S493" i="37"/>
  <c r="V493" i="37" s="1"/>
  <c r="Z493" i="37"/>
  <c r="AK492" i="37" l="1"/>
  <c r="Z494" i="37"/>
  <c r="S494" i="37"/>
  <c r="V494" i="37" s="1"/>
  <c r="AH493" i="37"/>
  <c r="AI493" i="37" s="1"/>
  <c r="AJ493" i="37" s="1"/>
  <c r="O495" i="37"/>
  <c r="N496" i="37"/>
  <c r="AK493" i="37" l="1"/>
  <c r="E493" i="37"/>
  <c r="AM493" i="37" s="1"/>
  <c r="AN493" i="37" s="1"/>
  <c r="O496" i="37"/>
  <c r="N497" i="37"/>
  <c r="S495" i="37"/>
  <c r="V495" i="37" s="1"/>
  <c r="Z495" i="37"/>
  <c r="AH494" i="37"/>
  <c r="AI494" i="37" s="1"/>
  <c r="AJ494" i="37" s="1"/>
  <c r="AH495" i="37" l="1"/>
  <c r="AI495" i="37" s="1"/>
  <c r="AJ495" i="37" s="1"/>
  <c r="AK495" i="37" s="1"/>
  <c r="O497" i="37"/>
  <c r="N498" i="37"/>
  <c r="AK494" i="37"/>
  <c r="E494" i="37"/>
  <c r="AM494" i="37" s="1"/>
  <c r="AN494" i="37" s="1"/>
  <c r="Z496" i="37"/>
  <c r="S496" i="37"/>
  <c r="V496" i="37" s="1"/>
  <c r="E495" i="37" l="1"/>
  <c r="AM495" i="37" s="1"/>
  <c r="AN495" i="37" s="1"/>
  <c r="AH496" i="37"/>
  <c r="AI496" i="37" s="1"/>
  <c r="AJ496" i="37" s="1"/>
  <c r="O498" i="37"/>
  <c r="N499" i="37"/>
  <c r="S497" i="37"/>
  <c r="V497" i="37" s="1"/>
  <c r="Z497" i="37"/>
  <c r="AH497" i="37" l="1"/>
  <c r="AI497" i="37" s="1"/>
  <c r="AJ497" i="37" s="1"/>
  <c r="AK497" i="37" s="1"/>
  <c r="N500" i="37"/>
  <c r="O499" i="37"/>
  <c r="Z498" i="37"/>
  <c r="S498" i="37"/>
  <c r="V498" i="37" s="1"/>
  <c r="E496" i="37"/>
  <c r="AM496" i="37" s="1"/>
  <c r="AN496" i="37" s="1"/>
  <c r="AK496" i="37"/>
  <c r="E497" i="37" l="1"/>
  <c r="AM497" i="37" s="1"/>
  <c r="AN497" i="37" s="1"/>
  <c r="Z499" i="37"/>
  <c r="S499" i="37"/>
  <c r="V499" i="37" s="1"/>
  <c r="AH498" i="37"/>
  <c r="AI498" i="37" s="1"/>
  <c r="AJ498" i="37" s="1"/>
  <c r="O500" i="37"/>
  <c r="N501" i="37"/>
  <c r="Z500" i="37" l="1"/>
  <c r="S500" i="37"/>
  <c r="V500" i="37" s="1"/>
  <c r="N502" i="37"/>
  <c r="O501" i="37"/>
  <c r="AK498" i="37"/>
  <c r="E498" i="37"/>
  <c r="AM498" i="37" s="1"/>
  <c r="AN498" i="37" s="1"/>
  <c r="AH499" i="37"/>
  <c r="AI499" i="37" s="1"/>
  <c r="AJ499" i="37" s="1"/>
  <c r="E499" i="37" l="1"/>
  <c r="AM499" i="37" s="1"/>
  <c r="AN499" i="37" s="1"/>
  <c r="AK499" i="37"/>
  <c r="S501" i="37"/>
  <c r="V501" i="37" s="1"/>
  <c r="Z501" i="37"/>
  <c r="N503" i="37"/>
  <c r="O502" i="37"/>
  <c r="AH500" i="37"/>
  <c r="AI500" i="37" s="1"/>
  <c r="AJ500" i="37" s="1"/>
  <c r="AH501" i="37" l="1"/>
  <c r="AI501" i="37" s="1"/>
  <c r="AJ501" i="37" s="1"/>
  <c r="AK501" i="37" s="1"/>
  <c r="E500" i="37"/>
  <c r="AM500" i="37" s="1"/>
  <c r="AN500" i="37" s="1"/>
  <c r="AK500" i="37"/>
  <c r="N504" i="37"/>
  <c r="O503" i="37"/>
  <c r="Z502" i="37"/>
  <c r="S502" i="37"/>
  <c r="V502" i="37" s="1"/>
  <c r="E501" i="37" l="1"/>
  <c r="AM501" i="37" s="1"/>
  <c r="AN501" i="37" s="1"/>
  <c r="Z503" i="37"/>
  <c r="S503" i="37"/>
  <c r="V503" i="37" s="1"/>
  <c r="AH502" i="37"/>
  <c r="AI502" i="37" s="1"/>
  <c r="AJ502" i="37" s="1"/>
  <c r="O504" i="37"/>
  <c r="N505" i="37"/>
  <c r="AH503" i="37" l="1"/>
  <c r="AI503" i="37" s="1"/>
  <c r="AJ503" i="37" s="1"/>
  <c r="E502" i="37"/>
  <c r="AM502" i="37" s="1"/>
  <c r="AN502" i="37" s="1"/>
  <c r="AK502" i="37"/>
  <c r="Z504" i="37"/>
  <c r="S504" i="37"/>
  <c r="V504" i="37" s="1"/>
  <c r="N506" i="37"/>
  <c r="O505" i="37"/>
  <c r="E503" i="37" l="1"/>
  <c r="AM503" i="37" s="1"/>
  <c r="AN503" i="37" s="1"/>
  <c r="AK503" i="37"/>
  <c r="N507" i="37"/>
  <c r="O506" i="37"/>
  <c r="Z505" i="37"/>
  <c r="S505" i="37"/>
  <c r="V505" i="37" s="1"/>
  <c r="AH504" i="37"/>
  <c r="AI504" i="37" s="1"/>
  <c r="AJ504" i="37" s="1"/>
  <c r="AH505" i="37" l="1"/>
  <c r="AI505" i="37" s="1"/>
  <c r="AJ505" i="37" s="1"/>
  <c r="AK504" i="37"/>
  <c r="E504" i="37"/>
  <c r="AM504" i="37" s="1"/>
  <c r="AN504" i="37" s="1"/>
  <c r="S506" i="37"/>
  <c r="V506" i="37" s="1"/>
  <c r="Z506" i="37"/>
  <c r="O507" i="37"/>
  <c r="N508" i="37"/>
  <c r="AH506" i="37" l="1"/>
  <c r="AI506" i="37" s="1"/>
  <c r="AJ506" i="37" s="1"/>
  <c r="AK506" i="37" s="1"/>
  <c r="Z507" i="37"/>
  <c r="S507" i="37"/>
  <c r="V507" i="37" s="1"/>
  <c r="O508" i="37"/>
  <c r="N509" i="37"/>
  <c r="E505" i="37"/>
  <c r="AM505" i="37" s="1"/>
  <c r="AN505" i="37" s="1"/>
  <c r="AK505" i="37"/>
  <c r="E506" i="37" l="1"/>
  <c r="AM506" i="37" s="1"/>
  <c r="AN506" i="37" s="1"/>
  <c r="O509" i="37"/>
  <c r="N510" i="37"/>
  <c r="Z508" i="37"/>
  <c r="S508" i="37"/>
  <c r="V508" i="37" s="1"/>
  <c r="AH507" i="37"/>
  <c r="AI507" i="37" s="1"/>
  <c r="AJ507" i="37" s="1"/>
  <c r="E507" i="37" l="1"/>
  <c r="AM507" i="37" s="1"/>
  <c r="AN507" i="37" s="1"/>
  <c r="AK507" i="37"/>
  <c r="AH508" i="37"/>
  <c r="AI508" i="37" s="1"/>
  <c r="AJ508" i="37" s="1"/>
  <c r="N511" i="37"/>
  <c r="O510" i="37"/>
  <c r="S509" i="37"/>
  <c r="V509" i="37" s="1"/>
  <c r="Z509" i="37"/>
  <c r="AH509" i="37" l="1"/>
  <c r="AI509" i="37" s="1"/>
  <c r="AJ509" i="37" s="1"/>
  <c r="N512" i="37"/>
  <c r="O511" i="37"/>
  <c r="AK509" i="37"/>
  <c r="E509" i="37"/>
  <c r="AM509" i="37" s="1"/>
  <c r="AN509" i="37" s="1"/>
  <c r="S510" i="37"/>
  <c r="V510" i="37" s="1"/>
  <c r="Z510" i="37"/>
  <c r="E508" i="37"/>
  <c r="AM508" i="37" s="1"/>
  <c r="AN508" i="37" s="1"/>
  <c r="AK508" i="37"/>
  <c r="AH510" i="37" l="1"/>
  <c r="AI510" i="37" s="1"/>
  <c r="AJ510" i="37" s="1"/>
  <c r="AK510" i="37" s="1"/>
  <c r="S511" i="37"/>
  <c r="V511" i="37" s="1"/>
  <c r="Z511" i="37"/>
  <c r="O512" i="37"/>
  <c r="N513" i="37"/>
  <c r="E510" i="37" l="1"/>
  <c r="AM510" i="37" s="1"/>
  <c r="AN510" i="37" s="1"/>
  <c r="AH511" i="37"/>
  <c r="AI511" i="37" s="1"/>
  <c r="AJ511" i="37" s="1"/>
  <c r="S512" i="37"/>
  <c r="V512" i="37" s="1"/>
  <c r="Z512" i="37"/>
  <c r="O513" i="37"/>
  <c r="N514" i="37"/>
  <c r="E511" i="37"/>
  <c r="AM511" i="37" s="1"/>
  <c r="AN511" i="37" s="1"/>
  <c r="AK511" i="37"/>
  <c r="AH512" i="37" l="1"/>
  <c r="AI512" i="37" s="1"/>
  <c r="AJ512" i="37" s="1"/>
  <c r="AK512" i="37" s="1"/>
  <c r="O514" i="37"/>
  <c r="N515" i="37"/>
  <c r="S513" i="37"/>
  <c r="V513" i="37" s="1"/>
  <c r="Z513" i="37"/>
  <c r="E512" i="37" l="1"/>
  <c r="AM512" i="37" s="1"/>
  <c r="AN512" i="37" s="1"/>
  <c r="AH513" i="37"/>
  <c r="AI513" i="37" s="1"/>
  <c r="AJ513" i="37" s="1"/>
  <c r="E513" i="37" s="1"/>
  <c r="AM513" i="37" s="1"/>
  <c r="AN513" i="37" s="1"/>
  <c r="O515" i="37"/>
  <c r="N516" i="37"/>
  <c r="Z514" i="37"/>
  <c r="S514" i="37"/>
  <c r="V514" i="37" s="1"/>
  <c r="AK513" i="37" l="1"/>
  <c r="N517" i="37"/>
  <c r="O516" i="37"/>
  <c r="AH514" i="37"/>
  <c r="AI514" i="37" s="1"/>
  <c r="AJ514" i="37" s="1"/>
  <c r="S515" i="37"/>
  <c r="V515" i="37" s="1"/>
  <c r="Z515" i="37"/>
  <c r="AH515" i="37" l="1"/>
  <c r="AI515" i="37" s="1"/>
  <c r="AJ515" i="37" s="1"/>
  <c r="E515" i="37" s="1"/>
  <c r="AM515" i="37" s="1"/>
  <c r="AN515" i="37" s="1"/>
  <c r="AK514" i="37"/>
  <c r="E514" i="37"/>
  <c r="AM514" i="37" s="1"/>
  <c r="AN514" i="37" s="1"/>
  <c r="S516" i="37"/>
  <c r="V516" i="37" s="1"/>
  <c r="Z516" i="37"/>
  <c r="N518" i="37"/>
  <c r="O517" i="37"/>
  <c r="AK515" i="37" l="1"/>
  <c r="AH516" i="37"/>
  <c r="AI516" i="37" s="1"/>
  <c r="AJ516" i="37" s="1"/>
  <c r="E516" i="37" s="1"/>
  <c r="AM516" i="37" s="1"/>
  <c r="AN516" i="37" s="1"/>
  <c r="S517" i="37"/>
  <c r="V517" i="37" s="1"/>
  <c r="Z517" i="37"/>
  <c r="N519" i="37"/>
  <c r="O518" i="37"/>
  <c r="AH517" i="37" l="1"/>
  <c r="AI517" i="37" s="1"/>
  <c r="AJ517" i="37" s="1"/>
  <c r="AK516" i="37"/>
  <c r="N520" i="37"/>
  <c r="O519" i="37"/>
  <c r="S518" i="37"/>
  <c r="V518" i="37" s="1"/>
  <c r="Z518" i="37"/>
  <c r="E517" i="37"/>
  <c r="AM517" i="37" s="1"/>
  <c r="AN517" i="37" s="1"/>
  <c r="AK517" i="37"/>
  <c r="AH518" i="37" l="1"/>
  <c r="AI518" i="37" s="1"/>
  <c r="AJ518" i="37" s="1"/>
  <c r="E518" i="37" s="1"/>
  <c r="AM518" i="37" s="1"/>
  <c r="AN518" i="37" s="1"/>
  <c r="S519" i="37"/>
  <c r="V519" i="37" s="1"/>
  <c r="Z519" i="37"/>
  <c r="N521" i="37"/>
  <c r="O520" i="37"/>
  <c r="AK518" i="37" l="1"/>
  <c r="AH519" i="37"/>
  <c r="AI519" i="37" s="1"/>
  <c r="AJ519" i="37" s="1"/>
  <c r="AK519" i="37" s="1"/>
  <c r="Z520" i="37"/>
  <c r="S520" i="37"/>
  <c r="V520" i="37" s="1"/>
  <c r="O521" i="37"/>
  <c r="N522" i="37"/>
  <c r="E519" i="37" l="1"/>
  <c r="AM519" i="37" s="1"/>
  <c r="AN519" i="37" s="1"/>
  <c r="O522" i="37"/>
  <c r="N523" i="37"/>
  <c r="Z521" i="37"/>
  <c r="S521" i="37"/>
  <c r="V521" i="37" s="1"/>
  <c r="AH520" i="37"/>
  <c r="AI520" i="37" s="1"/>
  <c r="AJ520" i="37" s="1"/>
  <c r="E520" i="37" l="1"/>
  <c r="AM520" i="37" s="1"/>
  <c r="AN520" i="37" s="1"/>
  <c r="AK520" i="37"/>
  <c r="AH521" i="37"/>
  <c r="AI521" i="37" s="1"/>
  <c r="AJ521" i="37" s="1"/>
  <c r="O523" i="37"/>
  <c r="N524" i="37"/>
  <c r="S522" i="37"/>
  <c r="V522" i="37" s="1"/>
  <c r="Z522" i="37"/>
  <c r="AH522" i="37" l="1"/>
  <c r="AI522" i="37" s="1"/>
  <c r="AJ522" i="37" s="1"/>
  <c r="N525" i="37"/>
  <c r="O524" i="37"/>
  <c r="AK522" i="37"/>
  <c r="E522" i="37"/>
  <c r="AM522" i="37" s="1"/>
  <c r="AN522" i="37" s="1"/>
  <c r="S523" i="37"/>
  <c r="V523" i="37" s="1"/>
  <c r="Z523" i="37"/>
  <c r="E521" i="37"/>
  <c r="AM521" i="37" s="1"/>
  <c r="AN521" i="37" s="1"/>
  <c r="AK521" i="37"/>
  <c r="AH523" i="37" l="1"/>
  <c r="AI523" i="37" s="1"/>
  <c r="AJ523" i="37" s="1"/>
  <c r="AK523" i="37" s="1"/>
  <c r="S524" i="37"/>
  <c r="V524" i="37" s="1"/>
  <c r="Z524" i="37"/>
  <c r="O525" i="37"/>
  <c r="N526" i="37"/>
  <c r="E523" i="37" l="1"/>
  <c r="AM523" i="37" s="1"/>
  <c r="AN523" i="37" s="1"/>
  <c r="AH524" i="37"/>
  <c r="AI524" i="37" s="1"/>
  <c r="AJ524" i="37" s="1"/>
  <c r="Z525" i="37"/>
  <c r="S525" i="37"/>
  <c r="V525" i="37" s="1"/>
  <c r="O526" i="37"/>
  <c r="N527" i="37"/>
  <c r="E524" i="37"/>
  <c r="AM524" i="37" s="1"/>
  <c r="AN524" i="37" s="1"/>
  <c r="AK524" i="37"/>
  <c r="N528" i="37" l="1"/>
  <c r="O527" i="37"/>
  <c r="S526" i="37"/>
  <c r="V526" i="37" s="1"/>
  <c r="Z526" i="37"/>
  <c r="AH526" i="37" s="1"/>
  <c r="AI526" i="37" s="1"/>
  <c r="AJ526" i="37" s="1"/>
  <c r="E526" i="37" s="1"/>
  <c r="AM526" i="37" s="1"/>
  <c r="AN526" i="37" s="1"/>
  <c r="AH525" i="37"/>
  <c r="AI525" i="37" s="1"/>
  <c r="AJ525" i="37" s="1"/>
  <c r="AK526" i="37" l="1"/>
  <c r="AK525" i="37"/>
  <c r="E525" i="37"/>
  <c r="AM525" i="37" s="1"/>
  <c r="AN525" i="37" s="1"/>
  <c r="S527" i="37"/>
  <c r="V527" i="37" s="1"/>
  <c r="Z527" i="37"/>
  <c r="O528" i="37"/>
  <c r="N529" i="37"/>
  <c r="N530" i="37" l="1"/>
  <c r="O529" i="37"/>
  <c r="Z528" i="37"/>
  <c r="S528" i="37"/>
  <c r="V528" i="37" s="1"/>
  <c r="AH527" i="37"/>
  <c r="AI527" i="37" s="1"/>
  <c r="AJ527" i="37" s="1"/>
  <c r="E527" i="37" l="1"/>
  <c r="AM527" i="37" s="1"/>
  <c r="AN527" i="37" s="1"/>
  <c r="AK527" i="37"/>
  <c r="AH528" i="37"/>
  <c r="AI528" i="37" s="1"/>
  <c r="AJ528" i="37" s="1"/>
  <c r="Z529" i="37"/>
  <c r="S529" i="37"/>
  <c r="V529" i="37" s="1"/>
  <c r="O530" i="37"/>
  <c r="N531" i="37"/>
  <c r="AH529" i="37" l="1"/>
  <c r="AI529" i="37" s="1"/>
  <c r="AJ529" i="37" s="1"/>
  <c r="N532" i="37"/>
  <c r="O531" i="37"/>
  <c r="Z530" i="37"/>
  <c r="S530" i="37"/>
  <c r="V530" i="37" s="1"/>
  <c r="E528" i="37"/>
  <c r="AM528" i="37" s="1"/>
  <c r="AN528" i="37" s="1"/>
  <c r="AK528" i="37"/>
  <c r="Z531" i="37" l="1"/>
  <c r="S531" i="37"/>
  <c r="V531" i="37" s="1"/>
  <c r="AH530" i="37"/>
  <c r="AI530" i="37" s="1"/>
  <c r="AJ530" i="37" s="1"/>
  <c r="O532" i="37"/>
  <c r="N533" i="37"/>
  <c r="E529" i="37"/>
  <c r="AM529" i="37" s="1"/>
  <c r="AN529" i="37" s="1"/>
  <c r="AK529" i="37"/>
  <c r="E530" i="37" l="1"/>
  <c r="AM530" i="37" s="1"/>
  <c r="AN530" i="37" s="1"/>
  <c r="AK530" i="37"/>
  <c r="O533" i="37"/>
  <c r="N534" i="37"/>
  <c r="Z532" i="37"/>
  <c r="S532" i="37"/>
  <c r="V532" i="37" s="1"/>
  <c r="AH531" i="37"/>
  <c r="AI531" i="37" s="1"/>
  <c r="AJ531" i="37" s="1"/>
  <c r="S533" i="37" l="1"/>
  <c r="V533" i="37" s="1"/>
  <c r="Z533" i="37"/>
  <c r="AK531" i="37"/>
  <c r="E531" i="37"/>
  <c r="AM531" i="37" s="1"/>
  <c r="AN531" i="37" s="1"/>
  <c r="AH532" i="37"/>
  <c r="AI532" i="37" s="1"/>
  <c r="AJ532" i="37" s="1"/>
  <c r="O534" i="37"/>
  <c r="N535" i="37"/>
  <c r="AH533" i="37" l="1"/>
  <c r="AI533" i="37" s="1"/>
  <c r="AJ533" i="37" s="1"/>
  <c r="Z534" i="37"/>
  <c r="S534" i="37"/>
  <c r="V534" i="37" s="1"/>
  <c r="N536" i="37"/>
  <c r="O535" i="37"/>
  <c r="AK532" i="37"/>
  <c r="E532" i="37"/>
  <c r="AM532" i="37" s="1"/>
  <c r="AN532" i="37" s="1"/>
  <c r="AK533" i="37"/>
  <c r="E533" i="37"/>
  <c r="AM533" i="37" s="1"/>
  <c r="AN533" i="37" s="1"/>
  <c r="S535" i="37" l="1"/>
  <c r="V535" i="37" s="1"/>
  <c r="Z535" i="37"/>
  <c r="AH535" i="37" s="1"/>
  <c r="AI535" i="37" s="1"/>
  <c r="AJ535" i="37" s="1"/>
  <c r="O536" i="37"/>
  <c r="N537" i="37"/>
  <c r="AH534" i="37"/>
  <c r="AI534" i="37" s="1"/>
  <c r="AJ534" i="37" s="1"/>
  <c r="S536" i="37" l="1"/>
  <c r="V536" i="37" s="1"/>
  <c r="Z536" i="37"/>
  <c r="AH536" i="37" s="1"/>
  <c r="AI536" i="37" s="1"/>
  <c r="AJ536" i="37" s="1"/>
  <c r="E534" i="37"/>
  <c r="AM534" i="37" s="1"/>
  <c r="AN534" i="37" s="1"/>
  <c r="AK534" i="37"/>
  <c r="N538" i="37"/>
  <c r="O537" i="37"/>
  <c r="E535" i="37"/>
  <c r="AM535" i="37" s="1"/>
  <c r="AN535" i="37" s="1"/>
  <c r="AK535" i="37"/>
  <c r="Z537" i="37" l="1"/>
  <c r="S537" i="37"/>
  <c r="V537" i="37" s="1"/>
  <c r="O538" i="37"/>
  <c r="N539" i="37"/>
  <c r="E536" i="37"/>
  <c r="AM536" i="37" s="1"/>
  <c r="AN536" i="37" s="1"/>
  <c r="AK536" i="37"/>
  <c r="O539" i="37" l="1"/>
  <c r="N540" i="37"/>
  <c r="S538" i="37"/>
  <c r="V538" i="37" s="1"/>
  <c r="Z538" i="37"/>
  <c r="AH537" i="37"/>
  <c r="AI537" i="37" s="1"/>
  <c r="AJ537" i="37" s="1"/>
  <c r="AH538" i="37" l="1"/>
  <c r="AI538" i="37" s="1"/>
  <c r="AJ538" i="37" s="1"/>
  <c r="AK537" i="37"/>
  <c r="E537" i="37"/>
  <c r="AM537" i="37" s="1"/>
  <c r="AN537" i="37" s="1"/>
  <c r="O540" i="37"/>
  <c r="N541" i="37"/>
  <c r="S539" i="37"/>
  <c r="V539" i="37" s="1"/>
  <c r="Z539" i="37"/>
  <c r="AH539" i="37" l="1"/>
  <c r="AI539" i="37" s="1"/>
  <c r="AJ539" i="37" s="1"/>
  <c r="E538" i="37"/>
  <c r="AM538" i="37" s="1"/>
  <c r="AN538" i="37" s="1"/>
  <c r="AK538" i="37"/>
  <c r="E539" i="37"/>
  <c r="AM539" i="37" s="1"/>
  <c r="AN539" i="37" s="1"/>
  <c r="AK539" i="37"/>
  <c r="N542" i="37"/>
  <c r="O541" i="37"/>
  <c r="S540" i="37"/>
  <c r="V540" i="37" s="1"/>
  <c r="Z540" i="37"/>
  <c r="AH540" i="37" l="1"/>
  <c r="AI540" i="37" s="1"/>
  <c r="AJ540" i="37" s="1"/>
  <c r="E540" i="37" s="1"/>
  <c r="AM540" i="37" s="1"/>
  <c r="AN540" i="37" s="1"/>
  <c r="Z541" i="37"/>
  <c r="S541" i="37"/>
  <c r="V541" i="37" s="1"/>
  <c r="O542" i="37"/>
  <c r="N543" i="37"/>
  <c r="AK540" i="37" l="1"/>
  <c r="O543" i="37"/>
  <c r="N544" i="37"/>
  <c r="Z542" i="37"/>
  <c r="S542" i="37"/>
  <c r="V542" i="37" s="1"/>
  <c r="AH541" i="37"/>
  <c r="AI541" i="37" s="1"/>
  <c r="AJ541" i="37" s="1"/>
  <c r="AH542" i="37" l="1"/>
  <c r="AI542" i="37" s="1"/>
  <c r="AJ542" i="37" s="1"/>
  <c r="AK542" i="37" s="1"/>
  <c r="E541" i="37"/>
  <c r="AM541" i="37" s="1"/>
  <c r="AN541" i="37" s="1"/>
  <c r="AK541" i="37"/>
  <c r="N545" i="37"/>
  <c r="O544" i="37"/>
  <c r="S543" i="37"/>
  <c r="V543" i="37" s="1"/>
  <c r="Z543" i="37"/>
  <c r="AH543" i="37" l="1"/>
  <c r="AI543" i="37" s="1"/>
  <c r="AJ543" i="37" s="1"/>
  <c r="E543" i="37" s="1"/>
  <c r="AM543" i="37" s="1"/>
  <c r="AN543" i="37" s="1"/>
  <c r="E542" i="37"/>
  <c r="AM542" i="37" s="1"/>
  <c r="AN542" i="37" s="1"/>
  <c r="S544" i="37"/>
  <c r="V544" i="37" s="1"/>
  <c r="Z544" i="37"/>
  <c r="N546" i="37"/>
  <c r="O545" i="37"/>
  <c r="AK543" i="37" l="1"/>
  <c r="AH544" i="37"/>
  <c r="AI544" i="37" s="1"/>
  <c r="AJ544" i="37" s="1"/>
  <c r="E544" i="37" s="1"/>
  <c r="AM544" i="37" s="1"/>
  <c r="AN544" i="37" s="1"/>
  <c r="Z545" i="37"/>
  <c r="S545" i="37"/>
  <c r="V545" i="37" s="1"/>
  <c r="O546" i="37"/>
  <c r="N547" i="37"/>
  <c r="AK544" i="37" l="1"/>
  <c r="N548" i="37"/>
  <c r="O547" i="37"/>
  <c r="Z546" i="37"/>
  <c r="S546" i="37"/>
  <c r="V546" i="37" s="1"/>
  <c r="AH545" i="37"/>
  <c r="AI545" i="37" s="1"/>
  <c r="AJ545" i="37" s="1"/>
  <c r="AH546" i="37" l="1"/>
  <c r="AI546" i="37" s="1"/>
  <c r="AJ546" i="37" s="1"/>
  <c r="AK545" i="37"/>
  <c r="E545" i="37"/>
  <c r="AM545" i="37" s="1"/>
  <c r="AN545" i="37" s="1"/>
  <c r="S547" i="37"/>
  <c r="V547" i="37" s="1"/>
  <c r="Z547" i="37"/>
  <c r="N549" i="37"/>
  <c r="O548" i="37"/>
  <c r="AH547" i="37" l="1"/>
  <c r="AI547" i="37" s="1"/>
  <c r="AJ547" i="37" s="1"/>
  <c r="N550" i="37"/>
  <c r="O549" i="37"/>
  <c r="S548" i="37"/>
  <c r="V548" i="37" s="1"/>
  <c r="Z548" i="37"/>
  <c r="E546" i="37"/>
  <c r="AM546" i="37" s="1"/>
  <c r="AN546" i="37" s="1"/>
  <c r="AK546" i="37"/>
  <c r="AH548" i="37" l="1"/>
  <c r="AI548" i="37" s="1"/>
  <c r="AJ548" i="37" s="1"/>
  <c r="AK547" i="37"/>
  <c r="E547" i="37"/>
  <c r="AM547" i="37" s="1"/>
  <c r="AN547" i="37" s="1"/>
  <c r="E548" i="37"/>
  <c r="AM548" i="37" s="1"/>
  <c r="AN548" i="37" s="1"/>
  <c r="AK548" i="37"/>
  <c r="Z549" i="37"/>
  <c r="S549" i="37"/>
  <c r="V549" i="37" s="1"/>
  <c r="O550" i="37"/>
  <c r="N551" i="37"/>
  <c r="S550" i="37" l="1"/>
  <c r="V550" i="37" s="1"/>
  <c r="Z550" i="37"/>
  <c r="N552" i="37"/>
  <c r="O551" i="37"/>
  <c r="AH549" i="37"/>
  <c r="AI549" i="37" s="1"/>
  <c r="AJ549" i="37" s="1"/>
  <c r="AH550" i="37" l="1"/>
  <c r="AI550" i="37" s="1"/>
  <c r="AJ550" i="37" s="1"/>
  <c r="AK550" i="37" s="1"/>
  <c r="N553" i="37"/>
  <c r="O552" i="37"/>
  <c r="E549" i="37"/>
  <c r="AM549" i="37" s="1"/>
  <c r="AN549" i="37" s="1"/>
  <c r="AK549" i="37"/>
  <c r="S551" i="37"/>
  <c r="V551" i="37" s="1"/>
  <c r="Z551" i="37"/>
  <c r="E550" i="37" l="1"/>
  <c r="AM550" i="37" s="1"/>
  <c r="AN550" i="37" s="1"/>
  <c r="AH551" i="37"/>
  <c r="AI551" i="37" s="1"/>
  <c r="AJ551" i="37" s="1"/>
  <c r="E551" i="37" s="1"/>
  <c r="AM551" i="37" s="1"/>
  <c r="AN551" i="37" s="1"/>
  <c r="S552" i="37"/>
  <c r="V552" i="37" s="1"/>
  <c r="Z552" i="37"/>
  <c r="O553" i="37"/>
  <c r="N554" i="37"/>
  <c r="AH552" i="37" l="1"/>
  <c r="AI552" i="37" s="1"/>
  <c r="AJ552" i="37" s="1"/>
  <c r="AK551" i="37"/>
  <c r="N555" i="37"/>
  <c r="O554" i="37"/>
  <c r="S553" i="37"/>
  <c r="V553" i="37" s="1"/>
  <c r="Z553" i="37"/>
  <c r="AK552" i="37"/>
  <c r="E552" i="37"/>
  <c r="AM552" i="37" s="1"/>
  <c r="AN552" i="37" s="1"/>
  <c r="AH553" i="37" l="1"/>
  <c r="AI553" i="37" s="1"/>
  <c r="AJ553" i="37" s="1"/>
  <c r="E553" i="37" s="1"/>
  <c r="AM553" i="37" s="1"/>
  <c r="AN553" i="37" s="1"/>
  <c r="Z554" i="37"/>
  <c r="S554" i="37"/>
  <c r="V554" i="37" s="1"/>
  <c r="O555" i="37"/>
  <c r="N556" i="37"/>
  <c r="AK553" i="37" l="1"/>
  <c r="O556" i="37"/>
  <c r="N557" i="37"/>
  <c r="S555" i="37"/>
  <c r="V555" i="37" s="1"/>
  <c r="Z555" i="37"/>
  <c r="AH554" i="37"/>
  <c r="AI554" i="37" s="1"/>
  <c r="AJ554" i="37" s="1"/>
  <c r="AH555" i="37" l="1"/>
  <c r="AI555" i="37" s="1"/>
  <c r="AJ555" i="37" s="1"/>
  <c r="AK554" i="37"/>
  <c r="E554" i="37"/>
  <c r="AM554" i="37" s="1"/>
  <c r="AN554" i="37" s="1"/>
  <c r="O557" i="37"/>
  <c r="N558" i="37"/>
  <c r="Z556" i="37"/>
  <c r="S556" i="37"/>
  <c r="V556" i="37" s="1"/>
  <c r="E555" i="37" l="1"/>
  <c r="AM555" i="37" s="1"/>
  <c r="AN555" i="37" s="1"/>
  <c r="AK555" i="37"/>
  <c r="O558" i="37"/>
  <c r="N559" i="37"/>
  <c r="AH556" i="37"/>
  <c r="AI556" i="37" s="1"/>
  <c r="AJ556" i="37" s="1"/>
  <c r="S557" i="37"/>
  <c r="V557" i="37" s="1"/>
  <c r="Z557" i="37"/>
  <c r="AH557" i="37" l="1"/>
  <c r="AI557" i="37" s="1"/>
  <c r="AJ557" i="37" s="1"/>
  <c r="AK557" i="37" s="1"/>
  <c r="AK556" i="37"/>
  <c r="E556" i="37"/>
  <c r="AM556" i="37" s="1"/>
  <c r="AN556" i="37" s="1"/>
  <c r="N560" i="37"/>
  <c r="O559" i="37"/>
  <c r="Z558" i="37"/>
  <c r="S558" i="37"/>
  <c r="V558" i="37" s="1"/>
  <c r="E557" i="37" l="1"/>
  <c r="AM557" i="37" s="1"/>
  <c r="AN557" i="37" s="1"/>
  <c r="AH558" i="37"/>
  <c r="AI558" i="37" s="1"/>
  <c r="AJ558" i="37" s="1"/>
  <c r="E558" i="37" s="1"/>
  <c r="AM558" i="37" s="1"/>
  <c r="AN558" i="37" s="1"/>
  <c r="S559" i="37"/>
  <c r="V559" i="37" s="1"/>
  <c r="Z559" i="37"/>
  <c r="O560" i="37"/>
  <c r="N561" i="37"/>
  <c r="AK558" i="37" l="1"/>
  <c r="AH559" i="37"/>
  <c r="AI559" i="37" s="1"/>
  <c r="AJ559" i="37" s="1"/>
  <c r="N562" i="37"/>
  <c r="O561" i="37"/>
  <c r="Z560" i="37"/>
  <c r="S560" i="37"/>
  <c r="V560" i="37" s="1"/>
  <c r="E559" i="37" l="1"/>
  <c r="AM559" i="37" s="1"/>
  <c r="AN559" i="37" s="1"/>
  <c r="AK559" i="37"/>
  <c r="AH560" i="37"/>
  <c r="AI560" i="37" s="1"/>
  <c r="AJ560" i="37" s="1"/>
  <c r="S561" i="37"/>
  <c r="V561" i="37" s="1"/>
  <c r="Z561" i="37"/>
  <c r="O562" i="37"/>
  <c r="N563" i="37"/>
  <c r="AH561" i="37" l="1"/>
  <c r="AI561" i="37" s="1"/>
  <c r="AJ561" i="37" s="1"/>
  <c r="E561" i="37" s="1"/>
  <c r="AM561" i="37" s="1"/>
  <c r="AN561" i="37" s="1"/>
  <c r="S562" i="37"/>
  <c r="V562" i="37" s="1"/>
  <c r="Z562" i="37"/>
  <c r="O563" i="37"/>
  <c r="N564" i="37"/>
  <c r="E560" i="37"/>
  <c r="AM560" i="37" s="1"/>
  <c r="AN560" i="37" s="1"/>
  <c r="AK560" i="37"/>
  <c r="AK561" i="37" l="1"/>
  <c r="AH562" i="37"/>
  <c r="AI562" i="37" s="1"/>
  <c r="AJ562" i="37" s="1"/>
  <c r="O564" i="37"/>
  <c r="N565" i="37"/>
  <c r="S563" i="37"/>
  <c r="V563" i="37" s="1"/>
  <c r="Z563" i="37"/>
  <c r="AK562" i="37" l="1"/>
  <c r="E562" i="37"/>
  <c r="AM562" i="37" s="1"/>
  <c r="AN562" i="37" s="1"/>
  <c r="AH563" i="37"/>
  <c r="AI563" i="37" s="1"/>
  <c r="AJ563" i="37" s="1"/>
  <c r="AK563" i="37" s="1"/>
  <c r="N566" i="37"/>
  <c r="O565" i="37"/>
  <c r="S564" i="37"/>
  <c r="V564" i="37" s="1"/>
  <c r="Z564" i="37"/>
  <c r="AH564" i="37" l="1"/>
  <c r="AI564" i="37" s="1"/>
  <c r="AJ564" i="37" s="1"/>
  <c r="AK564" i="37" s="1"/>
  <c r="E563" i="37"/>
  <c r="AM563" i="37" s="1"/>
  <c r="AN563" i="37" s="1"/>
  <c r="S565" i="37"/>
  <c r="V565" i="37" s="1"/>
  <c r="Z565" i="37"/>
  <c r="N567" i="37"/>
  <c r="O566" i="37"/>
  <c r="E564" i="37" l="1"/>
  <c r="AM564" i="37" s="1"/>
  <c r="AN564" i="37" s="1"/>
  <c r="AH565" i="37"/>
  <c r="AI565" i="37" s="1"/>
  <c r="AJ565" i="37" s="1"/>
  <c r="O567" i="37"/>
  <c r="N568" i="37"/>
  <c r="S566" i="37"/>
  <c r="V566" i="37" s="1"/>
  <c r="Z566" i="37"/>
  <c r="AK565" i="37"/>
  <c r="E565" i="37"/>
  <c r="AM565" i="37" s="1"/>
  <c r="AN565" i="37" s="1"/>
  <c r="AH566" i="37" l="1"/>
  <c r="AI566" i="37" s="1"/>
  <c r="AJ566" i="37" s="1"/>
  <c r="E566" i="37" s="1"/>
  <c r="AM566" i="37" s="1"/>
  <c r="AN566" i="37" s="1"/>
  <c r="O568" i="37"/>
  <c r="N569" i="37"/>
  <c r="S567" i="37"/>
  <c r="V567" i="37" s="1"/>
  <c r="Z567" i="37"/>
  <c r="AK566" i="37" l="1"/>
  <c r="AH567" i="37"/>
  <c r="AI567" i="37" s="1"/>
  <c r="AJ567" i="37" s="1"/>
  <c r="AK567" i="37" s="1"/>
  <c r="Z568" i="37"/>
  <c r="S568" i="37"/>
  <c r="V568" i="37" s="1"/>
  <c r="N570" i="37"/>
  <c r="O569" i="37"/>
  <c r="E567" i="37" l="1"/>
  <c r="AM567" i="37" s="1"/>
  <c r="AN567" i="37" s="1"/>
  <c r="S569" i="37"/>
  <c r="V569" i="37" s="1"/>
  <c r="Z569" i="37"/>
  <c r="O570" i="37"/>
  <c r="N571" i="37"/>
  <c r="AH568" i="37"/>
  <c r="AI568" i="37" s="1"/>
  <c r="AJ568" i="37" s="1"/>
  <c r="AH569" i="37" l="1"/>
  <c r="AI569" i="37" s="1"/>
  <c r="AJ569" i="37" s="1"/>
  <c r="S570" i="37"/>
  <c r="V570" i="37" s="1"/>
  <c r="Z570" i="37"/>
  <c r="E568" i="37"/>
  <c r="AM568" i="37" s="1"/>
  <c r="AN568" i="37" s="1"/>
  <c r="AK568" i="37"/>
  <c r="O571" i="37"/>
  <c r="N572" i="37"/>
  <c r="E569" i="37"/>
  <c r="AM569" i="37" s="1"/>
  <c r="AN569" i="37" s="1"/>
  <c r="AK569" i="37"/>
  <c r="AH570" i="37" l="1"/>
  <c r="AI570" i="37" s="1"/>
  <c r="AJ570" i="37" s="1"/>
  <c r="O572" i="37"/>
  <c r="N573" i="37"/>
  <c r="S571" i="37"/>
  <c r="V571" i="37" s="1"/>
  <c r="Z571" i="37"/>
  <c r="E570" i="37"/>
  <c r="AM570" i="37" s="1"/>
  <c r="AN570" i="37" s="1"/>
  <c r="AK570" i="37"/>
  <c r="AH571" i="37" l="1"/>
  <c r="AI571" i="37" s="1"/>
  <c r="AJ571" i="37" s="1"/>
  <c r="N574" i="37"/>
  <c r="O573" i="37"/>
  <c r="Z572" i="37"/>
  <c r="S572" i="37"/>
  <c r="V572" i="37" s="1"/>
  <c r="AH572" i="37" l="1"/>
  <c r="AI572" i="37" s="1"/>
  <c r="AJ572" i="37" s="1"/>
  <c r="N575" i="37"/>
  <c r="O574" i="37"/>
  <c r="S573" i="37"/>
  <c r="V573" i="37" s="1"/>
  <c r="Z573" i="37"/>
  <c r="AH573" i="37" s="1"/>
  <c r="AI573" i="37" s="1"/>
  <c r="AJ573" i="37" s="1"/>
  <c r="AK571" i="37"/>
  <c r="E571" i="37"/>
  <c r="AM571" i="37" s="1"/>
  <c r="AN571" i="37" s="1"/>
  <c r="S574" i="37" l="1"/>
  <c r="V574" i="37" s="1"/>
  <c r="Z574" i="37"/>
  <c r="E573" i="37"/>
  <c r="AM573" i="37" s="1"/>
  <c r="AN573" i="37" s="1"/>
  <c r="AK573" i="37"/>
  <c r="O575" i="37"/>
  <c r="N576" i="37"/>
  <c r="E572" i="37"/>
  <c r="AM572" i="37" s="1"/>
  <c r="AN572" i="37" s="1"/>
  <c r="AK572" i="37"/>
  <c r="O576" i="37" l="1"/>
  <c r="N577" i="37"/>
  <c r="AH574" i="37"/>
  <c r="AI574" i="37" s="1"/>
  <c r="AJ574" i="37" s="1"/>
  <c r="S575" i="37"/>
  <c r="V575" i="37" s="1"/>
  <c r="Z575" i="37"/>
  <c r="AH575" i="37" l="1"/>
  <c r="AI575" i="37" s="1"/>
  <c r="AJ575" i="37" s="1"/>
  <c r="AK574" i="37"/>
  <c r="E574" i="37"/>
  <c r="AM574" i="37" s="1"/>
  <c r="AN574" i="37" s="1"/>
  <c r="O577" i="37"/>
  <c r="N578" i="37"/>
  <c r="Z576" i="37"/>
  <c r="S576" i="37"/>
  <c r="V576" i="37" s="1"/>
  <c r="AH576" i="37" l="1"/>
  <c r="AI576" i="37" s="1"/>
  <c r="AJ576" i="37" s="1"/>
  <c r="O578" i="37"/>
  <c r="N579" i="37"/>
  <c r="S577" i="37"/>
  <c r="V577" i="37" s="1"/>
  <c r="Z577" i="37"/>
  <c r="E575" i="37"/>
  <c r="AM575" i="37" s="1"/>
  <c r="AN575" i="37" s="1"/>
  <c r="AK575" i="37"/>
  <c r="AH577" i="37" l="1"/>
  <c r="AI577" i="37" s="1"/>
  <c r="AJ577" i="37" s="1"/>
  <c r="E577" i="37" s="1"/>
  <c r="AM577" i="37" s="1"/>
  <c r="AN577" i="37" s="1"/>
  <c r="O579" i="37"/>
  <c r="N580" i="37"/>
  <c r="S578" i="37"/>
  <c r="V578" i="37" s="1"/>
  <c r="Z578" i="37"/>
  <c r="E576" i="37"/>
  <c r="AM576" i="37" s="1"/>
  <c r="AN576" i="37" s="1"/>
  <c r="AK576" i="37"/>
  <c r="AK577" i="37" l="1"/>
  <c r="AH578" i="37"/>
  <c r="AI578" i="37" s="1"/>
  <c r="AJ578" i="37" s="1"/>
  <c r="E578" i="37" s="1"/>
  <c r="AM578" i="37" s="1"/>
  <c r="AN578" i="37" s="1"/>
  <c r="S579" i="37"/>
  <c r="V579" i="37" s="1"/>
  <c r="Z579" i="37"/>
  <c r="O580" i="37"/>
  <c r="N581" i="37"/>
  <c r="AH579" i="37" l="1"/>
  <c r="AI579" i="37" s="1"/>
  <c r="AJ579" i="37" s="1"/>
  <c r="AK578" i="37"/>
  <c r="S580" i="37"/>
  <c r="V580" i="37" s="1"/>
  <c r="Z580" i="37"/>
  <c r="O581" i="37"/>
  <c r="N582" i="37"/>
  <c r="AH580" i="37" l="1"/>
  <c r="AI580" i="37" s="1"/>
  <c r="AJ580" i="37" s="1"/>
  <c r="E579" i="37"/>
  <c r="AM579" i="37" s="1"/>
  <c r="AN579" i="37" s="1"/>
  <c r="AK579" i="37"/>
  <c r="S581" i="37"/>
  <c r="V581" i="37" s="1"/>
  <c r="Z581" i="37"/>
  <c r="N583" i="37"/>
  <c r="O582" i="37"/>
  <c r="E580" i="37"/>
  <c r="AM580" i="37" s="1"/>
  <c r="AN580" i="37" s="1"/>
  <c r="AK580" i="37"/>
  <c r="AH581" i="37" l="1"/>
  <c r="AI581" i="37" s="1"/>
  <c r="AJ581" i="37" s="1"/>
  <c r="O583" i="37"/>
  <c r="N584" i="37"/>
  <c r="S582" i="37"/>
  <c r="V582" i="37" s="1"/>
  <c r="Z582" i="37"/>
  <c r="E581" i="37"/>
  <c r="AM581" i="37" s="1"/>
  <c r="AN581" i="37" s="1"/>
  <c r="AK581" i="37"/>
  <c r="AH582" i="37" l="1"/>
  <c r="AI582" i="37" s="1"/>
  <c r="AJ582" i="37" s="1"/>
  <c r="E582" i="37" s="1"/>
  <c r="AM582" i="37" s="1"/>
  <c r="AN582" i="37" s="1"/>
  <c r="O584" i="37"/>
  <c r="N585" i="37"/>
  <c r="Z583" i="37"/>
  <c r="S583" i="37"/>
  <c r="V583" i="37" s="1"/>
  <c r="AK582" i="37" l="1"/>
  <c r="AH583" i="37"/>
  <c r="AI583" i="37" s="1"/>
  <c r="AJ583" i="37" s="1"/>
  <c r="N586" i="37"/>
  <c r="O585" i="37"/>
  <c r="Z584" i="37"/>
  <c r="S584" i="37"/>
  <c r="V584" i="37" s="1"/>
  <c r="S585" i="37" l="1"/>
  <c r="V585" i="37" s="1"/>
  <c r="Z585" i="37"/>
  <c r="AH585" i="37" s="1"/>
  <c r="AI585" i="37" s="1"/>
  <c r="AJ585" i="37" s="1"/>
  <c r="AH584" i="37"/>
  <c r="AI584" i="37" s="1"/>
  <c r="AJ584" i="37" s="1"/>
  <c r="N587" i="37"/>
  <c r="O586" i="37"/>
  <c r="AK583" i="37"/>
  <c r="E583" i="37"/>
  <c r="AM583" i="37" s="1"/>
  <c r="AN583" i="37" s="1"/>
  <c r="Z586" i="37" l="1"/>
  <c r="S586" i="37"/>
  <c r="V586" i="37" s="1"/>
  <c r="E585" i="37"/>
  <c r="AM585" i="37" s="1"/>
  <c r="AN585" i="37" s="1"/>
  <c r="AK585" i="37"/>
  <c r="O587" i="37"/>
  <c r="N588" i="37"/>
  <c r="AK584" i="37"/>
  <c r="E584" i="37"/>
  <c r="AM584" i="37" s="1"/>
  <c r="AN584" i="37" s="1"/>
  <c r="Z587" i="37" l="1"/>
  <c r="S587" i="37"/>
  <c r="V587" i="37" s="1"/>
  <c r="O588" i="37"/>
  <c r="N589" i="37"/>
  <c r="AH586" i="37"/>
  <c r="AI586" i="37" s="1"/>
  <c r="AJ586" i="37" s="1"/>
  <c r="E586" i="37" l="1"/>
  <c r="AM586" i="37" s="1"/>
  <c r="AN586" i="37" s="1"/>
  <c r="AK586" i="37"/>
  <c r="O589" i="37"/>
  <c r="N590" i="37"/>
  <c r="Z588" i="37"/>
  <c r="S588" i="37"/>
  <c r="V588" i="37" s="1"/>
  <c r="AH587" i="37"/>
  <c r="AI587" i="37" s="1"/>
  <c r="AJ587" i="37" s="1"/>
  <c r="AH588" i="37" l="1"/>
  <c r="AI588" i="37" s="1"/>
  <c r="AJ588" i="37" s="1"/>
  <c r="S589" i="37"/>
  <c r="V589" i="37" s="1"/>
  <c r="Z589" i="37"/>
  <c r="E587" i="37"/>
  <c r="AM587" i="37" s="1"/>
  <c r="AN587" i="37" s="1"/>
  <c r="AK587" i="37"/>
  <c r="N591" i="37"/>
  <c r="O590" i="37"/>
  <c r="AH589" i="37" l="1"/>
  <c r="AI589" i="37" s="1"/>
  <c r="AJ589" i="37" s="1"/>
  <c r="E588" i="37"/>
  <c r="AM588" i="37" s="1"/>
  <c r="AN588" i="37" s="1"/>
  <c r="AK588" i="37"/>
  <c r="O591" i="37"/>
  <c r="N592" i="37"/>
  <c r="E589" i="37"/>
  <c r="AM589" i="37" s="1"/>
  <c r="AN589" i="37" s="1"/>
  <c r="AK589" i="37"/>
  <c r="Z590" i="37"/>
  <c r="S590" i="37"/>
  <c r="V590" i="37" s="1"/>
  <c r="AH590" i="37" l="1"/>
  <c r="AI590" i="37" s="1"/>
  <c r="AJ590" i="37" s="1"/>
  <c r="E590" i="37" s="1"/>
  <c r="AM590" i="37" s="1"/>
  <c r="AN590" i="37" s="1"/>
  <c r="N593" i="37"/>
  <c r="O592" i="37"/>
  <c r="Z591" i="37"/>
  <c r="S591" i="37"/>
  <c r="V591" i="37" s="1"/>
  <c r="AK590" i="37" l="1"/>
  <c r="AH591" i="37"/>
  <c r="AI591" i="37" s="1"/>
  <c r="AJ591" i="37" s="1"/>
  <c r="E591" i="37" s="1"/>
  <c r="AM591" i="37" s="1"/>
  <c r="AN591" i="37" s="1"/>
  <c r="Z592" i="37"/>
  <c r="S592" i="37"/>
  <c r="V592" i="37" s="1"/>
  <c r="O593" i="37"/>
  <c r="N594" i="37"/>
  <c r="AK591" i="37" l="1"/>
  <c r="N595" i="37"/>
  <c r="O594" i="37"/>
  <c r="Z593" i="37"/>
  <c r="S593" i="37"/>
  <c r="V593" i="37" s="1"/>
  <c r="AH592" i="37"/>
  <c r="AI592" i="37" s="1"/>
  <c r="AJ592" i="37" s="1"/>
  <c r="S594" i="37" l="1"/>
  <c r="V594" i="37" s="1"/>
  <c r="Z594" i="37"/>
  <c r="AH594" i="37" s="1"/>
  <c r="AI594" i="37" s="1"/>
  <c r="AJ594" i="37" s="1"/>
  <c r="AK594" i="37" s="1"/>
  <c r="E592" i="37"/>
  <c r="AM592" i="37" s="1"/>
  <c r="AN592" i="37" s="1"/>
  <c r="AK592" i="37"/>
  <c r="AH593" i="37"/>
  <c r="AI593" i="37" s="1"/>
  <c r="AJ593" i="37" s="1"/>
  <c r="N596" i="37"/>
  <c r="O595" i="37"/>
  <c r="E594" i="37" l="1"/>
  <c r="AM594" i="37" s="1"/>
  <c r="AN594" i="37" s="1"/>
  <c r="Z595" i="37"/>
  <c r="S595" i="37"/>
  <c r="V595" i="37" s="1"/>
  <c r="O596" i="37"/>
  <c r="N597" i="37"/>
  <c r="E593" i="37"/>
  <c r="AM593" i="37" s="1"/>
  <c r="AN593" i="37" s="1"/>
  <c r="AK593" i="37"/>
  <c r="S596" i="37" l="1"/>
  <c r="V596" i="37" s="1"/>
  <c r="Z596" i="37"/>
  <c r="AH596" i="37" s="1"/>
  <c r="AI596" i="37" s="1"/>
  <c r="AJ596" i="37" s="1"/>
  <c r="E596" i="37" s="1"/>
  <c r="AM596" i="37" s="1"/>
  <c r="AN596" i="37" s="1"/>
  <c r="N598" i="37"/>
  <c r="O597" i="37"/>
  <c r="AH595" i="37"/>
  <c r="AI595" i="37" s="1"/>
  <c r="AJ595" i="37" s="1"/>
  <c r="AK596" i="37" l="1"/>
  <c r="Z597" i="37"/>
  <c r="S597" i="37"/>
  <c r="V597" i="37" s="1"/>
  <c r="N599" i="37"/>
  <c r="O598" i="37"/>
  <c r="E595" i="37"/>
  <c r="AM595" i="37" s="1"/>
  <c r="AN595" i="37" s="1"/>
  <c r="AK595" i="37"/>
  <c r="N600" i="37" l="1"/>
  <c r="O599" i="37"/>
  <c r="S598" i="37"/>
  <c r="V598" i="37" s="1"/>
  <c r="Z598" i="37"/>
  <c r="AH597" i="37"/>
  <c r="AI597" i="37" s="1"/>
  <c r="AJ597" i="37" s="1"/>
  <c r="AH598" i="37" l="1"/>
  <c r="AI598" i="37" s="1"/>
  <c r="AJ598" i="37" s="1"/>
  <c r="E598" i="37" s="1"/>
  <c r="AM598" i="37" s="1"/>
  <c r="AN598" i="37" s="1"/>
  <c r="AK597" i="37"/>
  <c r="E597" i="37"/>
  <c r="AM597" i="37" s="1"/>
  <c r="AN597" i="37" s="1"/>
  <c r="S599" i="37"/>
  <c r="V599" i="37" s="1"/>
  <c r="Z599" i="37"/>
  <c r="N601" i="37"/>
  <c r="O600" i="37"/>
  <c r="AK598" i="37" l="1"/>
  <c r="AH599" i="37"/>
  <c r="AI599" i="37" s="1"/>
  <c r="AJ599" i="37" s="1"/>
  <c r="Z600" i="37"/>
  <c r="S600" i="37"/>
  <c r="V600" i="37" s="1"/>
  <c r="O601" i="37"/>
  <c r="N602" i="37"/>
  <c r="E599" i="37"/>
  <c r="AM599" i="37" s="1"/>
  <c r="AN599" i="37" s="1"/>
  <c r="AK599" i="37"/>
  <c r="AH600" i="37" l="1"/>
  <c r="AI600" i="37" s="1"/>
  <c r="AJ600" i="37" s="1"/>
  <c r="Z601" i="37"/>
  <c r="S601" i="37"/>
  <c r="V601" i="37" s="1"/>
  <c r="N603" i="37"/>
  <c r="O602" i="37"/>
  <c r="E600" i="37" l="1"/>
  <c r="AM600" i="37" s="1"/>
  <c r="AN600" i="37" s="1"/>
  <c r="AK600" i="37"/>
  <c r="N604" i="37"/>
  <c r="O603" i="37"/>
  <c r="Z602" i="37"/>
  <c r="S602" i="37"/>
  <c r="V602" i="37" s="1"/>
  <c r="AH601" i="37"/>
  <c r="AI601" i="37" s="1"/>
  <c r="AJ601" i="37" s="1"/>
  <c r="AK601" i="37" l="1"/>
  <c r="E601" i="37"/>
  <c r="AM601" i="37" s="1"/>
  <c r="AN601" i="37" s="1"/>
  <c r="S603" i="37"/>
  <c r="V603" i="37" s="1"/>
  <c r="Z603" i="37"/>
  <c r="AH602" i="37"/>
  <c r="AI602" i="37" s="1"/>
  <c r="AJ602" i="37" s="1"/>
  <c r="O604" i="37"/>
  <c r="N605" i="37"/>
  <c r="AH603" i="37" l="1"/>
  <c r="AI603" i="37" s="1"/>
  <c r="AJ603" i="37" s="1"/>
  <c r="E603" i="37" s="1"/>
  <c r="AM603" i="37" s="1"/>
  <c r="AN603" i="37" s="1"/>
  <c r="E602" i="37"/>
  <c r="AM602" i="37" s="1"/>
  <c r="AN602" i="37" s="1"/>
  <c r="AK602" i="37"/>
  <c r="S604" i="37"/>
  <c r="V604" i="37" s="1"/>
  <c r="Z604" i="37"/>
  <c r="O605" i="37"/>
  <c r="N606" i="37"/>
  <c r="AK603" i="37" l="1"/>
  <c r="AH604" i="37"/>
  <c r="AI604" i="37" s="1"/>
  <c r="AJ604" i="37" s="1"/>
  <c r="N607" i="37"/>
  <c r="O606" i="37"/>
  <c r="E604" i="37"/>
  <c r="AM604" i="37" s="1"/>
  <c r="AN604" i="37" s="1"/>
  <c r="AK604" i="37"/>
  <c r="S605" i="37"/>
  <c r="V605" i="37" s="1"/>
  <c r="Z605" i="37"/>
  <c r="AH605" i="37" l="1"/>
  <c r="AI605" i="37" s="1"/>
  <c r="AJ605" i="37" s="1"/>
  <c r="E605" i="37" s="1"/>
  <c r="AM605" i="37" s="1"/>
  <c r="AN605" i="37" s="1"/>
  <c r="S606" i="37"/>
  <c r="V606" i="37" s="1"/>
  <c r="Z606" i="37"/>
  <c r="N608" i="37"/>
  <c r="O607" i="37"/>
  <c r="AH606" i="37" l="1"/>
  <c r="AI606" i="37" s="1"/>
  <c r="AJ606" i="37" s="1"/>
  <c r="AK606" i="37" s="1"/>
  <c r="AK605" i="37"/>
  <c r="S607" i="37"/>
  <c r="V607" i="37" s="1"/>
  <c r="Z607" i="37"/>
  <c r="N609" i="37"/>
  <c r="O608" i="37"/>
  <c r="E606" i="37"/>
  <c r="AM606" i="37" s="1"/>
  <c r="AN606" i="37" s="1"/>
  <c r="AH607" i="37" l="1"/>
  <c r="AI607" i="37" s="1"/>
  <c r="AJ607" i="37" s="1"/>
  <c r="E607" i="37" s="1"/>
  <c r="AM607" i="37" s="1"/>
  <c r="AN607" i="37" s="1"/>
  <c r="S608" i="37"/>
  <c r="V608" i="37" s="1"/>
  <c r="Z608" i="37"/>
  <c r="O609" i="37"/>
  <c r="N610" i="37"/>
  <c r="AK607" i="37" l="1"/>
  <c r="AH608" i="37"/>
  <c r="AI608" i="37" s="1"/>
  <c r="AJ608" i="37" s="1"/>
  <c r="O610" i="37"/>
  <c r="N611" i="37"/>
  <c r="S609" i="37"/>
  <c r="V609" i="37" s="1"/>
  <c r="Z609" i="37"/>
  <c r="AK608" i="37" l="1"/>
  <c r="E608" i="37"/>
  <c r="AM608" i="37" s="1"/>
  <c r="AN608" i="37" s="1"/>
  <c r="AH609" i="37"/>
  <c r="AI609" i="37" s="1"/>
  <c r="AJ609" i="37" s="1"/>
  <c r="N612" i="37"/>
  <c r="O611" i="37"/>
  <c r="Z610" i="37"/>
  <c r="S610" i="37"/>
  <c r="V610" i="37" s="1"/>
  <c r="AK609" i="37" l="1"/>
  <c r="E609" i="37"/>
  <c r="AM609" i="37" s="1"/>
  <c r="AN609" i="37" s="1"/>
  <c r="S611" i="37"/>
  <c r="V611" i="37" s="1"/>
  <c r="Z611" i="37"/>
  <c r="AH610" i="37"/>
  <c r="AI610" i="37" s="1"/>
  <c r="AJ610" i="37" s="1"/>
  <c r="O612" i="37"/>
  <c r="N613" i="37"/>
  <c r="AH611" i="37" l="1"/>
  <c r="AI611" i="37" s="1"/>
  <c r="AJ611" i="37" s="1"/>
  <c r="E611" i="37" s="1"/>
  <c r="AM611" i="37" s="1"/>
  <c r="AN611" i="37" s="1"/>
  <c r="Z612" i="37"/>
  <c r="S612" i="37"/>
  <c r="V612" i="37" s="1"/>
  <c r="O613" i="37"/>
  <c r="N614" i="37"/>
  <c r="E610" i="37"/>
  <c r="AM610" i="37" s="1"/>
  <c r="AN610" i="37" s="1"/>
  <c r="AK610" i="37"/>
  <c r="AK611" i="37" l="1"/>
  <c r="N615" i="37"/>
  <c r="O614" i="37"/>
  <c r="S613" i="37"/>
  <c r="V613" i="37" s="1"/>
  <c r="Z613" i="37"/>
  <c r="AH613" i="37" s="1"/>
  <c r="AI613" i="37" s="1"/>
  <c r="AJ613" i="37" s="1"/>
  <c r="AH612" i="37"/>
  <c r="AI612" i="37" s="1"/>
  <c r="AJ612" i="37" s="1"/>
  <c r="AK612" i="37" l="1"/>
  <c r="E612" i="37"/>
  <c r="AM612" i="37" s="1"/>
  <c r="AN612" i="37" s="1"/>
  <c r="Z614" i="37"/>
  <c r="S614" i="37"/>
  <c r="V614" i="37" s="1"/>
  <c r="E613" i="37"/>
  <c r="AM613" i="37" s="1"/>
  <c r="AN613" i="37" s="1"/>
  <c r="AK613" i="37"/>
  <c r="N616" i="37"/>
  <c r="O615" i="37"/>
  <c r="N617" i="37" l="1"/>
  <c r="O616" i="37"/>
  <c r="Z615" i="37"/>
  <c r="S615" i="37"/>
  <c r="V615" i="37" s="1"/>
  <c r="AH614" i="37"/>
  <c r="AI614" i="37" s="1"/>
  <c r="AJ614" i="37" s="1"/>
  <c r="AK614" i="37" l="1"/>
  <c r="E614" i="37"/>
  <c r="AM614" i="37" s="1"/>
  <c r="AN614" i="37" s="1"/>
  <c r="S616" i="37"/>
  <c r="V616" i="37" s="1"/>
  <c r="Z616" i="37"/>
  <c r="AH615" i="37"/>
  <c r="AI615" i="37" s="1"/>
  <c r="AJ615" i="37" s="1"/>
  <c r="N618" i="37"/>
  <c r="O617" i="37"/>
  <c r="AH616" i="37" l="1"/>
  <c r="AI616" i="37" s="1"/>
  <c r="AJ616" i="37" s="1"/>
  <c r="O618" i="37"/>
  <c r="N619" i="37"/>
  <c r="S617" i="37"/>
  <c r="V617" i="37" s="1"/>
  <c r="Z617" i="37"/>
  <c r="AK615" i="37"/>
  <c r="E615" i="37"/>
  <c r="AM615" i="37" s="1"/>
  <c r="AN615" i="37" s="1"/>
  <c r="AH617" i="37" l="1"/>
  <c r="AI617" i="37" s="1"/>
  <c r="AJ617" i="37" s="1"/>
  <c r="AK617" i="37" s="1"/>
  <c r="E616" i="37"/>
  <c r="AM616" i="37" s="1"/>
  <c r="AN616" i="37" s="1"/>
  <c r="AK616" i="37"/>
  <c r="N620" i="37"/>
  <c r="O619" i="37"/>
  <c r="Z618" i="37"/>
  <c r="S618" i="37"/>
  <c r="V618" i="37" s="1"/>
  <c r="E617" i="37" l="1"/>
  <c r="AM617" i="37" s="1"/>
  <c r="AN617" i="37" s="1"/>
  <c r="AH618" i="37"/>
  <c r="AI618" i="37" s="1"/>
  <c r="AJ618" i="37" s="1"/>
  <c r="Z619" i="37"/>
  <c r="S619" i="37"/>
  <c r="V619" i="37" s="1"/>
  <c r="O620" i="37"/>
  <c r="N621" i="37"/>
  <c r="Z620" i="37" l="1"/>
  <c r="S620" i="37"/>
  <c r="V620" i="37" s="1"/>
  <c r="O621" i="37"/>
  <c r="N622" i="37"/>
  <c r="AH619" i="37"/>
  <c r="AI619" i="37" s="1"/>
  <c r="AJ619" i="37" s="1"/>
  <c r="AK618" i="37"/>
  <c r="E618" i="37"/>
  <c r="AM618" i="37" s="1"/>
  <c r="AN618" i="37" s="1"/>
  <c r="E619" i="37" l="1"/>
  <c r="AM619" i="37" s="1"/>
  <c r="AN619" i="37" s="1"/>
  <c r="AK619" i="37"/>
  <c r="N623" i="37"/>
  <c r="O622" i="37"/>
  <c r="Z621" i="37"/>
  <c r="S621" i="37"/>
  <c r="V621" i="37" s="1"/>
  <c r="AH620" i="37"/>
  <c r="AI620" i="37" s="1"/>
  <c r="AJ620" i="37" s="1"/>
  <c r="E620" i="37" l="1"/>
  <c r="AM620" i="37" s="1"/>
  <c r="AN620" i="37" s="1"/>
  <c r="AK620" i="37"/>
  <c r="AH621" i="37"/>
  <c r="AI621" i="37" s="1"/>
  <c r="AJ621" i="37" s="1"/>
  <c r="O623" i="37"/>
  <c r="N624" i="37"/>
  <c r="Z622" i="37"/>
  <c r="S622" i="37"/>
  <c r="V622" i="37" s="1"/>
  <c r="O624" i="37" l="1"/>
  <c r="N625" i="37"/>
  <c r="S623" i="37"/>
  <c r="V623" i="37" s="1"/>
  <c r="Z623" i="37"/>
  <c r="AH622" i="37"/>
  <c r="AI622" i="37" s="1"/>
  <c r="AJ622" i="37" s="1"/>
  <c r="E621" i="37"/>
  <c r="AM621" i="37" s="1"/>
  <c r="AN621" i="37" s="1"/>
  <c r="AK621" i="37"/>
  <c r="AH623" i="37" l="1"/>
  <c r="AI623" i="37" s="1"/>
  <c r="AJ623" i="37" s="1"/>
  <c r="E623" i="37" s="1"/>
  <c r="AM623" i="37" s="1"/>
  <c r="AN623" i="37" s="1"/>
  <c r="E622" i="37"/>
  <c r="AM622" i="37" s="1"/>
  <c r="AN622" i="37" s="1"/>
  <c r="AK622" i="37"/>
  <c r="N626" i="37"/>
  <c r="O625" i="37"/>
  <c r="S624" i="37"/>
  <c r="V624" i="37" s="1"/>
  <c r="Z624" i="37"/>
  <c r="AK623" i="37" l="1"/>
  <c r="AH624" i="37"/>
  <c r="AI624" i="37" s="1"/>
  <c r="AJ624" i="37" s="1"/>
  <c r="E624" i="37" s="1"/>
  <c r="AM624" i="37" s="1"/>
  <c r="AN624" i="37" s="1"/>
  <c r="N627" i="37"/>
  <c r="O626" i="37"/>
  <c r="S625" i="37"/>
  <c r="V625" i="37" s="1"/>
  <c r="Z625" i="37"/>
  <c r="AK624" i="37" l="1"/>
  <c r="AH625" i="37"/>
  <c r="AI625" i="37" s="1"/>
  <c r="AJ625" i="37" s="1"/>
  <c r="E625" i="37" s="1"/>
  <c r="AM625" i="37" s="1"/>
  <c r="AN625" i="37" s="1"/>
  <c r="N628" i="37"/>
  <c r="O627" i="37"/>
  <c r="Z626" i="37"/>
  <c r="S626" i="37"/>
  <c r="V626" i="37" s="1"/>
  <c r="AK625" i="37" l="1"/>
  <c r="AH626" i="37"/>
  <c r="AI626" i="37" s="1"/>
  <c r="AJ626" i="37" s="1"/>
  <c r="S627" i="37"/>
  <c r="V627" i="37" s="1"/>
  <c r="Z627" i="37"/>
  <c r="O628" i="37"/>
  <c r="N629" i="37"/>
  <c r="AH627" i="37" l="1"/>
  <c r="AI627" i="37" s="1"/>
  <c r="AJ627" i="37" s="1"/>
  <c r="E627" i="37" s="1"/>
  <c r="AM627" i="37" s="1"/>
  <c r="AN627" i="37" s="1"/>
  <c r="S628" i="37"/>
  <c r="V628" i="37" s="1"/>
  <c r="Z628" i="37"/>
  <c r="O629" i="37"/>
  <c r="N630" i="37"/>
  <c r="AK626" i="37"/>
  <c r="E626" i="37"/>
  <c r="AM626" i="37" s="1"/>
  <c r="AN626" i="37" s="1"/>
  <c r="AK627" i="37" l="1"/>
  <c r="AH628" i="37"/>
  <c r="AI628" i="37" s="1"/>
  <c r="AJ628" i="37" s="1"/>
  <c r="E628" i="37" s="1"/>
  <c r="AM628" i="37" s="1"/>
  <c r="AN628" i="37" s="1"/>
  <c r="O630" i="37"/>
  <c r="N631" i="37"/>
  <c r="S629" i="37"/>
  <c r="V629" i="37" s="1"/>
  <c r="Z629" i="37"/>
  <c r="AH629" i="37" l="1"/>
  <c r="AI629" i="37" s="1"/>
  <c r="AJ629" i="37" s="1"/>
  <c r="AK628" i="37"/>
  <c r="AK629" i="37"/>
  <c r="E629" i="37"/>
  <c r="AM629" i="37" s="1"/>
  <c r="AN629" i="37" s="1"/>
  <c r="N632" i="37"/>
  <c r="O631" i="37"/>
  <c r="S630" i="37"/>
  <c r="V630" i="37" s="1"/>
  <c r="Z630" i="37"/>
  <c r="AH630" i="37" s="1"/>
  <c r="AI630" i="37" s="1"/>
  <c r="AJ630" i="37" s="1"/>
  <c r="E630" i="37" s="1"/>
  <c r="AM630" i="37" s="1"/>
  <c r="AN630" i="37" s="1"/>
  <c r="AK630" i="37" l="1"/>
  <c r="S631" i="37"/>
  <c r="V631" i="37" s="1"/>
  <c r="Z631" i="37"/>
  <c r="N633" i="37"/>
  <c r="O632" i="37"/>
  <c r="AH631" i="37" l="1"/>
  <c r="AI631" i="37" s="1"/>
  <c r="AJ631" i="37" s="1"/>
  <c r="E631" i="37" s="1"/>
  <c r="AM631" i="37" s="1"/>
  <c r="AN631" i="37" s="1"/>
  <c r="N634" i="37"/>
  <c r="O633" i="37"/>
  <c r="S632" i="37"/>
  <c r="V632" i="37" s="1"/>
  <c r="Z632" i="37"/>
  <c r="AK631" i="37" l="1"/>
  <c r="AH632" i="37"/>
  <c r="AI632" i="37" s="1"/>
  <c r="AJ632" i="37" s="1"/>
  <c r="E632" i="37" s="1"/>
  <c r="AM632" i="37" s="1"/>
  <c r="AN632" i="37" s="1"/>
  <c r="S633" i="37"/>
  <c r="V633" i="37" s="1"/>
  <c r="Z633" i="37"/>
  <c r="N635" i="37"/>
  <c r="O634" i="37"/>
  <c r="AH633" i="37" l="1"/>
  <c r="AI633" i="37" s="1"/>
  <c r="AJ633" i="37" s="1"/>
  <c r="AK633" i="37" s="1"/>
  <c r="AK632" i="37"/>
  <c r="E633" i="37"/>
  <c r="AM633" i="37" s="1"/>
  <c r="AN633" i="37" s="1"/>
  <c r="S634" i="37"/>
  <c r="V634" i="37" s="1"/>
  <c r="Z634" i="37"/>
  <c r="N636" i="37"/>
  <c r="O635" i="37"/>
  <c r="AH634" i="37" l="1"/>
  <c r="AI634" i="37" s="1"/>
  <c r="AJ634" i="37" s="1"/>
  <c r="E634" i="37" s="1"/>
  <c r="AM634" i="37" s="1"/>
  <c r="AN634" i="37" s="1"/>
  <c r="N637" i="37"/>
  <c r="O636" i="37"/>
  <c r="Z635" i="37"/>
  <c r="S635" i="37"/>
  <c r="V635" i="37" s="1"/>
  <c r="AK634" i="37" l="1"/>
  <c r="Z636" i="37"/>
  <c r="S636" i="37"/>
  <c r="V636" i="37" s="1"/>
  <c r="AH635" i="37"/>
  <c r="AI635" i="37" s="1"/>
  <c r="AJ635" i="37" s="1"/>
  <c r="N638" i="37"/>
  <c r="O637" i="37"/>
  <c r="S637" i="37" l="1"/>
  <c r="V637" i="37" s="1"/>
  <c r="Z637" i="37"/>
  <c r="AH637" i="37" s="1"/>
  <c r="AI637" i="37" s="1"/>
  <c r="AJ637" i="37" s="1"/>
  <c r="N639" i="37"/>
  <c r="O638" i="37"/>
  <c r="E635" i="37"/>
  <c r="AM635" i="37" s="1"/>
  <c r="AN635" i="37" s="1"/>
  <c r="AK635" i="37"/>
  <c r="AH636" i="37"/>
  <c r="AI636" i="37" s="1"/>
  <c r="AJ636" i="37" s="1"/>
  <c r="E637" i="37"/>
  <c r="AM637" i="37" s="1"/>
  <c r="AN637" i="37" s="1"/>
  <c r="AK637" i="37"/>
  <c r="E636" i="37" l="1"/>
  <c r="AM636" i="37" s="1"/>
  <c r="AN636" i="37" s="1"/>
  <c r="AK636" i="37"/>
  <c r="Z638" i="37"/>
  <c r="S638" i="37"/>
  <c r="V638" i="37" s="1"/>
  <c r="O639" i="37"/>
  <c r="N640" i="37"/>
  <c r="AH638" i="37" l="1"/>
  <c r="AI638" i="37" s="1"/>
  <c r="AJ638" i="37" s="1"/>
  <c r="Z639" i="37"/>
  <c r="S639" i="37"/>
  <c r="V639" i="37" s="1"/>
  <c r="N641" i="37"/>
  <c r="O640" i="37"/>
  <c r="AK638" i="37" l="1"/>
  <c r="E638" i="37"/>
  <c r="AM638" i="37" s="1"/>
  <c r="AN638" i="37" s="1"/>
  <c r="S640" i="37"/>
  <c r="V640" i="37" s="1"/>
  <c r="Z640" i="37"/>
  <c r="O641" i="37"/>
  <c r="N642" i="37"/>
  <c r="AH639" i="37"/>
  <c r="AI639" i="37" s="1"/>
  <c r="AJ639" i="37" s="1"/>
  <c r="AH640" i="37" l="1"/>
  <c r="AI640" i="37" s="1"/>
  <c r="AJ640" i="37" s="1"/>
  <c r="E640" i="37" s="1"/>
  <c r="AM640" i="37" s="1"/>
  <c r="AN640" i="37" s="1"/>
  <c r="N643" i="37"/>
  <c r="O642" i="37"/>
  <c r="AK639" i="37"/>
  <c r="E639" i="37"/>
  <c r="AM639" i="37" s="1"/>
  <c r="AN639" i="37" s="1"/>
  <c r="AK640" i="37"/>
  <c r="S641" i="37"/>
  <c r="V641" i="37" s="1"/>
  <c r="Z641" i="37"/>
  <c r="AH641" i="37" l="1"/>
  <c r="AI641" i="37" s="1"/>
  <c r="AJ641" i="37" s="1"/>
  <c r="Z642" i="37"/>
  <c r="S642" i="37"/>
  <c r="V642" i="37" s="1"/>
  <c r="N644" i="37"/>
  <c r="O643" i="37"/>
  <c r="S643" i="37" l="1"/>
  <c r="V643" i="37" s="1"/>
  <c r="Z643" i="37"/>
  <c r="AH642" i="37"/>
  <c r="AI642" i="37" s="1"/>
  <c r="AJ642" i="37" s="1"/>
  <c r="O644" i="37"/>
  <c r="N645" i="37"/>
  <c r="AK641" i="37"/>
  <c r="E641" i="37"/>
  <c r="AM641" i="37" s="1"/>
  <c r="AN641" i="37" s="1"/>
  <c r="AH643" i="37" l="1"/>
  <c r="AI643" i="37" s="1"/>
  <c r="AJ643" i="37" s="1"/>
  <c r="N646" i="37"/>
  <c r="O645" i="37"/>
  <c r="AK643" i="37"/>
  <c r="E643" i="37"/>
  <c r="AM643" i="37" s="1"/>
  <c r="AN643" i="37" s="1"/>
  <c r="Z644" i="37"/>
  <c r="S644" i="37"/>
  <c r="V644" i="37" s="1"/>
  <c r="E642" i="37"/>
  <c r="AM642" i="37" s="1"/>
  <c r="AN642" i="37" s="1"/>
  <c r="AK642" i="37"/>
  <c r="AH644" i="37" l="1"/>
  <c r="AI644" i="37" s="1"/>
  <c r="AJ644" i="37" s="1"/>
  <c r="Z645" i="37"/>
  <c r="S645" i="37"/>
  <c r="V645" i="37" s="1"/>
  <c r="N647" i="37"/>
  <c r="O646" i="37"/>
  <c r="E644" i="37" l="1"/>
  <c r="AM644" i="37" s="1"/>
  <c r="AN644" i="37" s="1"/>
  <c r="AK644" i="37"/>
  <c r="Z646" i="37"/>
  <c r="S646" i="37"/>
  <c r="V646" i="37" s="1"/>
  <c r="O647" i="37"/>
  <c r="N648" i="37"/>
  <c r="AH645" i="37"/>
  <c r="AI645" i="37" s="1"/>
  <c r="AJ645" i="37" s="1"/>
  <c r="E645" i="37" l="1"/>
  <c r="AM645" i="37" s="1"/>
  <c r="AN645" i="37" s="1"/>
  <c r="AK645" i="37"/>
  <c r="S647" i="37"/>
  <c r="V647" i="37" s="1"/>
  <c r="Z647" i="37"/>
  <c r="N649" i="37"/>
  <c r="O648" i="37"/>
  <c r="AH646" i="37"/>
  <c r="AI646" i="37" s="1"/>
  <c r="AJ646" i="37" s="1"/>
  <c r="AH647" i="37" l="1"/>
  <c r="AI647" i="37" s="1"/>
  <c r="AJ647" i="37" s="1"/>
  <c r="E647" i="37" s="1"/>
  <c r="AM647" i="37" s="1"/>
  <c r="AN647" i="37" s="1"/>
  <c r="S648" i="37"/>
  <c r="V648" i="37" s="1"/>
  <c r="Z648" i="37"/>
  <c r="O649" i="37"/>
  <c r="N650" i="37"/>
  <c r="AK646" i="37"/>
  <c r="E646" i="37"/>
  <c r="AM646" i="37" s="1"/>
  <c r="AN646" i="37" s="1"/>
  <c r="AK647" i="37" l="1"/>
  <c r="AH648" i="37"/>
  <c r="AI648" i="37" s="1"/>
  <c r="AJ648" i="37" s="1"/>
  <c r="AK648" i="37" s="1"/>
  <c r="N651" i="37"/>
  <c r="O650" i="37"/>
  <c r="E648" i="37"/>
  <c r="AM648" i="37" s="1"/>
  <c r="AN648" i="37" s="1"/>
  <c r="Z649" i="37"/>
  <c r="S649" i="37"/>
  <c r="V649" i="37" s="1"/>
  <c r="S650" i="37" l="1"/>
  <c r="V650" i="37" s="1"/>
  <c r="Z650" i="37"/>
  <c r="AH650" i="37" s="1"/>
  <c r="AI650" i="37" s="1"/>
  <c r="AJ650" i="37" s="1"/>
  <c r="AH649" i="37"/>
  <c r="AI649" i="37" s="1"/>
  <c r="AJ649" i="37" s="1"/>
  <c r="O651" i="37"/>
  <c r="N652" i="37"/>
  <c r="S651" i="37" l="1"/>
  <c r="V651" i="37" s="1"/>
  <c r="Z651" i="37"/>
  <c r="AH651" i="37" s="1"/>
  <c r="AI651" i="37" s="1"/>
  <c r="AJ651" i="37" s="1"/>
  <c r="AK651" i="37" s="1"/>
  <c r="O652" i="37"/>
  <c r="N653" i="37"/>
  <c r="AK650" i="37"/>
  <c r="E650" i="37"/>
  <c r="AM650" i="37" s="1"/>
  <c r="AN650" i="37" s="1"/>
  <c r="AK649" i="37"/>
  <c r="E649" i="37"/>
  <c r="AM649" i="37" s="1"/>
  <c r="AN649" i="37" s="1"/>
  <c r="E651" i="37"/>
  <c r="AM651" i="37" s="1"/>
  <c r="AN651" i="37" s="1"/>
  <c r="N654" i="37" l="1"/>
  <c r="O653" i="37"/>
  <c r="S652" i="37"/>
  <c r="V652" i="37" s="1"/>
  <c r="Z652" i="37"/>
  <c r="AH652" i="37" l="1"/>
  <c r="AI652" i="37" s="1"/>
  <c r="AJ652" i="37" s="1"/>
  <c r="Z653" i="37"/>
  <c r="S653" i="37"/>
  <c r="V653" i="37" s="1"/>
  <c r="AK652" i="37"/>
  <c r="E652" i="37"/>
  <c r="AM652" i="37" s="1"/>
  <c r="AN652" i="37" s="1"/>
  <c r="N655" i="37"/>
  <c r="O654" i="37"/>
  <c r="N656" i="37" l="1"/>
  <c r="O655" i="37"/>
  <c r="Z654" i="37"/>
  <c r="S654" i="37"/>
  <c r="V654" i="37" s="1"/>
  <c r="AH653" i="37"/>
  <c r="AI653" i="37" s="1"/>
  <c r="AJ653" i="37" s="1"/>
  <c r="S655" i="37" l="1"/>
  <c r="V655" i="37" s="1"/>
  <c r="Z655" i="37"/>
  <c r="E653" i="37"/>
  <c r="AM653" i="37" s="1"/>
  <c r="AN653" i="37" s="1"/>
  <c r="AK653" i="37"/>
  <c r="AH654" i="37"/>
  <c r="AI654" i="37" s="1"/>
  <c r="AJ654" i="37" s="1"/>
  <c r="N657" i="37"/>
  <c r="O656" i="37"/>
  <c r="AH655" i="37" l="1"/>
  <c r="AI655" i="37" s="1"/>
  <c r="AJ655" i="37" s="1"/>
  <c r="AK655" i="37" s="1"/>
  <c r="S656" i="37"/>
  <c r="V656" i="37" s="1"/>
  <c r="Z656" i="37"/>
  <c r="O657" i="37"/>
  <c r="N658" i="37"/>
  <c r="AK654" i="37"/>
  <c r="E654" i="37"/>
  <c r="AM654" i="37" s="1"/>
  <c r="AN654" i="37" s="1"/>
  <c r="E655" i="37" l="1"/>
  <c r="AM655" i="37" s="1"/>
  <c r="AN655" i="37" s="1"/>
  <c r="AH656" i="37"/>
  <c r="AI656" i="37" s="1"/>
  <c r="AJ656" i="37" s="1"/>
  <c r="AK656" i="37" s="1"/>
  <c r="O658" i="37"/>
  <c r="N659" i="37"/>
  <c r="E656" i="37"/>
  <c r="AM656" i="37" s="1"/>
  <c r="AN656" i="37" s="1"/>
  <c r="Z657" i="37"/>
  <c r="S657" i="37"/>
  <c r="V657" i="37" s="1"/>
  <c r="AH657" i="37" l="1"/>
  <c r="AI657" i="37" s="1"/>
  <c r="AJ657" i="37" s="1"/>
  <c r="O659" i="37"/>
  <c r="N660" i="37"/>
  <c r="Z658" i="37"/>
  <c r="S658" i="37"/>
  <c r="V658" i="37" s="1"/>
  <c r="N661" i="37" l="1"/>
  <c r="O660" i="37"/>
  <c r="S659" i="37"/>
  <c r="V659" i="37" s="1"/>
  <c r="Z659" i="37"/>
  <c r="AH659" i="37" s="1"/>
  <c r="AI659" i="37" s="1"/>
  <c r="AJ659" i="37" s="1"/>
  <c r="E659" i="37" s="1"/>
  <c r="AM659" i="37" s="1"/>
  <c r="AN659" i="37" s="1"/>
  <c r="AH658" i="37"/>
  <c r="AI658" i="37" s="1"/>
  <c r="AJ658" i="37" s="1"/>
  <c r="AK657" i="37"/>
  <c r="E657" i="37"/>
  <c r="AM657" i="37" s="1"/>
  <c r="AN657" i="37" s="1"/>
  <c r="AK659" i="37" l="1"/>
  <c r="AK658" i="37"/>
  <c r="E658" i="37"/>
  <c r="AM658" i="37" s="1"/>
  <c r="AN658" i="37" s="1"/>
  <c r="Z660" i="37"/>
  <c r="S660" i="37"/>
  <c r="V660" i="37" s="1"/>
  <c r="N662" i="37"/>
  <c r="O661" i="37"/>
  <c r="O662" i="37" l="1"/>
  <c r="N663" i="37"/>
  <c r="Z661" i="37"/>
  <c r="S661" i="37"/>
  <c r="V661" i="37" s="1"/>
  <c r="AH660" i="37"/>
  <c r="AI660" i="37" s="1"/>
  <c r="AJ660" i="37" s="1"/>
  <c r="AH661" i="37" l="1"/>
  <c r="AI661" i="37" s="1"/>
  <c r="AJ661" i="37" s="1"/>
  <c r="E660" i="37"/>
  <c r="AM660" i="37" s="1"/>
  <c r="AN660" i="37" s="1"/>
  <c r="AK660" i="37"/>
  <c r="O663" i="37"/>
  <c r="N664" i="37"/>
  <c r="S662" i="37"/>
  <c r="V662" i="37" s="1"/>
  <c r="Z662" i="37"/>
  <c r="AH662" i="37" l="1"/>
  <c r="AI662" i="37" s="1"/>
  <c r="AJ662" i="37" s="1"/>
  <c r="AK661" i="37"/>
  <c r="E661" i="37"/>
  <c r="AM661" i="37" s="1"/>
  <c r="AN661" i="37" s="1"/>
  <c r="E662" i="37"/>
  <c r="AM662" i="37" s="1"/>
  <c r="AN662" i="37" s="1"/>
  <c r="AK662" i="37"/>
  <c r="S663" i="37"/>
  <c r="V663" i="37" s="1"/>
  <c r="Z663" i="37"/>
  <c r="N665" i="37"/>
  <c r="O664" i="37"/>
  <c r="AH663" i="37" l="1"/>
  <c r="AI663" i="37" s="1"/>
  <c r="AJ663" i="37" s="1"/>
  <c r="AK663" i="37" s="1"/>
  <c r="S664" i="37"/>
  <c r="V664" i="37" s="1"/>
  <c r="Z664" i="37"/>
  <c r="O665" i="37"/>
  <c r="N666" i="37"/>
  <c r="E663" i="37" l="1"/>
  <c r="AM663" i="37" s="1"/>
  <c r="AN663" i="37" s="1"/>
  <c r="AH664" i="37"/>
  <c r="AI664" i="37" s="1"/>
  <c r="AJ664" i="37" s="1"/>
  <c r="N667" i="37"/>
  <c r="O666" i="37"/>
  <c r="S665" i="37"/>
  <c r="V665" i="37" s="1"/>
  <c r="Z665" i="37"/>
  <c r="E664" i="37"/>
  <c r="AM664" i="37" s="1"/>
  <c r="AN664" i="37" s="1"/>
  <c r="AK664" i="37"/>
  <c r="AH665" i="37" l="1"/>
  <c r="AI665" i="37" s="1"/>
  <c r="AJ665" i="37" s="1"/>
  <c r="E665" i="37" s="1"/>
  <c r="AM665" i="37" s="1"/>
  <c r="AN665" i="37" s="1"/>
  <c r="Z666" i="37"/>
  <c r="S666" i="37"/>
  <c r="V666" i="37" s="1"/>
  <c r="O667" i="37"/>
  <c r="N668" i="37"/>
  <c r="AK665" i="37" l="1"/>
  <c r="S667" i="37"/>
  <c r="V667" i="37" s="1"/>
  <c r="Z667" i="37"/>
  <c r="AH667" i="37" s="1"/>
  <c r="AI667" i="37" s="1"/>
  <c r="AJ667" i="37" s="1"/>
  <c r="N669" i="37"/>
  <c r="O668" i="37"/>
  <c r="AH666" i="37"/>
  <c r="AI666" i="37" s="1"/>
  <c r="AJ666" i="37" s="1"/>
  <c r="E667" i="37"/>
  <c r="AM667" i="37" s="1"/>
  <c r="AN667" i="37" s="1"/>
  <c r="AK667" i="37"/>
  <c r="AK666" i="37" l="1"/>
  <c r="E666" i="37"/>
  <c r="AM666" i="37" s="1"/>
  <c r="AN666" i="37" s="1"/>
  <c r="S668" i="37"/>
  <c r="V668" i="37" s="1"/>
  <c r="Z668" i="37"/>
  <c r="N670" i="37"/>
  <c r="O669" i="37"/>
  <c r="AH668" i="37" l="1"/>
  <c r="AI668" i="37" s="1"/>
  <c r="AJ668" i="37" s="1"/>
  <c r="N671" i="37"/>
  <c r="O670" i="37"/>
  <c r="S669" i="37"/>
  <c r="V669" i="37" s="1"/>
  <c r="Z669" i="37"/>
  <c r="AH669" i="37" l="1"/>
  <c r="AI669" i="37" s="1"/>
  <c r="AJ669" i="37" s="1"/>
  <c r="E669" i="37" s="1"/>
  <c r="AM669" i="37" s="1"/>
  <c r="AN669" i="37" s="1"/>
  <c r="E668" i="37"/>
  <c r="AM668" i="37" s="1"/>
  <c r="AN668" i="37" s="1"/>
  <c r="AK668" i="37"/>
  <c r="S670" i="37"/>
  <c r="V670" i="37" s="1"/>
  <c r="Z670" i="37"/>
  <c r="AH670" i="37" s="1"/>
  <c r="AI670" i="37" s="1"/>
  <c r="AJ670" i="37" s="1"/>
  <c r="O671" i="37"/>
  <c r="N672" i="37"/>
  <c r="AK669" i="37" l="1"/>
  <c r="Z671" i="37"/>
  <c r="S671" i="37"/>
  <c r="V671" i="37" s="1"/>
  <c r="AK670" i="37"/>
  <c r="E670" i="37"/>
  <c r="AM670" i="37" s="1"/>
  <c r="AN670" i="37" s="1"/>
  <c r="O672" i="37"/>
  <c r="N673" i="37"/>
  <c r="Z672" i="37" l="1"/>
  <c r="S672" i="37"/>
  <c r="V672" i="37" s="1"/>
  <c r="O673" i="37"/>
  <c r="N674" i="37"/>
  <c r="AH671" i="37"/>
  <c r="AI671" i="37" s="1"/>
  <c r="AJ671" i="37" s="1"/>
  <c r="E671" i="37" l="1"/>
  <c r="AM671" i="37" s="1"/>
  <c r="AN671" i="37" s="1"/>
  <c r="AK671" i="37"/>
  <c r="N675" i="37"/>
  <c r="O674" i="37"/>
  <c r="S673" i="37"/>
  <c r="V673" i="37" s="1"/>
  <c r="Z673" i="37"/>
  <c r="AH672" i="37"/>
  <c r="AI672" i="37" s="1"/>
  <c r="AJ672" i="37" s="1"/>
  <c r="E672" i="37" l="1"/>
  <c r="AM672" i="37" s="1"/>
  <c r="AN672" i="37" s="1"/>
  <c r="AK672" i="37"/>
  <c r="AH673" i="37"/>
  <c r="AI673" i="37" s="1"/>
  <c r="AJ673" i="37" s="1"/>
  <c r="N676" i="37"/>
  <c r="O675" i="37"/>
  <c r="S674" i="37"/>
  <c r="V674" i="37" s="1"/>
  <c r="Z674" i="37"/>
  <c r="AH674" i="37" l="1"/>
  <c r="AI674" i="37" s="1"/>
  <c r="AJ674" i="37" s="1"/>
  <c r="S675" i="37"/>
  <c r="V675" i="37" s="1"/>
  <c r="Z675" i="37"/>
  <c r="E674" i="37"/>
  <c r="AM674" i="37" s="1"/>
  <c r="AN674" i="37" s="1"/>
  <c r="AK674" i="37"/>
  <c r="E673" i="37"/>
  <c r="AM673" i="37" s="1"/>
  <c r="AN673" i="37" s="1"/>
  <c r="AK673" i="37"/>
  <c r="O676" i="37"/>
  <c r="N677" i="37"/>
  <c r="AH675" i="37" l="1"/>
  <c r="AI675" i="37" s="1"/>
  <c r="AJ675" i="37" s="1"/>
  <c r="N678" i="37"/>
  <c r="O677" i="37"/>
  <c r="S676" i="37"/>
  <c r="V676" i="37" s="1"/>
  <c r="Z676" i="37"/>
  <c r="AH676" i="37" s="1"/>
  <c r="AI676" i="37" s="1"/>
  <c r="AJ676" i="37" s="1"/>
  <c r="AK676" i="37" s="1"/>
  <c r="E675" i="37" l="1"/>
  <c r="AM675" i="37" s="1"/>
  <c r="AN675" i="37" s="1"/>
  <c r="AK675" i="37"/>
  <c r="E676" i="37"/>
  <c r="AM676" i="37" s="1"/>
  <c r="AN676" i="37" s="1"/>
  <c r="S677" i="37"/>
  <c r="V677" i="37" s="1"/>
  <c r="Z677" i="37"/>
  <c r="N679" i="37"/>
  <c r="O678" i="37"/>
  <c r="AH677" i="37" l="1"/>
  <c r="AI677" i="37" s="1"/>
  <c r="AJ677" i="37" s="1"/>
  <c r="E677" i="37" s="1"/>
  <c r="AM677" i="37" s="1"/>
  <c r="AN677" i="37" s="1"/>
  <c r="S678" i="37"/>
  <c r="V678" i="37" s="1"/>
  <c r="Z678" i="37"/>
  <c r="O679" i="37"/>
  <c r="N680" i="37"/>
  <c r="AK677" i="37" l="1"/>
  <c r="AH678" i="37"/>
  <c r="AI678" i="37" s="1"/>
  <c r="AJ678" i="37" s="1"/>
  <c r="E678" i="37" s="1"/>
  <c r="AM678" i="37" s="1"/>
  <c r="AN678" i="37" s="1"/>
  <c r="O680" i="37"/>
  <c r="N681" i="37"/>
  <c r="Z679" i="37"/>
  <c r="S679" i="37"/>
  <c r="V679" i="37" s="1"/>
  <c r="AK678" i="37" l="1"/>
  <c r="AH679" i="37"/>
  <c r="AI679" i="37" s="1"/>
  <c r="AJ679" i="37" s="1"/>
  <c r="N682" i="37"/>
  <c r="O681" i="37"/>
  <c r="S680" i="37"/>
  <c r="V680" i="37" s="1"/>
  <c r="Z680" i="37"/>
  <c r="AH680" i="37" l="1"/>
  <c r="AI680" i="37" s="1"/>
  <c r="AJ680" i="37" s="1"/>
  <c r="AK680" i="37" s="1"/>
  <c r="S681" i="37"/>
  <c r="V681" i="37" s="1"/>
  <c r="Z681" i="37"/>
  <c r="N683" i="37"/>
  <c r="O682" i="37"/>
  <c r="AK679" i="37"/>
  <c r="E679" i="37"/>
  <c r="AM679" i="37" s="1"/>
  <c r="AN679" i="37" s="1"/>
  <c r="E680" i="37" l="1"/>
  <c r="AM680" i="37" s="1"/>
  <c r="AN680" i="37" s="1"/>
  <c r="AH681" i="37"/>
  <c r="AI681" i="37" s="1"/>
  <c r="AJ681" i="37" s="1"/>
  <c r="Z682" i="37"/>
  <c r="S682" i="37"/>
  <c r="V682" i="37" s="1"/>
  <c r="N684" i="37"/>
  <c r="O683" i="37"/>
  <c r="E681" i="37" l="1"/>
  <c r="AM681" i="37" s="1"/>
  <c r="AN681" i="37" s="1"/>
  <c r="AK681" i="37"/>
  <c r="O684" i="37"/>
  <c r="N685" i="37"/>
  <c r="Z683" i="37"/>
  <c r="S683" i="37"/>
  <c r="V683" i="37" s="1"/>
  <c r="AH682" i="37"/>
  <c r="AI682" i="37" s="1"/>
  <c r="AJ682" i="37" s="1"/>
  <c r="E682" i="37" l="1"/>
  <c r="AM682" i="37" s="1"/>
  <c r="AN682" i="37" s="1"/>
  <c r="AK682" i="37"/>
  <c r="AH683" i="37"/>
  <c r="AI683" i="37" s="1"/>
  <c r="AJ683" i="37" s="1"/>
  <c r="O685" i="37"/>
  <c r="N686" i="37"/>
  <c r="S684" i="37"/>
  <c r="V684" i="37" s="1"/>
  <c r="Z684" i="37"/>
  <c r="AH684" i="37" l="1"/>
  <c r="AI684" i="37" s="1"/>
  <c r="AJ684" i="37" s="1"/>
  <c r="E684" i="37" s="1"/>
  <c r="AM684" i="37" s="1"/>
  <c r="AN684" i="37" s="1"/>
  <c r="N687" i="37"/>
  <c r="O686" i="37"/>
  <c r="S685" i="37"/>
  <c r="V685" i="37" s="1"/>
  <c r="Z685" i="37"/>
  <c r="E683" i="37"/>
  <c r="AM683" i="37" s="1"/>
  <c r="AN683" i="37" s="1"/>
  <c r="AK683" i="37"/>
  <c r="AH685" i="37" l="1"/>
  <c r="AI685" i="37" s="1"/>
  <c r="AJ685" i="37" s="1"/>
  <c r="AK685" i="37" s="1"/>
  <c r="AK684" i="37"/>
  <c r="Z686" i="37"/>
  <c r="S686" i="37"/>
  <c r="V686" i="37" s="1"/>
  <c r="O687" i="37"/>
  <c r="N688" i="37"/>
  <c r="E685" i="37" l="1"/>
  <c r="AM685" i="37" s="1"/>
  <c r="AN685" i="37" s="1"/>
  <c r="Z687" i="37"/>
  <c r="S687" i="37"/>
  <c r="V687" i="37" s="1"/>
  <c r="O688" i="37"/>
  <c r="N689" i="37"/>
  <c r="AH686" i="37"/>
  <c r="AI686" i="37" s="1"/>
  <c r="AJ686" i="37" s="1"/>
  <c r="AK686" i="37" l="1"/>
  <c r="E686" i="37"/>
  <c r="AM686" i="37" s="1"/>
  <c r="AN686" i="37" s="1"/>
  <c r="N690" i="37"/>
  <c r="O689" i="37"/>
  <c r="Z688" i="37"/>
  <c r="S688" i="37"/>
  <c r="V688" i="37" s="1"/>
  <c r="AH687" i="37"/>
  <c r="AI687" i="37" s="1"/>
  <c r="AJ687" i="37" s="1"/>
  <c r="E687" i="37" l="1"/>
  <c r="AM687" i="37" s="1"/>
  <c r="AN687" i="37" s="1"/>
  <c r="AK687" i="37"/>
  <c r="AH688" i="37"/>
  <c r="AI688" i="37" s="1"/>
  <c r="AJ688" i="37" s="1"/>
  <c r="S689" i="37"/>
  <c r="V689" i="37" s="1"/>
  <c r="Z689" i="37"/>
  <c r="O690" i="37"/>
  <c r="N691" i="37"/>
  <c r="AH689" i="37" l="1"/>
  <c r="AI689" i="37" s="1"/>
  <c r="AJ689" i="37" s="1"/>
  <c r="E689" i="37" s="1"/>
  <c r="AM689" i="37" s="1"/>
  <c r="AN689" i="37" s="1"/>
  <c r="S690" i="37"/>
  <c r="V690" i="37" s="1"/>
  <c r="Z690" i="37"/>
  <c r="N692" i="37"/>
  <c r="O691" i="37"/>
  <c r="E688" i="37"/>
  <c r="AM688" i="37" s="1"/>
  <c r="AN688" i="37" s="1"/>
  <c r="AK688" i="37"/>
  <c r="AK689" i="37" l="1"/>
  <c r="AH690" i="37"/>
  <c r="AI690" i="37" s="1"/>
  <c r="AJ690" i="37" s="1"/>
  <c r="Z691" i="37"/>
  <c r="S691" i="37"/>
  <c r="V691" i="37" s="1"/>
  <c r="O692" i="37"/>
  <c r="N693" i="37"/>
  <c r="E690" i="37" l="1"/>
  <c r="AM690" i="37" s="1"/>
  <c r="AN690" i="37" s="1"/>
  <c r="AK690" i="37"/>
  <c r="N694" i="37"/>
  <c r="O693" i="37"/>
  <c r="S692" i="37"/>
  <c r="V692" i="37" s="1"/>
  <c r="Z692" i="37"/>
  <c r="AH692" i="37" s="1"/>
  <c r="AI692" i="37" s="1"/>
  <c r="AJ692" i="37" s="1"/>
  <c r="AH691" i="37"/>
  <c r="AI691" i="37" s="1"/>
  <c r="AJ691" i="37" s="1"/>
  <c r="AK691" i="37" l="1"/>
  <c r="E691" i="37"/>
  <c r="AM691" i="37" s="1"/>
  <c r="AN691" i="37" s="1"/>
  <c r="Z693" i="37"/>
  <c r="S693" i="37"/>
  <c r="V693" i="37" s="1"/>
  <c r="AK692" i="37"/>
  <c r="E692" i="37"/>
  <c r="AM692" i="37" s="1"/>
  <c r="AN692" i="37" s="1"/>
  <c r="N695" i="37"/>
  <c r="O694" i="37"/>
  <c r="Z694" i="37" l="1"/>
  <c r="S694" i="37"/>
  <c r="V694" i="37" s="1"/>
  <c r="O695" i="37"/>
  <c r="N696" i="37"/>
  <c r="AH693" i="37"/>
  <c r="AI693" i="37" s="1"/>
  <c r="AJ693" i="37" s="1"/>
  <c r="AK693" i="37" l="1"/>
  <c r="E693" i="37"/>
  <c r="AM693" i="37" s="1"/>
  <c r="AN693" i="37" s="1"/>
  <c r="Z695" i="37"/>
  <c r="S695" i="37"/>
  <c r="V695" i="37" s="1"/>
  <c r="N697" i="37"/>
  <c r="O696" i="37"/>
  <c r="AH694" i="37"/>
  <c r="AI694" i="37" s="1"/>
  <c r="AJ694" i="37" s="1"/>
  <c r="AH695" i="37" l="1"/>
  <c r="AI695" i="37" s="1"/>
  <c r="AJ695" i="37" s="1"/>
  <c r="Z696" i="37"/>
  <c r="S696" i="37"/>
  <c r="V696" i="37" s="1"/>
  <c r="E694" i="37"/>
  <c r="AM694" i="37" s="1"/>
  <c r="AN694" i="37" s="1"/>
  <c r="AK694" i="37"/>
  <c r="N698" i="37"/>
  <c r="O697" i="37"/>
  <c r="AK695" i="37" l="1"/>
  <c r="E695" i="37"/>
  <c r="AM695" i="37" s="1"/>
  <c r="AN695" i="37" s="1"/>
  <c r="N699" i="37"/>
  <c r="O698" i="37"/>
  <c r="S697" i="37"/>
  <c r="V697" i="37" s="1"/>
  <c r="Z697" i="37"/>
  <c r="AH696" i="37"/>
  <c r="AI696" i="37" s="1"/>
  <c r="AJ696" i="37" s="1"/>
  <c r="AH697" i="37" l="1"/>
  <c r="AI697" i="37" s="1"/>
  <c r="AJ697" i="37" s="1"/>
  <c r="E696" i="37"/>
  <c r="AM696" i="37" s="1"/>
  <c r="AN696" i="37" s="1"/>
  <c r="AK696" i="37"/>
  <c r="AK697" i="37"/>
  <c r="E697" i="37"/>
  <c r="AM697" i="37" s="1"/>
  <c r="AN697" i="37" s="1"/>
  <c r="S698" i="37"/>
  <c r="V698" i="37" s="1"/>
  <c r="Z698" i="37"/>
  <c r="N700" i="37"/>
  <c r="O699" i="37"/>
  <c r="AH698" i="37" l="1"/>
  <c r="AI698" i="37" s="1"/>
  <c r="AJ698" i="37" s="1"/>
  <c r="Z699" i="37"/>
  <c r="S699" i="37"/>
  <c r="V699" i="37" s="1"/>
  <c r="O700" i="37"/>
  <c r="N701" i="37"/>
  <c r="E698" i="37" l="1"/>
  <c r="AM698" i="37" s="1"/>
  <c r="AN698" i="37" s="1"/>
  <c r="AK698" i="37"/>
  <c r="O701" i="37"/>
  <c r="N702" i="37"/>
  <c r="Z700" i="37"/>
  <c r="S700" i="37"/>
  <c r="V700" i="37" s="1"/>
  <c r="AH699" i="37"/>
  <c r="AI699" i="37" s="1"/>
  <c r="AJ699" i="37" s="1"/>
  <c r="E699" i="37" l="1"/>
  <c r="AM699" i="37" s="1"/>
  <c r="AN699" i="37" s="1"/>
  <c r="AK699" i="37"/>
  <c r="AH700" i="37"/>
  <c r="AI700" i="37" s="1"/>
  <c r="AJ700" i="37" s="1"/>
  <c r="N703" i="37"/>
  <c r="O702" i="37"/>
  <c r="S701" i="37"/>
  <c r="V701" i="37" s="1"/>
  <c r="Z701" i="37"/>
  <c r="AH701" i="37" l="1"/>
  <c r="AI701" i="37" s="1"/>
  <c r="AJ701" i="37" s="1"/>
  <c r="E701" i="37" s="1"/>
  <c r="AM701" i="37" s="1"/>
  <c r="AN701" i="37" s="1"/>
  <c r="Z702" i="37"/>
  <c r="S702" i="37"/>
  <c r="V702" i="37" s="1"/>
  <c r="N704" i="37"/>
  <c r="O703" i="37"/>
  <c r="AK700" i="37"/>
  <c r="E700" i="37"/>
  <c r="AM700" i="37" s="1"/>
  <c r="AN700" i="37" s="1"/>
  <c r="AK701" i="37" l="1"/>
  <c r="AH702" i="37"/>
  <c r="AI702" i="37" s="1"/>
  <c r="AJ702" i="37" s="1"/>
  <c r="AK702" i="37" s="1"/>
  <c r="Z703" i="37"/>
  <c r="S703" i="37"/>
  <c r="V703" i="37" s="1"/>
  <c r="N705" i="37"/>
  <c r="O704" i="37"/>
  <c r="E702" i="37"/>
  <c r="AM702" i="37" s="1"/>
  <c r="AN702" i="37" s="1"/>
  <c r="AH703" i="37" l="1"/>
  <c r="AI703" i="37" s="1"/>
  <c r="AJ703" i="37" s="1"/>
  <c r="Z704" i="37"/>
  <c r="S704" i="37"/>
  <c r="V704" i="37" s="1"/>
  <c r="O705" i="37"/>
  <c r="N706" i="37"/>
  <c r="E703" i="37" l="1"/>
  <c r="AM703" i="37" s="1"/>
  <c r="AN703" i="37" s="1"/>
  <c r="AK703" i="37"/>
  <c r="AH704" i="37"/>
  <c r="AI704" i="37" s="1"/>
  <c r="AJ704" i="37" s="1"/>
  <c r="Z705" i="37"/>
  <c r="S705" i="37"/>
  <c r="V705" i="37" s="1"/>
  <c r="O706" i="37"/>
  <c r="N707" i="37"/>
  <c r="AH705" i="37" l="1"/>
  <c r="AI705" i="37" s="1"/>
  <c r="AJ705" i="37" s="1"/>
  <c r="E704" i="37"/>
  <c r="AM704" i="37" s="1"/>
  <c r="AN704" i="37" s="1"/>
  <c r="AK704" i="37"/>
  <c r="S706" i="37"/>
  <c r="V706" i="37" s="1"/>
  <c r="Z706" i="37"/>
  <c r="N708" i="37"/>
  <c r="O707" i="37"/>
  <c r="AH706" i="37" l="1"/>
  <c r="AI706" i="37" s="1"/>
  <c r="AJ706" i="37" s="1"/>
  <c r="E706" i="37" s="1"/>
  <c r="AM706" i="37" s="1"/>
  <c r="AN706" i="37" s="1"/>
  <c r="AK705" i="37"/>
  <c r="E705" i="37"/>
  <c r="AM705" i="37" s="1"/>
  <c r="AN705" i="37" s="1"/>
  <c r="Z707" i="37"/>
  <c r="S707" i="37"/>
  <c r="V707" i="37" s="1"/>
  <c r="AK706" i="37"/>
  <c r="N709" i="37"/>
  <c r="O708" i="37"/>
  <c r="N710" i="37" l="1"/>
  <c r="O709" i="37"/>
  <c r="Z708" i="37"/>
  <c r="S708" i="37"/>
  <c r="V708" i="37" s="1"/>
  <c r="AH707" i="37"/>
  <c r="AI707" i="37" s="1"/>
  <c r="AJ707" i="37" s="1"/>
  <c r="Z709" i="37" l="1"/>
  <c r="S709" i="37"/>
  <c r="V709" i="37" s="1"/>
  <c r="E707" i="37"/>
  <c r="AM707" i="37" s="1"/>
  <c r="AN707" i="37" s="1"/>
  <c r="AK707" i="37"/>
  <c r="AH708" i="37"/>
  <c r="AI708" i="37" s="1"/>
  <c r="AJ708" i="37" s="1"/>
  <c r="O710" i="37"/>
  <c r="N711" i="37"/>
  <c r="S710" i="37" l="1"/>
  <c r="V710" i="37" s="1"/>
  <c r="Z710" i="37"/>
  <c r="E708" i="37"/>
  <c r="AM708" i="37" s="1"/>
  <c r="AN708" i="37" s="1"/>
  <c r="AK708" i="37"/>
  <c r="O711" i="37"/>
  <c r="N712" i="37"/>
  <c r="AH709" i="37"/>
  <c r="AI709" i="37" s="1"/>
  <c r="AJ709" i="37" s="1"/>
  <c r="AH710" i="37" l="1"/>
  <c r="AI710" i="37" s="1"/>
  <c r="AJ710" i="37" s="1"/>
  <c r="E710" i="37" s="1"/>
  <c r="AM710" i="37" s="1"/>
  <c r="AN710" i="37" s="1"/>
  <c r="N713" i="37"/>
  <c r="O712" i="37"/>
  <c r="E709" i="37"/>
  <c r="AM709" i="37" s="1"/>
  <c r="AN709" i="37" s="1"/>
  <c r="AK709" i="37"/>
  <c r="S711" i="37"/>
  <c r="V711" i="37" s="1"/>
  <c r="Z711" i="37"/>
  <c r="AH711" i="37" l="1"/>
  <c r="AI711" i="37" s="1"/>
  <c r="AJ711" i="37" s="1"/>
  <c r="E711" i="37" s="1"/>
  <c r="AM711" i="37" s="1"/>
  <c r="AN711" i="37" s="1"/>
  <c r="AK710" i="37"/>
  <c r="Z712" i="37"/>
  <c r="S712" i="37"/>
  <c r="V712" i="37" s="1"/>
  <c r="O713" i="37"/>
  <c r="N714" i="37"/>
  <c r="AK711" i="37" l="1"/>
  <c r="N715" i="37"/>
  <c r="O714" i="37"/>
  <c r="S713" i="37"/>
  <c r="V713" i="37" s="1"/>
  <c r="Z713" i="37"/>
  <c r="AH712" i="37"/>
  <c r="AI712" i="37" s="1"/>
  <c r="AJ712" i="37" s="1"/>
  <c r="AH713" i="37" l="1"/>
  <c r="AI713" i="37" s="1"/>
  <c r="AJ713" i="37" s="1"/>
  <c r="AK713" i="37" s="1"/>
  <c r="E712" i="37"/>
  <c r="AM712" i="37" s="1"/>
  <c r="AN712" i="37" s="1"/>
  <c r="AK712" i="37"/>
  <c r="S714" i="37"/>
  <c r="V714" i="37" s="1"/>
  <c r="Z714" i="37"/>
  <c r="O715" i="37"/>
  <c r="N716" i="37"/>
  <c r="E713" i="37" l="1"/>
  <c r="AM713" i="37" s="1"/>
  <c r="AN713" i="37" s="1"/>
  <c r="AH714" i="37"/>
  <c r="AI714" i="37" s="1"/>
  <c r="AJ714" i="37" s="1"/>
  <c r="Z715" i="37"/>
  <c r="S715" i="37"/>
  <c r="V715" i="37" s="1"/>
  <c r="O716" i="37"/>
  <c r="N717" i="37"/>
  <c r="E714" i="37" l="1"/>
  <c r="AM714" i="37" s="1"/>
  <c r="AN714" i="37" s="1"/>
  <c r="AK714" i="37"/>
  <c r="N718" i="37"/>
  <c r="O717" i="37"/>
  <c r="S716" i="37"/>
  <c r="V716" i="37" s="1"/>
  <c r="Z716" i="37"/>
  <c r="AH716" i="37" s="1"/>
  <c r="AI716" i="37" s="1"/>
  <c r="AJ716" i="37" s="1"/>
  <c r="AK716" i="37" s="1"/>
  <c r="AH715" i="37"/>
  <c r="AI715" i="37" s="1"/>
  <c r="AJ715" i="37" s="1"/>
  <c r="E716" i="37" l="1"/>
  <c r="AM716" i="37" s="1"/>
  <c r="AN716" i="37" s="1"/>
  <c r="E715" i="37"/>
  <c r="AM715" i="37" s="1"/>
  <c r="AN715" i="37" s="1"/>
  <c r="AK715" i="37"/>
  <c r="Z717" i="37"/>
  <c r="S717" i="37"/>
  <c r="V717" i="37" s="1"/>
  <c r="O718" i="37"/>
  <c r="N719" i="37"/>
  <c r="Z718" i="37" l="1"/>
  <c r="S718" i="37"/>
  <c r="V718" i="37" s="1"/>
  <c r="N720" i="37"/>
  <c r="O719" i="37"/>
  <c r="AH717" i="37"/>
  <c r="AI717" i="37" s="1"/>
  <c r="AJ717" i="37" s="1"/>
  <c r="AK717" i="37" l="1"/>
  <c r="E717" i="37"/>
  <c r="AM717" i="37" s="1"/>
  <c r="AN717" i="37" s="1"/>
  <c r="N721" i="37"/>
  <c r="O720" i="37"/>
  <c r="S719" i="37"/>
  <c r="V719" i="37" s="1"/>
  <c r="Z719" i="37"/>
  <c r="AH719" i="37" s="1"/>
  <c r="AI719" i="37" s="1"/>
  <c r="AJ719" i="37" s="1"/>
  <c r="AH718" i="37"/>
  <c r="AI718" i="37" s="1"/>
  <c r="AJ718" i="37" s="1"/>
  <c r="S720" i="37" l="1"/>
  <c r="V720" i="37" s="1"/>
  <c r="Z720" i="37"/>
  <c r="AH720" i="37" s="1"/>
  <c r="AI720" i="37" s="1"/>
  <c r="AJ720" i="37" s="1"/>
  <c r="E720" i="37" s="1"/>
  <c r="AM720" i="37" s="1"/>
  <c r="AN720" i="37" s="1"/>
  <c r="E719" i="37"/>
  <c r="AM719" i="37" s="1"/>
  <c r="AN719" i="37" s="1"/>
  <c r="AK719" i="37"/>
  <c r="E718" i="37"/>
  <c r="AM718" i="37" s="1"/>
  <c r="AN718" i="37" s="1"/>
  <c r="AK718" i="37"/>
  <c r="N722" i="37"/>
  <c r="O721" i="37"/>
  <c r="AK720" i="37" l="1"/>
  <c r="S721" i="37"/>
  <c r="V721" i="37" s="1"/>
  <c r="Z721" i="37"/>
  <c r="AH721" i="37" s="1"/>
  <c r="AI721" i="37" s="1"/>
  <c r="AJ721" i="37" s="1"/>
  <c r="E721" i="37" s="1"/>
  <c r="AM721" i="37" s="1"/>
  <c r="AN721" i="37" s="1"/>
  <c r="N723" i="37"/>
  <c r="O722" i="37"/>
  <c r="AK721" i="37"/>
  <c r="S722" i="37" l="1"/>
  <c r="V722" i="37" s="1"/>
  <c r="Z722" i="37"/>
  <c r="N724" i="37"/>
  <c r="O723" i="37"/>
  <c r="AH722" i="37" l="1"/>
  <c r="AI722" i="37" s="1"/>
  <c r="AJ722" i="37" s="1"/>
  <c r="E722" i="37" s="1"/>
  <c r="AM722" i="37" s="1"/>
  <c r="AN722" i="37" s="1"/>
  <c r="S723" i="37"/>
  <c r="V723" i="37" s="1"/>
  <c r="Z723" i="37"/>
  <c r="O724" i="37"/>
  <c r="N725" i="37"/>
  <c r="AK722" i="37" l="1"/>
  <c r="AH723" i="37"/>
  <c r="AI723" i="37" s="1"/>
  <c r="AJ723" i="37" s="1"/>
  <c r="O725" i="37"/>
  <c r="N726" i="37"/>
  <c r="Z724" i="37"/>
  <c r="S724" i="37"/>
  <c r="V724" i="37" s="1"/>
  <c r="AK723" i="37"/>
  <c r="E723" i="37"/>
  <c r="AM723" i="37" s="1"/>
  <c r="AN723" i="37" s="1"/>
  <c r="AH724" i="37" l="1"/>
  <c r="AI724" i="37" s="1"/>
  <c r="AJ724" i="37" s="1"/>
  <c r="AK724" i="37" s="1"/>
  <c r="O726" i="37"/>
  <c r="N727" i="37"/>
  <c r="Z725" i="37"/>
  <c r="S725" i="37"/>
  <c r="V725" i="37" s="1"/>
  <c r="E724" i="37" l="1"/>
  <c r="AM724" i="37" s="1"/>
  <c r="AN724" i="37" s="1"/>
  <c r="AH725" i="37"/>
  <c r="AI725" i="37" s="1"/>
  <c r="AJ725" i="37" s="1"/>
  <c r="E725" i="37" s="1"/>
  <c r="AM725" i="37" s="1"/>
  <c r="AN725" i="37" s="1"/>
  <c r="S726" i="37"/>
  <c r="V726" i="37" s="1"/>
  <c r="Z726" i="37"/>
  <c r="O727" i="37"/>
  <c r="N728" i="37"/>
  <c r="AK725" i="37" l="1"/>
  <c r="AH726" i="37"/>
  <c r="AI726" i="37" s="1"/>
  <c r="AJ726" i="37" s="1"/>
  <c r="N729" i="37"/>
  <c r="O728" i="37"/>
  <c r="AK726" i="37"/>
  <c r="E726" i="37"/>
  <c r="AM726" i="37" s="1"/>
  <c r="AN726" i="37" s="1"/>
  <c r="S727" i="37"/>
  <c r="V727" i="37" s="1"/>
  <c r="Z727" i="37"/>
  <c r="AH727" i="37" l="1"/>
  <c r="AI727" i="37" s="1"/>
  <c r="AJ727" i="37" s="1"/>
  <c r="AK727" i="37" s="1"/>
  <c r="S728" i="37"/>
  <c r="V728" i="37" s="1"/>
  <c r="Z728" i="37"/>
  <c r="O729" i="37"/>
  <c r="N730" i="37"/>
  <c r="E727" i="37" l="1"/>
  <c r="AM727" i="37" s="1"/>
  <c r="AN727" i="37" s="1"/>
  <c r="AH728" i="37"/>
  <c r="AI728" i="37" s="1"/>
  <c r="AJ728" i="37" s="1"/>
  <c r="AK728" i="37" s="1"/>
  <c r="N731" i="37"/>
  <c r="O730" i="37"/>
  <c r="Z729" i="37"/>
  <c r="S729" i="37"/>
  <c r="V729" i="37" s="1"/>
  <c r="E728" i="37" l="1"/>
  <c r="AM728" i="37" s="1"/>
  <c r="AN728" i="37" s="1"/>
  <c r="Z730" i="37"/>
  <c r="S730" i="37"/>
  <c r="V730" i="37" s="1"/>
  <c r="AH729" i="37"/>
  <c r="AI729" i="37" s="1"/>
  <c r="AJ729" i="37" s="1"/>
  <c r="O731" i="37"/>
  <c r="N732" i="37"/>
  <c r="N733" i="37" l="1"/>
  <c r="O732" i="37"/>
  <c r="Z731" i="37"/>
  <c r="S731" i="37"/>
  <c r="V731" i="37" s="1"/>
  <c r="E729" i="37"/>
  <c r="AM729" i="37" s="1"/>
  <c r="AN729" i="37" s="1"/>
  <c r="AK729" i="37"/>
  <c r="AH730" i="37"/>
  <c r="AI730" i="37" s="1"/>
  <c r="AJ730" i="37" s="1"/>
  <c r="E730" i="37" l="1"/>
  <c r="AM730" i="37" s="1"/>
  <c r="AN730" i="37" s="1"/>
  <c r="AK730" i="37"/>
  <c r="S732" i="37"/>
  <c r="V732" i="37" s="1"/>
  <c r="Z732" i="37"/>
  <c r="AH731" i="37"/>
  <c r="AI731" i="37" s="1"/>
  <c r="AJ731" i="37" s="1"/>
  <c r="N734" i="37"/>
  <c r="O733" i="37"/>
  <c r="AH732" i="37" l="1"/>
  <c r="AI732" i="37" s="1"/>
  <c r="AJ732" i="37" s="1"/>
  <c r="AK732" i="37" s="1"/>
  <c r="N735" i="37"/>
  <c r="O734" i="37"/>
  <c r="S733" i="37"/>
  <c r="V733" i="37" s="1"/>
  <c r="Z733" i="37"/>
  <c r="E731" i="37"/>
  <c r="AM731" i="37" s="1"/>
  <c r="AN731" i="37" s="1"/>
  <c r="AK731" i="37"/>
  <c r="E732" i="37" l="1"/>
  <c r="AM732" i="37" s="1"/>
  <c r="AN732" i="37" s="1"/>
  <c r="S734" i="37"/>
  <c r="V734" i="37" s="1"/>
  <c r="Z734" i="37"/>
  <c r="AH733" i="37"/>
  <c r="AI733" i="37" s="1"/>
  <c r="AJ733" i="37" s="1"/>
  <c r="O735" i="37"/>
  <c r="N736" i="37"/>
  <c r="AH734" i="37" l="1"/>
  <c r="AI734" i="37" s="1"/>
  <c r="AJ734" i="37" s="1"/>
  <c r="N737" i="37"/>
  <c r="O736" i="37"/>
  <c r="AK734" i="37"/>
  <c r="E734" i="37"/>
  <c r="AM734" i="37" s="1"/>
  <c r="AN734" i="37" s="1"/>
  <c r="Z735" i="37"/>
  <c r="S735" i="37"/>
  <c r="V735" i="37" s="1"/>
  <c r="AK733" i="37"/>
  <c r="E733" i="37"/>
  <c r="AM733" i="37" s="1"/>
  <c r="AN733" i="37" s="1"/>
  <c r="AH735" i="37" l="1"/>
  <c r="AI735" i="37" s="1"/>
  <c r="AJ735" i="37" s="1"/>
  <c r="Z736" i="37"/>
  <c r="S736" i="37"/>
  <c r="V736" i="37" s="1"/>
  <c r="N738" i="37"/>
  <c r="O737" i="37"/>
  <c r="Z737" i="37" l="1"/>
  <c r="S737" i="37"/>
  <c r="V737" i="37" s="1"/>
  <c r="AH736" i="37"/>
  <c r="AI736" i="37" s="1"/>
  <c r="AJ736" i="37" s="1"/>
  <c r="O738" i="37"/>
  <c r="N739" i="37"/>
  <c r="E735" i="37"/>
  <c r="AM735" i="37" s="1"/>
  <c r="AN735" i="37" s="1"/>
  <c r="AK735" i="37"/>
  <c r="N740" i="37" l="1"/>
  <c r="O739" i="37"/>
  <c r="S738" i="37"/>
  <c r="V738" i="37" s="1"/>
  <c r="Z738" i="37"/>
  <c r="E736" i="37"/>
  <c r="AM736" i="37" s="1"/>
  <c r="AN736" i="37" s="1"/>
  <c r="AK736" i="37"/>
  <c r="AH737" i="37"/>
  <c r="AI737" i="37" s="1"/>
  <c r="AJ737" i="37" s="1"/>
  <c r="AH738" i="37" l="1"/>
  <c r="AI738" i="37" s="1"/>
  <c r="AJ738" i="37" s="1"/>
  <c r="Z739" i="37"/>
  <c r="S739" i="37"/>
  <c r="V739" i="37" s="1"/>
  <c r="E737" i="37"/>
  <c r="AM737" i="37" s="1"/>
  <c r="AN737" i="37" s="1"/>
  <c r="AK737" i="37"/>
  <c r="E738" i="37"/>
  <c r="AM738" i="37" s="1"/>
  <c r="AN738" i="37" s="1"/>
  <c r="AK738" i="37"/>
  <c r="N741" i="37"/>
  <c r="O740" i="37"/>
  <c r="O741" i="37" l="1"/>
  <c r="N742" i="37"/>
  <c r="S740" i="37"/>
  <c r="V740" i="37" s="1"/>
  <c r="Z740" i="37"/>
  <c r="AH739" i="37"/>
  <c r="AI739" i="37" s="1"/>
  <c r="AJ739" i="37" s="1"/>
  <c r="AH740" i="37" l="1"/>
  <c r="AI740" i="37" s="1"/>
  <c r="AJ740" i="37" s="1"/>
  <c r="E739" i="37"/>
  <c r="AM739" i="37" s="1"/>
  <c r="AN739" i="37" s="1"/>
  <c r="AK739" i="37"/>
  <c r="O742" i="37"/>
  <c r="N743" i="37"/>
  <c r="S741" i="37"/>
  <c r="V741" i="37" s="1"/>
  <c r="Z741" i="37"/>
  <c r="AH741" i="37" l="1"/>
  <c r="AI741" i="37" s="1"/>
  <c r="AJ741" i="37" s="1"/>
  <c r="E741" i="37" s="1"/>
  <c r="AM741" i="37" s="1"/>
  <c r="AN741" i="37" s="1"/>
  <c r="E740" i="37"/>
  <c r="AM740" i="37" s="1"/>
  <c r="AN740" i="37" s="1"/>
  <c r="AK740" i="37"/>
  <c r="O743" i="37"/>
  <c r="N744" i="37"/>
  <c r="S742" i="37"/>
  <c r="V742" i="37" s="1"/>
  <c r="Z742" i="37"/>
  <c r="AK741" i="37" l="1"/>
  <c r="AH742" i="37"/>
  <c r="AI742" i="37" s="1"/>
  <c r="AJ742" i="37" s="1"/>
  <c r="O744" i="37"/>
  <c r="N745" i="37"/>
  <c r="S743" i="37"/>
  <c r="V743" i="37" s="1"/>
  <c r="Z743" i="37"/>
  <c r="AH743" i="37" l="1"/>
  <c r="AI743" i="37" s="1"/>
  <c r="AJ743" i="37" s="1"/>
  <c r="E743" i="37" s="1"/>
  <c r="AM743" i="37" s="1"/>
  <c r="AN743" i="37" s="1"/>
  <c r="O745" i="37"/>
  <c r="N746" i="37"/>
  <c r="Z744" i="37"/>
  <c r="S744" i="37"/>
  <c r="V744" i="37" s="1"/>
  <c r="E742" i="37"/>
  <c r="AM742" i="37" s="1"/>
  <c r="AN742" i="37" s="1"/>
  <c r="AK742" i="37"/>
  <c r="AK743" i="37" l="1"/>
  <c r="AH744" i="37"/>
  <c r="AI744" i="37" s="1"/>
  <c r="AJ744" i="37" s="1"/>
  <c r="AK744" i="37" s="1"/>
  <c r="O746" i="37"/>
  <c r="N747" i="37"/>
  <c r="S745" i="37"/>
  <c r="V745" i="37" s="1"/>
  <c r="Z745" i="37"/>
  <c r="E744" i="37" l="1"/>
  <c r="AM744" i="37" s="1"/>
  <c r="AN744" i="37" s="1"/>
  <c r="AH745" i="37"/>
  <c r="AI745" i="37" s="1"/>
  <c r="AJ745" i="37" s="1"/>
  <c r="N748" i="37"/>
  <c r="O747" i="37"/>
  <c r="S746" i="37"/>
  <c r="V746" i="37" s="1"/>
  <c r="Z746" i="37"/>
  <c r="AH746" i="37" l="1"/>
  <c r="AI746" i="37" s="1"/>
  <c r="AJ746" i="37" s="1"/>
  <c r="E746" i="37" s="1"/>
  <c r="AM746" i="37" s="1"/>
  <c r="AN746" i="37" s="1"/>
  <c r="AK745" i="37"/>
  <c r="E745" i="37"/>
  <c r="AM745" i="37" s="1"/>
  <c r="AN745" i="37" s="1"/>
  <c r="S747" i="37"/>
  <c r="V747" i="37" s="1"/>
  <c r="Z747" i="37"/>
  <c r="N749" i="37"/>
  <c r="O748" i="37"/>
  <c r="AK746" i="37" l="1"/>
  <c r="AH747" i="37"/>
  <c r="AI747" i="37" s="1"/>
  <c r="AJ747" i="37" s="1"/>
  <c r="O749" i="37"/>
  <c r="N750" i="37"/>
  <c r="E747" i="37"/>
  <c r="AM747" i="37" s="1"/>
  <c r="AN747" i="37" s="1"/>
  <c r="AK747" i="37"/>
  <c r="Z748" i="37"/>
  <c r="S748" i="37"/>
  <c r="V748" i="37" s="1"/>
  <c r="AH748" i="37" l="1"/>
  <c r="AI748" i="37" s="1"/>
  <c r="AJ748" i="37" s="1"/>
  <c r="O750" i="37"/>
  <c r="N751" i="37"/>
  <c r="Z749" i="37"/>
  <c r="S749" i="37"/>
  <c r="V749" i="37" s="1"/>
  <c r="AH749" i="37" l="1"/>
  <c r="AI749" i="37" s="1"/>
  <c r="AJ749" i="37" s="1"/>
  <c r="S750" i="37"/>
  <c r="V750" i="37" s="1"/>
  <c r="Z750" i="37"/>
  <c r="O751" i="37"/>
  <c r="N752" i="37"/>
  <c r="E748" i="37"/>
  <c r="AM748" i="37" s="1"/>
  <c r="AN748" i="37" s="1"/>
  <c r="AK748" i="37"/>
  <c r="AH750" i="37" l="1"/>
  <c r="AI750" i="37" s="1"/>
  <c r="AJ750" i="37" s="1"/>
  <c r="AK750" i="37" s="1"/>
  <c r="AK749" i="37"/>
  <c r="E749" i="37"/>
  <c r="AM749" i="37" s="1"/>
  <c r="AN749" i="37" s="1"/>
  <c r="O752" i="37"/>
  <c r="N753" i="37"/>
  <c r="Z751" i="37"/>
  <c r="S751" i="37"/>
  <c r="V751" i="37" s="1"/>
  <c r="E750" i="37" l="1"/>
  <c r="AM750" i="37" s="1"/>
  <c r="AN750" i="37" s="1"/>
  <c r="AH751" i="37"/>
  <c r="AI751" i="37" s="1"/>
  <c r="AJ751" i="37" s="1"/>
  <c r="N754" i="37"/>
  <c r="O753" i="37"/>
  <c r="Z752" i="37"/>
  <c r="S752" i="37"/>
  <c r="V752" i="37" s="1"/>
  <c r="AH752" i="37" l="1"/>
  <c r="AI752" i="37" s="1"/>
  <c r="AJ752" i="37" s="1"/>
  <c r="O754" i="37"/>
  <c r="N755" i="37"/>
  <c r="S753" i="37"/>
  <c r="V753" i="37" s="1"/>
  <c r="Z753" i="37"/>
  <c r="E751" i="37"/>
  <c r="AM751" i="37" s="1"/>
  <c r="AN751" i="37" s="1"/>
  <c r="AK751" i="37"/>
  <c r="Z754" i="37" l="1"/>
  <c r="S754" i="37"/>
  <c r="V754" i="37" s="1"/>
  <c r="AH753" i="37"/>
  <c r="AI753" i="37" s="1"/>
  <c r="AJ753" i="37" s="1"/>
  <c r="N756" i="37"/>
  <c r="O755" i="37"/>
  <c r="AK752" i="37"/>
  <c r="E752" i="37"/>
  <c r="AM752" i="37" s="1"/>
  <c r="AN752" i="37" s="1"/>
  <c r="S755" i="37" l="1"/>
  <c r="V755" i="37" s="1"/>
  <c r="Z755" i="37"/>
  <c r="O756" i="37"/>
  <c r="N757" i="37"/>
  <c r="E753" i="37"/>
  <c r="AM753" i="37" s="1"/>
  <c r="AN753" i="37" s="1"/>
  <c r="AK753" i="37"/>
  <c r="AH754" i="37"/>
  <c r="AI754" i="37" s="1"/>
  <c r="AJ754" i="37" s="1"/>
  <c r="AH755" i="37" l="1"/>
  <c r="AI755" i="37" s="1"/>
  <c r="AJ755" i="37" s="1"/>
  <c r="O757" i="37"/>
  <c r="N758" i="37"/>
  <c r="E754" i="37"/>
  <c r="AM754" i="37" s="1"/>
  <c r="AN754" i="37" s="1"/>
  <c r="AK754" i="37"/>
  <c r="AK755" i="37"/>
  <c r="E755" i="37"/>
  <c r="AM755" i="37" s="1"/>
  <c r="AN755" i="37" s="1"/>
  <c r="Z756" i="37"/>
  <c r="S756" i="37"/>
  <c r="V756" i="37" s="1"/>
  <c r="AH756" i="37" l="1"/>
  <c r="AI756" i="37" s="1"/>
  <c r="AJ756" i="37" s="1"/>
  <c r="E756" i="37" s="1"/>
  <c r="AM756" i="37" s="1"/>
  <c r="AN756" i="37" s="1"/>
  <c r="N759" i="37"/>
  <c r="O758" i="37"/>
  <c r="S757" i="37"/>
  <c r="V757" i="37" s="1"/>
  <c r="Z757" i="37"/>
  <c r="AH757" i="37" l="1"/>
  <c r="AI757" i="37" s="1"/>
  <c r="AJ757" i="37" s="1"/>
  <c r="E757" i="37" s="1"/>
  <c r="AM757" i="37" s="1"/>
  <c r="AN757" i="37" s="1"/>
  <c r="AK756" i="37"/>
  <c r="N760" i="37"/>
  <c r="O759" i="37"/>
  <c r="S758" i="37"/>
  <c r="V758" i="37" s="1"/>
  <c r="Z758" i="37"/>
  <c r="AK757" i="37" l="1"/>
  <c r="AH758" i="37"/>
  <c r="AI758" i="37" s="1"/>
  <c r="AJ758" i="37" s="1"/>
  <c r="E758" i="37" s="1"/>
  <c r="AM758" i="37" s="1"/>
  <c r="AN758" i="37" s="1"/>
  <c r="S759" i="37"/>
  <c r="V759" i="37" s="1"/>
  <c r="Z759" i="37"/>
  <c r="O760" i="37"/>
  <c r="N761" i="37"/>
  <c r="AH759" i="37" l="1"/>
  <c r="AI759" i="37" s="1"/>
  <c r="AJ759" i="37" s="1"/>
  <c r="AK758" i="37"/>
  <c r="Z760" i="37"/>
  <c r="S760" i="37"/>
  <c r="V760" i="37" s="1"/>
  <c r="O761" i="37"/>
  <c r="N762" i="37"/>
  <c r="AK759" i="37"/>
  <c r="E759" i="37"/>
  <c r="AM759" i="37" s="1"/>
  <c r="AN759" i="37" s="1"/>
  <c r="N763" i="37" l="1"/>
  <c r="O762" i="37"/>
  <c r="Z761" i="37"/>
  <c r="S761" i="37"/>
  <c r="V761" i="37" s="1"/>
  <c r="AH760" i="37"/>
  <c r="AI760" i="37" s="1"/>
  <c r="AJ760" i="37" s="1"/>
  <c r="Z762" i="37" l="1"/>
  <c r="S762" i="37"/>
  <c r="V762" i="37" s="1"/>
  <c r="AK760" i="37"/>
  <c r="E760" i="37"/>
  <c r="AM760" i="37" s="1"/>
  <c r="AN760" i="37" s="1"/>
  <c r="AH761" i="37"/>
  <c r="AI761" i="37" s="1"/>
  <c r="AJ761" i="37" s="1"/>
  <c r="N764" i="37"/>
  <c r="O763" i="37"/>
  <c r="O764" i="37" l="1"/>
  <c r="N765" i="37"/>
  <c r="AK761" i="37"/>
  <c r="E761" i="37"/>
  <c r="AM761" i="37" s="1"/>
  <c r="AN761" i="37" s="1"/>
  <c r="S763" i="37"/>
  <c r="V763" i="37" s="1"/>
  <c r="Z763" i="37"/>
  <c r="AH762" i="37"/>
  <c r="AI762" i="37" s="1"/>
  <c r="AJ762" i="37" s="1"/>
  <c r="AH763" i="37" l="1"/>
  <c r="AI763" i="37" s="1"/>
  <c r="AJ763" i="37" s="1"/>
  <c r="E763" i="37" s="1"/>
  <c r="AM763" i="37" s="1"/>
  <c r="AN763" i="37" s="1"/>
  <c r="E762" i="37"/>
  <c r="AM762" i="37" s="1"/>
  <c r="AN762" i="37" s="1"/>
  <c r="AK762" i="37"/>
  <c r="O765" i="37"/>
  <c r="N766" i="37"/>
  <c r="Z764" i="37"/>
  <c r="S764" i="37"/>
  <c r="V764" i="37" s="1"/>
  <c r="AK763" i="37" l="1"/>
  <c r="AH764" i="37"/>
  <c r="AI764" i="37" s="1"/>
  <c r="AJ764" i="37" s="1"/>
  <c r="E764" i="37" s="1"/>
  <c r="AM764" i="37" s="1"/>
  <c r="AN764" i="37" s="1"/>
  <c r="N767" i="37"/>
  <c r="O766" i="37"/>
  <c r="S765" i="37"/>
  <c r="V765" i="37" s="1"/>
  <c r="Z765" i="37"/>
  <c r="AH765" i="37" l="1"/>
  <c r="AI765" i="37" s="1"/>
  <c r="AJ765" i="37" s="1"/>
  <c r="E765" i="37" s="1"/>
  <c r="AM765" i="37" s="1"/>
  <c r="AN765" i="37" s="1"/>
  <c r="AK764" i="37"/>
  <c r="O767" i="37"/>
  <c r="N768" i="37"/>
  <c r="Z766" i="37"/>
  <c r="S766" i="37"/>
  <c r="V766" i="37" s="1"/>
  <c r="AK765" i="37" l="1"/>
  <c r="AH766" i="37"/>
  <c r="AI766" i="37" s="1"/>
  <c r="AJ766" i="37" s="1"/>
  <c r="O768" i="37"/>
  <c r="N769" i="37"/>
  <c r="Z767" i="37"/>
  <c r="S767" i="37"/>
  <c r="V767" i="37" s="1"/>
  <c r="E766" i="37" l="1"/>
  <c r="AM766" i="37" s="1"/>
  <c r="AN766" i="37" s="1"/>
  <c r="AK766" i="37"/>
  <c r="AH767" i="37"/>
  <c r="AI767" i="37" s="1"/>
  <c r="AJ767" i="37" s="1"/>
  <c r="O769" i="37"/>
  <c r="N770" i="37"/>
  <c r="Z768" i="37"/>
  <c r="S768" i="37"/>
  <c r="V768" i="37" s="1"/>
  <c r="O770" i="37" l="1"/>
  <c r="N771" i="37"/>
  <c r="S769" i="37"/>
  <c r="V769" i="37" s="1"/>
  <c r="Z769" i="37"/>
  <c r="AH768" i="37"/>
  <c r="AI768" i="37" s="1"/>
  <c r="AJ768" i="37" s="1"/>
  <c r="E767" i="37"/>
  <c r="AM767" i="37" s="1"/>
  <c r="AN767" i="37" s="1"/>
  <c r="AK767" i="37"/>
  <c r="AH769" i="37" l="1"/>
  <c r="AI769" i="37" s="1"/>
  <c r="AJ769" i="37" s="1"/>
  <c r="E768" i="37"/>
  <c r="AM768" i="37" s="1"/>
  <c r="AN768" i="37" s="1"/>
  <c r="AK768" i="37"/>
  <c r="O771" i="37"/>
  <c r="N772" i="37"/>
  <c r="S770" i="37"/>
  <c r="V770" i="37" s="1"/>
  <c r="Z770" i="37"/>
  <c r="E769" i="37" l="1"/>
  <c r="AM769" i="37" s="1"/>
  <c r="AN769" i="37" s="1"/>
  <c r="AK769" i="37"/>
  <c r="AH770" i="37"/>
  <c r="AI770" i="37" s="1"/>
  <c r="AJ770" i="37" s="1"/>
  <c r="E770" i="37" s="1"/>
  <c r="AM770" i="37" s="1"/>
  <c r="AN770" i="37" s="1"/>
  <c r="N773" i="37"/>
  <c r="O772" i="37"/>
  <c r="Z771" i="37"/>
  <c r="S771" i="37"/>
  <c r="V771" i="37" s="1"/>
  <c r="AK770" i="37" l="1"/>
  <c r="AH771" i="37"/>
  <c r="AI771" i="37" s="1"/>
  <c r="AJ771" i="37" s="1"/>
  <c r="AK771" i="37" s="1"/>
  <c r="S772" i="37"/>
  <c r="V772" i="37" s="1"/>
  <c r="Z772" i="37"/>
  <c r="O773" i="37"/>
  <c r="N774" i="37"/>
  <c r="E771" i="37" l="1"/>
  <c r="AM771" i="37" s="1"/>
  <c r="AN771" i="37" s="1"/>
  <c r="AH772" i="37"/>
  <c r="AI772" i="37" s="1"/>
  <c r="AJ772" i="37" s="1"/>
  <c r="N775" i="37"/>
  <c r="O774" i="37"/>
  <c r="S773" i="37"/>
  <c r="V773" i="37" s="1"/>
  <c r="Z773" i="37"/>
  <c r="AH773" i="37" l="1"/>
  <c r="AI773" i="37" s="1"/>
  <c r="AJ773" i="37" s="1"/>
  <c r="E773" i="37" s="1"/>
  <c r="AM773" i="37" s="1"/>
  <c r="AN773" i="37" s="1"/>
  <c r="AK772" i="37"/>
  <c r="E772" i="37"/>
  <c r="AM772" i="37" s="1"/>
  <c r="AN772" i="37" s="1"/>
  <c r="S774" i="37"/>
  <c r="V774" i="37" s="1"/>
  <c r="Z774" i="37"/>
  <c r="AK773" i="37"/>
  <c r="O775" i="37"/>
  <c r="N776" i="37"/>
  <c r="AH774" i="37" l="1"/>
  <c r="AI774" i="37" s="1"/>
  <c r="AJ774" i="37" s="1"/>
  <c r="N777" i="37"/>
  <c r="O776" i="37"/>
  <c r="AK774" i="37"/>
  <c r="E774" i="37"/>
  <c r="AM774" i="37" s="1"/>
  <c r="AN774" i="37" s="1"/>
  <c r="S775" i="37"/>
  <c r="V775" i="37" s="1"/>
  <c r="Z775" i="37"/>
  <c r="AH775" i="37" l="1"/>
  <c r="AI775" i="37" s="1"/>
  <c r="AJ775" i="37" s="1"/>
  <c r="E775" i="37" s="1"/>
  <c r="AM775" i="37" s="1"/>
  <c r="AN775" i="37" s="1"/>
  <c r="S776" i="37"/>
  <c r="V776" i="37" s="1"/>
  <c r="Z776" i="37"/>
  <c r="O777" i="37"/>
  <c r="N778" i="37"/>
  <c r="AK775" i="37" l="1"/>
  <c r="AH776" i="37"/>
  <c r="AI776" i="37" s="1"/>
  <c r="AJ776" i="37" s="1"/>
  <c r="Z777" i="37"/>
  <c r="S777" i="37"/>
  <c r="V777" i="37" s="1"/>
  <c r="O778" i="37"/>
  <c r="N779" i="37"/>
  <c r="AK776" i="37"/>
  <c r="E776" i="37"/>
  <c r="AM776" i="37" s="1"/>
  <c r="AN776" i="37" s="1"/>
  <c r="N780" i="37" l="1"/>
  <c r="O779" i="37"/>
  <c r="S778" i="37"/>
  <c r="V778" i="37" s="1"/>
  <c r="Z778" i="37"/>
  <c r="AH777" i="37"/>
  <c r="AI777" i="37" s="1"/>
  <c r="AJ777" i="37" s="1"/>
  <c r="AH778" i="37" l="1"/>
  <c r="AI778" i="37" s="1"/>
  <c r="AJ778" i="37" s="1"/>
  <c r="E777" i="37"/>
  <c r="AM777" i="37" s="1"/>
  <c r="AN777" i="37" s="1"/>
  <c r="AK777" i="37"/>
  <c r="Z779" i="37"/>
  <c r="S779" i="37"/>
  <c r="V779" i="37" s="1"/>
  <c r="O780" i="37"/>
  <c r="N781" i="37"/>
  <c r="E778" i="37" l="1"/>
  <c r="AM778" i="37" s="1"/>
  <c r="AN778" i="37" s="1"/>
  <c r="AK778" i="37"/>
  <c r="N782" i="37"/>
  <c r="O781" i="37"/>
  <c r="Z780" i="37"/>
  <c r="S780" i="37"/>
  <c r="V780" i="37" s="1"/>
  <c r="AH779" i="37"/>
  <c r="AI779" i="37" s="1"/>
  <c r="AJ779" i="37" s="1"/>
  <c r="S781" i="37" l="1"/>
  <c r="V781" i="37" s="1"/>
  <c r="Z781" i="37"/>
  <c r="AH781" i="37" s="1"/>
  <c r="AI781" i="37" s="1"/>
  <c r="AJ781" i="37" s="1"/>
  <c r="E779" i="37"/>
  <c r="AM779" i="37" s="1"/>
  <c r="AN779" i="37" s="1"/>
  <c r="AK779" i="37"/>
  <c r="AH780" i="37"/>
  <c r="AI780" i="37" s="1"/>
  <c r="AJ780" i="37" s="1"/>
  <c r="N783" i="37"/>
  <c r="O782" i="37"/>
  <c r="AK780" i="37" l="1"/>
  <c r="E780" i="37"/>
  <c r="AM780" i="37" s="1"/>
  <c r="AN780" i="37" s="1"/>
  <c r="Z782" i="37"/>
  <c r="S782" i="37"/>
  <c r="V782" i="37" s="1"/>
  <c r="AK781" i="37"/>
  <c r="E781" i="37"/>
  <c r="AM781" i="37" s="1"/>
  <c r="AN781" i="37" s="1"/>
  <c r="O783" i="37"/>
  <c r="N784" i="37"/>
  <c r="AH782" i="37" l="1"/>
  <c r="AI782" i="37" s="1"/>
  <c r="AJ782" i="37" s="1"/>
  <c r="Z783" i="37"/>
  <c r="S783" i="37"/>
  <c r="V783" i="37" s="1"/>
  <c r="O784" i="37"/>
  <c r="N785" i="37"/>
  <c r="AK782" i="37" l="1"/>
  <c r="E782" i="37"/>
  <c r="AM782" i="37" s="1"/>
  <c r="AN782" i="37" s="1"/>
  <c r="O785" i="37"/>
  <c r="N786" i="37"/>
  <c r="S784" i="37"/>
  <c r="V784" i="37" s="1"/>
  <c r="Z784" i="37"/>
  <c r="AH783" i="37"/>
  <c r="AI783" i="37" s="1"/>
  <c r="AJ783" i="37" s="1"/>
  <c r="AH784" i="37" l="1"/>
  <c r="AI784" i="37" s="1"/>
  <c r="AJ784" i="37" s="1"/>
  <c r="AK783" i="37"/>
  <c r="E783" i="37"/>
  <c r="AM783" i="37" s="1"/>
  <c r="AN783" i="37" s="1"/>
  <c r="N787" i="37"/>
  <c r="O786" i="37"/>
  <c r="Z785" i="37"/>
  <c r="S785" i="37"/>
  <c r="V785" i="37" s="1"/>
  <c r="AH785" i="37" l="1"/>
  <c r="AI785" i="37" s="1"/>
  <c r="AJ785" i="37" s="1"/>
  <c r="AK785" i="37" s="1"/>
  <c r="E784" i="37"/>
  <c r="AM784" i="37" s="1"/>
  <c r="AN784" i="37" s="1"/>
  <c r="AK784" i="37"/>
  <c r="S786" i="37"/>
  <c r="V786" i="37" s="1"/>
  <c r="Z786" i="37"/>
  <c r="AH786" i="37" s="1"/>
  <c r="AI786" i="37" s="1"/>
  <c r="AJ786" i="37" s="1"/>
  <c r="E786" i="37" s="1"/>
  <c r="AM786" i="37" s="1"/>
  <c r="AN786" i="37" s="1"/>
  <c r="N788" i="37"/>
  <c r="O787" i="37"/>
  <c r="AK786" i="37" l="1"/>
  <c r="E785" i="37"/>
  <c r="AM785" i="37" s="1"/>
  <c r="AN785" i="37" s="1"/>
  <c r="Z787" i="37"/>
  <c r="S787" i="37"/>
  <c r="V787" i="37" s="1"/>
  <c r="O788" i="37"/>
  <c r="N789" i="37"/>
  <c r="N790" i="37" l="1"/>
  <c r="O789" i="37"/>
  <c r="S788" i="37"/>
  <c r="V788" i="37" s="1"/>
  <c r="Z788" i="37"/>
  <c r="AH788" i="37" s="1"/>
  <c r="AI788" i="37" s="1"/>
  <c r="AJ788" i="37" s="1"/>
  <c r="AH787" i="37"/>
  <c r="AI787" i="37" s="1"/>
  <c r="AJ787" i="37" s="1"/>
  <c r="E787" i="37" l="1"/>
  <c r="AM787" i="37" s="1"/>
  <c r="AN787" i="37" s="1"/>
  <c r="AK787" i="37"/>
  <c r="Z789" i="37"/>
  <c r="S789" i="37"/>
  <c r="V789" i="37" s="1"/>
  <c r="AK788" i="37"/>
  <c r="E788" i="37"/>
  <c r="AM788" i="37" s="1"/>
  <c r="AN788" i="37" s="1"/>
  <c r="O790" i="37"/>
  <c r="N791" i="37"/>
  <c r="AH789" i="37" l="1"/>
  <c r="AI789" i="37" s="1"/>
  <c r="AJ789" i="37" s="1"/>
  <c r="N792" i="37"/>
  <c r="O791" i="37"/>
  <c r="E789" i="37"/>
  <c r="AM789" i="37" s="1"/>
  <c r="AN789" i="37" s="1"/>
  <c r="AK789" i="37"/>
  <c r="Z790" i="37"/>
  <c r="S790" i="37"/>
  <c r="V790" i="37" s="1"/>
  <c r="AH790" i="37" l="1"/>
  <c r="AI790" i="37" s="1"/>
  <c r="AJ790" i="37" s="1"/>
  <c r="E790" i="37" s="1"/>
  <c r="AM790" i="37" s="1"/>
  <c r="AN790" i="37" s="1"/>
  <c r="Z791" i="37"/>
  <c r="S791" i="37"/>
  <c r="V791" i="37" s="1"/>
  <c r="O792" i="37"/>
  <c r="N793" i="37"/>
  <c r="AK790" i="37" l="1"/>
  <c r="Z792" i="37"/>
  <c r="S792" i="37"/>
  <c r="V792" i="37" s="1"/>
  <c r="O793" i="37"/>
  <c r="N794" i="37"/>
  <c r="AH791" i="37"/>
  <c r="AI791" i="37" s="1"/>
  <c r="AJ791" i="37" s="1"/>
  <c r="AK791" i="37" l="1"/>
  <c r="E791" i="37"/>
  <c r="AM791" i="37" s="1"/>
  <c r="AN791" i="37" s="1"/>
  <c r="N795" i="37"/>
  <c r="O794" i="37"/>
  <c r="Z793" i="37"/>
  <c r="S793" i="37"/>
  <c r="V793" i="37" s="1"/>
  <c r="AH792" i="37"/>
  <c r="AI792" i="37" s="1"/>
  <c r="AJ792" i="37" s="1"/>
  <c r="AH793" i="37" l="1"/>
  <c r="AI793" i="37" s="1"/>
  <c r="AJ793" i="37" s="1"/>
  <c r="AK793" i="37" s="1"/>
  <c r="E792" i="37"/>
  <c r="AM792" i="37" s="1"/>
  <c r="AN792" i="37" s="1"/>
  <c r="AK792" i="37"/>
  <c r="S794" i="37"/>
  <c r="V794" i="37" s="1"/>
  <c r="Z794" i="37"/>
  <c r="N796" i="37"/>
  <c r="O795" i="37"/>
  <c r="E793" i="37" l="1"/>
  <c r="AM793" i="37" s="1"/>
  <c r="AN793" i="37" s="1"/>
  <c r="AH794" i="37"/>
  <c r="AI794" i="37" s="1"/>
  <c r="AJ794" i="37" s="1"/>
  <c r="N797" i="37"/>
  <c r="O796" i="37"/>
  <c r="S795" i="37"/>
  <c r="V795" i="37" s="1"/>
  <c r="Z795" i="37"/>
  <c r="E794" i="37"/>
  <c r="AM794" i="37" s="1"/>
  <c r="AN794" i="37" s="1"/>
  <c r="AK794" i="37"/>
  <c r="AH795" i="37" l="1"/>
  <c r="AI795" i="37" s="1"/>
  <c r="AJ795" i="37" s="1"/>
  <c r="E795" i="37" s="1"/>
  <c r="AM795" i="37" s="1"/>
  <c r="AN795" i="37" s="1"/>
  <c r="Z796" i="37"/>
  <c r="S796" i="37"/>
  <c r="V796" i="37" s="1"/>
  <c r="N798" i="37"/>
  <c r="O797" i="37"/>
  <c r="AK795" i="37" l="1"/>
  <c r="N799" i="37"/>
  <c r="O798" i="37"/>
  <c r="Z797" i="37"/>
  <c r="S797" i="37"/>
  <c r="V797" i="37" s="1"/>
  <c r="AH796" i="37"/>
  <c r="AI796" i="37" s="1"/>
  <c r="AJ796" i="37" s="1"/>
  <c r="Z798" i="37" l="1"/>
  <c r="S798" i="37"/>
  <c r="V798" i="37" s="1"/>
  <c r="E796" i="37"/>
  <c r="AM796" i="37" s="1"/>
  <c r="AN796" i="37" s="1"/>
  <c r="AK796" i="37"/>
  <c r="AH797" i="37"/>
  <c r="AI797" i="37" s="1"/>
  <c r="AJ797" i="37" s="1"/>
  <c r="N800" i="37"/>
  <c r="O799" i="37"/>
  <c r="S799" i="37" l="1"/>
  <c r="V799" i="37" s="1"/>
  <c r="Z799" i="37"/>
  <c r="E797" i="37"/>
  <c r="AM797" i="37" s="1"/>
  <c r="AN797" i="37" s="1"/>
  <c r="AK797" i="37"/>
  <c r="O800" i="37"/>
  <c r="N801" i="37"/>
  <c r="AH798" i="37"/>
  <c r="AI798" i="37" s="1"/>
  <c r="AJ798" i="37" s="1"/>
  <c r="AH799" i="37" l="1"/>
  <c r="AI799" i="37" s="1"/>
  <c r="AJ799" i="37" s="1"/>
  <c r="Z800" i="37"/>
  <c r="S800" i="37"/>
  <c r="V800" i="37" s="1"/>
  <c r="AK798" i="37"/>
  <c r="E798" i="37"/>
  <c r="AM798" i="37" s="1"/>
  <c r="AN798" i="37" s="1"/>
  <c r="N802" i="37"/>
  <c r="O801" i="37"/>
  <c r="E799" i="37"/>
  <c r="AM799" i="37" s="1"/>
  <c r="AN799" i="37" s="1"/>
  <c r="AK799" i="37"/>
  <c r="Z801" i="37" l="1"/>
  <c r="S801" i="37"/>
  <c r="V801" i="37" s="1"/>
  <c r="O802" i="37"/>
  <c r="N803" i="37"/>
  <c r="AH800" i="37"/>
  <c r="AI800" i="37" s="1"/>
  <c r="AJ800" i="37" s="1"/>
  <c r="AK800" i="37" l="1"/>
  <c r="E800" i="37"/>
  <c r="AM800" i="37" s="1"/>
  <c r="AN800" i="37" s="1"/>
  <c r="O803" i="37"/>
  <c r="N804" i="37"/>
  <c r="S802" i="37"/>
  <c r="V802" i="37" s="1"/>
  <c r="Z802" i="37"/>
  <c r="AH801" i="37"/>
  <c r="AI801" i="37" s="1"/>
  <c r="AJ801" i="37" s="1"/>
  <c r="AH802" i="37" l="1"/>
  <c r="AI802" i="37" s="1"/>
  <c r="AJ802" i="37" s="1"/>
  <c r="E802" i="37" s="1"/>
  <c r="AM802" i="37" s="1"/>
  <c r="AN802" i="37" s="1"/>
  <c r="E801" i="37"/>
  <c r="AM801" i="37" s="1"/>
  <c r="AN801" i="37" s="1"/>
  <c r="AK801" i="37"/>
  <c r="N805" i="37"/>
  <c r="O804" i="37"/>
  <c r="Z803" i="37"/>
  <c r="S803" i="37"/>
  <c r="V803" i="37" s="1"/>
  <c r="AK802" i="37" l="1"/>
  <c r="AH803" i="37"/>
  <c r="AI803" i="37" s="1"/>
  <c r="AJ803" i="37" s="1"/>
  <c r="E803" i="37" s="1"/>
  <c r="AM803" i="37" s="1"/>
  <c r="AN803" i="37" s="1"/>
  <c r="O805" i="37"/>
  <c r="N806" i="37"/>
  <c r="Z804" i="37"/>
  <c r="S804" i="37"/>
  <c r="V804" i="37" s="1"/>
  <c r="AK803" i="37" l="1"/>
  <c r="AH804" i="37"/>
  <c r="AI804" i="37" s="1"/>
  <c r="AJ804" i="37" s="1"/>
  <c r="AK804" i="37" s="1"/>
  <c r="N807" i="37"/>
  <c r="O806" i="37"/>
  <c r="S805" i="37"/>
  <c r="V805" i="37" s="1"/>
  <c r="Z805" i="37"/>
  <c r="E804" i="37" l="1"/>
  <c r="AM804" i="37" s="1"/>
  <c r="AN804" i="37" s="1"/>
  <c r="AH805" i="37"/>
  <c r="AI805" i="37" s="1"/>
  <c r="AJ805" i="37" s="1"/>
  <c r="O807" i="37"/>
  <c r="N808" i="37"/>
  <c r="S806" i="37"/>
  <c r="V806" i="37" s="1"/>
  <c r="Z806" i="37"/>
  <c r="S807" i="37" l="1"/>
  <c r="V807" i="37" s="1"/>
  <c r="Z807" i="37"/>
  <c r="AH807" i="37" s="1"/>
  <c r="AI807" i="37" s="1"/>
  <c r="AJ807" i="37" s="1"/>
  <c r="AH806" i="37"/>
  <c r="AI806" i="37" s="1"/>
  <c r="AJ806" i="37" s="1"/>
  <c r="N809" i="37"/>
  <c r="O808" i="37"/>
  <c r="E805" i="37"/>
  <c r="AM805" i="37" s="1"/>
  <c r="AN805" i="37" s="1"/>
  <c r="AK805" i="37"/>
  <c r="E807" i="37"/>
  <c r="AM807" i="37" s="1"/>
  <c r="AN807" i="37" s="1"/>
  <c r="AK807" i="37"/>
  <c r="Z808" i="37" l="1"/>
  <c r="S808" i="37"/>
  <c r="V808" i="37" s="1"/>
  <c r="O809" i="37"/>
  <c r="N810" i="37"/>
  <c r="E806" i="37"/>
  <c r="AM806" i="37" s="1"/>
  <c r="AN806" i="37" s="1"/>
  <c r="AK806" i="37"/>
  <c r="N811" i="37" l="1"/>
  <c r="O810" i="37"/>
  <c r="S809" i="37"/>
  <c r="V809" i="37" s="1"/>
  <c r="Z809" i="37"/>
  <c r="AH809" i="37" s="1"/>
  <c r="AI809" i="37" s="1"/>
  <c r="AJ809" i="37" s="1"/>
  <c r="E809" i="37" s="1"/>
  <c r="AM809" i="37" s="1"/>
  <c r="AN809" i="37" s="1"/>
  <c r="AH808" i="37"/>
  <c r="AI808" i="37" s="1"/>
  <c r="AJ808" i="37" s="1"/>
  <c r="AK809" i="37" l="1"/>
  <c r="AK808" i="37"/>
  <c r="E808" i="37"/>
  <c r="AM808" i="37" s="1"/>
  <c r="AN808" i="37" s="1"/>
  <c r="Z810" i="37"/>
  <c r="S810" i="37"/>
  <c r="V810" i="37" s="1"/>
  <c r="O811" i="37"/>
  <c r="N812" i="37"/>
  <c r="AH810" i="37" l="1"/>
  <c r="AI810" i="37" s="1"/>
  <c r="AJ810" i="37" s="1"/>
  <c r="N813" i="37"/>
  <c r="O812" i="37"/>
  <c r="Z811" i="37"/>
  <c r="S811" i="37"/>
  <c r="V811" i="37" s="1"/>
  <c r="AK810" i="37" l="1"/>
  <c r="E810" i="37"/>
  <c r="AM810" i="37" s="1"/>
  <c r="AN810" i="37" s="1"/>
  <c r="Z812" i="37"/>
  <c r="S812" i="37"/>
  <c r="V812" i="37" s="1"/>
  <c r="AH811" i="37"/>
  <c r="AI811" i="37" s="1"/>
  <c r="AJ811" i="37" s="1"/>
  <c r="O813" i="37"/>
  <c r="N814" i="37"/>
  <c r="O814" i="37" l="1"/>
  <c r="N815" i="37"/>
  <c r="Z813" i="37"/>
  <c r="S813" i="37"/>
  <c r="V813" i="37" s="1"/>
  <c r="E811" i="37"/>
  <c r="AM811" i="37" s="1"/>
  <c r="AN811" i="37" s="1"/>
  <c r="AK811" i="37"/>
  <c r="AH812" i="37"/>
  <c r="AI812" i="37" s="1"/>
  <c r="AJ812" i="37" s="1"/>
  <c r="E812" i="37" l="1"/>
  <c r="AM812" i="37" s="1"/>
  <c r="AN812" i="37" s="1"/>
  <c r="AK812" i="37"/>
  <c r="AH813" i="37"/>
  <c r="AI813" i="37" s="1"/>
  <c r="AJ813" i="37" s="1"/>
  <c r="N816" i="37"/>
  <c r="O815" i="37"/>
  <c r="S814" i="37"/>
  <c r="V814" i="37" s="1"/>
  <c r="Z814" i="37"/>
  <c r="AH814" i="37" l="1"/>
  <c r="AI814" i="37" s="1"/>
  <c r="AJ814" i="37" s="1"/>
  <c r="E814" i="37" s="1"/>
  <c r="AM814" i="37" s="1"/>
  <c r="AN814" i="37" s="1"/>
  <c r="Z815" i="37"/>
  <c r="S815" i="37"/>
  <c r="V815" i="37" s="1"/>
  <c r="O816" i="37"/>
  <c r="N817" i="37"/>
  <c r="AK813" i="37"/>
  <c r="E813" i="37"/>
  <c r="AM813" i="37" s="1"/>
  <c r="AN813" i="37" s="1"/>
  <c r="AK814" i="37" l="1"/>
  <c r="S816" i="37"/>
  <c r="V816" i="37" s="1"/>
  <c r="Z816" i="37"/>
  <c r="AH815" i="37"/>
  <c r="AI815" i="37" s="1"/>
  <c r="AJ815" i="37" s="1"/>
  <c r="O817" i="37"/>
  <c r="N818" i="37"/>
  <c r="AH816" i="37" l="1"/>
  <c r="AI816" i="37" s="1"/>
  <c r="AJ816" i="37" s="1"/>
  <c r="AK816" i="37" s="1"/>
  <c r="S817" i="37"/>
  <c r="V817" i="37" s="1"/>
  <c r="Z817" i="37"/>
  <c r="E815" i="37"/>
  <c r="AM815" i="37" s="1"/>
  <c r="AN815" i="37" s="1"/>
  <c r="AK815" i="37"/>
  <c r="O818" i="37"/>
  <c r="N819" i="37"/>
  <c r="E816" i="37" l="1"/>
  <c r="AM816" i="37" s="1"/>
  <c r="AN816" i="37" s="1"/>
  <c r="AH817" i="37"/>
  <c r="AI817" i="37" s="1"/>
  <c r="AJ817" i="37" s="1"/>
  <c r="E817" i="37" s="1"/>
  <c r="AM817" i="37" s="1"/>
  <c r="AN817" i="37" s="1"/>
  <c r="O819" i="37"/>
  <c r="N820" i="37"/>
  <c r="S818" i="37"/>
  <c r="V818" i="37" s="1"/>
  <c r="Z818" i="37"/>
  <c r="AK817" i="37" l="1"/>
  <c r="AH818" i="37"/>
  <c r="AI818" i="37" s="1"/>
  <c r="AJ818" i="37" s="1"/>
  <c r="N821" i="37"/>
  <c r="O820" i="37"/>
  <c r="Z819" i="37"/>
  <c r="S819" i="37"/>
  <c r="V819" i="37" s="1"/>
  <c r="AK818" i="37" l="1"/>
  <c r="E818" i="37"/>
  <c r="AM818" i="37" s="1"/>
  <c r="AN818" i="37" s="1"/>
  <c r="Z820" i="37"/>
  <c r="S820" i="37"/>
  <c r="V820" i="37" s="1"/>
  <c r="AH819" i="37"/>
  <c r="AI819" i="37" s="1"/>
  <c r="AJ819" i="37" s="1"/>
  <c r="O821" i="37"/>
  <c r="N822" i="37"/>
  <c r="AH820" i="37" l="1"/>
  <c r="AI820" i="37" s="1"/>
  <c r="AJ820" i="37" s="1"/>
  <c r="Z821" i="37"/>
  <c r="S821" i="37"/>
  <c r="V821" i="37" s="1"/>
  <c r="O822" i="37"/>
  <c r="N823" i="37"/>
  <c r="E819" i="37"/>
  <c r="AM819" i="37" s="1"/>
  <c r="AN819" i="37" s="1"/>
  <c r="AK819" i="37"/>
  <c r="E820" i="37" l="1"/>
  <c r="AM820" i="37" s="1"/>
  <c r="AN820" i="37" s="1"/>
  <c r="AK820" i="37"/>
  <c r="Z822" i="37"/>
  <c r="S822" i="37"/>
  <c r="V822" i="37" s="1"/>
  <c r="O823" i="37"/>
  <c r="N824" i="37"/>
  <c r="AH821" i="37"/>
  <c r="AI821" i="37" s="1"/>
  <c r="AJ821" i="37" s="1"/>
  <c r="N825" i="37" l="1"/>
  <c r="O824" i="37"/>
  <c r="Z823" i="37"/>
  <c r="S823" i="37"/>
  <c r="V823" i="37" s="1"/>
  <c r="E821" i="37"/>
  <c r="AM821" i="37" s="1"/>
  <c r="AN821" i="37" s="1"/>
  <c r="AK821" i="37"/>
  <c r="AH822" i="37"/>
  <c r="AI822" i="37" s="1"/>
  <c r="AJ822" i="37" s="1"/>
  <c r="Z824" i="37" l="1"/>
  <c r="S824" i="37"/>
  <c r="V824" i="37" s="1"/>
  <c r="E822" i="37"/>
  <c r="AM822" i="37" s="1"/>
  <c r="AN822" i="37" s="1"/>
  <c r="AK822" i="37"/>
  <c r="AH823" i="37"/>
  <c r="AI823" i="37" s="1"/>
  <c r="AJ823" i="37" s="1"/>
  <c r="O825" i="37"/>
  <c r="N826" i="37"/>
  <c r="S825" i="37" l="1"/>
  <c r="V825" i="37" s="1"/>
  <c r="Z825" i="37"/>
  <c r="N827" i="37"/>
  <c r="O826" i="37"/>
  <c r="E823" i="37"/>
  <c r="AM823" i="37" s="1"/>
  <c r="AN823" i="37" s="1"/>
  <c r="AK823" i="37"/>
  <c r="AH824" i="37"/>
  <c r="AI824" i="37" s="1"/>
  <c r="AJ824" i="37" s="1"/>
  <c r="AH825" i="37" l="1"/>
  <c r="AI825" i="37" s="1"/>
  <c r="AJ825" i="37" s="1"/>
  <c r="E825" i="37" s="1"/>
  <c r="AM825" i="37" s="1"/>
  <c r="AN825" i="37" s="1"/>
  <c r="E824" i="37"/>
  <c r="AM824" i="37" s="1"/>
  <c r="AN824" i="37" s="1"/>
  <c r="AK824" i="37"/>
  <c r="S826" i="37"/>
  <c r="V826" i="37" s="1"/>
  <c r="Z826" i="37"/>
  <c r="O827" i="37"/>
  <c r="N828" i="37"/>
  <c r="AK825" i="37" l="1"/>
  <c r="AH826" i="37"/>
  <c r="AI826" i="37" s="1"/>
  <c r="AJ826" i="37" s="1"/>
  <c r="N829" i="37"/>
  <c r="O828" i="37"/>
  <c r="S827" i="37"/>
  <c r="V827" i="37" s="1"/>
  <c r="Z827" i="37"/>
  <c r="AK826" i="37"/>
  <c r="E826" i="37"/>
  <c r="AM826" i="37" s="1"/>
  <c r="AN826" i="37" s="1"/>
  <c r="AH827" i="37" l="1"/>
  <c r="AI827" i="37" s="1"/>
  <c r="AJ827" i="37" s="1"/>
  <c r="Z828" i="37"/>
  <c r="S828" i="37"/>
  <c r="V828" i="37" s="1"/>
  <c r="O829" i="37"/>
  <c r="N830" i="37"/>
  <c r="E827" i="37" l="1"/>
  <c r="AM827" i="37" s="1"/>
  <c r="AN827" i="37" s="1"/>
  <c r="AK827" i="37"/>
  <c r="Z829" i="37"/>
  <c r="S829" i="37"/>
  <c r="V829" i="37" s="1"/>
  <c r="O830" i="37"/>
  <c r="N831" i="37"/>
  <c r="AH828" i="37"/>
  <c r="AI828" i="37" s="1"/>
  <c r="AJ828" i="37" s="1"/>
  <c r="E828" i="37" l="1"/>
  <c r="AM828" i="37" s="1"/>
  <c r="AN828" i="37" s="1"/>
  <c r="AK828" i="37"/>
  <c r="S830" i="37"/>
  <c r="V830" i="37" s="1"/>
  <c r="Z830" i="37"/>
  <c r="N832" i="37"/>
  <c r="O831" i="37"/>
  <c r="AH829" i="37"/>
  <c r="AI829" i="37" s="1"/>
  <c r="AJ829" i="37" s="1"/>
  <c r="AH830" i="37" l="1"/>
  <c r="AI830" i="37" s="1"/>
  <c r="AJ830" i="37" s="1"/>
  <c r="E830" i="37" s="1"/>
  <c r="AM830" i="37" s="1"/>
  <c r="AN830" i="37" s="1"/>
  <c r="AK829" i="37"/>
  <c r="E829" i="37"/>
  <c r="AM829" i="37" s="1"/>
  <c r="AN829" i="37" s="1"/>
  <c r="O832" i="37"/>
  <c r="N833" i="37"/>
  <c r="S831" i="37"/>
  <c r="V831" i="37" s="1"/>
  <c r="Z831" i="37"/>
  <c r="AK830" i="37" l="1"/>
  <c r="Z832" i="37"/>
  <c r="S832" i="37"/>
  <c r="V832" i="37" s="1"/>
  <c r="AH831" i="37"/>
  <c r="AI831" i="37" s="1"/>
  <c r="AJ831" i="37" s="1"/>
  <c r="O833" i="37"/>
  <c r="N834" i="37"/>
  <c r="N835" i="37" l="1"/>
  <c r="O834" i="37"/>
  <c r="S833" i="37"/>
  <c r="V833" i="37" s="1"/>
  <c r="Z833" i="37"/>
  <c r="E831" i="37"/>
  <c r="AM831" i="37" s="1"/>
  <c r="AN831" i="37" s="1"/>
  <c r="AK831" i="37"/>
  <c r="AH832" i="37"/>
  <c r="AI832" i="37" s="1"/>
  <c r="AJ832" i="37" s="1"/>
  <c r="AH833" i="37" l="1"/>
  <c r="AI833" i="37" s="1"/>
  <c r="AJ833" i="37" s="1"/>
  <c r="Z834" i="37"/>
  <c r="S834" i="37"/>
  <c r="V834" i="37" s="1"/>
  <c r="E832" i="37"/>
  <c r="AM832" i="37" s="1"/>
  <c r="AN832" i="37" s="1"/>
  <c r="AK832" i="37"/>
  <c r="O835" i="37"/>
  <c r="N836" i="37"/>
  <c r="E833" i="37" l="1"/>
  <c r="AM833" i="37" s="1"/>
  <c r="AN833" i="37" s="1"/>
  <c r="AK833" i="37"/>
  <c r="Z835" i="37"/>
  <c r="S835" i="37"/>
  <c r="V835" i="37" s="1"/>
  <c r="O836" i="37"/>
  <c r="N837" i="37"/>
  <c r="AH834" i="37"/>
  <c r="AI834" i="37" s="1"/>
  <c r="AJ834" i="37" s="1"/>
  <c r="E834" i="37" l="1"/>
  <c r="AM834" i="37" s="1"/>
  <c r="AN834" i="37" s="1"/>
  <c r="AK834" i="37"/>
  <c r="N838" i="37"/>
  <c r="O837" i="37"/>
  <c r="S836" i="37"/>
  <c r="V836" i="37" s="1"/>
  <c r="Z836" i="37"/>
  <c r="AH835" i="37"/>
  <c r="AI835" i="37" s="1"/>
  <c r="AJ835" i="37" s="1"/>
  <c r="AH836" i="37" l="1"/>
  <c r="AI836" i="37" s="1"/>
  <c r="AJ836" i="37" s="1"/>
  <c r="E836" i="37" s="1"/>
  <c r="AM836" i="37" s="1"/>
  <c r="AN836" i="37" s="1"/>
  <c r="Z837" i="37"/>
  <c r="S837" i="37"/>
  <c r="V837" i="37" s="1"/>
  <c r="E835" i="37"/>
  <c r="AM835" i="37" s="1"/>
  <c r="AN835" i="37" s="1"/>
  <c r="AK835" i="37"/>
  <c r="O838" i="37"/>
  <c r="N839" i="37"/>
  <c r="AK836" i="37" l="1"/>
  <c r="AH837" i="37"/>
  <c r="AI837" i="37" s="1"/>
  <c r="AJ837" i="37" s="1"/>
  <c r="N840" i="37"/>
  <c r="O839" i="37"/>
  <c r="S838" i="37"/>
  <c r="V838" i="37" s="1"/>
  <c r="Z838" i="37"/>
  <c r="AH838" i="37" l="1"/>
  <c r="AI838" i="37" s="1"/>
  <c r="AJ838" i="37" s="1"/>
  <c r="E838" i="37" s="1"/>
  <c r="AM838" i="37" s="1"/>
  <c r="AN838" i="37" s="1"/>
  <c r="E837" i="37"/>
  <c r="AM837" i="37" s="1"/>
  <c r="AN837" i="37" s="1"/>
  <c r="AK837" i="37"/>
  <c r="S839" i="37"/>
  <c r="V839" i="37" s="1"/>
  <c r="Z839" i="37"/>
  <c r="N841" i="37"/>
  <c r="O840" i="37"/>
  <c r="AK838" i="37" l="1"/>
  <c r="AH839" i="37"/>
  <c r="AI839" i="37" s="1"/>
  <c r="AJ839" i="37" s="1"/>
  <c r="AK839" i="37" s="1"/>
  <c r="S840" i="37"/>
  <c r="V840" i="37" s="1"/>
  <c r="Z840" i="37"/>
  <c r="N842" i="37"/>
  <c r="O841" i="37"/>
  <c r="E839" i="37" l="1"/>
  <c r="AM839" i="37" s="1"/>
  <c r="AN839" i="37" s="1"/>
  <c r="AH840" i="37"/>
  <c r="AI840" i="37" s="1"/>
  <c r="AJ840" i="37" s="1"/>
  <c r="S841" i="37"/>
  <c r="V841" i="37" s="1"/>
  <c r="Z841" i="37"/>
  <c r="N843" i="37"/>
  <c r="O842" i="37"/>
  <c r="AH841" i="37" l="1"/>
  <c r="AI841" i="37" s="1"/>
  <c r="AJ841" i="37" s="1"/>
  <c r="AK841" i="37" s="1"/>
  <c r="AK840" i="37"/>
  <c r="E840" i="37"/>
  <c r="AM840" i="37" s="1"/>
  <c r="AN840" i="37" s="1"/>
  <c r="S842" i="37"/>
  <c r="V842" i="37" s="1"/>
  <c r="Z842" i="37"/>
  <c r="N844" i="37"/>
  <c r="O843" i="37"/>
  <c r="E841" i="37" l="1"/>
  <c r="AM841" i="37" s="1"/>
  <c r="AN841" i="37" s="1"/>
  <c r="AH842" i="37"/>
  <c r="AI842" i="37" s="1"/>
  <c r="AJ842" i="37" s="1"/>
  <c r="Z843" i="37"/>
  <c r="S843" i="37"/>
  <c r="V843" i="37" s="1"/>
  <c r="N845" i="37"/>
  <c r="O844" i="37"/>
  <c r="E842" i="37"/>
  <c r="AM842" i="37" s="1"/>
  <c r="AN842" i="37" s="1"/>
  <c r="AK842" i="37"/>
  <c r="Z844" i="37" l="1"/>
  <c r="S844" i="37"/>
  <c r="V844" i="37" s="1"/>
  <c r="N846" i="37"/>
  <c r="O845" i="37"/>
  <c r="AH843" i="37"/>
  <c r="AI843" i="37" s="1"/>
  <c r="AJ843" i="37" s="1"/>
  <c r="AK843" i="37" l="1"/>
  <c r="E843" i="37"/>
  <c r="AM843" i="37" s="1"/>
  <c r="AN843" i="37" s="1"/>
  <c r="O846" i="37"/>
  <c r="N847" i="37"/>
  <c r="Z845" i="37"/>
  <c r="S845" i="37"/>
  <c r="V845" i="37" s="1"/>
  <c r="AH844" i="37"/>
  <c r="AI844" i="37" s="1"/>
  <c r="AJ844" i="37" s="1"/>
  <c r="O847" i="37" l="1"/>
  <c r="N848" i="37"/>
  <c r="AK844" i="37"/>
  <c r="E844" i="37"/>
  <c r="AM844" i="37" s="1"/>
  <c r="AN844" i="37" s="1"/>
  <c r="AH845" i="37"/>
  <c r="AI845" i="37" s="1"/>
  <c r="AJ845" i="37" s="1"/>
  <c r="S846" i="37"/>
  <c r="V846" i="37" s="1"/>
  <c r="Z846" i="37"/>
  <c r="AH846" i="37" l="1"/>
  <c r="AI846" i="37" s="1"/>
  <c r="AJ846" i="37" s="1"/>
  <c r="E846" i="37" s="1"/>
  <c r="AM846" i="37" s="1"/>
  <c r="AN846" i="37" s="1"/>
  <c r="E845" i="37"/>
  <c r="AM845" i="37" s="1"/>
  <c r="AN845" i="37" s="1"/>
  <c r="AK845" i="37"/>
  <c r="N849" i="37"/>
  <c r="O848" i="37"/>
  <c r="S847" i="37"/>
  <c r="V847" i="37" s="1"/>
  <c r="Z847" i="37"/>
  <c r="AK846" i="37" l="1"/>
  <c r="AH847" i="37"/>
  <c r="AI847" i="37" s="1"/>
  <c r="AJ847" i="37" s="1"/>
  <c r="E847" i="37" s="1"/>
  <c r="AM847" i="37" s="1"/>
  <c r="AN847" i="37" s="1"/>
  <c r="S848" i="37"/>
  <c r="V848" i="37" s="1"/>
  <c r="Z848" i="37"/>
  <c r="O849" i="37"/>
  <c r="N850" i="37"/>
  <c r="AK847" i="37" l="1"/>
  <c r="AH848" i="37"/>
  <c r="AI848" i="37" s="1"/>
  <c r="AJ848" i="37" s="1"/>
  <c r="N851" i="37"/>
  <c r="O850" i="37"/>
  <c r="Z849" i="37"/>
  <c r="S849" i="37"/>
  <c r="V849" i="37" s="1"/>
  <c r="E848" i="37" l="1"/>
  <c r="AM848" i="37" s="1"/>
  <c r="AN848" i="37" s="1"/>
  <c r="AK848" i="37"/>
  <c r="S850" i="37"/>
  <c r="V850" i="37" s="1"/>
  <c r="Z850" i="37"/>
  <c r="AH850" i="37" s="1"/>
  <c r="AI850" i="37" s="1"/>
  <c r="AJ850" i="37" s="1"/>
  <c r="AH849" i="37"/>
  <c r="AI849" i="37" s="1"/>
  <c r="AJ849" i="37" s="1"/>
  <c r="N852" i="37"/>
  <c r="O851" i="37"/>
  <c r="S851" i="37" l="1"/>
  <c r="V851" i="37" s="1"/>
  <c r="Z851" i="37"/>
  <c r="AH851" i="37" s="1"/>
  <c r="AI851" i="37" s="1"/>
  <c r="AJ851" i="37" s="1"/>
  <c r="E850" i="37"/>
  <c r="AM850" i="37" s="1"/>
  <c r="AN850" i="37" s="1"/>
  <c r="AK850" i="37"/>
  <c r="N853" i="37"/>
  <c r="O852" i="37"/>
  <c r="E849" i="37"/>
  <c r="AM849" i="37" s="1"/>
  <c r="AN849" i="37" s="1"/>
  <c r="AK849" i="37"/>
  <c r="E851" i="37"/>
  <c r="AM851" i="37" s="1"/>
  <c r="AN851" i="37" s="1"/>
  <c r="AK851" i="37"/>
  <c r="S852" i="37" l="1"/>
  <c r="V852" i="37" s="1"/>
  <c r="Z852" i="37"/>
  <c r="AH852" i="37" s="1"/>
  <c r="AI852" i="37" s="1"/>
  <c r="AJ852" i="37" s="1"/>
  <c r="O853" i="37"/>
  <c r="N854" i="37"/>
  <c r="N855" i="37" l="1"/>
  <c r="O854" i="37"/>
  <c r="E852" i="37"/>
  <c r="AM852" i="37" s="1"/>
  <c r="AN852" i="37" s="1"/>
  <c r="AK852" i="37"/>
  <c r="S853" i="37"/>
  <c r="V853" i="37" s="1"/>
  <c r="Z853" i="37"/>
  <c r="AH853" i="37" l="1"/>
  <c r="AI853" i="37" s="1"/>
  <c r="AJ853" i="37" s="1"/>
  <c r="S854" i="37"/>
  <c r="V854" i="37" s="1"/>
  <c r="Z854" i="37"/>
  <c r="N856" i="37"/>
  <c r="O855" i="37"/>
  <c r="AH854" i="37" l="1"/>
  <c r="AI854" i="37" s="1"/>
  <c r="AJ854" i="37" s="1"/>
  <c r="E854" i="37" s="1"/>
  <c r="AM854" i="37" s="1"/>
  <c r="AN854" i="37" s="1"/>
  <c r="E853" i="37"/>
  <c r="AM853" i="37" s="1"/>
  <c r="AN853" i="37" s="1"/>
  <c r="AK853" i="37"/>
  <c r="Z855" i="37"/>
  <c r="S855" i="37"/>
  <c r="V855" i="37" s="1"/>
  <c r="N857" i="37"/>
  <c r="O856" i="37"/>
  <c r="AK854" i="37" l="1"/>
  <c r="O857" i="37"/>
  <c r="N858" i="37"/>
  <c r="Z856" i="37"/>
  <c r="S856" i="37"/>
  <c r="V856" i="37" s="1"/>
  <c r="AH855" i="37"/>
  <c r="AI855" i="37" s="1"/>
  <c r="AJ855" i="37" s="1"/>
  <c r="AH856" i="37" l="1"/>
  <c r="AI856" i="37" s="1"/>
  <c r="AJ856" i="37" s="1"/>
  <c r="E855" i="37"/>
  <c r="AM855" i="37" s="1"/>
  <c r="AN855" i="37" s="1"/>
  <c r="AK855" i="37"/>
  <c r="N859" i="37"/>
  <c r="O858" i="37"/>
  <c r="Z857" i="37"/>
  <c r="S857" i="37"/>
  <c r="V857" i="37" s="1"/>
  <c r="AH857" i="37" l="1"/>
  <c r="AI857" i="37" s="1"/>
  <c r="AJ857" i="37" s="1"/>
  <c r="E857" i="37" s="1"/>
  <c r="AM857" i="37" s="1"/>
  <c r="AN857" i="37" s="1"/>
  <c r="S858" i="37"/>
  <c r="V858" i="37" s="1"/>
  <c r="Z858" i="37"/>
  <c r="N860" i="37"/>
  <c r="O859" i="37"/>
  <c r="AK857" i="37"/>
  <c r="E856" i="37"/>
  <c r="AM856" i="37" s="1"/>
  <c r="AN856" i="37" s="1"/>
  <c r="AK856" i="37"/>
  <c r="AH858" i="37" l="1"/>
  <c r="AI858" i="37" s="1"/>
  <c r="AJ858" i="37" s="1"/>
  <c r="O860" i="37"/>
  <c r="N861" i="37"/>
  <c r="S859" i="37"/>
  <c r="V859" i="37" s="1"/>
  <c r="Z859" i="37"/>
  <c r="AH859" i="37" l="1"/>
  <c r="AI859" i="37" s="1"/>
  <c r="AJ859" i="37" s="1"/>
  <c r="E859" i="37" s="1"/>
  <c r="AM859" i="37" s="1"/>
  <c r="AN859" i="37" s="1"/>
  <c r="AK858" i="37"/>
  <c r="E858" i="37"/>
  <c r="AM858" i="37" s="1"/>
  <c r="AN858" i="37" s="1"/>
  <c r="N862" i="37"/>
  <c r="O861" i="37"/>
  <c r="S860" i="37"/>
  <c r="V860" i="37" s="1"/>
  <c r="Z860" i="37"/>
  <c r="AK859" i="37" l="1"/>
  <c r="AH860" i="37"/>
  <c r="AI860" i="37" s="1"/>
  <c r="AJ860" i="37" s="1"/>
  <c r="Z861" i="37"/>
  <c r="S861" i="37"/>
  <c r="V861" i="37" s="1"/>
  <c r="O862" i="37"/>
  <c r="N863" i="37"/>
  <c r="AK860" i="37"/>
  <c r="E860" i="37"/>
  <c r="AM860" i="37" s="1"/>
  <c r="AN860" i="37" s="1"/>
  <c r="AH861" i="37" l="1"/>
  <c r="AI861" i="37" s="1"/>
  <c r="AJ861" i="37" s="1"/>
  <c r="S862" i="37"/>
  <c r="V862" i="37" s="1"/>
  <c r="Z862" i="37"/>
  <c r="O863" i="37"/>
  <c r="N864" i="37"/>
  <c r="AH862" i="37" l="1"/>
  <c r="AI862" i="37" s="1"/>
  <c r="AJ862" i="37" s="1"/>
  <c r="AK861" i="37"/>
  <c r="E861" i="37"/>
  <c r="AM861" i="37" s="1"/>
  <c r="AN861" i="37" s="1"/>
  <c r="O864" i="37"/>
  <c r="N865" i="37"/>
  <c r="E862" i="37"/>
  <c r="AM862" i="37" s="1"/>
  <c r="AN862" i="37" s="1"/>
  <c r="AK862" i="37"/>
  <c r="Z863" i="37"/>
  <c r="S863" i="37"/>
  <c r="V863" i="37" s="1"/>
  <c r="AH863" i="37" l="1"/>
  <c r="AI863" i="37" s="1"/>
  <c r="AJ863" i="37" s="1"/>
  <c r="E863" i="37" s="1"/>
  <c r="AM863" i="37" s="1"/>
  <c r="AN863" i="37" s="1"/>
  <c r="O865" i="37"/>
  <c r="N866" i="37"/>
  <c r="Z864" i="37"/>
  <c r="S864" i="37"/>
  <c r="V864" i="37" s="1"/>
  <c r="AK863" i="37" l="1"/>
  <c r="O866" i="37"/>
  <c r="N867" i="37"/>
  <c r="S865" i="37"/>
  <c r="V865" i="37" s="1"/>
  <c r="Z865" i="37"/>
  <c r="AH864" i="37"/>
  <c r="AI864" i="37" s="1"/>
  <c r="AJ864" i="37" s="1"/>
  <c r="AH865" i="37" l="1"/>
  <c r="AI865" i="37" s="1"/>
  <c r="AJ865" i="37" s="1"/>
  <c r="E865" i="37" s="1"/>
  <c r="AM865" i="37" s="1"/>
  <c r="AN865" i="37" s="1"/>
  <c r="E864" i="37"/>
  <c r="AM864" i="37" s="1"/>
  <c r="AN864" i="37" s="1"/>
  <c r="AK864" i="37"/>
  <c r="O867" i="37"/>
  <c r="N868" i="37"/>
  <c r="Z866" i="37"/>
  <c r="S866" i="37"/>
  <c r="V866" i="37" s="1"/>
  <c r="AK865" i="37" l="1"/>
  <c r="AH866" i="37"/>
  <c r="AI866" i="37" s="1"/>
  <c r="AJ866" i="37" s="1"/>
  <c r="AK866" i="37" s="1"/>
  <c r="N869" i="37"/>
  <c r="O868" i="37"/>
  <c r="S867" i="37"/>
  <c r="V867" i="37" s="1"/>
  <c r="Z867" i="37"/>
  <c r="E866" i="37" l="1"/>
  <c r="AM866" i="37" s="1"/>
  <c r="AN866" i="37" s="1"/>
  <c r="AH867" i="37"/>
  <c r="AI867" i="37" s="1"/>
  <c r="AJ867" i="37" s="1"/>
  <c r="E867" i="37" s="1"/>
  <c r="AM867" i="37" s="1"/>
  <c r="AN867" i="37" s="1"/>
  <c r="S868" i="37"/>
  <c r="V868" i="37" s="1"/>
  <c r="Z868" i="37"/>
  <c r="O869" i="37"/>
  <c r="N870" i="37"/>
  <c r="AH868" i="37" l="1"/>
  <c r="AI868" i="37" s="1"/>
  <c r="AJ868" i="37" s="1"/>
  <c r="AK868" i="37" s="1"/>
  <c r="AK867" i="37"/>
  <c r="O870" i="37"/>
  <c r="N871" i="37"/>
  <c r="Z869" i="37"/>
  <c r="S869" i="37"/>
  <c r="V869" i="37" s="1"/>
  <c r="E868" i="37" l="1"/>
  <c r="AM868" i="37" s="1"/>
  <c r="AN868" i="37" s="1"/>
  <c r="AH869" i="37"/>
  <c r="AI869" i="37" s="1"/>
  <c r="AJ869" i="37" s="1"/>
  <c r="O871" i="37"/>
  <c r="N872" i="37"/>
  <c r="S870" i="37"/>
  <c r="V870" i="37" s="1"/>
  <c r="Z870" i="37"/>
  <c r="AH870" i="37" l="1"/>
  <c r="AI870" i="37" s="1"/>
  <c r="AJ870" i="37" s="1"/>
  <c r="E870" i="37" s="1"/>
  <c r="AM870" i="37" s="1"/>
  <c r="AN870" i="37" s="1"/>
  <c r="N873" i="37"/>
  <c r="O872" i="37"/>
  <c r="Z871" i="37"/>
  <c r="S871" i="37"/>
  <c r="V871" i="37" s="1"/>
  <c r="E869" i="37"/>
  <c r="AM869" i="37" s="1"/>
  <c r="AN869" i="37" s="1"/>
  <c r="AK869" i="37"/>
  <c r="AK870" i="37" l="1"/>
  <c r="S872" i="37"/>
  <c r="V872" i="37" s="1"/>
  <c r="Z872" i="37"/>
  <c r="AH871" i="37"/>
  <c r="AI871" i="37" s="1"/>
  <c r="AJ871" i="37" s="1"/>
  <c r="O873" i="37"/>
  <c r="N874" i="37"/>
  <c r="AH872" i="37" l="1"/>
  <c r="AI872" i="37" s="1"/>
  <c r="AJ872" i="37" s="1"/>
  <c r="AK872" i="37" s="1"/>
  <c r="S873" i="37"/>
  <c r="V873" i="37" s="1"/>
  <c r="Z873" i="37"/>
  <c r="O874" i="37"/>
  <c r="N875" i="37"/>
  <c r="AK871" i="37"/>
  <c r="E871" i="37"/>
  <c r="AM871" i="37" s="1"/>
  <c r="AN871" i="37" s="1"/>
  <c r="AH873" i="37" l="1"/>
  <c r="AI873" i="37" s="1"/>
  <c r="AJ873" i="37" s="1"/>
  <c r="E873" i="37" s="1"/>
  <c r="AM873" i="37" s="1"/>
  <c r="AN873" i="37" s="1"/>
  <c r="E872" i="37"/>
  <c r="AM872" i="37" s="1"/>
  <c r="AN872" i="37" s="1"/>
  <c r="N876" i="37"/>
  <c r="O875" i="37"/>
  <c r="S874" i="37"/>
  <c r="V874" i="37" s="1"/>
  <c r="Z874" i="37"/>
  <c r="AK873" i="37" l="1"/>
  <c r="AH874" i="37"/>
  <c r="AI874" i="37" s="1"/>
  <c r="AJ874" i="37" s="1"/>
  <c r="AK874" i="37" s="1"/>
  <c r="Z875" i="37"/>
  <c r="S875" i="37"/>
  <c r="V875" i="37" s="1"/>
  <c r="N877" i="37"/>
  <c r="O876" i="37"/>
  <c r="E874" i="37" l="1"/>
  <c r="AM874" i="37" s="1"/>
  <c r="AN874" i="37" s="1"/>
  <c r="N878" i="37"/>
  <c r="O877" i="37"/>
  <c r="S876" i="37"/>
  <c r="V876" i="37" s="1"/>
  <c r="Z876" i="37"/>
  <c r="AH875" i="37"/>
  <c r="AI875" i="37" s="1"/>
  <c r="AJ875" i="37" s="1"/>
  <c r="AH876" i="37" l="1"/>
  <c r="AI876" i="37" s="1"/>
  <c r="AJ876" i="37" s="1"/>
  <c r="AK876" i="37" s="1"/>
  <c r="E875" i="37"/>
  <c r="AM875" i="37" s="1"/>
  <c r="AN875" i="37" s="1"/>
  <c r="AK875" i="37"/>
  <c r="S877" i="37"/>
  <c r="V877" i="37" s="1"/>
  <c r="Z877" i="37"/>
  <c r="O878" i="37"/>
  <c r="N879" i="37"/>
  <c r="E876" i="37" l="1"/>
  <c r="AM876" i="37" s="1"/>
  <c r="AN876" i="37" s="1"/>
  <c r="AH877" i="37"/>
  <c r="AI877" i="37" s="1"/>
  <c r="AJ877" i="37" s="1"/>
  <c r="S878" i="37"/>
  <c r="V878" i="37" s="1"/>
  <c r="Z878" i="37"/>
  <c r="N880" i="37"/>
  <c r="O879" i="37"/>
  <c r="AH878" i="37" l="1"/>
  <c r="AI878" i="37" s="1"/>
  <c r="AJ878" i="37" s="1"/>
  <c r="E878" i="37" s="1"/>
  <c r="AM878" i="37" s="1"/>
  <c r="AN878" i="37" s="1"/>
  <c r="AK877" i="37"/>
  <c r="E877" i="37"/>
  <c r="AM877" i="37" s="1"/>
  <c r="AN877" i="37" s="1"/>
  <c r="Z879" i="37"/>
  <c r="S879" i="37"/>
  <c r="V879" i="37" s="1"/>
  <c r="O880" i="37"/>
  <c r="N881" i="37"/>
  <c r="AK878" i="37" l="1"/>
  <c r="AH879" i="37"/>
  <c r="AI879" i="37" s="1"/>
  <c r="AJ879" i="37" s="1"/>
  <c r="AK879" i="37" s="1"/>
  <c r="O881" i="37"/>
  <c r="N882" i="37"/>
  <c r="S880" i="37"/>
  <c r="V880" i="37" s="1"/>
  <c r="Z880" i="37"/>
  <c r="E879" i="37" l="1"/>
  <c r="AM879" i="37" s="1"/>
  <c r="AN879" i="37" s="1"/>
  <c r="AH880" i="37"/>
  <c r="AI880" i="37" s="1"/>
  <c r="AJ880" i="37" s="1"/>
  <c r="O882" i="37"/>
  <c r="N883" i="37"/>
  <c r="S881" i="37"/>
  <c r="V881" i="37" s="1"/>
  <c r="Z881" i="37"/>
  <c r="AH881" i="37" l="1"/>
  <c r="AI881" i="37" s="1"/>
  <c r="AJ881" i="37" s="1"/>
  <c r="AK881" i="37" s="1"/>
  <c r="E880" i="37"/>
  <c r="AM880" i="37" s="1"/>
  <c r="AN880" i="37" s="1"/>
  <c r="AK880" i="37"/>
  <c r="N884" i="37"/>
  <c r="O883" i="37"/>
  <c r="Z882" i="37"/>
  <c r="S882" i="37"/>
  <c r="V882" i="37" s="1"/>
  <c r="E881" i="37" l="1"/>
  <c r="AM881" i="37" s="1"/>
  <c r="AN881" i="37" s="1"/>
  <c r="O884" i="37"/>
  <c r="N885" i="37"/>
  <c r="S883" i="37"/>
  <c r="V883" i="37" s="1"/>
  <c r="Z883" i="37"/>
  <c r="AH882" i="37"/>
  <c r="AI882" i="37" s="1"/>
  <c r="AJ882" i="37" s="1"/>
  <c r="AH883" i="37" l="1"/>
  <c r="AI883" i="37" s="1"/>
  <c r="AJ883" i="37" s="1"/>
  <c r="AK883" i="37" s="1"/>
  <c r="E882" i="37"/>
  <c r="AM882" i="37" s="1"/>
  <c r="AN882" i="37" s="1"/>
  <c r="AK882" i="37"/>
  <c r="N886" i="37"/>
  <c r="O885" i="37"/>
  <c r="S884" i="37"/>
  <c r="V884" i="37" s="1"/>
  <c r="Z884" i="37"/>
  <c r="AH884" i="37" l="1"/>
  <c r="AI884" i="37" s="1"/>
  <c r="AJ884" i="37" s="1"/>
  <c r="E884" i="37" s="1"/>
  <c r="AM884" i="37" s="1"/>
  <c r="AN884" i="37" s="1"/>
  <c r="E883" i="37"/>
  <c r="AM883" i="37" s="1"/>
  <c r="AN883" i="37" s="1"/>
  <c r="S885" i="37"/>
  <c r="V885" i="37" s="1"/>
  <c r="Z885" i="37"/>
  <c r="O886" i="37"/>
  <c r="N887" i="37"/>
  <c r="AK884" i="37" l="1"/>
  <c r="AH885" i="37"/>
  <c r="AI885" i="37" s="1"/>
  <c r="AJ885" i="37" s="1"/>
  <c r="E885" i="37" s="1"/>
  <c r="AM885" i="37" s="1"/>
  <c r="AN885" i="37" s="1"/>
  <c r="N888" i="37"/>
  <c r="O887" i="37"/>
  <c r="S886" i="37"/>
  <c r="V886" i="37" s="1"/>
  <c r="Z886" i="37"/>
  <c r="AK885" i="37" l="1"/>
  <c r="AH886" i="37"/>
  <c r="AI886" i="37" s="1"/>
  <c r="AJ886" i="37" s="1"/>
  <c r="AK886" i="37" s="1"/>
  <c r="Z887" i="37"/>
  <c r="S887" i="37"/>
  <c r="V887" i="37" s="1"/>
  <c r="N889" i="37"/>
  <c r="O888" i="37"/>
  <c r="E886" i="37" l="1"/>
  <c r="AM886" i="37" s="1"/>
  <c r="AN886" i="37" s="1"/>
  <c r="Z888" i="37"/>
  <c r="S888" i="37"/>
  <c r="V888" i="37" s="1"/>
  <c r="N890" i="37"/>
  <c r="O889" i="37"/>
  <c r="AH887" i="37"/>
  <c r="AI887" i="37" s="1"/>
  <c r="AJ887" i="37" s="1"/>
  <c r="E887" i="37" l="1"/>
  <c r="AM887" i="37" s="1"/>
  <c r="AN887" i="37" s="1"/>
  <c r="AK887" i="37"/>
  <c r="N891" i="37"/>
  <c r="O890" i="37"/>
  <c r="S889" i="37"/>
  <c r="V889" i="37" s="1"/>
  <c r="Z889" i="37"/>
  <c r="AH889" i="37" s="1"/>
  <c r="AI889" i="37" s="1"/>
  <c r="AJ889" i="37" s="1"/>
  <c r="AH888" i="37"/>
  <c r="AI888" i="37" s="1"/>
  <c r="AJ888" i="37" s="1"/>
  <c r="E888" i="37" l="1"/>
  <c r="AM888" i="37" s="1"/>
  <c r="AN888" i="37" s="1"/>
  <c r="AK888" i="37"/>
  <c r="E889" i="37"/>
  <c r="AM889" i="37" s="1"/>
  <c r="AN889" i="37" s="1"/>
  <c r="AK889" i="37"/>
  <c r="O891" i="37"/>
  <c r="N892" i="37"/>
  <c r="S890" i="37"/>
  <c r="V890" i="37" s="1"/>
  <c r="Z890" i="37"/>
  <c r="AH890" i="37" l="1"/>
  <c r="AI890" i="37" s="1"/>
  <c r="AJ890" i="37" s="1"/>
  <c r="N893" i="37"/>
  <c r="O892" i="37"/>
  <c r="E890" i="37"/>
  <c r="AM890" i="37" s="1"/>
  <c r="AN890" i="37" s="1"/>
  <c r="AK890" i="37"/>
  <c r="Z891" i="37"/>
  <c r="S891" i="37"/>
  <c r="V891" i="37" s="1"/>
  <c r="S892" i="37" l="1"/>
  <c r="V892" i="37" s="1"/>
  <c r="Z892" i="37"/>
  <c r="AH891" i="37"/>
  <c r="AI891" i="37" s="1"/>
  <c r="AJ891" i="37" s="1"/>
  <c r="N894" i="37"/>
  <c r="O893" i="37"/>
  <c r="AH892" i="37" l="1"/>
  <c r="AI892" i="37" s="1"/>
  <c r="AJ892" i="37" s="1"/>
  <c r="E892" i="37" s="1"/>
  <c r="AM892" i="37" s="1"/>
  <c r="AN892" i="37" s="1"/>
  <c r="N895" i="37"/>
  <c r="O894" i="37"/>
  <c r="S893" i="37"/>
  <c r="V893" i="37" s="1"/>
  <c r="Z893" i="37"/>
  <c r="AH893" i="37" s="1"/>
  <c r="AI893" i="37" s="1"/>
  <c r="AJ893" i="37" s="1"/>
  <c r="E893" i="37" s="1"/>
  <c r="AM893" i="37" s="1"/>
  <c r="AN893" i="37" s="1"/>
  <c r="AK892" i="37"/>
  <c r="E891" i="37"/>
  <c r="AM891" i="37" s="1"/>
  <c r="AN891" i="37" s="1"/>
  <c r="AK891" i="37"/>
  <c r="AK893" i="37" l="1"/>
  <c r="S894" i="37"/>
  <c r="V894" i="37" s="1"/>
  <c r="Z894" i="37"/>
  <c r="AH894" i="37" s="1"/>
  <c r="AI894" i="37" s="1"/>
  <c r="AJ894" i="37" s="1"/>
  <c r="E894" i="37" s="1"/>
  <c r="AM894" i="37" s="1"/>
  <c r="AN894" i="37" s="1"/>
  <c r="O895" i="37"/>
  <c r="N896" i="37"/>
  <c r="AK894" i="37"/>
  <c r="N897" i="37" l="1"/>
  <c r="O896" i="37"/>
  <c r="S895" i="37"/>
  <c r="V895" i="37" s="1"/>
  <c r="Z895" i="37"/>
  <c r="AH895" i="37" s="1"/>
  <c r="AI895" i="37" s="1"/>
  <c r="AJ895" i="37" s="1"/>
  <c r="E895" i="37" s="1"/>
  <c r="AM895" i="37" s="1"/>
  <c r="AN895" i="37" s="1"/>
  <c r="AK895" i="37" l="1"/>
  <c r="S896" i="37"/>
  <c r="V896" i="37" s="1"/>
  <c r="Z896" i="37"/>
  <c r="O897" i="37"/>
  <c r="N898" i="37"/>
  <c r="AH896" i="37" l="1"/>
  <c r="AI896" i="37" s="1"/>
  <c r="AJ896" i="37" s="1"/>
  <c r="N899" i="37"/>
  <c r="O898" i="37"/>
  <c r="S897" i="37"/>
  <c r="V897" i="37" s="1"/>
  <c r="Z897" i="37"/>
  <c r="AH897" i="37" l="1"/>
  <c r="AI897" i="37" s="1"/>
  <c r="AJ897" i="37" s="1"/>
  <c r="E897" i="37" s="1"/>
  <c r="AM897" i="37" s="1"/>
  <c r="AN897" i="37" s="1"/>
  <c r="E896" i="37"/>
  <c r="AM896" i="37" s="1"/>
  <c r="AN896" i="37" s="1"/>
  <c r="AK896" i="37"/>
  <c r="S898" i="37"/>
  <c r="V898" i="37" s="1"/>
  <c r="Z898" i="37"/>
  <c r="N900" i="37"/>
  <c r="O899" i="37"/>
  <c r="AK897" i="37" l="1"/>
  <c r="AH898" i="37"/>
  <c r="AI898" i="37" s="1"/>
  <c r="AJ898" i="37" s="1"/>
  <c r="E898" i="37" s="1"/>
  <c r="AM898" i="37" s="1"/>
  <c r="AN898" i="37" s="1"/>
  <c r="S899" i="37"/>
  <c r="V899" i="37" s="1"/>
  <c r="Z899" i="37"/>
  <c r="N901" i="37"/>
  <c r="O900" i="37"/>
  <c r="AH899" i="37" l="1"/>
  <c r="AI899" i="37" s="1"/>
  <c r="AJ899" i="37" s="1"/>
  <c r="AK898" i="37"/>
  <c r="Z900" i="37"/>
  <c r="S900" i="37"/>
  <c r="V900" i="37" s="1"/>
  <c r="E899" i="37"/>
  <c r="AM899" i="37" s="1"/>
  <c r="AN899" i="37" s="1"/>
  <c r="AK899" i="37"/>
  <c r="N902" i="37"/>
  <c r="O901" i="37"/>
  <c r="S901" i="37" l="1"/>
  <c r="V901" i="37" s="1"/>
  <c r="Z901" i="37"/>
  <c r="O902" i="37"/>
  <c r="N903" i="37"/>
  <c r="AH900" i="37"/>
  <c r="AI900" i="37" s="1"/>
  <c r="AJ900" i="37" s="1"/>
  <c r="AH901" i="37" l="1"/>
  <c r="AI901" i="37" s="1"/>
  <c r="AJ901" i="37" s="1"/>
  <c r="AK900" i="37"/>
  <c r="E900" i="37"/>
  <c r="AM900" i="37" s="1"/>
  <c r="AN900" i="37" s="1"/>
  <c r="Z902" i="37"/>
  <c r="S902" i="37"/>
  <c r="V902" i="37" s="1"/>
  <c r="N904" i="37"/>
  <c r="O903" i="37"/>
  <c r="AK901" i="37" l="1"/>
  <c r="E901" i="37"/>
  <c r="AM901" i="37" s="1"/>
  <c r="AN901" i="37" s="1"/>
  <c r="S903" i="37"/>
  <c r="V903" i="37" s="1"/>
  <c r="Z903" i="37"/>
  <c r="O904" i="37"/>
  <c r="N905" i="37"/>
  <c r="AH902" i="37"/>
  <c r="AI902" i="37" s="1"/>
  <c r="AJ902" i="37" s="1"/>
  <c r="AH903" i="37" l="1"/>
  <c r="AI903" i="37" s="1"/>
  <c r="AJ903" i="37" s="1"/>
  <c r="AK903" i="37" s="1"/>
  <c r="O905" i="37"/>
  <c r="N906" i="37"/>
  <c r="AK902" i="37"/>
  <c r="E902" i="37"/>
  <c r="AM902" i="37" s="1"/>
  <c r="AN902" i="37" s="1"/>
  <c r="Z904" i="37"/>
  <c r="S904" i="37"/>
  <c r="V904" i="37" s="1"/>
  <c r="E903" i="37" l="1"/>
  <c r="AM903" i="37" s="1"/>
  <c r="AN903" i="37" s="1"/>
  <c r="AH904" i="37"/>
  <c r="AI904" i="37" s="1"/>
  <c r="AJ904" i="37" s="1"/>
  <c r="O906" i="37"/>
  <c r="N907" i="37"/>
  <c r="Z905" i="37"/>
  <c r="S905" i="37"/>
  <c r="V905" i="37" s="1"/>
  <c r="AH905" i="37" l="1"/>
  <c r="AI905" i="37" s="1"/>
  <c r="AJ905" i="37" s="1"/>
  <c r="S906" i="37"/>
  <c r="V906" i="37" s="1"/>
  <c r="Z906" i="37"/>
  <c r="O907" i="37"/>
  <c r="N908" i="37"/>
  <c r="E904" i="37"/>
  <c r="AM904" i="37" s="1"/>
  <c r="AN904" i="37" s="1"/>
  <c r="AK904" i="37"/>
  <c r="AH906" i="37" l="1"/>
  <c r="AI906" i="37" s="1"/>
  <c r="AJ906" i="37" s="1"/>
  <c r="E906" i="37" s="1"/>
  <c r="AM906" i="37" s="1"/>
  <c r="AN906" i="37" s="1"/>
  <c r="O908" i="37"/>
  <c r="N909" i="37"/>
  <c r="S907" i="37"/>
  <c r="V907" i="37" s="1"/>
  <c r="Z907" i="37"/>
  <c r="AK905" i="37"/>
  <c r="E905" i="37"/>
  <c r="AM905" i="37" s="1"/>
  <c r="AN905" i="37" s="1"/>
  <c r="AK906" i="37" l="1"/>
  <c r="AH907" i="37"/>
  <c r="AI907" i="37" s="1"/>
  <c r="AJ907" i="37" s="1"/>
  <c r="E907" i="37" s="1"/>
  <c r="AM907" i="37" s="1"/>
  <c r="AN907" i="37" s="1"/>
  <c r="N910" i="37"/>
  <c r="O909" i="37"/>
  <c r="S908" i="37"/>
  <c r="V908" i="37" s="1"/>
  <c r="Z908" i="37"/>
  <c r="AH908" i="37" l="1"/>
  <c r="AI908" i="37" s="1"/>
  <c r="AJ908" i="37" s="1"/>
  <c r="AK908" i="37" s="1"/>
  <c r="AK907" i="37"/>
  <c r="S909" i="37"/>
  <c r="V909" i="37" s="1"/>
  <c r="Z909" i="37"/>
  <c r="N911" i="37"/>
  <c r="O910" i="37"/>
  <c r="E908" i="37" l="1"/>
  <c r="AM908" i="37" s="1"/>
  <c r="AN908" i="37" s="1"/>
  <c r="S910" i="37"/>
  <c r="V910" i="37" s="1"/>
  <c r="Z910" i="37"/>
  <c r="O911" i="37"/>
  <c r="N912" i="37"/>
  <c r="AH909" i="37"/>
  <c r="AI909" i="37" s="1"/>
  <c r="AJ909" i="37" s="1"/>
  <c r="AH910" i="37" l="1"/>
  <c r="AI910" i="37" s="1"/>
  <c r="AJ910" i="37" s="1"/>
  <c r="E910" i="37" s="1"/>
  <c r="AM910" i="37" s="1"/>
  <c r="AN910" i="37" s="1"/>
  <c r="O912" i="37"/>
  <c r="N913" i="37"/>
  <c r="AK909" i="37"/>
  <c r="E909" i="37"/>
  <c r="AM909" i="37" s="1"/>
  <c r="AN909" i="37" s="1"/>
  <c r="Z911" i="37"/>
  <c r="S911" i="37"/>
  <c r="V911" i="37" s="1"/>
  <c r="AK910" i="37" l="1"/>
  <c r="AH911" i="37"/>
  <c r="AI911" i="37" s="1"/>
  <c r="AJ911" i="37" s="1"/>
  <c r="N914" i="37"/>
  <c r="O913" i="37"/>
  <c r="Z912" i="37"/>
  <c r="S912" i="37"/>
  <c r="V912" i="37" s="1"/>
  <c r="AH912" i="37" l="1"/>
  <c r="AI912" i="37" s="1"/>
  <c r="AJ912" i="37" s="1"/>
  <c r="O914" i="37"/>
  <c r="N915" i="37"/>
  <c r="Z913" i="37"/>
  <c r="S913" i="37"/>
  <c r="V913" i="37" s="1"/>
  <c r="AK911" i="37"/>
  <c r="E911" i="37"/>
  <c r="AM911" i="37" s="1"/>
  <c r="AN911" i="37" s="1"/>
  <c r="AH913" i="37" l="1"/>
  <c r="AI913" i="37" s="1"/>
  <c r="AJ913" i="37" s="1"/>
  <c r="Z914" i="37"/>
  <c r="S914" i="37"/>
  <c r="V914" i="37" s="1"/>
  <c r="N916" i="37"/>
  <c r="O915" i="37"/>
  <c r="AK912" i="37"/>
  <c r="E912" i="37"/>
  <c r="AM912" i="37" s="1"/>
  <c r="AN912" i="37" s="1"/>
  <c r="AH914" i="37" l="1"/>
  <c r="AI914" i="37" s="1"/>
  <c r="AJ914" i="37" s="1"/>
  <c r="E913" i="37"/>
  <c r="AM913" i="37" s="1"/>
  <c r="AN913" i="37" s="1"/>
  <c r="AK913" i="37"/>
  <c r="Z915" i="37"/>
  <c r="S915" i="37"/>
  <c r="V915" i="37" s="1"/>
  <c r="O916" i="37"/>
  <c r="N917" i="37"/>
  <c r="AK914" i="37" l="1"/>
  <c r="E914" i="37"/>
  <c r="AM914" i="37" s="1"/>
  <c r="AN914" i="37" s="1"/>
  <c r="AH915" i="37"/>
  <c r="AI915" i="37" s="1"/>
  <c r="AJ915" i="37" s="1"/>
  <c r="Z916" i="37"/>
  <c r="S916" i="37"/>
  <c r="V916" i="37" s="1"/>
  <c r="O917" i="37"/>
  <c r="N918" i="37"/>
  <c r="AK915" i="37" l="1"/>
  <c r="E915" i="37"/>
  <c r="AM915" i="37" s="1"/>
  <c r="AN915" i="37" s="1"/>
  <c r="S917" i="37"/>
  <c r="V917" i="37" s="1"/>
  <c r="Z917" i="37"/>
  <c r="N919" i="37"/>
  <c r="O918" i="37"/>
  <c r="AH916" i="37"/>
  <c r="AI916" i="37" s="1"/>
  <c r="AJ916" i="37" s="1"/>
  <c r="AH917" i="37" l="1"/>
  <c r="AI917" i="37" s="1"/>
  <c r="AJ917" i="37" s="1"/>
  <c r="AK917" i="37" s="1"/>
  <c r="E916" i="37"/>
  <c r="AM916" i="37" s="1"/>
  <c r="AN916" i="37" s="1"/>
  <c r="AK916" i="37"/>
  <c r="O919" i="37"/>
  <c r="N920" i="37"/>
  <c r="Z918" i="37"/>
  <c r="S918" i="37"/>
  <c r="V918" i="37" s="1"/>
  <c r="E917" i="37" l="1"/>
  <c r="AM917" i="37" s="1"/>
  <c r="AN917" i="37" s="1"/>
  <c r="Z919" i="37"/>
  <c r="S919" i="37"/>
  <c r="V919" i="37" s="1"/>
  <c r="AH918" i="37"/>
  <c r="AI918" i="37" s="1"/>
  <c r="AJ918" i="37" s="1"/>
  <c r="N921" i="37"/>
  <c r="O920" i="37"/>
  <c r="S920" i="37" l="1"/>
  <c r="V920" i="37" s="1"/>
  <c r="Z920" i="37"/>
  <c r="AH920" i="37" s="1"/>
  <c r="AI920" i="37" s="1"/>
  <c r="AJ920" i="37" s="1"/>
  <c r="O921" i="37"/>
  <c r="N922" i="37"/>
  <c r="AK918" i="37"/>
  <c r="E918" i="37"/>
  <c r="AM918" i="37" s="1"/>
  <c r="AN918" i="37" s="1"/>
  <c r="AH919" i="37"/>
  <c r="AI919" i="37" s="1"/>
  <c r="AJ919" i="37" s="1"/>
  <c r="O922" i="37" l="1"/>
  <c r="N923" i="37"/>
  <c r="AK919" i="37"/>
  <c r="E919" i="37"/>
  <c r="AM919" i="37" s="1"/>
  <c r="AN919" i="37" s="1"/>
  <c r="E920" i="37"/>
  <c r="AM920" i="37" s="1"/>
  <c r="AN920" i="37" s="1"/>
  <c r="AK920" i="37"/>
  <c r="S921" i="37"/>
  <c r="V921" i="37" s="1"/>
  <c r="Z921" i="37"/>
  <c r="AH921" i="37" l="1"/>
  <c r="AI921" i="37" s="1"/>
  <c r="AJ921" i="37" s="1"/>
  <c r="AK921" i="37" s="1"/>
  <c r="N924" i="37"/>
  <c r="O923" i="37"/>
  <c r="Z922" i="37"/>
  <c r="S922" i="37"/>
  <c r="V922" i="37" s="1"/>
  <c r="E921" i="37" l="1"/>
  <c r="AM921" i="37" s="1"/>
  <c r="AN921" i="37" s="1"/>
  <c r="AH922" i="37"/>
  <c r="AI922" i="37" s="1"/>
  <c r="AJ922" i="37" s="1"/>
  <c r="S923" i="37"/>
  <c r="V923" i="37" s="1"/>
  <c r="Z923" i="37"/>
  <c r="O924" i="37"/>
  <c r="N925" i="37"/>
  <c r="AH923" i="37" l="1"/>
  <c r="AI923" i="37" s="1"/>
  <c r="AJ923" i="37" s="1"/>
  <c r="E923" i="37" s="1"/>
  <c r="AM923" i="37" s="1"/>
  <c r="AN923" i="37" s="1"/>
  <c r="N926" i="37"/>
  <c r="O925" i="37"/>
  <c r="AK923" i="37"/>
  <c r="S924" i="37"/>
  <c r="V924" i="37" s="1"/>
  <c r="Z924" i="37"/>
  <c r="E922" i="37"/>
  <c r="AM922" i="37" s="1"/>
  <c r="AN922" i="37" s="1"/>
  <c r="AK922" i="37"/>
  <c r="AH924" i="37" l="1"/>
  <c r="AI924" i="37" s="1"/>
  <c r="AJ924" i="37" s="1"/>
  <c r="E924" i="37" s="1"/>
  <c r="AM924" i="37" s="1"/>
  <c r="AN924" i="37" s="1"/>
  <c r="Z925" i="37"/>
  <c r="S925" i="37"/>
  <c r="V925" i="37" s="1"/>
  <c r="N927" i="37"/>
  <c r="O926" i="37"/>
  <c r="AK924" i="37" l="1"/>
  <c r="O927" i="37"/>
  <c r="N928" i="37"/>
  <c r="S926" i="37"/>
  <c r="V926" i="37" s="1"/>
  <c r="Z926" i="37"/>
  <c r="AH925" i="37"/>
  <c r="AI925" i="37" s="1"/>
  <c r="AJ925" i="37" s="1"/>
  <c r="AH926" i="37" l="1"/>
  <c r="AI926" i="37" s="1"/>
  <c r="AJ926" i="37" s="1"/>
  <c r="E926" i="37" s="1"/>
  <c r="AM926" i="37" s="1"/>
  <c r="AN926" i="37" s="1"/>
  <c r="AK925" i="37"/>
  <c r="E925" i="37"/>
  <c r="AM925" i="37" s="1"/>
  <c r="AN925" i="37" s="1"/>
  <c r="O928" i="37"/>
  <c r="N929" i="37"/>
  <c r="S927" i="37"/>
  <c r="V927" i="37" s="1"/>
  <c r="Z927" i="37"/>
  <c r="AK926" i="37" l="1"/>
  <c r="AH927" i="37"/>
  <c r="AI927" i="37" s="1"/>
  <c r="AJ927" i="37" s="1"/>
  <c r="E927" i="37" s="1"/>
  <c r="AM927" i="37" s="1"/>
  <c r="AN927" i="37" s="1"/>
  <c r="O929" i="37"/>
  <c r="N930" i="37"/>
  <c r="S928" i="37"/>
  <c r="V928" i="37" s="1"/>
  <c r="Z928" i="37"/>
  <c r="AK927" i="37" l="1"/>
  <c r="AH928" i="37"/>
  <c r="AI928" i="37" s="1"/>
  <c r="AJ928" i="37" s="1"/>
  <c r="N931" i="37"/>
  <c r="O930" i="37"/>
  <c r="S929" i="37"/>
  <c r="V929" i="37" s="1"/>
  <c r="Z929" i="37"/>
  <c r="AH929" i="37" l="1"/>
  <c r="AI929" i="37" s="1"/>
  <c r="AJ929" i="37" s="1"/>
  <c r="E929" i="37" s="1"/>
  <c r="AM929" i="37" s="1"/>
  <c r="AN929" i="37" s="1"/>
  <c r="E928" i="37"/>
  <c r="AM928" i="37" s="1"/>
  <c r="AN928" i="37" s="1"/>
  <c r="AK928" i="37"/>
  <c r="Z930" i="37"/>
  <c r="S930" i="37"/>
  <c r="V930" i="37" s="1"/>
  <c r="O931" i="37"/>
  <c r="N932" i="37"/>
  <c r="AK929" i="37" l="1"/>
  <c r="O932" i="37"/>
  <c r="N933" i="37"/>
  <c r="S931" i="37"/>
  <c r="V931" i="37" s="1"/>
  <c r="Z931" i="37"/>
  <c r="AH930" i="37"/>
  <c r="AI930" i="37" s="1"/>
  <c r="AJ930" i="37" s="1"/>
  <c r="AH931" i="37" l="1"/>
  <c r="AI931" i="37" s="1"/>
  <c r="AJ931" i="37" s="1"/>
  <c r="E931" i="37" s="1"/>
  <c r="AM931" i="37" s="1"/>
  <c r="AN931" i="37" s="1"/>
  <c r="AK930" i="37"/>
  <c r="E930" i="37"/>
  <c r="AM930" i="37" s="1"/>
  <c r="AN930" i="37" s="1"/>
  <c r="O933" i="37"/>
  <c r="N934" i="37"/>
  <c r="Z932" i="37"/>
  <c r="S932" i="37"/>
  <c r="V932" i="37" s="1"/>
  <c r="AK931" i="37" l="1"/>
  <c r="AH932" i="37"/>
  <c r="AI932" i="37" s="1"/>
  <c r="AJ932" i="37" s="1"/>
  <c r="AK932" i="37" s="1"/>
  <c r="O934" i="37"/>
  <c r="N935" i="37"/>
  <c r="S933" i="37"/>
  <c r="V933" i="37" s="1"/>
  <c r="Z933" i="37"/>
  <c r="E932" i="37" l="1"/>
  <c r="AM932" i="37" s="1"/>
  <c r="AN932" i="37" s="1"/>
  <c r="S934" i="37"/>
  <c r="V934" i="37" s="1"/>
  <c r="Z934" i="37"/>
  <c r="AH933" i="37"/>
  <c r="AI933" i="37" s="1"/>
  <c r="AJ933" i="37" s="1"/>
  <c r="O935" i="37"/>
  <c r="N936" i="37"/>
  <c r="AH934" i="37" l="1"/>
  <c r="AI934" i="37" s="1"/>
  <c r="AJ934" i="37" s="1"/>
  <c r="N937" i="37"/>
  <c r="O936" i="37"/>
  <c r="E934" i="37"/>
  <c r="AM934" i="37" s="1"/>
  <c r="AN934" i="37" s="1"/>
  <c r="AK934" i="37"/>
  <c r="S935" i="37"/>
  <c r="V935" i="37" s="1"/>
  <c r="Z935" i="37"/>
  <c r="E933" i="37"/>
  <c r="AM933" i="37" s="1"/>
  <c r="AN933" i="37" s="1"/>
  <c r="AK933" i="37"/>
  <c r="AH935" i="37" l="1"/>
  <c r="AI935" i="37" s="1"/>
  <c r="AJ935" i="37" s="1"/>
  <c r="E935" i="37" s="1"/>
  <c r="AM935" i="37" s="1"/>
  <c r="AN935" i="37" s="1"/>
  <c r="Z936" i="37"/>
  <c r="S936" i="37"/>
  <c r="V936" i="37" s="1"/>
  <c r="N938" i="37"/>
  <c r="O937" i="37"/>
  <c r="AK935" i="37" l="1"/>
  <c r="N939" i="37"/>
  <c r="O938" i="37"/>
  <c r="S937" i="37"/>
  <c r="V937" i="37" s="1"/>
  <c r="Z937" i="37"/>
  <c r="AH936" i="37"/>
  <c r="AI936" i="37" s="1"/>
  <c r="AJ936" i="37" s="1"/>
  <c r="AH937" i="37" l="1"/>
  <c r="AI937" i="37" s="1"/>
  <c r="AJ937" i="37" s="1"/>
  <c r="E937" i="37" s="1"/>
  <c r="AM937" i="37" s="1"/>
  <c r="AN937" i="37" s="1"/>
  <c r="E936" i="37"/>
  <c r="AM936" i="37" s="1"/>
  <c r="AN936" i="37" s="1"/>
  <c r="AK936" i="37"/>
  <c r="S938" i="37"/>
  <c r="V938" i="37" s="1"/>
  <c r="Z938" i="37"/>
  <c r="O939" i="37"/>
  <c r="N940" i="37"/>
  <c r="AK937" i="37" l="1"/>
  <c r="AH938" i="37"/>
  <c r="AI938" i="37" s="1"/>
  <c r="AJ938" i="37" s="1"/>
  <c r="O940" i="37"/>
  <c r="N941" i="37"/>
  <c r="E938" i="37"/>
  <c r="AM938" i="37" s="1"/>
  <c r="AN938" i="37" s="1"/>
  <c r="AK938" i="37"/>
  <c r="S939" i="37"/>
  <c r="V939" i="37" s="1"/>
  <c r="Z939" i="37"/>
  <c r="AH939" i="37" l="1"/>
  <c r="AI939" i="37" s="1"/>
  <c r="AJ939" i="37" s="1"/>
  <c r="E939" i="37" s="1"/>
  <c r="AM939" i="37" s="1"/>
  <c r="AN939" i="37" s="1"/>
  <c r="N942" i="37"/>
  <c r="O941" i="37"/>
  <c r="S940" i="37"/>
  <c r="V940" i="37" s="1"/>
  <c r="Z940" i="37"/>
  <c r="AK939" i="37" l="1"/>
  <c r="AH940" i="37"/>
  <c r="AI940" i="37" s="1"/>
  <c r="AJ940" i="37" s="1"/>
  <c r="E940" i="37" s="1"/>
  <c r="AM940" i="37" s="1"/>
  <c r="AN940" i="37" s="1"/>
  <c r="O942" i="37"/>
  <c r="N943" i="37"/>
  <c r="S941" i="37"/>
  <c r="V941" i="37" s="1"/>
  <c r="Z941" i="37"/>
  <c r="AK940" i="37" l="1"/>
  <c r="AH941" i="37"/>
  <c r="AI941" i="37" s="1"/>
  <c r="AJ941" i="37" s="1"/>
  <c r="O943" i="37"/>
  <c r="N944" i="37"/>
  <c r="S942" i="37"/>
  <c r="V942" i="37" s="1"/>
  <c r="Z942" i="37"/>
  <c r="AH942" i="37" l="1"/>
  <c r="AI942" i="37" s="1"/>
  <c r="AJ942" i="37" s="1"/>
  <c r="AK942" i="37" s="1"/>
  <c r="S943" i="37"/>
  <c r="V943" i="37" s="1"/>
  <c r="Z943" i="37"/>
  <c r="O944" i="37"/>
  <c r="N945" i="37"/>
  <c r="AK941" i="37"/>
  <c r="E941" i="37"/>
  <c r="AM941" i="37" s="1"/>
  <c r="AN941" i="37" s="1"/>
  <c r="E942" i="37" l="1"/>
  <c r="AM942" i="37" s="1"/>
  <c r="AN942" i="37" s="1"/>
  <c r="AH943" i="37"/>
  <c r="AI943" i="37" s="1"/>
  <c r="AJ943" i="37" s="1"/>
  <c r="O945" i="37"/>
  <c r="N946" i="37"/>
  <c r="S944" i="37"/>
  <c r="V944" i="37" s="1"/>
  <c r="Z944" i="37"/>
  <c r="E943" i="37" l="1"/>
  <c r="AM943" i="37" s="1"/>
  <c r="AN943" i="37" s="1"/>
  <c r="AK943" i="37"/>
  <c r="AH944" i="37"/>
  <c r="AI944" i="37" s="1"/>
  <c r="AJ944" i="37" s="1"/>
  <c r="E944" i="37" s="1"/>
  <c r="AM944" i="37" s="1"/>
  <c r="AN944" i="37" s="1"/>
  <c r="O946" i="37"/>
  <c r="N947" i="37"/>
  <c r="S945" i="37"/>
  <c r="V945" i="37" s="1"/>
  <c r="Z945" i="37"/>
  <c r="AK944" i="37" l="1"/>
  <c r="AH945" i="37"/>
  <c r="AI945" i="37" s="1"/>
  <c r="AJ945" i="37" s="1"/>
  <c r="E945" i="37" s="1"/>
  <c r="AM945" i="37" s="1"/>
  <c r="AN945" i="37" s="1"/>
  <c r="N948" i="37"/>
  <c r="O947" i="37"/>
  <c r="Z946" i="37"/>
  <c r="S946" i="37"/>
  <c r="V946" i="37" s="1"/>
  <c r="AK945" i="37" l="1"/>
  <c r="AH946" i="37"/>
  <c r="AI946" i="37" s="1"/>
  <c r="AJ946" i="37" s="1"/>
  <c r="E946" i="37" s="1"/>
  <c r="AM946" i="37" s="1"/>
  <c r="AN946" i="37" s="1"/>
  <c r="O948" i="37"/>
  <c r="N949" i="37"/>
  <c r="S947" i="37"/>
  <c r="V947" i="37" s="1"/>
  <c r="Z947" i="37"/>
  <c r="AK946" i="37" l="1"/>
  <c r="AH947" i="37"/>
  <c r="AI947" i="37" s="1"/>
  <c r="AJ947" i="37" s="1"/>
  <c r="AK947" i="37" s="1"/>
  <c r="S948" i="37"/>
  <c r="V948" i="37" s="1"/>
  <c r="Z948" i="37"/>
  <c r="O949" i="37"/>
  <c r="N950" i="37"/>
  <c r="E947" i="37" l="1"/>
  <c r="AM947" i="37" s="1"/>
  <c r="AN947" i="37" s="1"/>
  <c r="AH948" i="37"/>
  <c r="AI948" i="37" s="1"/>
  <c r="AJ948" i="37" s="1"/>
  <c r="E948" i="37" s="1"/>
  <c r="AM948" i="37" s="1"/>
  <c r="AN948" i="37" s="1"/>
  <c r="O950" i="37"/>
  <c r="N951" i="37"/>
  <c r="AK948" i="37"/>
  <c r="S949" i="37"/>
  <c r="V949" i="37" s="1"/>
  <c r="Z949" i="37"/>
  <c r="AH949" i="37" l="1"/>
  <c r="AI949" i="37" s="1"/>
  <c r="AJ949" i="37" s="1"/>
  <c r="E949" i="37" s="1"/>
  <c r="AM949" i="37" s="1"/>
  <c r="AN949" i="37" s="1"/>
  <c r="O951" i="37"/>
  <c r="N952" i="37"/>
  <c r="Z950" i="37"/>
  <c r="S950" i="37"/>
  <c r="V950" i="37" s="1"/>
  <c r="AK949" i="37" l="1"/>
  <c r="AH950" i="37"/>
  <c r="AI950" i="37" s="1"/>
  <c r="AJ950" i="37" s="1"/>
  <c r="E950" i="37" s="1"/>
  <c r="AM950" i="37" s="1"/>
  <c r="AN950" i="37" s="1"/>
  <c r="S951" i="37"/>
  <c r="V951" i="37" s="1"/>
  <c r="Z951" i="37"/>
  <c r="N953" i="37"/>
  <c r="O952" i="37"/>
  <c r="AH951" i="37" l="1"/>
  <c r="AI951" i="37" s="1"/>
  <c r="AJ951" i="37" s="1"/>
  <c r="AK950" i="37"/>
  <c r="Z952" i="37"/>
  <c r="S952" i="37"/>
  <c r="V952" i="37" s="1"/>
  <c r="O953" i="37"/>
  <c r="N954" i="37"/>
  <c r="E951" i="37" l="1"/>
  <c r="AM951" i="37" s="1"/>
  <c r="AN951" i="37" s="1"/>
  <c r="AK951" i="37"/>
  <c r="N955" i="37"/>
  <c r="O954" i="37"/>
  <c r="S953" i="37"/>
  <c r="V953" i="37" s="1"/>
  <c r="Z953" i="37"/>
  <c r="AH953" i="37" s="1"/>
  <c r="AI953" i="37" s="1"/>
  <c r="AJ953" i="37" s="1"/>
  <c r="AH952" i="37"/>
  <c r="AI952" i="37" s="1"/>
  <c r="AJ952" i="37" s="1"/>
  <c r="AK952" i="37" l="1"/>
  <c r="E952" i="37"/>
  <c r="AM952" i="37" s="1"/>
  <c r="AN952" i="37" s="1"/>
  <c r="Z954" i="37"/>
  <c r="S954" i="37"/>
  <c r="V954" i="37" s="1"/>
  <c r="E953" i="37"/>
  <c r="AM953" i="37" s="1"/>
  <c r="AN953" i="37" s="1"/>
  <c r="AK953" i="37"/>
  <c r="O955" i="37"/>
  <c r="N956" i="37"/>
  <c r="O956" i="37" l="1"/>
  <c r="N957" i="37"/>
  <c r="S955" i="37"/>
  <c r="V955" i="37" s="1"/>
  <c r="Z955" i="37"/>
  <c r="AH954" i="37"/>
  <c r="AI954" i="37" s="1"/>
  <c r="AJ954" i="37" s="1"/>
  <c r="AH955" i="37" l="1"/>
  <c r="AI955" i="37" s="1"/>
  <c r="AJ955" i="37" s="1"/>
  <c r="AK955" i="37" s="1"/>
  <c r="E954" i="37"/>
  <c r="AM954" i="37" s="1"/>
  <c r="AN954" i="37" s="1"/>
  <c r="AK954" i="37"/>
  <c r="N958" i="37"/>
  <c r="O957" i="37"/>
  <c r="S956" i="37"/>
  <c r="V956" i="37" s="1"/>
  <c r="Z956" i="37"/>
  <c r="E955" i="37" l="1"/>
  <c r="AM955" i="37" s="1"/>
  <c r="AN955" i="37" s="1"/>
  <c r="AH956" i="37"/>
  <c r="AI956" i="37" s="1"/>
  <c r="AJ956" i="37" s="1"/>
  <c r="E956" i="37" s="1"/>
  <c r="AM956" i="37" s="1"/>
  <c r="AN956" i="37" s="1"/>
  <c r="Z957" i="37"/>
  <c r="S957" i="37"/>
  <c r="V957" i="37" s="1"/>
  <c r="N959" i="37"/>
  <c r="O958" i="37"/>
  <c r="AK956" i="37" l="1"/>
  <c r="Z958" i="37"/>
  <c r="S958" i="37"/>
  <c r="V958" i="37" s="1"/>
  <c r="O959" i="37"/>
  <c r="N960" i="37"/>
  <c r="AH957" i="37"/>
  <c r="AI957" i="37" s="1"/>
  <c r="AJ957" i="37" s="1"/>
  <c r="E957" i="37" l="1"/>
  <c r="AM957" i="37" s="1"/>
  <c r="AN957" i="37" s="1"/>
  <c r="AK957" i="37"/>
  <c r="N961" i="37"/>
  <c r="O960" i="37"/>
  <c r="S959" i="37"/>
  <c r="V959" i="37" s="1"/>
  <c r="Z959" i="37"/>
  <c r="AH958" i="37"/>
  <c r="AI958" i="37" s="1"/>
  <c r="AJ958" i="37" s="1"/>
  <c r="AK958" i="37" l="1"/>
  <c r="E958" i="37"/>
  <c r="AM958" i="37" s="1"/>
  <c r="AN958" i="37" s="1"/>
  <c r="S960" i="37"/>
  <c r="V960" i="37" s="1"/>
  <c r="Z960" i="37"/>
  <c r="AH959" i="37"/>
  <c r="AI959" i="37" s="1"/>
  <c r="AJ959" i="37" s="1"/>
  <c r="N962" i="37"/>
  <c r="O961" i="37"/>
  <c r="AH960" i="37" l="1"/>
  <c r="AI960" i="37" s="1"/>
  <c r="AJ960" i="37" s="1"/>
  <c r="AK959" i="37"/>
  <c r="E959" i="37"/>
  <c r="AM959" i="37" s="1"/>
  <c r="AN959" i="37" s="1"/>
  <c r="O962" i="37"/>
  <c r="N963" i="37"/>
  <c r="S961" i="37"/>
  <c r="V961" i="37" s="1"/>
  <c r="Z961" i="37"/>
  <c r="E960" i="37" l="1"/>
  <c r="AM960" i="37" s="1"/>
  <c r="AN960" i="37" s="1"/>
  <c r="AK960" i="37"/>
  <c r="Z962" i="37"/>
  <c r="S962" i="37"/>
  <c r="V962" i="37" s="1"/>
  <c r="AH961" i="37"/>
  <c r="AI961" i="37" s="1"/>
  <c r="AJ961" i="37" s="1"/>
  <c r="N964" i="37"/>
  <c r="O963" i="37"/>
  <c r="S963" i="37" l="1"/>
  <c r="V963" i="37" s="1"/>
  <c r="Z963" i="37"/>
  <c r="AH963" i="37" s="1"/>
  <c r="AI963" i="37" s="1"/>
  <c r="AJ963" i="37" s="1"/>
  <c r="AK961" i="37"/>
  <c r="E961" i="37"/>
  <c r="AM961" i="37" s="1"/>
  <c r="AN961" i="37" s="1"/>
  <c r="N965" i="37"/>
  <c r="O964" i="37"/>
  <c r="AH962" i="37"/>
  <c r="AI962" i="37" s="1"/>
  <c r="AJ962" i="37" s="1"/>
  <c r="S964" i="37" l="1"/>
  <c r="V964" i="37" s="1"/>
  <c r="Z964" i="37"/>
  <c r="AH964" i="37" s="1"/>
  <c r="AI964" i="37" s="1"/>
  <c r="AJ964" i="37" s="1"/>
  <c r="AK962" i="37"/>
  <c r="E962" i="37"/>
  <c r="AM962" i="37" s="1"/>
  <c r="AN962" i="37" s="1"/>
  <c r="E963" i="37"/>
  <c r="AM963" i="37" s="1"/>
  <c r="AN963" i="37" s="1"/>
  <c r="AK963" i="37"/>
  <c r="N966" i="37"/>
  <c r="O965" i="37"/>
  <c r="N967" i="37" l="1"/>
  <c r="O966" i="37"/>
  <c r="E964" i="37"/>
  <c r="AM964" i="37" s="1"/>
  <c r="AN964" i="37" s="1"/>
  <c r="AK964" i="37"/>
  <c r="Z965" i="37"/>
  <c r="S965" i="37"/>
  <c r="V965" i="37" s="1"/>
  <c r="S966" i="37" l="1"/>
  <c r="V966" i="37" s="1"/>
  <c r="Z966" i="37"/>
  <c r="AH965" i="37"/>
  <c r="AI965" i="37" s="1"/>
  <c r="AJ965" i="37" s="1"/>
  <c r="O967" i="37"/>
  <c r="N968" i="37"/>
  <c r="AH966" i="37" l="1"/>
  <c r="AI966" i="37" s="1"/>
  <c r="AJ966" i="37" s="1"/>
  <c r="E966" i="37" s="1"/>
  <c r="AM966" i="37" s="1"/>
  <c r="AN966" i="37" s="1"/>
  <c r="Z967" i="37"/>
  <c r="S967" i="37"/>
  <c r="V967" i="37" s="1"/>
  <c r="N969" i="37"/>
  <c r="O968" i="37"/>
  <c r="E965" i="37"/>
  <c r="AM965" i="37" s="1"/>
  <c r="AN965" i="37" s="1"/>
  <c r="AK965" i="37"/>
  <c r="AK966" i="37" l="1"/>
  <c r="S968" i="37"/>
  <c r="V968" i="37" s="1"/>
  <c r="Z968" i="37"/>
  <c r="AH968" i="37" s="1"/>
  <c r="AI968" i="37" s="1"/>
  <c r="AJ968" i="37" s="1"/>
  <c r="O969" i="37"/>
  <c r="N970" i="37"/>
  <c r="AH967" i="37"/>
  <c r="AI967" i="37" s="1"/>
  <c r="AJ967" i="37" s="1"/>
  <c r="E968" i="37"/>
  <c r="AM968" i="37" s="1"/>
  <c r="AN968" i="37" s="1"/>
  <c r="AK968" i="37"/>
  <c r="E967" i="37" l="1"/>
  <c r="AM967" i="37" s="1"/>
  <c r="AN967" i="37" s="1"/>
  <c r="AK967" i="37"/>
  <c r="O970" i="37"/>
  <c r="N971" i="37"/>
  <c r="S969" i="37"/>
  <c r="V969" i="37" s="1"/>
  <c r="Z969" i="37"/>
  <c r="AH969" i="37" l="1"/>
  <c r="AI969" i="37" s="1"/>
  <c r="AJ969" i="37" s="1"/>
  <c r="E969" i="37" s="1"/>
  <c r="AM969" i="37" s="1"/>
  <c r="AN969" i="37" s="1"/>
  <c r="N972" i="37"/>
  <c r="O971" i="37"/>
  <c r="Z970" i="37"/>
  <c r="S970" i="37"/>
  <c r="V970" i="37" s="1"/>
  <c r="AK969" i="37" l="1"/>
  <c r="AH970" i="37"/>
  <c r="AI970" i="37" s="1"/>
  <c r="AJ970" i="37" s="1"/>
  <c r="AK970" i="37" s="1"/>
  <c r="O972" i="37"/>
  <c r="N973" i="37"/>
  <c r="S971" i="37"/>
  <c r="V971" i="37" s="1"/>
  <c r="Z971" i="37"/>
  <c r="E970" i="37" l="1"/>
  <c r="AM970" i="37" s="1"/>
  <c r="AN970" i="37" s="1"/>
  <c r="Z972" i="37"/>
  <c r="S972" i="37"/>
  <c r="V972" i="37" s="1"/>
  <c r="AH971" i="37"/>
  <c r="AI971" i="37" s="1"/>
  <c r="AJ971" i="37" s="1"/>
  <c r="N974" i="37"/>
  <c r="O973" i="37"/>
  <c r="S973" i="37" l="1"/>
  <c r="V973" i="37" s="1"/>
  <c r="Z973" i="37"/>
  <c r="AH973" i="37" s="1"/>
  <c r="AI973" i="37" s="1"/>
  <c r="AJ973" i="37" s="1"/>
  <c r="E971" i="37"/>
  <c r="AM971" i="37" s="1"/>
  <c r="AN971" i="37" s="1"/>
  <c r="AK971" i="37"/>
  <c r="O974" i="37"/>
  <c r="N975" i="37"/>
  <c r="AH972" i="37"/>
  <c r="AI972" i="37" s="1"/>
  <c r="AJ972" i="37" s="1"/>
  <c r="O975" i="37" l="1"/>
  <c r="N976" i="37"/>
  <c r="E972" i="37"/>
  <c r="AM972" i="37" s="1"/>
  <c r="AN972" i="37" s="1"/>
  <c r="AK972" i="37"/>
  <c r="E973" i="37"/>
  <c r="AM973" i="37" s="1"/>
  <c r="AN973" i="37" s="1"/>
  <c r="AK973" i="37"/>
  <c r="S974" i="37"/>
  <c r="V974" i="37" s="1"/>
  <c r="Z974" i="37"/>
  <c r="AH974" i="37" l="1"/>
  <c r="AI974" i="37" s="1"/>
  <c r="AJ974" i="37" s="1"/>
  <c r="O976" i="37"/>
  <c r="N977" i="37"/>
  <c r="Z975" i="37"/>
  <c r="S975" i="37"/>
  <c r="V975" i="37" s="1"/>
  <c r="AH975" i="37" l="1"/>
  <c r="AI975" i="37" s="1"/>
  <c r="AJ975" i="37" s="1"/>
  <c r="AK975" i="37" s="1"/>
  <c r="Z976" i="37"/>
  <c r="S976" i="37"/>
  <c r="V976" i="37" s="1"/>
  <c r="O977" i="37"/>
  <c r="N978" i="37"/>
  <c r="AK974" i="37"/>
  <c r="E974" i="37"/>
  <c r="AM974" i="37" s="1"/>
  <c r="AN974" i="37" s="1"/>
  <c r="E975" i="37" l="1"/>
  <c r="AM975" i="37" s="1"/>
  <c r="AN975" i="37" s="1"/>
  <c r="N979" i="37"/>
  <c r="O978" i="37"/>
  <c r="S977" i="37"/>
  <c r="V977" i="37" s="1"/>
  <c r="Z977" i="37"/>
  <c r="AH976" i="37"/>
  <c r="AI976" i="37" s="1"/>
  <c r="AJ976" i="37" s="1"/>
  <c r="E976" i="37" l="1"/>
  <c r="AM976" i="37" s="1"/>
  <c r="AN976" i="37" s="1"/>
  <c r="AK976" i="37"/>
  <c r="Z978" i="37"/>
  <c r="S978" i="37"/>
  <c r="V978" i="37" s="1"/>
  <c r="AH977" i="37"/>
  <c r="AI977" i="37" s="1"/>
  <c r="AJ977" i="37" s="1"/>
  <c r="O979" i="37"/>
  <c r="N980" i="37"/>
  <c r="AK977" i="37" l="1"/>
  <c r="E977" i="37"/>
  <c r="AM977" i="37" s="1"/>
  <c r="AN977" i="37" s="1"/>
  <c r="O980" i="37"/>
  <c r="N981" i="37"/>
  <c r="S979" i="37"/>
  <c r="V979" i="37" s="1"/>
  <c r="Z979" i="37"/>
  <c r="AH978" i="37"/>
  <c r="AI978" i="37" s="1"/>
  <c r="AJ978" i="37" s="1"/>
  <c r="AH979" i="37" l="1"/>
  <c r="AI979" i="37" s="1"/>
  <c r="AJ979" i="37" s="1"/>
  <c r="AK979" i="37" s="1"/>
  <c r="E978" i="37"/>
  <c r="AM978" i="37" s="1"/>
  <c r="AN978" i="37" s="1"/>
  <c r="AK978" i="37"/>
  <c r="N982" i="37"/>
  <c r="O981" i="37"/>
  <c r="Z980" i="37"/>
  <c r="S980" i="37"/>
  <c r="V980" i="37" s="1"/>
  <c r="E979" i="37" l="1"/>
  <c r="AM979" i="37" s="1"/>
  <c r="AN979" i="37" s="1"/>
  <c r="AH980" i="37"/>
  <c r="AI980" i="37" s="1"/>
  <c r="AJ980" i="37" s="1"/>
  <c r="AK980" i="37" s="1"/>
  <c r="S981" i="37"/>
  <c r="V981" i="37" s="1"/>
  <c r="Z981" i="37"/>
  <c r="O982" i="37"/>
  <c r="N983" i="37"/>
  <c r="E980" i="37" l="1"/>
  <c r="AM980" i="37" s="1"/>
  <c r="AN980" i="37" s="1"/>
  <c r="AH981" i="37"/>
  <c r="AI981" i="37" s="1"/>
  <c r="AJ981" i="37" s="1"/>
  <c r="O983" i="37"/>
  <c r="N984" i="37"/>
  <c r="AK981" i="37"/>
  <c r="E981" i="37"/>
  <c r="AM981" i="37" s="1"/>
  <c r="AN981" i="37" s="1"/>
  <c r="Z982" i="37"/>
  <c r="S982" i="37"/>
  <c r="V982" i="37" s="1"/>
  <c r="AH982" i="37" l="1"/>
  <c r="AI982" i="37" s="1"/>
  <c r="AJ982" i="37" s="1"/>
  <c r="O984" i="37"/>
  <c r="N985" i="37"/>
  <c r="S983" i="37"/>
  <c r="V983" i="37" s="1"/>
  <c r="Z983" i="37"/>
  <c r="AH983" i="37" l="1"/>
  <c r="AI983" i="37" s="1"/>
  <c r="AJ983" i="37" s="1"/>
  <c r="Z984" i="37"/>
  <c r="S984" i="37"/>
  <c r="V984" i="37" s="1"/>
  <c r="AK983" i="37"/>
  <c r="E983" i="37"/>
  <c r="AM983" i="37" s="1"/>
  <c r="AN983" i="37" s="1"/>
  <c r="N986" i="37"/>
  <c r="O985" i="37"/>
  <c r="E982" i="37"/>
  <c r="AM982" i="37" s="1"/>
  <c r="AN982" i="37" s="1"/>
  <c r="AK982" i="37"/>
  <c r="Z985" i="37" l="1"/>
  <c r="S985" i="37"/>
  <c r="V985" i="37" s="1"/>
  <c r="N987" i="37"/>
  <c r="O986" i="37"/>
  <c r="AH984" i="37"/>
  <c r="AI984" i="37" s="1"/>
  <c r="AJ984" i="37" s="1"/>
  <c r="AK984" i="37" l="1"/>
  <c r="E984" i="37"/>
  <c r="AM984" i="37" s="1"/>
  <c r="AN984" i="37" s="1"/>
  <c r="S986" i="37"/>
  <c r="V986" i="37" s="1"/>
  <c r="Z986" i="37"/>
  <c r="N988" i="37"/>
  <c r="O987" i="37"/>
  <c r="AH985" i="37"/>
  <c r="AI985" i="37" s="1"/>
  <c r="AJ985" i="37" s="1"/>
  <c r="AH986" i="37" l="1"/>
  <c r="AI986" i="37" s="1"/>
  <c r="AJ986" i="37" s="1"/>
  <c r="E985" i="37"/>
  <c r="AM985" i="37" s="1"/>
  <c r="AN985" i="37" s="1"/>
  <c r="AK985" i="37"/>
  <c r="S987" i="37"/>
  <c r="V987" i="37" s="1"/>
  <c r="Z987" i="37"/>
  <c r="O988" i="37"/>
  <c r="N989" i="37"/>
  <c r="AH987" i="37" l="1"/>
  <c r="AI987" i="37" s="1"/>
  <c r="AJ987" i="37" s="1"/>
  <c r="E986" i="37"/>
  <c r="AM986" i="37" s="1"/>
  <c r="AN986" i="37" s="1"/>
  <c r="AK986" i="37"/>
  <c r="O989" i="37"/>
  <c r="N990" i="37"/>
  <c r="S988" i="37"/>
  <c r="V988" i="37" s="1"/>
  <c r="Z988" i="37"/>
  <c r="AK987" i="37"/>
  <c r="E987" i="37"/>
  <c r="AM987" i="37" s="1"/>
  <c r="AN987" i="37" s="1"/>
  <c r="AH988" i="37" l="1"/>
  <c r="AI988" i="37" s="1"/>
  <c r="AJ988" i="37" s="1"/>
  <c r="O990" i="37"/>
  <c r="N991" i="37"/>
  <c r="S989" i="37"/>
  <c r="V989" i="37" s="1"/>
  <c r="Z989" i="37"/>
  <c r="AH989" i="37" l="1"/>
  <c r="AI989" i="37" s="1"/>
  <c r="AJ989" i="37" s="1"/>
  <c r="E989" i="37" s="1"/>
  <c r="AM989" i="37" s="1"/>
  <c r="AN989" i="37" s="1"/>
  <c r="Z990" i="37"/>
  <c r="S990" i="37"/>
  <c r="V990" i="37" s="1"/>
  <c r="O991" i="37"/>
  <c r="N992" i="37"/>
  <c r="E988" i="37"/>
  <c r="AM988" i="37" s="1"/>
  <c r="AN988" i="37" s="1"/>
  <c r="AK988" i="37"/>
  <c r="AK989" i="37" l="1"/>
  <c r="S991" i="37"/>
  <c r="V991" i="37" s="1"/>
  <c r="Z991" i="37"/>
  <c r="N993" i="37"/>
  <c r="O992" i="37"/>
  <c r="AH990" i="37"/>
  <c r="AI990" i="37" s="1"/>
  <c r="AJ990" i="37" s="1"/>
  <c r="AH991" i="37" l="1"/>
  <c r="AI991" i="37" s="1"/>
  <c r="AJ991" i="37" s="1"/>
  <c r="AK990" i="37"/>
  <c r="E990" i="37"/>
  <c r="AM990" i="37" s="1"/>
  <c r="AN990" i="37" s="1"/>
  <c r="O993" i="37"/>
  <c r="N994" i="37"/>
  <c r="Z992" i="37"/>
  <c r="S992" i="37"/>
  <c r="V992" i="37" s="1"/>
  <c r="E991" i="37"/>
  <c r="AM991" i="37" s="1"/>
  <c r="AN991" i="37" s="1"/>
  <c r="AK991" i="37"/>
  <c r="AH992" i="37" l="1"/>
  <c r="AI992" i="37" s="1"/>
  <c r="AJ992" i="37" s="1"/>
  <c r="N995" i="37"/>
  <c r="O994" i="37"/>
  <c r="S993" i="37"/>
  <c r="V993" i="37" s="1"/>
  <c r="Z993" i="37"/>
  <c r="AH993" i="37" l="1"/>
  <c r="AI993" i="37" s="1"/>
  <c r="AJ993" i="37" s="1"/>
  <c r="E993" i="37" s="1"/>
  <c r="AM993" i="37" s="1"/>
  <c r="AN993" i="37" s="1"/>
  <c r="AK993" i="37"/>
  <c r="N996" i="37"/>
  <c r="O995" i="37"/>
  <c r="S994" i="37"/>
  <c r="V994" i="37" s="1"/>
  <c r="Z994" i="37"/>
  <c r="AH994" i="37" s="1"/>
  <c r="AI994" i="37" s="1"/>
  <c r="AJ994" i="37" s="1"/>
  <c r="E992" i="37"/>
  <c r="AM992" i="37" s="1"/>
  <c r="AN992" i="37" s="1"/>
  <c r="AK992" i="37"/>
  <c r="E994" i="37" l="1"/>
  <c r="AM994" i="37" s="1"/>
  <c r="AN994" i="37" s="1"/>
  <c r="AK994" i="37"/>
  <c r="O996" i="37"/>
  <c r="N997" i="37"/>
  <c r="S995" i="37"/>
  <c r="V995" i="37" s="1"/>
  <c r="Z995" i="37"/>
  <c r="AH995" i="37" l="1"/>
  <c r="AI995" i="37" s="1"/>
  <c r="AJ995" i="37" s="1"/>
  <c r="E995" i="37" s="1"/>
  <c r="AM995" i="37" s="1"/>
  <c r="AN995" i="37" s="1"/>
  <c r="Z996" i="37"/>
  <c r="S996" i="37"/>
  <c r="V996" i="37" s="1"/>
  <c r="O997" i="37"/>
  <c r="N998" i="37"/>
  <c r="AK995" i="37" l="1"/>
  <c r="O998" i="37"/>
  <c r="N999" i="37"/>
  <c r="S997" i="37"/>
  <c r="V997" i="37" s="1"/>
  <c r="Z997" i="37"/>
  <c r="AH996" i="37"/>
  <c r="AI996" i="37" s="1"/>
  <c r="AJ996" i="37" s="1"/>
  <c r="E996" i="37" l="1"/>
  <c r="AM996" i="37" s="1"/>
  <c r="AN996" i="37" s="1"/>
  <c r="AK996" i="37"/>
  <c r="AH997" i="37"/>
  <c r="AI997" i="37" s="1"/>
  <c r="AJ997" i="37" s="1"/>
  <c r="N1000" i="37"/>
  <c r="O999" i="37"/>
  <c r="S998" i="37"/>
  <c r="V998" i="37" s="1"/>
  <c r="Z998" i="37"/>
  <c r="AH998" i="37" l="1"/>
  <c r="AI998" i="37" s="1"/>
  <c r="AJ998" i="37" s="1"/>
  <c r="E998" i="37" s="1"/>
  <c r="AM998" i="37" s="1"/>
  <c r="AN998" i="37" s="1"/>
  <c r="S999" i="37"/>
  <c r="V999" i="37" s="1"/>
  <c r="Z999" i="37"/>
  <c r="O1000" i="37"/>
  <c r="N1001" i="37"/>
  <c r="E997" i="37"/>
  <c r="AM997" i="37" s="1"/>
  <c r="AN997" i="37" s="1"/>
  <c r="AK997" i="37"/>
  <c r="AK998" i="37" l="1"/>
  <c r="AH999" i="37"/>
  <c r="AI999" i="37" s="1"/>
  <c r="AJ999" i="37" s="1"/>
  <c r="E999" i="37" s="1"/>
  <c r="AM999" i="37" s="1"/>
  <c r="AN999" i="37" s="1"/>
  <c r="N1002" i="37"/>
  <c r="O1001" i="37"/>
  <c r="AK999" i="37"/>
  <c r="Z1000" i="37"/>
  <c r="S1000" i="37"/>
  <c r="V1000" i="37" s="1"/>
  <c r="Z1001" i="37" l="1"/>
  <c r="S1001" i="37"/>
  <c r="V1001" i="37" s="1"/>
  <c r="AH1000" i="37"/>
  <c r="AI1000" i="37" s="1"/>
  <c r="AJ1000" i="37" s="1"/>
  <c r="O1002" i="37"/>
  <c r="N1003" i="37"/>
  <c r="AH1001" i="37" l="1"/>
  <c r="AI1001" i="37" s="1"/>
  <c r="AJ1001" i="37" s="1"/>
  <c r="E1001" i="37" s="1"/>
  <c r="AM1001" i="37" s="1"/>
  <c r="AN1001" i="37" s="1"/>
  <c r="Z1002" i="37"/>
  <c r="S1002" i="37"/>
  <c r="V1002" i="37" s="1"/>
  <c r="N1004" i="37"/>
  <c r="O1003" i="37"/>
  <c r="AK1000" i="37"/>
  <c r="E1000" i="37"/>
  <c r="AM1000" i="37" s="1"/>
  <c r="AN1000" i="37" s="1"/>
  <c r="AK1001" i="37" l="1"/>
  <c r="S1003" i="37"/>
  <c r="V1003" i="37" s="1"/>
  <c r="Z1003" i="37"/>
  <c r="O1004" i="37"/>
  <c r="N1005" i="37"/>
  <c r="AH1002" i="37"/>
  <c r="AI1002" i="37" s="1"/>
  <c r="AJ1002" i="37" s="1"/>
  <c r="Z1004" i="37" l="1"/>
  <c r="S1004" i="37"/>
  <c r="V1004" i="37" s="1"/>
  <c r="E1002" i="37"/>
  <c r="AM1002" i="37" s="1"/>
  <c r="AN1002" i="37" s="1"/>
  <c r="AK1002" i="37"/>
  <c r="O1005" i="37"/>
  <c r="N1006" i="37"/>
  <c r="AH1003" i="37"/>
  <c r="AI1003" i="37" s="1"/>
  <c r="AJ1003" i="37" s="1"/>
  <c r="AH1004" i="37" l="1"/>
  <c r="AI1004" i="37" s="1"/>
  <c r="AJ1004" i="37" s="1"/>
  <c r="E1003" i="37"/>
  <c r="AM1003" i="37" s="1"/>
  <c r="AN1003" i="37" s="1"/>
  <c r="AK1003" i="37"/>
  <c r="O1006" i="37"/>
  <c r="N1007" i="37"/>
  <c r="Z1005" i="37"/>
  <c r="S1005" i="37"/>
  <c r="V1005" i="37" s="1"/>
  <c r="E1004" i="37"/>
  <c r="AM1004" i="37" s="1"/>
  <c r="AN1004" i="37" s="1"/>
  <c r="AK1004" i="37"/>
  <c r="AH1005" i="37" l="1"/>
  <c r="AI1005" i="37" s="1"/>
  <c r="AJ1005" i="37" s="1"/>
  <c r="O1007" i="37"/>
  <c r="N1008" i="37"/>
  <c r="Z1006" i="37"/>
  <c r="S1006" i="37"/>
  <c r="V1006" i="37" s="1"/>
  <c r="AH1006" i="37" l="1"/>
  <c r="AI1006" i="37" s="1"/>
  <c r="AJ1006" i="37" s="1"/>
  <c r="O1008" i="37"/>
  <c r="N1009" i="37"/>
  <c r="S1007" i="37"/>
  <c r="V1007" i="37" s="1"/>
  <c r="Z1007" i="37"/>
  <c r="E1005" i="37"/>
  <c r="AM1005" i="37" s="1"/>
  <c r="AN1005" i="37" s="1"/>
  <c r="AK1005" i="37"/>
  <c r="AH1007" i="37" l="1"/>
  <c r="AI1007" i="37" s="1"/>
  <c r="AJ1007" i="37" s="1"/>
  <c r="E1007" i="37" s="1"/>
  <c r="AM1007" i="37" s="1"/>
  <c r="AN1007" i="37" s="1"/>
  <c r="O1009" i="37"/>
  <c r="N1010" i="37"/>
  <c r="S1008" i="37"/>
  <c r="V1008" i="37" s="1"/>
  <c r="Z1008" i="37"/>
  <c r="E1006" i="37"/>
  <c r="AM1006" i="37" s="1"/>
  <c r="AN1006" i="37" s="1"/>
  <c r="AK1006" i="37"/>
  <c r="AH1008" i="37" l="1"/>
  <c r="AI1008" i="37" s="1"/>
  <c r="AJ1008" i="37" s="1"/>
  <c r="E1008" i="37" s="1"/>
  <c r="AM1008" i="37" s="1"/>
  <c r="AN1008" i="37" s="1"/>
  <c r="AK1007" i="37"/>
  <c r="AK1008" i="37"/>
  <c r="S1009" i="37"/>
  <c r="V1009" i="37" s="1"/>
  <c r="Z1009" i="37"/>
  <c r="O1010" i="37"/>
  <c r="N1011" i="37"/>
  <c r="S1010" i="37" l="1"/>
  <c r="V1010" i="37" s="1"/>
  <c r="Z1010" i="37"/>
  <c r="O1011" i="37"/>
  <c r="N1012" i="37"/>
  <c r="AH1009" i="37"/>
  <c r="AI1009" i="37" s="1"/>
  <c r="AJ1009" i="37" s="1"/>
  <c r="E1009" i="37" l="1"/>
  <c r="AM1009" i="37" s="1"/>
  <c r="AN1009" i="37" s="1"/>
  <c r="AK1009" i="37"/>
  <c r="O1012" i="37"/>
  <c r="N1013" i="37"/>
  <c r="Z1011" i="37"/>
  <c r="S1011" i="37"/>
  <c r="V1011" i="37" s="1"/>
  <c r="AH1010" i="37"/>
  <c r="AI1010" i="37" s="1"/>
  <c r="AJ1010" i="37" s="1"/>
  <c r="E1010" i="37" l="1"/>
  <c r="AM1010" i="37" s="1"/>
  <c r="AN1010" i="37" s="1"/>
  <c r="AK1010" i="37"/>
  <c r="AH1011" i="37"/>
  <c r="AI1011" i="37" s="1"/>
  <c r="AJ1011" i="37" s="1"/>
  <c r="O1013" i="37"/>
  <c r="N1014" i="37"/>
  <c r="S1012" i="37"/>
  <c r="V1012" i="37" s="1"/>
  <c r="Z1012" i="37"/>
  <c r="AH1012" i="37" l="1"/>
  <c r="AI1012" i="37" s="1"/>
  <c r="AJ1012" i="37" s="1"/>
  <c r="AK1012" i="37" s="1"/>
  <c r="Z1013" i="37"/>
  <c r="S1013" i="37"/>
  <c r="V1013" i="37" s="1"/>
  <c r="N1015" i="37"/>
  <c r="O1014" i="37"/>
  <c r="E1011" i="37"/>
  <c r="AM1011" i="37" s="1"/>
  <c r="AN1011" i="37" s="1"/>
  <c r="AK1011" i="37"/>
  <c r="E1012" i="37" l="1"/>
  <c r="AM1012" i="37" s="1"/>
  <c r="AN1012" i="37" s="1"/>
  <c r="Z1014" i="37"/>
  <c r="S1014" i="37"/>
  <c r="V1014" i="37" s="1"/>
  <c r="N1016" i="37"/>
  <c r="O1015" i="37"/>
  <c r="AH1013" i="37"/>
  <c r="AI1013" i="37" s="1"/>
  <c r="AJ1013" i="37" s="1"/>
  <c r="AK1013" i="37" l="1"/>
  <c r="E1013" i="37"/>
  <c r="AM1013" i="37" s="1"/>
  <c r="AN1013" i="37" s="1"/>
  <c r="O1016" i="37"/>
  <c r="N1017" i="37"/>
  <c r="Z1015" i="37"/>
  <c r="S1015" i="37"/>
  <c r="V1015" i="37" s="1"/>
  <c r="AH1014" i="37"/>
  <c r="AI1014" i="37" s="1"/>
  <c r="AJ1014" i="37" s="1"/>
  <c r="E1014" i="37" l="1"/>
  <c r="AM1014" i="37" s="1"/>
  <c r="AN1014" i="37" s="1"/>
  <c r="AK1014" i="37"/>
  <c r="AH1015" i="37"/>
  <c r="AI1015" i="37" s="1"/>
  <c r="AJ1015" i="37" s="1"/>
  <c r="O1017" i="37"/>
  <c r="N1018" i="37"/>
  <c r="Z1016" i="37"/>
  <c r="S1016" i="37"/>
  <c r="V1016" i="37" s="1"/>
  <c r="S1017" i="37" l="1"/>
  <c r="V1017" i="37" s="1"/>
  <c r="Z1017" i="37"/>
  <c r="AH1016" i="37"/>
  <c r="AI1016" i="37" s="1"/>
  <c r="AJ1016" i="37" s="1"/>
  <c r="N1019" i="37"/>
  <c r="O1018" i="37"/>
  <c r="E1015" i="37"/>
  <c r="AM1015" i="37" s="1"/>
  <c r="AN1015" i="37" s="1"/>
  <c r="AK1015" i="37"/>
  <c r="N1020" i="37" l="1"/>
  <c r="O1019" i="37"/>
  <c r="Z1018" i="37"/>
  <c r="S1018" i="37"/>
  <c r="V1018" i="37" s="1"/>
  <c r="E1016" i="37"/>
  <c r="AM1016" i="37" s="1"/>
  <c r="AN1016" i="37" s="1"/>
  <c r="AK1016" i="37"/>
  <c r="AH1017" i="37"/>
  <c r="AI1017" i="37" s="1"/>
  <c r="AJ1017" i="37" s="1"/>
  <c r="Z1019" i="37" l="1"/>
  <c r="S1019" i="37"/>
  <c r="V1019" i="37" s="1"/>
  <c r="E1017" i="37"/>
  <c r="AM1017" i="37" s="1"/>
  <c r="AN1017" i="37" s="1"/>
  <c r="AK1017" i="37"/>
  <c r="AH1018" i="37"/>
  <c r="AI1018" i="37" s="1"/>
  <c r="AJ1018" i="37" s="1"/>
  <c r="O1020" i="37"/>
  <c r="N1021" i="37"/>
  <c r="N1022" i="37" l="1"/>
  <c r="O1021" i="37"/>
  <c r="AK1018" i="37"/>
  <c r="E1018" i="37"/>
  <c r="AM1018" i="37" s="1"/>
  <c r="AN1018" i="37" s="1"/>
  <c r="Z1020" i="37"/>
  <c r="S1020" i="37"/>
  <c r="V1020" i="37" s="1"/>
  <c r="AH1019" i="37"/>
  <c r="AI1019" i="37" s="1"/>
  <c r="AJ1019" i="37" s="1"/>
  <c r="E1019" i="37" l="1"/>
  <c r="AM1019" i="37" s="1"/>
  <c r="AN1019" i="37" s="1"/>
  <c r="AK1019" i="37"/>
  <c r="S1021" i="37"/>
  <c r="V1021" i="37" s="1"/>
  <c r="Z1021" i="37"/>
  <c r="AH1021" i="37" s="1"/>
  <c r="AI1021" i="37" s="1"/>
  <c r="AJ1021" i="37" s="1"/>
  <c r="AH1020" i="37"/>
  <c r="AI1020" i="37" s="1"/>
  <c r="AJ1020" i="37" s="1"/>
  <c r="N1023" i="37"/>
  <c r="O1022" i="37"/>
  <c r="N1024" i="37" l="1"/>
  <c r="O1023" i="37"/>
  <c r="E1020" i="37"/>
  <c r="AM1020" i="37" s="1"/>
  <c r="AN1020" i="37" s="1"/>
  <c r="AK1020" i="37"/>
  <c r="S1022" i="37"/>
  <c r="V1022" i="37" s="1"/>
  <c r="Z1022" i="37"/>
  <c r="E1021" i="37"/>
  <c r="AM1021" i="37" s="1"/>
  <c r="AN1021" i="37" s="1"/>
  <c r="AK1021" i="37"/>
  <c r="AH1022" i="37" l="1"/>
  <c r="AI1022" i="37" s="1"/>
  <c r="AJ1022" i="37" s="1"/>
  <c r="E1022" i="37" s="1"/>
  <c r="AM1022" i="37" s="1"/>
  <c r="AN1022" i="37" s="1"/>
  <c r="S1023" i="37"/>
  <c r="V1023" i="37" s="1"/>
  <c r="Z1023" i="37"/>
  <c r="AK1022" i="37"/>
  <c r="O1024" i="37"/>
  <c r="N1025" i="37"/>
  <c r="AH1023" i="37" l="1"/>
  <c r="AI1023" i="37" s="1"/>
  <c r="AJ1023" i="37" s="1"/>
  <c r="AK1023" i="37" s="1"/>
  <c r="O1025" i="37"/>
  <c r="N1026" i="37"/>
  <c r="Z1024" i="37"/>
  <c r="S1024" i="37"/>
  <c r="V1024" i="37" s="1"/>
  <c r="E1023" i="37"/>
  <c r="AM1023" i="37" s="1"/>
  <c r="AN1023" i="37" s="1"/>
  <c r="AH1024" i="37" l="1"/>
  <c r="AI1024" i="37" s="1"/>
  <c r="AJ1024" i="37" s="1"/>
  <c r="O1026" i="37"/>
  <c r="N1027" i="37"/>
  <c r="S1025" i="37"/>
  <c r="V1025" i="37" s="1"/>
  <c r="Z1025" i="37"/>
  <c r="E1024" i="37" l="1"/>
  <c r="AM1024" i="37" s="1"/>
  <c r="AN1024" i="37" s="1"/>
  <c r="AK1024" i="37"/>
  <c r="AH1025" i="37"/>
  <c r="AI1025" i="37" s="1"/>
  <c r="AJ1025" i="37" s="1"/>
  <c r="O1027" i="37"/>
  <c r="N1028" i="37"/>
  <c r="Z1026" i="37"/>
  <c r="S1026" i="37"/>
  <c r="V1026" i="37" s="1"/>
  <c r="Z1027" i="37" l="1"/>
  <c r="S1027" i="37"/>
  <c r="V1027" i="37" s="1"/>
  <c r="AH1026" i="37"/>
  <c r="AI1026" i="37" s="1"/>
  <c r="AJ1026" i="37" s="1"/>
  <c r="O1028" i="37"/>
  <c r="N1029" i="37"/>
  <c r="E1025" i="37"/>
  <c r="AM1025" i="37" s="1"/>
  <c r="AN1025" i="37" s="1"/>
  <c r="AK1025" i="37"/>
  <c r="Z1028" i="37" l="1"/>
  <c r="S1028" i="37"/>
  <c r="V1028" i="37" s="1"/>
  <c r="O1029" i="37"/>
  <c r="N1030" i="37"/>
  <c r="E1026" i="37"/>
  <c r="AM1026" i="37" s="1"/>
  <c r="AN1026" i="37" s="1"/>
  <c r="AK1026" i="37"/>
  <c r="AH1027" i="37"/>
  <c r="AI1027" i="37" s="1"/>
  <c r="AJ1027" i="37" s="1"/>
  <c r="AK1027" i="37" l="1"/>
  <c r="E1027" i="37"/>
  <c r="AM1027" i="37" s="1"/>
  <c r="AN1027" i="37" s="1"/>
  <c r="N1031" i="37"/>
  <c r="O1030" i="37"/>
  <c r="Z1029" i="37"/>
  <c r="S1029" i="37"/>
  <c r="V1029" i="37" s="1"/>
  <c r="AH1028" i="37"/>
  <c r="AI1028" i="37" s="1"/>
  <c r="AJ1028" i="37" s="1"/>
  <c r="E1028" i="37" l="1"/>
  <c r="AM1028" i="37" s="1"/>
  <c r="AN1028" i="37" s="1"/>
  <c r="AK1028" i="37"/>
  <c r="AH1029" i="37"/>
  <c r="AI1029" i="37" s="1"/>
  <c r="AJ1029" i="37" s="1"/>
  <c r="S1030" i="37"/>
  <c r="V1030" i="37" s="1"/>
  <c r="Z1030" i="37"/>
  <c r="O1031" i="37"/>
  <c r="N1032" i="37"/>
  <c r="AH1030" i="37" l="1"/>
  <c r="AI1030" i="37" s="1"/>
  <c r="AJ1030" i="37" s="1"/>
  <c r="E1030" i="37" s="1"/>
  <c r="AM1030" i="37" s="1"/>
  <c r="AN1030" i="37" s="1"/>
  <c r="O1032" i="37"/>
  <c r="N1033" i="37"/>
  <c r="S1031" i="37"/>
  <c r="V1031" i="37" s="1"/>
  <c r="Z1031" i="37"/>
  <c r="AK1030" i="37"/>
  <c r="E1029" i="37"/>
  <c r="AM1029" i="37" s="1"/>
  <c r="AN1029" i="37" s="1"/>
  <c r="AK1029" i="37"/>
  <c r="AH1031" i="37" l="1"/>
  <c r="AI1031" i="37" s="1"/>
  <c r="AJ1031" i="37" s="1"/>
  <c r="O1033" i="37"/>
  <c r="N1034" i="37"/>
  <c r="S1032" i="37"/>
  <c r="V1032" i="37" s="1"/>
  <c r="Z1032" i="37"/>
  <c r="AH1032" i="37" l="1"/>
  <c r="AI1032" i="37" s="1"/>
  <c r="AJ1032" i="37" s="1"/>
  <c r="AK1032" i="37" s="1"/>
  <c r="E1031" i="37"/>
  <c r="AM1031" i="37" s="1"/>
  <c r="AN1031" i="37" s="1"/>
  <c r="AK1031" i="37"/>
  <c r="E1032" i="37"/>
  <c r="AM1032" i="37" s="1"/>
  <c r="AN1032" i="37" s="1"/>
  <c r="O1034" i="37"/>
  <c r="N1035" i="37"/>
  <c r="S1033" i="37"/>
  <c r="V1033" i="37" s="1"/>
  <c r="Z1033" i="37"/>
  <c r="AH1033" i="37" l="1"/>
  <c r="AI1033" i="37" s="1"/>
  <c r="AJ1033" i="37" s="1"/>
  <c r="E1033" i="37" s="1"/>
  <c r="AM1033" i="37" s="1"/>
  <c r="AN1033" i="37" s="1"/>
  <c r="O1035" i="37"/>
  <c r="N1036" i="37"/>
  <c r="Z1034" i="37"/>
  <c r="S1034" i="37"/>
  <c r="V1034" i="37" s="1"/>
  <c r="AK1033" i="37" l="1"/>
  <c r="AH1034" i="37"/>
  <c r="AI1034" i="37" s="1"/>
  <c r="AJ1034" i="37" s="1"/>
  <c r="O1036" i="37"/>
  <c r="N1037" i="37"/>
  <c r="Z1035" i="37"/>
  <c r="S1035" i="37"/>
  <c r="V1035" i="37" s="1"/>
  <c r="AH1035" i="37" l="1"/>
  <c r="AI1035" i="37" s="1"/>
  <c r="AJ1035" i="37" s="1"/>
  <c r="AK1035" i="37" s="1"/>
  <c r="O1037" i="37"/>
  <c r="N1038" i="37"/>
  <c r="Z1036" i="37"/>
  <c r="S1036" i="37"/>
  <c r="V1036" i="37" s="1"/>
  <c r="E1034" i="37"/>
  <c r="AM1034" i="37" s="1"/>
  <c r="AN1034" i="37" s="1"/>
  <c r="AK1034" i="37"/>
  <c r="E1035" i="37" l="1"/>
  <c r="AM1035" i="37" s="1"/>
  <c r="AN1035" i="37" s="1"/>
  <c r="Z1037" i="37"/>
  <c r="S1037" i="37"/>
  <c r="V1037" i="37" s="1"/>
  <c r="AH1036" i="37"/>
  <c r="AI1036" i="37" s="1"/>
  <c r="AJ1036" i="37" s="1"/>
  <c r="O1038" i="37"/>
  <c r="N1039" i="37"/>
  <c r="S1038" i="37" l="1"/>
  <c r="V1038" i="37" s="1"/>
  <c r="Z1038" i="37"/>
  <c r="O1039" i="37"/>
  <c r="N1040" i="37"/>
  <c r="E1036" i="37"/>
  <c r="AM1036" i="37" s="1"/>
  <c r="AN1036" i="37" s="1"/>
  <c r="AK1036" i="37"/>
  <c r="AH1037" i="37"/>
  <c r="AI1037" i="37" s="1"/>
  <c r="AJ1037" i="37" s="1"/>
  <c r="AH1038" i="37" l="1"/>
  <c r="AI1038" i="37" s="1"/>
  <c r="AJ1038" i="37" s="1"/>
  <c r="E1038" i="37" s="1"/>
  <c r="AM1038" i="37" s="1"/>
  <c r="AN1038" i="37" s="1"/>
  <c r="E1037" i="37"/>
  <c r="AM1037" i="37" s="1"/>
  <c r="AN1037" i="37" s="1"/>
  <c r="AK1037" i="37"/>
  <c r="S1039" i="37"/>
  <c r="V1039" i="37" s="1"/>
  <c r="Z1039" i="37"/>
  <c r="O1040" i="37"/>
  <c r="N1041" i="37"/>
  <c r="AK1038" i="37" l="1"/>
  <c r="AH1039" i="37"/>
  <c r="AI1039" i="37" s="1"/>
  <c r="AJ1039" i="37" s="1"/>
  <c r="E1039" i="37" s="1"/>
  <c r="AM1039" i="37" s="1"/>
  <c r="AN1039" i="37" s="1"/>
  <c r="S1040" i="37"/>
  <c r="V1040" i="37" s="1"/>
  <c r="Z1040" i="37"/>
  <c r="AK1039" i="37"/>
  <c r="O1041" i="37"/>
  <c r="N1042" i="37"/>
  <c r="AH1040" i="37" l="1"/>
  <c r="AI1040" i="37" s="1"/>
  <c r="AJ1040" i="37" s="1"/>
  <c r="N1043" i="37"/>
  <c r="O1042" i="37"/>
  <c r="S1041" i="37"/>
  <c r="V1041" i="37" s="1"/>
  <c r="Z1041" i="37"/>
  <c r="E1040" i="37"/>
  <c r="AM1040" i="37" s="1"/>
  <c r="AN1040" i="37" s="1"/>
  <c r="AK1040" i="37"/>
  <c r="AH1041" i="37" l="1"/>
  <c r="AI1041" i="37" s="1"/>
  <c r="AJ1041" i="37" s="1"/>
  <c r="E1041" i="37" s="1"/>
  <c r="AM1041" i="37" s="1"/>
  <c r="AN1041" i="37" s="1"/>
  <c r="S1042" i="37"/>
  <c r="V1042" i="37" s="1"/>
  <c r="Z1042" i="37"/>
  <c r="N1044" i="37"/>
  <c r="O1043" i="37"/>
  <c r="AH1042" i="37" l="1"/>
  <c r="AI1042" i="37" s="1"/>
  <c r="AJ1042" i="37" s="1"/>
  <c r="E1042" i="37" s="1"/>
  <c r="AM1042" i="37" s="1"/>
  <c r="AN1042" i="37" s="1"/>
  <c r="AK1041" i="37"/>
  <c r="S1043" i="37"/>
  <c r="V1043" i="37" s="1"/>
  <c r="Z1043" i="37"/>
  <c r="AH1043" i="37" s="1"/>
  <c r="AI1043" i="37" s="1"/>
  <c r="AJ1043" i="37" s="1"/>
  <c r="N1045" i="37"/>
  <c r="O1044" i="37"/>
  <c r="AK1042" i="37" l="1"/>
  <c r="N1046" i="37"/>
  <c r="O1045" i="37"/>
  <c r="S1044" i="37"/>
  <c r="V1044" i="37" s="1"/>
  <c r="Z1044" i="37"/>
  <c r="AK1043" i="37"/>
  <c r="E1043" i="37"/>
  <c r="AM1043" i="37" s="1"/>
  <c r="AN1043" i="37" s="1"/>
  <c r="AH1044" i="37" l="1"/>
  <c r="AI1044" i="37" s="1"/>
  <c r="AJ1044" i="37" s="1"/>
  <c r="AK1044" i="37" s="1"/>
  <c r="Z1045" i="37"/>
  <c r="S1045" i="37"/>
  <c r="V1045" i="37" s="1"/>
  <c r="N1047" i="37"/>
  <c r="O1046" i="37"/>
  <c r="E1044" i="37" l="1"/>
  <c r="AM1044" i="37" s="1"/>
  <c r="AN1044" i="37" s="1"/>
  <c r="Z1046" i="37"/>
  <c r="S1046" i="37"/>
  <c r="V1046" i="37" s="1"/>
  <c r="O1047" i="37"/>
  <c r="N1048" i="37"/>
  <c r="AH1045" i="37"/>
  <c r="AI1045" i="37" s="1"/>
  <c r="AJ1045" i="37" s="1"/>
  <c r="E1045" i="37" l="1"/>
  <c r="AM1045" i="37" s="1"/>
  <c r="AN1045" i="37" s="1"/>
  <c r="AK1045" i="37"/>
  <c r="O1048" i="37"/>
  <c r="N1049" i="37"/>
  <c r="S1047" i="37"/>
  <c r="V1047" i="37" s="1"/>
  <c r="Z1047" i="37"/>
  <c r="AH1047" i="37" s="1"/>
  <c r="AI1047" i="37" s="1"/>
  <c r="AJ1047" i="37" s="1"/>
  <c r="AH1046" i="37"/>
  <c r="AI1046" i="37" s="1"/>
  <c r="AJ1046" i="37" s="1"/>
  <c r="E1046" i="37" l="1"/>
  <c r="AM1046" i="37" s="1"/>
  <c r="AN1046" i="37" s="1"/>
  <c r="AK1046" i="37"/>
  <c r="E1047" i="37"/>
  <c r="AM1047" i="37" s="1"/>
  <c r="AN1047" i="37" s="1"/>
  <c r="AK1047" i="37"/>
  <c r="O1049" i="37"/>
  <c r="N1050" i="37"/>
  <c r="Z1048" i="37"/>
  <c r="S1048" i="37"/>
  <c r="V1048" i="37" s="1"/>
  <c r="S1049" i="37" l="1"/>
  <c r="V1049" i="37" s="1"/>
  <c r="Z1049" i="37"/>
  <c r="AH1048" i="37"/>
  <c r="AI1048" i="37" s="1"/>
  <c r="AJ1048" i="37" s="1"/>
  <c r="N1051" i="37"/>
  <c r="O1050" i="37"/>
  <c r="AH1049" i="37" l="1"/>
  <c r="AI1049" i="37" s="1"/>
  <c r="AJ1049" i="37" s="1"/>
  <c r="O1051" i="37"/>
  <c r="N1052" i="37"/>
  <c r="S1050" i="37"/>
  <c r="V1050" i="37" s="1"/>
  <c r="Z1050" i="37"/>
  <c r="E1048" i="37"/>
  <c r="AM1048" i="37" s="1"/>
  <c r="AN1048" i="37" s="1"/>
  <c r="AK1048" i="37"/>
  <c r="E1049" i="37"/>
  <c r="AM1049" i="37" s="1"/>
  <c r="AN1049" i="37" s="1"/>
  <c r="AK1049" i="37"/>
  <c r="AH1050" i="37" l="1"/>
  <c r="AI1050" i="37" s="1"/>
  <c r="AJ1050" i="37" s="1"/>
  <c r="O1052" i="37"/>
  <c r="N1053" i="37"/>
  <c r="S1051" i="37"/>
  <c r="V1051" i="37" s="1"/>
  <c r="Z1051" i="37"/>
  <c r="AH1051" i="37" l="1"/>
  <c r="AI1051" i="37" s="1"/>
  <c r="AJ1051" i="37" s="1"/>
  <c r="E1051" i="37" s="1"/>
  <c r="AM1051" i="37" s="1"/>
  <c r="AN1051" i="37" s="1"/>
  <c r="N1054" i="37"/>
  <c r="O1053" i="37"/>
  <c r="AK1050" i="37"/>
  <c r="E1050" i="37"/>
  <c r="AM1050" i="37" s="1"/>
  <c r="AN1050" i="37" s="1"/>
  <c r="S1052" i="37"/>
  <c r="V1052" i="37" s="1"/>
  <c r="Z1052" i="37"/>
  <c r="AK1051" i="37" l="1"/>
  <c r="AH1052" i="37"/>
  <c r="AI1052" i="37" s="1"/>
  <c r="AJ1052" i="37" s="1"/>
  <c r="AK1052" i="37" s="1"/>
  <c r="S1053" i="37"/>
  <c r="V1053" i="37" s="1"/>
  <c r="Z1053" i="37"/>
  <c r="N1055" i="37"/>
  <c r="O1054" i="37"/>
  <c r="E1052" i="37" l="1"/>
  <c r="AM1052" i="37" s="1"/>
  <c r="AN1052" i="37" s="1"/>
  <c r="AH1053" i="37"/>
  <c r="AI1053" i="37" s="1"/>
  <c r="AJ1053" i="37" s="1"/>
  <c r="AK1053" i="37" s="1"/>
  <c r="O1055" i="37"/>
  <c r="N1056" i="37"/>
  <c r="S1054" i="37"/>
  <c r="V1054" i="37" s="1"/>
  <c r="Z1054" i="37"/>
  <c r="E1053" i="37" l="1"/>
  <c r="AM1053" i="37" s="1"/>
  <c r="AN1053" i="37" s="1"/>
  <c r="AH1054" i="37"/>
  <c r="AI1054" i="37" s="1"/>
  <c r="AJ1054" i="37" s="1"/>
  <c r="E1054" i="37" s="1"/>
  <c r="AM1054" i="37" s="1"/>
  <c r="AN1054" i="37" s="1"/>
  <c r="O1056" i="37"/>
  <c r="N1057" i="37"/>
  <c r="S1055" i="37"/>
  <c r="V1055" i="37" s="1"/>
  <c r="Z1055" i="37"/>
  <c r="AK1054" i="37" l="1"/>
  <c r="AH1055" i="37"/>
  <c r="AI1055" i="37" s="1"/>
  <c r="AJ1055" i="37" s="1"/>
  <c r="E1055" i="37" s="1"/>
  <c r="AM1055" i="37" s="1"/>
  <c r="AN1055" i="37" s="1"/>
  <c r="O1057" i="37"/>
  <c r="N1058" i="37"/>
  <c r="S1056" i="37"/>
  <c r="V1056" i="37" s="1"/>
  <c r="Z1056" i="37"/>
  <c r="AK1055" i="37" l="1"/>
  <c r="AH1056" i="37"/>
  <c r="AI1056" i="37" s="1"/>
  <c r="AJ1056" i="37" s="1"/>
  <c r="E1056" i="37" s="1"/>
  <c r="AM1056" i="37" s="1"/>
  <c r="AN1056" i="37" s="1"/>
  <c r="N1059" i="37"/>
  <c r="O1058" i="37"/>
  <c r="S1057" i="37"/>
  <c r="V1057" i="37" s="1"/>
  <c r="Z1057" i="37"/>
  <c r="AK1056" i="37" l="1"/>
  <c r="AH1057" i="37"/>
  <c r="AI1057" i="37" s="1"/>
  <c r="AJ1057" i="37" s="1"/>
  <c r="AK1057" i="37" s="1"/>
  <c r="S1058" i="37"/>
  <c r="V1058" i="37" s="1"/>
  <c r="Z1058" i="37"/>
  <c r="O1059" i="37"/>
  <c r="N1060" i="37"/>
  <c r="E1057" i="37" l="1"/>
  <c r="AM1057" i="37" s="1"/>
  <c r="AN1057" i="37" s="1"/>
  <c r="AH1058" i="37"/>
  <c r="AI1058" i="37" s="1"/>
  <c r="AJ1058" i="37" s="1"/>
  <c r="Z1059" i="37"/>
  <c r="S1059" i="37"/>
  <c r="V1059" i="37" s="1"/>
  <c r="O1060" i="37"/>
  <c r="N1061" i="37"/>
  <c r="E1058" i="37" l="1"/>
  <c r="AM1058" i="37" s="1"/>
  <c r="AN1058" i="37" s="1"/>
  <c r="AK1058" i="37"/>
  <c r="N1062" i="37"/>
  <c r="O1061" i="37"/>
  <c r="Z1060" i="37"/>
  <c r="S1060" i="37"/>
  <c r="V1060" i="37" s="1"/>
  <c r="AH1059" i="37"/>
  <c r="AI1059" i="37" s="1"/>
  <c r="AJ1059" i="37" s="1"/>
  <c r="AK1059" i="37" l="1"/>
  <c r="E1059" i="37"/>
  <c r="AM1059" i="37" s="1"/>
  <c r="AN1059" i="37" s="1"/>
  <c r="AH1060" i="37"/>
  <c r="AI1060" i="37" s="1"/>
  <c r="AJ1060" i="37" s="1"/>
  <c r="Z1061" i="37"/>
  <c r="S1061" i="37"/>
  <c r="V1061" i="37" s="1"/>
  <c r="N1063" i="37"/>
  <c r="O1062" i="37"/>
  <c r="AH1061" i="37" l="1"/>
  <c r="AI1061" i="37" s="1"/>
  <c r="AJ1061" i="37" s="1"/>
  <c r="Z1062" i="37"/>
  <c r="S1062" i="37"/>
  <c r="V1062" i="37" s="1"/>
  <c r="E1061" i="37"/>
  <c r="AM1061" i="37" s="1"/>
  <c r="AN1061" i="37" s="1"/>
  <c r="AK1061" i="37"/>
  <c r="O1063" i="37"/>
  <c r="N1064" i="37"/>
  <c r="E1060" i="37"/>
  <c r="AM1060" i="37" s="1"/>
  <c r="AN1060" i="37" s="1"/>
  <c r="AK1060" i="37"/>
  <c r="O1064" i="37" l="1"/>
  <c r="N1065" i="37"/>
  <c r="Z1063" i="37"/>
  <c r="S1063" i="37"/>
  <c r="V1063" i="37" s="1"/>
  <c r="AH1062" i="37"/>
  <c r="AI1062" i="37" s="1"/>
  <c r="AJ1062" i="37" s="1"/>
  <c r="AH1063" i="37" l="1"/>
  <c r="AI1063" i="37" s="1"/>
  <c r="AJ1063" i="37" s="1"/>
  <c r="AK1062" i="37"/>
  <c r="E1062" i="37"/>
  <c r="AM1062" i="37" s="1"/>
  <c r="AN1062" i="37" s="1"/>
  <c r="N1066" i="37"/>
  <c r="O1065" i="37"/>
  <c r="S1064" i="37"/>
  <c r="V1064" i="37" s="1"/>
  <c r="Z1064" i="37"/>
  <c r="AH1064" i="37" l="1"/>
  <c r="AI1064" i="37" s="1"/>
  <c r="AJ1064" i="37" s="1"/>
  <c r="E1063" i="37"/>
  <c r="AM1063" i="37" s="1"/>
  <c r="AN1063" i="37" s="1"/>
  <c r="AK1063" i="37"/>
  <c r="AK1064" i="37"/>
  <c r="E1064" i="37"/>
  <c r="AM1064" i="37" s="1"/>
  <c r="AN1064" i="37" s="1"/>
  <c r="Z1065" i="37"/>
  <c r="S1065" i="37"/>
  <c r="V1065" i="37" s="1"/>
  <c r="O1066" i="37"/>
  <c r="N1067" i="37"/>
  <c r="O1067" i="37" l="1"/>
  <c r="N1068" i="37"/>
  <c r="S1066" i="37"/>
  <c r="V1066" i="37" s="1"/>
  <c r="Z1066" i="37"/>
  <c r="AH1065" i="37"/>
  <c r="AI1065" i="37" s="1"/>
  <c r="AJ1065" i="37" s="1"/>
  <c r="AH1066" i="37" l="1"/>
  <c r="AI1066" i="37" s="1"/>
  <c r="AJ1066" i="37" s="1"/>
  <c r="AK1065" i="37"/>
  <c r="E1065" i="37"/>
  <c r="AM1065" i="37" s="1"/>
  <c r="AN1065" i="37" s="1"/>
  <c r="N1069" i="37"/>
  <c r="O1068" i="37"/>
  <c r="S1067" i="37"/>
  <c r="V1067" i="37" s="1"/>
  <c r="Z1067" i="37"/>
  <c r="AH1067" i="37" l="1"/>
  <c r="AI1067" i="37" s="1"/>
  <c r="AJ1067" i="37" s="1"/>
  <c r="E1067" i="37" s="1"/>
  <c r="AM1067" i="37" s="1"/>
  <c r="AN1067" i="37" s="1"/>
  <c r="E1066" i="37"/>
  <c r="AM1066" i="37" s="1"/>
  <c r="AN1066" i="37" s="1"/>
  <c r="AK1066" i="37"/>
  <c r="Z1068" i="37"/>
  <c r="S1068" i="37"/>
  <c r="V1068" i="37" s="1"/>
  <c r="O1069" i="37"/>
  <c r="N1070" i="37"/>
  <c r="AK1067" i="37" l="1"/>
  <c r="Z1069" i="37"/>
  <c r="S1069" i="37"/>
  <c r="V1069" i="37" s="1"/>
  <c r="O1070" i="37"/>
  <c r="N1071" i="37"/>
  <c r="AH1068" i="37"/>
  <c r="AI1068" i="37" s="1"/>
  <c r="AJ1068" i="37" s="1"/>
  <c r="AK1068" i="37" l="1"/>
  <c r="E1068" i="37"/>
  <c r="AM1068" i="37" s="1"/>
  <c r="AN1068" i="37" s="1"/>
  <c r="N1072" i="37"/>
  <c r="O1071" i="37"/>
  <c r="Z1070" i="37"/>
  <c r="S1070" i="37"/>
  <c r="V1070" i="37" s="1"/>
  <c r="AH1069" i="37"/>
  <c r="AI1069" i="37" s="1"/>
  <c r="AJ1069" i="37" s="1"/>
  <c r="O1072" i="37" l="1"/>
  <c r="N1073" i="37"/>
  <c r="AK1069" i="37"/>
  <c r="E1069" i="37"/>
  <c r="AM1069" i="37" s="1"/>
  <c r="AN1069" i="37" s="1"/>
  <c r="AH1070" i="37"/>
  <c r="AI1070" i="37" s="1"/>
  <c r="AJ1070" i="37" s="1"/>
  <c r="S1071" i="37"/>
  <c r="V1071" i="37" s="1"/>
  <c r="Z1071" i="37"/>
  <c r="AH1071" i="37" l="1"/>
  <c r="AI1071" i="37" s="1"/>
  <c r="AJ1071" i="37" s="1"/>
  <c r="E1071" i="37" s="1"/>
  <c r="AM1071" i="37" s="1"/>
  <c r="AN1071" i="37" s="1"/>
  <c r="AK1070" i="37"/>
  <c r="E1070" i="37"/>
  <c r="AM1070" i="37" s="1"/>
  <c r="AN1070" i="37" s="1"/>
  <c r="O1073" i="37"/>
  <c r="N1074" i="37"/>
  <c r="Z1072" i="37"/>
  <c r="S1072" i="37"/>
  <c r="V1072" i="37" s="1"/>
  <c r="AK1071" i="37" l="1"/>
  <c r="AH1072" i="37"/>
  <c r="AI1072" i="37" s="1"/>
  <c r="AJ1072" i="37" s="1"/>
  <c r="AK1072" i="37" s="1"/>
  <c r="O1074" i="37"/>
  <c r="N1075" i="37"/>
  <c r="S1073" i="37"/>
  <c r="V1073" i="37" s="1"/>
  <c r="Z1073" i="37"/>
  <c r="AH1073" i="37" l="1"/>
  <c r="AI1073" i="37" s="1"/>
  <c r="AJ1073" i="37" s="1"/>
  <c r="E1073" i="37" s="1"/>
  <c r="AM1073" i="37" s="1"/>
  <c r="AN1073" i="37" s="1"/>
  <c r="E1072" i="37"/>
  <c r="AM1072" i="37" s="1"/>
  <c r="AN1072" i="37" s="1"/>
  <c r="N1076" i="37"/>
  <c r="O1075" i="37"/>
  <c r="S1074" i="37"/>
  <c r="V1074" i="37" s="1"/>
  <c r="Z1074" i="37"/>
  <c r="AK1073" i="37" l="1"/>
  <c r="AH1074" i="37"/>
  <c r="AI1074" i="37" s="1"/>
  <c r="AJ1074" i="37" s="1"/>
  <c r="AK1074" i="37" s="1"/>
  <c r="S1075" i="37"/>
  <c r="V1075" i="37" s="1"/>
  <c r="Z1075" i="37"/>
  <c r="O1076" i="37"/>
  <c r="N1077" i="37"/>
  <c r="E1074" i="37" l="1"/>
  <c r="AM1074" i="37" s="1"/>
  <c r="AN1074" i="37" s="1"/>
  <c r="AH1075" i="37"/>
  <c r="AI1075" i="37" s="1"/>
  <c r="AJ1075" i="37" s="1"/>
  <c r="E1075" i="37" s="1"/>
  <c r="AM1075" i="37" s="1"/>
  <c r="AN1075" i="37" s="1"/>
  <c r="O1077" i="37"/>
  <c r="N1078" i="37"/>
  <c r="Z1076" i="37"/>
  <c r="S1076" i="37"/>
  <c r="V1076" i="37" s="1"/>
  <c r="AK1075" i="37" l="1"/>
  <c r="AH1076" i="37"/>
  <c r="AI1076" i="37" s="1"/>
  <c r="AJ1076" i="37" s="1"/>
  <c r="N1079" i="37"/>
  <c r="O1078" i="37"/>
  <c r="Z1077" i="37"/>
  <c r="S1077" i="37"/>
  <c r="V1077" i="37" s="1"/>
  <c r="S1078" i="37" l="1"/>
  <c r="V1078" i="37" s="1"/>
  <c r="Z1078" i="37"/>
  <c r="AH1077" i="37"/>
  <c r="AI1077" i="37" s="1"/>
  <c r="AJ1077" i="37" s="1"/>
  <c r="O1079" i="37"/>
  <c r="N1080" i="37"/>
  <c r="E1076" i="37"/>
  <c r="AM1076" i="37" s="1"/>
  <c r="AN1076" i="37" s="1"/>
  <c r="AK1076" i="37"/>
  <c r="AH1078" i="37" l="1"/>
  <c r="AI1078" i="37" s="1"/>
  <c r="AJ1078" i="37" s="1"/>
  <c r="O1080" i="37"/>
  <c r="N1081" i="37"/>
  <c r="S1079" i="37"/>
  <c r="V1079" i="37" s="1"/>
  <c r="Z1079" i="37"/>
  <c r="E1077" i="37"/>
  <c r="AM1077" i="37" s="1"/>
  <c r="AN1077" i="37" s="1"/>
  <c r="AK1077" i="37"/>
  <c r="E1078" i="37" l="1"/>
  <c r="AM1078" i="37" s="1"/>
  <c r="AN1078" i="37" s="1"/>
  <c r="AK1078" i="37"/>
  <c r="AH1079" i="37"/>
  <c r="AI1079" i="37" s="1"/>
  <c r="AJ1079" i="37" s="1"/>
  <c r="E1079" i="37" s="1"/>
  <c r="AM1079" i="37" s="1"/>
  <c r="AN1079" i="37" s="1"/>
  <c r="O1081" i="37"/>
  <c r="N1082" i="37"/>
  <c r="S1080" i="37"/>
  <c r="V1080" i="37" s="1"/>
  <c r="Z1080" i="37"/>
  <c r="AK1079" i="37" l="1"/>
  <c r="AH1080" i="37"/>
  <c r="AI1080" i="37" s="1"/>
  <c r="AJ1080" i="37" s="1"/>
  <c r="E1080" i="37" s="1"/>
  <c r="AM1080" i="37" s="1"/>
  <c r="AN1080" i="37" s="1"/>
  <c r="O1082" i="37"/>
  <c r="N1083" i="37"/>
  <c r="Z1081" i="37"/>
  <c r="S1081" i="37"/>
  <c r="V1081" i="37" s="1"/>
  <c r="AK1080" i="37" l="1"/>
  <c r="AH1081" i="37"/>
  <c r="AI1081" i="37" s="1"/>
  <c r="AJ1081" i="37" s="1"/>
  <c r="E1081" i="37" s="1"/>
  <c r="AM1081" i="37" s="1"/>
  <c r="AN1081" i="37" s="1"/>
  <c r="N1084" i="37"/>
  <c r="O1083" i="37"/>
  <c r="Z1082" i="37"/>
  <c r="S1082" i="37"/>
  <c r="V1082" i="37" s="1"/>
  <c r="AK1081" i="37" l="1"/>
  <c r="AH1082" i="37"/>
  <c r="AI1082" i="37" s="1"/>
  <c r="AJ1082" i="37" s="1"/>
  <c r="Z1083" i="37"/>
  <c r="S1083" i="37"/>
  <c r="V1083" i="37" s="1"/>
  <c r="O1084" i="37"/>
  <c r="N1085" i="37"/>
  <c r="S1084" i="37" l="1"/>
  <c r="V1084" i="37" s="1"/>
  <c r="Z1084" i="37"/>
  <c r="O1085" i="37"/>
  <c r="N1086" i="37"/>
  <c r="AH1083" i="37"/>
  <c r="AI1083" i="37" s="1"/>
  <c r="AJ1083" i="37" s="1"/>
  <c r="E1082" i="37"/>
  <c r="AM1082" i="37" s="1"/>
  <c r="AN1082" i="37" s="1"/>
  <c r="AK1082" i="37"/>
  <c r="AH1084" i="37" l="1"/>
  <c r="AI1084" i="37" s="1"/>
  <c r="AJ1084" i="37" s="1"/>
  <c r="AK1084" i="37" s="1"/>
  <c r="Z1085" i="37"/>
  <c r="S1085" i="37"/>
  <c r="V1085" i="37" s="1"/>
  <c r="E1083" i="37"/>
  <c r="AM1083" i="37" s="1"/>
  <c r="AN1083" i="37" s="1"/>
  <c r="AK1083" i="37"/>
  <c r="N1087" i="37"/>
  <c r="O1086" i="37"/>
  <c r="E1084" i="37" l="1"/>
  <c r="AM1084" i="37" s="1"/>
  <c r="AN1084" i="37" s="1"/>
  <c r="Z1086" i="37"/>
  <c r="S1086" i="37"/>
  <c r="V1086" i="37" s="1"/>
  <c r="O1087" i="37"/>
  <c r="N1088" i="37"/>
  <c r="AH1085" i="37"/>
  <c r="AI1085" i="37" s="1"/>
  <c r="AJ1085" i="37" s="1"/>
  <c r="AK1085" i="37" l="1"/>
  <c r="E1085" i="37"/>
  <c r="AM1085" i="37" s="1"/>
  <c r="AN1085" i="37" s="1"/>
  <c r="N1089" i="37"/>
  <c r="O1088" i="37"/>
  <c r="S1087" i="37"/>
  <c r="V1087" i="37" s="1"/>
  <c r="Z1087" i="37"/>
  <c r="AH1086" i="37"/>
  <c r="AI1086" i="37" s="1"/>
  <c r="AJ1086" i="37" s="1"/>
  <c r="AH1087" i="37" l="1"/>
  <c r="AI1087" i="37" s="1"/>
  <c r="AJ1087" i="37" s="1"/>
  <c r="E1087" i="37" s="1"/>
  <c r="AM1087" i="37" s="1"/>
  <c r="AN1087" i="37" s="1"/>
  <c r="E1086" i="37"/>
  <c r="AM1086" i="37" s="1"/>
  <c r="AN1086" i="37" s="1"/>
  <c r="AK1086" i="37"/>
  <c r="S1088" i="37"/>
  <c r="V1088" i="37" s="1"/>
  <c r="Z1088" i="37"/>
  <c r="AK1087" i="37"/>
  <c r="N1090" i="37"/>
  <c r="O1089" i="37"/>
  <c r="AH1088" i="37" l="1"/>
  <c r="AI1088" i="37" s="1"/>
  <c r="AJ1088" i="37" s="1"/>
  <c r="AK1088" i="37" s="1"/>
  <c r="E1088" i="37"/>
  <c r="AM1088" i="37" s="1"/>
  <c r="AN1088" i="37" s="1"/>
  <c r="Z1089" i="37"/>
  <c r="S1089" i="37"/>
  <c r="V1089" i="37" s="1"/>
  <c r="O1090" i="37"/>
  <c r="N1091" i="37"/>
  <c r="O1091" i="37" l="1"/>
  <c r="N1092" i="37"/>
  <c r="S1090" i="37"/>
  <c r="V1090" i="37" s="1"/>
  <c r="Z1090" i="37"/>
  <c r="AH1089" i="37"/>
  <c r="AI1089" i="37" s="1"/>
  <c r="AJ1089" i="37" s="1"/>
  <c r="AH1090" i="37" l="1"/>
  <c r="AI1090" i="37" s="1"/>
  <c r="AJ1090" i="37" s="1"/>
  <c r="E1090" i="37" s="1"/>
  <c r="AM1090" i="37" s="1"/>
  <c r="AN1090" i="37" s="1"/>
  <c r="E1089" i="37"/>
  <c r="AM1089" i="37" s="1"/>
  <c r="AN1089" i="37" s="1"/>
  <c r="AK1089" i="37"/>
  <c r="O1092" i="37"/>
  <c r="N1093" i="37"/>
  <c r="Z1091" i="37"/>
  <c r="S1091" i="37"/>
  <c r="V1091" i="37" s="1"/>
  <c r="AK1090" i="37" l="1"/>
  <c r="AH1091" i="37"/>
  <c r="AI1091" i="37" s="1"/>
  <c r="AJ1091" i="37" s="1"/>
  <c r="N1094" i="37"/>
  <c r="O1093" i="37"/>
  <c r="S1092" i="37"/>
  <c r="V1092" i="37" s="1"/>
  <c r="Z1092" i="37"/>
  <c r="AH1092" i="37" l="1"/>
  <c r="AI1092" i="37" s="1"/>
  <c r="AJ1092" i="37" s="1"/>
  <c r="Z1093" i="37"/>
  <c r="S1093" i="37"/>
  <c r="V1093" i="37" s="1"/>
  <c r="E1092" i="37"/>
  <c r="AM1092" i="37" s="1"/>
  <c r="AN1092" i="37" s="1"/>
  <c r="AK1092" i="37"/>
  <c r="O1094" i="37"/>
  <c r="N1095" i="37"/>
  <c r="E1091" i="37"/>
  <c r="AM1091" i="37" s="1"/>
  <c r="AN1091" i="37" s="1"/>
  <c r="AK1091" i="37"/>
  <c r="Z1094" i="37" l="1"/>
  <c r="S1094" i="37"/>
  <c r="V1094" i="37" s="1"/>
  <c r="N1096" i="37"/>
  <c r="O1095" i="37"/>
  <c r="AH1093" i="37"/>
  <c r="AI1093" i="37" s="1"/>
  <c r="AJ1093" i="37" s="1"/>
  <c r="Z1095" i="37" l="1"/>
  <c r="S1095" i="37"/>
  <c r="V1095" i="37" s="1"/>
  <c r="AK1093" i="37"/>
  <c r="E1093" i="37"/>
  <c r="AM1093" i="37" s="1"/>
  <c r="AN1093" i="37" s="1"/>
  <c r="N1097" i="37"/>
  <c r="O1096" i="37"/>
  <c r="AH1094" i="37"/>
  <c r="AI1094" i="37" s="1"/>
  <c r="AJ1094" i="37" s="1"/>
  <c r="S1096" i="37" l="1"/>
  <c r="V1096" i="37" s="1"/>
  <c r="Z1096" i="37"/>
  <c r="AK1094" i="37"/>
  <c r="E1094" i="37"/>
  <c r="AM1094" i="37" s="1"/>
  <c r="AN1094" i="37" s="1"/>
  <c r="O1097" i="37"/>
  <c r="N1098" i="37"/>
  <c r="AH1095" i="37"/>
  <c r="AI1095" i="37" s="1"/>
  <c r="AJ1095" i="37" s="1"/>
  <c r="AH1096" i="37" l="1"/>
  <c r="AI1096" i="37" s="1"/>
  <c r="AJ1096" i="37" s="1"/>
  <c r="E1096" i="37" s="1"/>
  <c r="AM1096" i="37" s="1"/>
  <c r="AN1096" i="37" s="1"/>
  <c r="E1095" i="37"/>
  <c r="AM1095" i="37" s="1"/>
  <c r="AN1095" i="37" s="1"/>
  <c r="AK1095" i="37"/>
  <c r="O1098" i="37"/>
  <c r="N1099" i="37"/>
  <c r="Z1097" i="37"/>
  <c r="S1097" i="37"/>
  <c r="V1097" i="37" s="1"/>
  <c r="AK1096" i="37" l="1"/>
  <c r="AH1097" i="37"/>
  <c r="AI1097" i="37" s="1"/>
  <c r="AJ1097" i="37" s="1"/>
  <c r="O1099" i="37"/>
  <c r="N1100" i="37"/>
  <c r="Z1098" i="37"/>
  <c r="S1098" i="37"/>
  <c r="V1098" i="37" s="1"/>
  <c r="AH1098" i="37" l="1"/>
  <c r="AI1098" i="37" s="1"/>
  <c r="AJ1098" i="37" s="1"/>
  <c r="O1100" i="37"/>
  <c r="N1101" i="37"/>
  <c r="Z1099" i="37"/>
  <c r="S1099" i="37"/>
  <c r="V1099" i="37" s="1"/>
  <c r="AK1097" i="37"/>
  <c r="E1097" i="37"/>
  <c r="AM1097" i="37" s="1"/>
  <c r="AN1097" i="37" s="1"/>
  <c r="Z1100" i="37" l="1"/>
  <c r="S1100" i="37"/>
  <c r="V1100" i="37" s="1"/>
  <c r="AH1099" i="37"/>
  <c r="AI1099" i="37" s="1"/>
  <c r="AJ1099" i="37" s="1"/>
  <c r="O1101" i="37"/>
  <c r="N1102" i="37"/>
  <c r="AK1098" i="37"/>
  <c r="E1098" i="37"/>
  <c r="AM1098" i="37" s="1"/>
  <c r="AN1098" i="37" s="1"/>
  <c r="S1101" i="37" l="1"/>
  <c r="V1101" i="37" s="1"/>
  <c r="Z1101" i="37"/>
  <c r="O1102" i="37"/>
  <c r="N1103" i="37"/>
  <c r="E1099" i="37"/>
  <c r="AM1099" i="37" s="1"/>
  <c r="AN1099" i="37" s="1"/>
  <c r="AK1099" i="37"/>
  <c r="AH1100" i="37"/>
  <c r="AI1100" i="37" s="1"/>
  <c r="AJ1100" i="37" s="1"/>
  <c r="AH1101" i="37" l="1"/>
  <c r="AI1101" i="37" s="1"/>
  <c r="AJ1101" i="37" s="1"/>
  <c r="S1102" i="37"/>
  <c r="V1102" i="37" s="1"/>
  <c r="Z1102" i="37"/>
  <c r="AK1100" i="37"/>
  <c r="E1100" i="37"/>
  <c r="AM1100" i="37" s="1"/>
  <c r="AN1100" i="37" s="1"/>
  <c r="N1104" i="37"/>
  <c r="O1103" i="37"/>
  <c r="AH1102" i="37" l="1"/>
  <c r="AI1102" i="37" s="1"/>
  <c r="AJ1102" i="37" s="1"/>
  <c r="E1101" i="37"/>
  <c r="AM1101" i="37" s="1"/>
  <c r="AN1101" i="37" s="1"/>
  <c r="AK1101" i="37"/>
  <c r="O1104" i="37"/>
  <c r="N1105" i="37"/>
  <c r="S1103" i="37"/>
  <c r="V1103" i="37" s="1"/>
  <c r="Z1103" i="37"/>
  <c r="E1102" i="37"/>
  <c r="AM1102" i="37" s="1"/>
  <c r="AN1102" i="37" s="1"/>
  <c r="AK1102" i="37"/>
  <c r="AH1103" i="37" l="1"/>
  <c r="AI1103" i="37" s="1"/>
  <c r="AJ1103" i="37" s="1"/>
  <c r="E1103" i="37" s="1"/>
  <c r="AM1103" i="37" s="1"/>
  <c r="AN1103" i="37" s="1"/>
  <c r="O1105" i="37"/>
  <c r="N1106" i="37"/>
  <c r="Z1104" i="37"/>
  <c r="S1104" i="37"/>
  <c r="V1104" i="37" s="1"/>
  <c r="AK1103" i="37" l="1"/>
  <c r="AH1104" i="37"/>
  <c r="AI1104" i="37" s="1"/>
  <c r="AJ1104" i="37" s="1"/>
  <c r="O1106" i="37"/>
  <c r="N1107" i="37"/>
  <c r="Z1105" i="37"/>
  <c r="S1105" i="37"/>
  <c r="V1105" i="37" s="1"/>
  <c r="AH1105" i="37" l="1"/>
  <c r="AI1105" i="37" s="1"/>
  <c r="AJ1105" i="37" s="1"/>
  <c r="N1108" i="37"/>
  <c r="O1107" i="37"/>
  <c r="S1106" i="37"/>
  <c r="V1106" i="37" s="1"/>
  <c r="Z1106" i="37"/>
  <c r="AH1106" i="37" s="1"/>
  <c r="AI1106" i="37" s="1"/>
  <c r="AJ1106" i="37" s="1"/>
  <c r="E1106" i="37" s="1"/>
  <c r="AM1106" i="37" s="1"/>
  <c r="AN1106" i="37" s="1"/>
  <c r="E1104" i="37"/>
  <c r="AM1104" i="37" s="1"/>
  <c r="AN1104" i="37" s="1"/>
  <c r="AK1104" i="37"/>
  <c r="AK1106" i="37" l="1"/>
  <c r="O1108" i="37"/>
  <c r="N1109" i="37"/>
  <c r="S1107" i="37"/>
  <c r="V1107" i="37" s="1"/>
  <c r="Z1107" i="37"/>
  <c r="AK1105" i="37"/>
  <c r="E1105" i="37"/>
  <c r="AM1105" i="37" s="1"/>
  <c r="AN1105" i="37" s="1"/>
  <c r="AH1107" i="37" l="1"/>
  <c r="AI1107" i="37" s="1"/>
  <c r="AJ1107" i="37" s="1"/>
  <c r="AK1107" i="37" s="1"/>
  <c r="O1109" i="37"/>
  <c r="N1110" i="37"/>
  <c r="S1108" i="37"/>
  <c r="V1108" i="37" s="1"/>
  <c r="Z1108" i="37"/>
  <c r="E1107" i="37" l="1"/>
  <c r="AM1107" i="37" s="1"/>
  <c r="AN1107" i="37" s="1"/>
  <c r="AH1108" i="37"/>
  <c r="AI1108" i="37" s="1"/>
  <c r="AJ1108" i="37" s="1"/>
  <c r="AK1108" i="37" s="1"/>
  <c r="N1111" i="37"/>
  <c r="O1110" i="37"/>
  <c r="S1109" i="37"/>
  <c r="V1109" i="37" s="1"/>
  <c r="Z1109" i="37"/>
  <c r="E1108" i="37" l="1"/>
  <c r="AM1108" i="37" s="1"/>
  <c r="AN1108" i="37" s="1"/>
  <c r="AH1109" i="37"/>
  <c r="AI1109" i="37" s="1"/>
  <c r="AJ1109" i="37" s="1"/>
  <c r="E1109" i="37" s="1"/>
  <c r="AM1109" i="37" s="1"/>
  <c r="AN1109" i="37" s="1"/>
  <c r="S1110" i="37"/>
  <c r="V1110" i="37" s="1"/>
  <c r="Z1110" i="37"/>
  <c r="O1111" i="37"/>
  <c r="N1112" i="37"/>
  <c r="AH1110" i="37" l="1"/>
  <c r="AI1110" i="37" s="1"/>
  <c r="AJ1110" i="37" s="1"/>
  <c r="AK1109" i="37"/>
  <c r="N1113" i="37"/>
  <c r="O1112" i="37"/>
  <c r="S1111" i="37"/>
  <c r="V1111" i="37" s="1"/>
  <c r="Z1111" i="37"/>
  <c r="AH1111" i="37" l="1"/>
  <c r="AI1111" i="37" s="1"/>
  <c r="AJ1111" i="37" s="1"/>
  <c r="E1110" i="37"/>
  <c r="AM1110" i="37" s="1"/>
  <c r="AN1110" i="37" s="1"/>
  <c r="AK1110" i="37"/>
  <c r="E1111" i="37"/>
  <c r="AM1111" i="37" s="1"/>
  <c r="AN1111" i="37" s="1"/>
  <c r="AK1111" i="37"/>
  <c r="S1112" i="37"/>
  <c r="V1112" i="37" s="1"/>
  <c r="Z1112" i="37"/>
  <c r="O1113" i="37"/>
  <c r="N1114" i="37"/>
  <c r="AH1112" i="37" l="1"/>
  <c r="AI1112" i="37" s="1"/>
  <c r="AJ1112" i="37" s="1"/>
  <c r="S1113" i="37"/>
  <c r="V1113" i="37" s="1"/>
  <c r="Z1113" i="37"/>
  <c r="O1114" i="37"/>
  <c r="N1115" i="37"/>
  <c r="AH1113" i="37" l="1"/>
  <c r="AI1113" i="37" s="1"/>
  <c r="AJ1113" i="37" s="1"/>
  <c r="E1112" i="37"/>
  <c r="AM1112" i="37" s="1"/>
  <c r="AN1112" i="37" s="1"/>
  <c r="AK1112" i="37"/>
  <c r="O1115" i="37"/>
  <c r="N1116" i="37"/>
  <c r="S1114" i="37"/>
  <c r="V1114" i="37" s="1"/>
  <c r="Z1114" i="37"/>
  <c r="AK1113" i="37"/>
  <c r="E1113" i="37"/>
  <c r="AM1113" i="37" s="1"/>
  <c r="AN1113" i="37" s="1"/>
  <c r="AH1114" i="37" l="1"/>
  <c r="AI1114" i="37" s="1"/>
  <c r="AJ1114" i="37" s="1"/>
  <c r="E1114" i="37" s="1"/>
  <c r="AM1114" i="37" s="1"/>
  <c r="AN1114" i="37" s="1"/>
  <c r="O1116" i="37"/>
  <c r="N1117" i="37"/>
  <c r="Z1115" i="37"/>
  <c r="S1115" i="37"/>
  <c r="V1115" i="37" s="1"/>
  <c r="AK1114" i="37" l="1"/>
  <c r="AH1115" i="37"/>
  <c r="AI1115" i="37" s="1"/>
  <c r="AJ1115" i="37" s="1"/>
  <c r="E1115" i="37" s="1"/>
  <c r="AM1115" i="37" s="1"/>
  <c r="AN1115" i="37" s="1"/>
  <c r="N1118" i="37"/>
  <c r="O1117" i="37"/>
  <c r="Z1116" i="37"/>
  <c r="S1116" i="37"/>
  <c r="V1116" i="37" s="1"/>
  <c r="AK1115" i="37" l="1"/>
  <c r="Z1117" i="37"/>
  <c r="S1117" i="37"/>
  <c r="V1117" i="37" s="1"/>
  <c r="AH1116" i="37"/>
  <c r="AI1116" i="37" s="1"/>
  <c r="AJ1116" i="37" s="1"/>
  <c r="N1119" i="37"/>
  <c r="O1118" i="37"/>
  <c r="N1120" i="37" l="1"/>
  <c r="O1119" i="37"/>
  <c r="S1118" i="37"/>
  <c r="V1118" i="37" s="1"/>
  <c r="Z1118" i="37"/>
  <c r="AH1118" i="37" s="1"/>
  <c r="AI1118" i="37" s="1"/>
  <c r="AJ1118" i="37" s="1"/>
  <c r="E1116" i="37"/>
  <c r="AM1116" i="37" s="1"/>
  <c r="AN1116" i="37" s="1"/>
  <c r="AK1116" i="37"/>
  <c r="AH1117" i="37"/>
  <c r="AI1117" i="37" s="1"/>
  <c r="AJ1117" i="37" s="1"/>
  <c r="E1117" i="37" l="1"/>
  <c r="AM1117" i="37" s="1"/>
  <c r="AN1117" i="37" s="1"/>
  <c r="AK1117" i="37"/>
  <c r="E1118" i="37"/>
  <c r="AM1118" i="37" s="1"/>
  <c r="AN1118" i="37" s="1"/>
  <c r="AK1118" i="37"/>
  <c r="Z1119" i="37"/>
  <c r="S1119" i="37"/>
  <c r="V1119" i="37" s="1"/>
  <c r="N1121" i="37"/>
  <c r="O1120" i="37"/>
  <c r="O1121" i="37" l="1"/>
  <c r="N1122" i="37"/>
  <c r="Z1120" i="37"/>
  <c r="S1120" i="37"/>
  <c r="V1120" i="37" s="1"/>
  <c r="AH1119" i="37"/>
  <c r="AI1119" i="37" s="1"/>
  <c r="AJ1119" i="37" s="1"/>
  <c r="AK1119" i="37" l="1"/>
  <c r="E1119" i="37"/>
  <c r="AM1119" i="37" s="1"/>
  <c r="AN1119" i="37" s="1"/>
  <c r="AH1120" i="37"/>
  <c r="AI1120" i="37" s="1"/>
  <c r="AJ1120" i="37" s="1"/>
  <c r="N1123" i="37"/>
  <c r="O1122" i="37"/>
  <c r="Z1121" i="37"/>
  <c r="S1121" i="37"/>
  <c r="V1121" i="37" s="1"/>
  <c r="AH1121" i="37" l="1"/>
  <c r="AI1121" i="37" s="1"/>
  <c r="AJ1121" i="37" s="1"/>
  <c r="N1124" i="37"/>
  <c r="O1123" i="37"/>
  <c r="S1122" i="37"/>
  <c r="V1122" i="37" s="1"/>
  <c r="Z1122" i="37"/>
  <c r="AK1120" i="37"/>
  <c r="E1120" i="37"/>
  <c r="AM1120" i="37" s="1"/>
  <c r="AN1120" i="37" s="1"/>
  <c r="AH1122" i="37" l="1"/>
  <c r="AI1122" i="37" s="1"/>
  <c r="AJ1122" i="37" s="1"/>
  <c r="E1122" i="37" s="1"/>
  <c r="AM1122" i="37" s="1"/>
  <c r="AN1122" i="37" s="1"/>
  <c r="S1123" i="37"/>
  <c r="V1123" i="37" s="1"/>
  <c r="Z1123" i="37"/>
  <c r="AK1122" i="37"/>
  <c r="O1124" i="37"/>
  <c r="N1125" i="37"/>
  <c r="AK1121" i="37"/>
  <c r="E1121" i="37"/>
  <c r="AM1121" i="37" s="1"/>
  <c r="AN1121" i="37" s="1"/>
  <c r="AH1123" i="37" l="1"/>
  <c r="AI1123" i="37" s="1"/>
  <c r="AJ1123" i="37" s="1"/>
  <c r="O1125" i="37"/>
  <c r="N1126" i="37"/>
  <c r="Z1124" i="37"/>
  <c r="S1124" i="37"/>
  <c r="V1124" i="37" s="1"/>
  <c r="AK1123" i="37" l="1"/>
  <c r="E1123" i="37"/>
  <c r="AM1123" i="37" s="1"/>
  <c r="AN1123" i="37" s="1"/>
  <c r="AH1124" i="37"/>
  <c r="AI1124" i="37" s="1"/>
  <c r="AJ1124" i="37" s="1"/>
  <c r="E1124" i="37" s="1"/>
  <c r="AM1124" i="37" s="1"/>
  <c r="AN1124" i="37" s="1"/>
  <c r="O1126" i="37"/>
  <c r="N1127" i="37"/>
  <c r="S1125" i="37"/>
  <c r="V1125" i="37" s="1"/>
  <c r="Z1125" i="37"/>
  <c r="AH1125" i="37" l="1"/>
  <c r="AI1125" i="37" s="1"/>
  <c r="AJ1125" i="37" s="1"/>
  <c r="E1125" i="37" s="1"/>
  <c r="AM1125" i="37" s="1"/>
  <c r="AN1125" i="37" s="1"/>
  <c r="AK1124" i="37"/>
  <c r="O1127" i="37"/>
  <c r="N1128" i="37"/>
  <c r="N1354" i="37"/>
  <c r="O1354" i="37" s="1"/>
  <c r="Z1126" i="37"/>
  <c r="S1126" i="37"/>
  <c r="V1126" i="37" s="1"/>
  <c r="AK1125" i="37" l="1"/>
  <c r="Z1354" i="37"/>
  <c r="S1354" i="37"/>
  <c r="V1354" i="37" s="1"/>
  <c r="AH1126" i="37"/>
  <c r="AI1126" i="37" s="1"/>
  <c r="AJ1126" i="37" s="1"/>
  <c r="O1128" i="37"/>
  <c r="N1355" i="37"/>
  <c r="O1355" i="37" s="1"/>
  <c r="N1129" i="37"/>
  <c r="S1127" i="37"/>
  <c r="V1127" i="37" s="1"/>
  <c r="Z1127" i="37"/>
  <c r="AH1127" i="37" l="1"/>
  <c r="AI1127" i="37" s="1"/>
  <c r="AJ1127" i="37" s="1"/>
  <c r="O1129" i="37"/>
  <c r="N1130" i="37"/>
  <c r="N1356" i="37"/>
  <c r="O1356" i="37" s="1"/>
  <c r="Z1128" i="37"/>
  <c r="S1128" i="37"/>
  <c r="V1128" i="37" s="1"/>
  <c r="S1355" i="37"/>
  <c r="V1355" i="37" s="1"/>
  <c r="Z1355" i="37"/>
  <c r="E1126" i="37"/>
  <c r="AM1126" i="37" s="1"/>
  <c r="AN1126" i="37" s="1"/>
  <c r="AK1126" i="37"/>
  <c r="AH1354" i="37"/>
  <c r="AI1354" i="37" s="1"/>
  <c r="AJ1354" i="37" s="1"/>
  <c r="AH1355" i="37" l="1"/>
  <c r="AI1355" i="37" s="1"/>
  <c r="AJ1355" i="37" s="1"/>
  <c r="E1355" i="37" s="1"/>
  <c r="AM1355" i="37" s="1"/>
  <c r="AN1355" i="37" s="1"/>
  <c r="AK1354" i="37"/>
  <c r="E1354" i="37"/>
  <c r="AM1354" i="37" s="1"/>
  <c r="AN1354" i="37" s="1"/>
  <c r="AK1355" i="37"/>
  <c r="AH1128" i="37"/>
  <c r="AI1128" i="37" s="1"/>
  <c r="AJ1128" i="37" s="1"/>
  <c r="S1129" i="37"/>
  <c r="V1129" i="37" s="1"/>
  <c r="Z1129" i="37"/>
  <c r="Z1356" i="37"/>
  <c r="S1356" i="37"/>
  <c r="V1356" i="37" s="1"/>
  <c r="N1357" i="37"/>
  <c r="O1357" i="37" s="1"/>
  <c r="O1130" i="37"/>
  <c r="N1131" i="37"/>
  <c r="E1127" i="37"/>
  <c r="AM1127" i="37" s="1"/>
  <c r="AN1127" i="37" s="1"/>
  <c r="AK1127" i="37"/>
  <c r="AH1129" i="37" l="1"/>
  <c r="AI1129" i="37" s="1"/>
  <c r="AJ1129" i="37" s="1"/>
  <c r="E1129" i="37" s="1"/>
  <c r="AM1129" i="37" s="1"/>
  <c r="AN1129" i="37" s="1"/>
  <c r="N1132" i="37"/>
  <c r="O1131" i="37"/>
  <c r="N1358" i="37"/>
  <c r="O1358" i="37" s="1"/>
  <c r="S1357" i="37"/>
  <c r="V1357" i="37" s="1"/>
  <c r="Z1357" i="37"/>
  <c r="AH1357" i="37" s="1"/>
  <c r="AI1357" i="37" s="1"/>
  <c r="AJ1357" i="37" s="1"/>
  <c r="S1130" i="37"/>
  <c r="V1130" i="37" s="1"/>
  <c r="Z1130" i="37"/>
  <c r="AH1356" i="37"/>
  <c r="AI1356" i="37" s="1"/>
  <c r="AJ1356" i="37" s="1"/>
  <c r="AK1128" i="37"/>
  <c r="E1128" i="37"/>
  <c r="AM1128" i="37" s="1"/>
  <c r="AN1128" i="37" s="1"/>
  <c r="AK1129" i="37" l="1"/>
  <c r="AH1130" i="37"/>
  <c r="AI1130" i="37" s="1"/>
  <c r="AJ1130" i="37" s="1"/>
  <c r="E1357" i="37"/>
  <c r="AM1357" i="37" s="1"/>
  <c r="AN1357" i="37" s="1"/>
  <c r="AK1357" i="37"/>
  <c r="E1356" i="37"/>
  <c r="AM1356" i="37" s="1"/>
  <c r="AN1356" i="37" s="1"/>
  <c r="AK1356" i="37"/>
  <c r="E1130" i="37"/>
  <c r="AM1130" i="37" s="1"/>
  <c r="AN1130" i="37" s="1"/>
  <c r="AK1130" i="37"/>
  <c r="S1131" i="37"/>
  <c r="V1131" i="37" s="1"/>
  <c r="Z1131" i="37"/>
  <c r="S1358" i="37"/>
  <c r="V1358" i="37" s="1"/>
  <c r="Z1358" i="37"/>
  <c r="N1133" i="37"/>
  <c r="N1359" i="37"/>
  <c r="O1359" i="37" s="1"/>
  <c r="O1132" i="37"/>
  <c r="AH1131" i="37" l="1"/>
  <c r="AI1131" i="37" s="1"/>
  <c r="AJ1131" i="37" s="1"/>
  <c r="Z1359" i="37"/>
  <c r="S1359" i="37"/>
  <c r="V1359" i="37" s="1"/>
  <c r="N1360" i="37"/>
  <c r="O1360" i="37" s="1"/>
  <c r="O1133" i="37"/>
  <c r="N1134" i="37"/>
  <c r="Z1132" i="37"/>
  <c r="S1132" i="37"/>
  <c r="V1132" i="37" s="1"/>
  <c r="AH1358" i="37"/>
  <c r="AI1358" i="37" s="1"/>
  <c r="AJ1358" i="37" s="1"/>
  <c r="AK1131" i="37" l="1"/>
  <c r="E1131" i="37"/>
  <c r="AM1131" i="37" s="1"/>
  <c r="AN1131" i="37" s="1"/>
  <c r="AK1358" i="37"/>
  <c r="E1358" i="37"/>
  <c r="AM1358" i="37" s="1"/>
  <c r="AN1358" i="37" s="1"/>
  <c r="AH1132" i="37"/>
  <c r="AI1132" i="37" s="1"/>
  <c r="AJ1132" i="37" s="1"/>
  <c r="N1135" i="37"/>
  <c r="O1134" i="37"/>
  <c r="N1361" i="37"/>
  <c r="O1361" i="37" s="1"/>
  <c r="AH1359" i="37"/>
  <c r="AI1359" i="37" s="1"/>
  <c r="AJ1359" i="37" s="1"/>
  <c r="Z1133" i="37"/>
  <c r="S1133" i="37"/>
  <c r="V1133" i="37" s="1"/>
  <c r="S1360" i="37"/>
  <c r="V1360" i="37" s="1"/>
  <c r="Z1360" i="37"/>
  <c r="AH1360" i="37" l="1"/>
  <c r="AI1360" i="37" s="1"/>
  <c r="AJ1360" i="37" s="1"/>
  <c r="E1360" i="37" s="1"/>
  <c r="AM1360" i="37" s="1"/>
  <c r="AN1360" i="37" s="1"/>
  <c r="S1361" i="37"/>
  <c r="V1361" i="37" s="1"/>
  <c r="Z1361" i="37"/>
  <c r="AK1359" i="37"/>
  <c r="E1359" i="37"/>
  <c r="AM1359" i="37" s="1"/>
  <c r="AN1359" i="37" s="1"/>
  <c r="Z1134" i="37"/>
  <c r="S1134" i="37"/>
  <c r="V1134" i="37" s="1"/>
  <c r="AH1133" i="37"/>
  <c r="AI1133" i="37" s="1"/>
  <c r="AJ1133" i="37" s="1"/>
  <c r="O1135" i="37"/>
  <c r="N1136" i="37"/>
  <c r="N1362" i="37"/>
  <c r="O1362" i="37" s="1"/>
  <c r="E1132" i="37"/>
  <c r="AM1132" i="37" s="1"/>
  <c r="AN1132" i="37" s="1"/>
  <c r="AK1132" i="37"/>
  <c r="AK1360" i="37" l="1"/>
  <c r="AH1361" i="37"/>
  <c r="AI1361" i="37" s="1"/>
  <c r="AJ1361" i="37" s="1"/>
  <c r="N1137" i="37"/>
  <c r="N1364" i="37" s="1"/>
  <c r="O1364" i="37" s="1"/>
  <c r="O1136" i="37"/>
  <c r="N1363" i="37"/>
  <c r="O1363" i="37" s="1"/>
  <c r="S1362" i="37"/>
  <c r="V1362" i="37" s="1"/>
  <c r="Z1362" i="37"/>
  <c r="Z1135" i="37"/>
  <c r="S1135" i="37"/>
  <c r="V1135" i="37" s="1"/>
  <c r="AK1133" i="37"/>
  <c r="E1133" i="37"/>
  <c r="AM1133" i="37" s="1"/>
  <c r="AN1133" i="37" s="1"/>
  <c r="AH1134" i="37"/>
  <c r="AI1134" i="37" s="1"/>
  <c r="AJ1134" i="37" s="1"/>
  <c r="E1361" i="37"/>
  <c r="AM1361" i="37" s="1"/>
  <c r="AN1361" i="37" s="1"/>
  <c r="AK1361" i="37"/>
  <c r="AH1362" i="37" l="1"/>
  <c r="AI1362" i="37" s="1"/>
  <c r="AJ1362" i="37" s="1"/>
  <c r="S1364" i="37"/>
  <c r="V1364" i="37" s="1"/>
  <c r="Z1364" i="37"/>
  <c r="AH1135" i="37"/>
  <c r="AI1135" i="37" s="1"/>
  <c r="AJ1135" i="37" s="1"/>
  <c r="AK1135" i="37" s="1"/>
  <c r="E1134" i="37"/>
  <c r="AM1134" i="37" s="1"/>
  <c r="AN1134" i="37" s="1"/>
  <c r="AK1134" i="37"/>
  <c r="S1363" i="37"/>
  <c r="V1363" i="37" s="1"/>
  <c r="Z1363" i="37"/>
  <c r="Z1136" i="37"/>
  <c r="S1136" i="37"/>
  <c r="V1136" i="37" s="1"/>
  <c r="O1137" i="37"/>
  <c r="N1370" i="37"/>
  <c r="O1370" i="37" s="1"/>
  <c r="N1138" i="37"/>
  <c r="AK1362" i="37" l="1"/>
  <c r="E1362" i="37"/>
  <c r="AM1362" i="37" s="1"/>
  <c r="AN1362" i="37" s="1"/>
  <c r="AH1364" i="37"/>
  <c r="AI1364" i="37" s="1"/>
  <c r="AJ1364" i="37" s="1"/>
  <c r="E1364" i="37" s="1"/>
  <c r="AM1364" i="37" s="1"/>
  <c r="AN1364" i="37" s="1"/>
  <c r="N1371" i="37"/>
  <c r="O1371" i="37" s="1"/>
  <c r="Z1371" i="37" s="1"/>
  <c r="N1365" i="37"/>
  <c r="O1365" i="37" s="1"/>
  <c r="E1135" i="37"/>
  <c r="AM1135" i="37" s="1"/>
  <c r="AN1135" i="37" s="1"/>
  <c r="AH1363" i="37"/>
  <c r="AI1363" i="37" s="1"/>
  <c r="AJ1363" i="37" s="1"/>
  <c r="AK1363" i="37" s="1"/>
  <c r="S1370" i="37"/>
  <c r="V1370" i="37" s="1"/>
  <c r="Z1370" i="37"/>
  <c r="O1138" i="37"/>
  <c r="N1373" i="37"/>
  <c r="O1373" i="37" s="1"/>
  <c r="N1139" i="37"/>
  <c r="N1366" i="37" s="1"/>
  <c r="O1366" i="37" s="1"/>
  <c r="Z1137" i="37"/>
  <c r="S1137" i="37"/>
  <c r="V1137" i="37" s="1"/>
  <c r="AH1136" i="37"/>
  <c r="AI1136" i="37" s="1"/>
  <c r="AJ1136" i="37" s="1"/>
  <c r="AK1364" i="37" l="1"/>
  <c r="S1371" i="37"/>
  <c r="V1371" i="37" s="1"/>
  <c r="AH1371" i="37" s="1"/>
  <c r="AI1371" i="37" s="1"/>
  <c r="AJ1371" i="37" s="1"/>
  <c r="AK1371" i="37" s="1"/>
  <c r="E1363" i="37"/>
  <c r="AM1363" i="37" s="1"/>
  <c r="AN1363" i="37" s="1"/>
  <c r="S1366" i="37"/>
  <c r="V1366" i="37" s="1"/>
  <c r="Z1366" i="37"/>
  <c r="S1365" i="37"/>
  <c r="V1365" i="37" s="1"/>
  <c r="Z1365" i="37"/>
  <c r="AH1137" i="37"/>
  <c r="AI1137" i="37" s="1"/>
  <c r="AJ1137" i="37" s="1"/>
  <c r="E1137" i="37" s="1"/>
  <c r="AM1137" i="37" s="1"/>
  <c r="AN1137" i="37" s="1"/>
  <c r="N1372" i="37"/>
  <c r="O1372" i="37" s="1"/>
  <c r="N1374" i="37"/>
  <c r="O1374" i="37" s="1"/>
  <c r="AH1370" i="37"/>
  <c r="AI1370" i="37" s="1"/>
  <c r="AJ1370" i="37" s="1"/>
  <c r="AK1370" i="37" s="1"/>
  <c r="N1377" i="37"/>
  <c r="O1377" i="37" s="1"/>
  <c r="O1139" i="37"/>
  <c r="N1140" i="37"/>
  <c r="S1373" i="37"/>
  <c r="V1373" i="37" s="1"/>
  <c r="Z1373" i="37"/>
  <c r="S1138" i="37"/>
  <c r="V1138" i="37" s="1"/>
  <c r="Z1138" i="37"/>
  <c r="AK1136" i="37"/>
  <c r="E1136" i="37"/>
  <c r="AM1136" i="37" s="1"/>
  <c r="AN1136" i="37" s="1"/>
  <c r="AH1365" i="37" l="1"/>
  <c r="AI1365" i="37" s="1"/>
  <c r="AJ1365" i="37" s="1"/>
  <c r="AK1365" i="37" s="1"/>
  <c r="AH1366" i="37"/>
  <c r="AI1366" i="37" s="1"/>
  <c r="AJ1366" i="37" s="1"/>
  <c r="AK1366" i="37" s="1"/>
  <c r="N1367" i="37"/>
  <c r="O1367" i="37" s="1"/>
  <c r="Z1367" i="37" s="1"/>
  <c r="N1368" i="37"/>
  <c r="O1368" i="37" s="1"/>
  <c r="AK1137" i="37"/>
  <c r="E1371" i="37"/>
  <c r="AM1371" i="37" s="1"/>
  <c r="AN1371" i="37" s="1"/>
  <c r="AH1373" i="37"/>
  <c r="AI1373" i="37" s="1"/>
  <c r="AJ1373" i="37" s="1"/>
  <c r="E1373" i="37" s="1"/>
  <c r="AM1373" i="37" s="1"/>
  <c r="AN1373" i="37" s="1"/>
  <c r="AH1138" i="37"/>
  <c r="AI1138" i="37" s="1"/>
  <c r="AJ1138" i="37" s="1"/>
  <c r="E1138" i="37" s="1"/>
  <c r="AM1138" i="37" s="1"/>
  <c r="AN1138" i="37" s="1"/>
  <c r="N1375" i="37"/>
  <c r="O1375" i="37" s="1"/>
  <c r="Z1375" i="37" s="1"/>
  <c r="N1378" i="37"/>
  <c r="O1378" i="37" s="1"/>
  <c r="Z1374" i="37"/>
  <c r="S1374" i="37"/>
  <c r="V1374" i="37" s="1"/>
  <c r="S1372" i="37"/>
  <c r="V1372" i="37" s="1"/>
  <c r="Z1372" i="37"/>
  <c r="E1370" i="37"/>
  <c r="AM1370" i="37" s="1"/>
  <c r="AN1370" i="37" s="1"/>
  <c r="N1141" i="37"/>
  <c r="N1382" i="37"/>
  <c r="O1382" i="37" s="1"/>
  <c r="O1140" i="37"/>
  <c r="S1377" i="37"/>
  <c r="V1377" i="37" s="1"/>
  <c r="Z1377" i="37"/>
  <c r="S1139" i="37"/>
  <c r="V1139" i="37" s="1"/>
  <c r="Z1139" i="37"/>
  <c r="E1366" i="37" l="1"/>
  <c r="AM1366" i="37" s="1"/>
  <c r="AN1366" i="37" s="1"/>
  <c r="E1365" i="37"/>
  <c r="AM1365" i="37" s="1"/>
  <c r="AN1365" i="37" s="1"/>
  <c r="S1367" i="37"/>
  <c r="V1367" i="37" s="1"/>
  <c r="S1368" i="37"/>
  <c r="V1368" i="37" s="1"/>
  <c r="Z1368" i="37"/>
  <c r="N1383" i="37"/>
  <c r="O1383" i="37" s="1"/>
  <c r="Z1383" i="37" s="1"/>
  <c r="N1369" i="37"/>
  <c r="O1369" i="37" s="1"/>
  <c r="AH1367" i="37"/>
  <c r="AI1367" i="37" s="1"/>
  <c r="AJ1367" i="37" s="1"/>
  <c r="AK1138" i="37"/>
  <c r="AK1373" i="37"/>
  <c r="AH1372" i="37"/>
  <c r="AI1372" i="37" s="1"/>
  <c r="AJ1372" i="37" s="1"/>
  <c r="E1372" i="37" s="1"/>
  <c r="AM1372" i="37" s="1"/>
  <c r="AN1372" i="37" s="1"/>
  <c r="S1375" i="37"/>
  <c r="V1375" i="37" s="1"/>
  <c r="AH1375" i="37" s="1"/>
  <c r="AI1375" i="37" s="1"/>
  <c r="AJ1375" i="37" s="1"/>
  <c r="AH1139" i="37"/>
  <c r="AI1139" i="37" s="1"/>
  <c r="AJ1139" i="37" s="1"/>
  <c r="E1139" i="37" s="1"/>
  <c r="AM1139" i="37" s="1"/>
  <c r="AN1139" i="37" s="1"/>
  <c r="N1376" i="37"/>
  <c r="O1376" i="37" s="1"/>
  <c r="Z1376" i="37" s="1"/>
  <c r="N1379" i="37"/>
  <c r="O1379" i="37" s="1"/>
  <c r="S1378" i="37"/>
  <c r="V1378" i="37" s="1"/>
  <c r="Z1378" i="37"/>
  <c r="AH1377" i="37"/>
  <c r="AI1377" i="37" s="1"/>
  <c r="AJ1377" i="37" s="1"/>
  <c r="AK1377" i="37" s="1"/>
  <c r="AH1374" i="37"/>
  <c r="AI1374" i="37" s="1"/>
  <c r="AJ1374" i="37" s="1"/>
  <c r="Z1140" i="37"/>
  <c r="S1140" i="37"/>
  <c r="V1140" i="37" s="1"/>
  <c r="Z1382" i="37"/>
  <c r="S1382" i="37"/>
  <c r="V1382" i="37" s="1"/>
  <c r="N1142" i="37"/>
  <c r="N1405" i="37" s="1"/>
  <c r="O1405" i="37" s="1"/>
  <c r="N1404" i="37"/>
  <c r="O1404" i="37" s="1"/>
  <c r="O1141" i="37"/>
  <c r="AH1368" i="37" l="1"/>
  <c r="AI1368" i="37" s="1"/>
  <c r="AJ1368" i="37" s="1"/>
  <c r="AK1368" i="37" s="1"/>
  <c r="S1383" i="37"/>
  <c r="V1383" i="37" s="1"/>
  <c r="E1367" i="37"/>
  <c r="AM1367" i="37" s="1"/>
  <c r="AN1367" i="37" s="1"/>
  <c r="AK1367" i="37"/>
  <c r="AK1372" i="37"/>
  <c r="S1369" i="37"/>
  <c r="V1369" i="37" s="1"/>
  <c r="Z1369" i="37"/>
  <c r="S1376" i="37"/>
  <c r="V1376" i="37" s="1"/>
  <c r="AH1376" i="37" s="1"/>
  <c r="AI1376" i="37" s="1"/>
  <c r="AJ1376" i="37" s="1"/>
  <c r="AK1376" i="37" s="1"/>
  <c r="S1405" i="37"/>
  <c r="V1405" i="37" s="1"/>
  <c r="Z1405" i="37"/>
  <c r="AH1383" i="37"/>
  <c r="AI1383" i="37" s="1"/>
  <c r="AJ1383" i="37" s="1"/>
  <c r="E1383" i="37" s="1"/>
  <c r="AM1383" i="37" s="1"/>
  <c r="AN1383" i="37" s="1"/>
  <c r="N1380" i="37"/>
  <c r="O1380" i="37" s="1"/>
  <c r="Z1380" i="37" s="1"/>
  <c r="N1384" i="37"/>
  <c r="O1384" i="37" s="1"/>
  <c r="AH1378" i="37"/>
  <c r="AI1378" i="37" s="1"/>
  <c r="AJ1378" i="37" s="1"/>
  <c r="E1378" i="37" s="1"/>
  <c r="AM1378" i="37" s="1"/>
  <c r="AN1378" i="37" s="1"/>
  <c r="Z1379" i="37"/>
  <c r="S1379" i="37"/>
  <c r="V1379" i="37" s="1"/>
  <c r="E1377" i="37"/>
  <c r="AM1377" i="37" s="1"/>
  <c r="AN1377" i="37" s="1"/>
  <c r="AK1139" i="37"/>
  <c r="E1375" i="37"/>
  <c r="AM1375" i="37" s="1"/>
  <c r="AN1375" i="37" s="1"/>
  <c r="AK1375" i="37"/>
  <c r="AK1374" i="37"/>
  <c r="E1374" i="37"/>
  <c r="AM1374" i="37" s="1"/>
  <c r="AN1374" i="37" s="1"/>
  <c r="Z1404" i="37"/>
  <c r="S1404" i="37"/>
  <c r="V1404" i="37" s="1"/>
  <c r="O1142" i="37"/>
  <c r="N1414" i="37"/>
  <c r="O1414" i="37" s="1"/>
  <c r="N1143" i="37"/>
  <c r="AH1382" i="37"/>
  <c r="AI1382" i="37" s="1"/>
  <c r="AJ1382" i="37" s="1"/>
  <c r="S1141" i="37"/>
  <c r="V1141" i="37" s="1"/>
  <c r="Z1141" i="37"/>
  <c r="AH1140" i="37"/>
  <c r="AI1140" i="37" s="1"/>
  <c r="AJ1140" i="37" s="1"/>
  <c r="E1368" i="37" l="1"/>
  <c r="AM1368" i="37" s="1"/>
  <c r="AN1368" i="37" s="1"/>
  <c r="AH1369" i="37"/>
  <c r="AI1369" i="37" s="1"/>
  <c r="AJ1369" i="37" s="1"/>
  <c r="E1369" i="37" s="1"/>
  <c r="AM1369" i="37" s="1"/>
  <c r="AN1369" i="37" s="1"/>
  <c r="AH1141" i="37"/>
  <c r="AI1141" i="37" s="1"/>
  <c r="AJ1141" i="37" s="1"/>
  <c r="E1141" i="37" s="1"/>
  <c r="AM1141" i="37" s="1"/>
  <c r="AN1141" i="37" s="1"/>
  <c r="AK1378" i="37"/>
  <c r="S1380" i="37"/>
  <c r="V1380" i="37" s="1"/>
  <c r="AH1380" i="37" s="1"/>
  <c r="AI1380" i="37" s="1"/>
  <c r="AJ1380" i="37" s="1"/>
  <c r="N1406" i="37"/>
  <c r="O1406" i="37" s="1"/>
  <c r="Z1406" i="37" s="1"/>
  <c r="N1415" i="37"/>
  <c r="O1415" i="37" s="1"/>
  <c r="AK1383" i="37"/>
  <c r="AH1405" i="37"/>
  <c r="AI1405" i="37" s="1"/>
  <c r="AJ1405" i="37" s="1"/>
  <c r="AK1405" i="37" s="1"/>
  <c r="N1381" i="37"/>
  <c r="O1381" i="37" s="1"/>
  <c r="S1381" i="37" s="1"/>
  <c r="V1381" i="37" s="1"/>
  <c r="N1385" i="37"/>
  <c r="O1385" i="37" s="1"/>
  <c r="E1376" i="37"/>
  <c r="AM1376" i="37" s="1"/>
  <c r="AN1376" i="37" s="1"/>
  <c r="S1384" i="37"/>
  <c r="V1384" i="37" s="1"/>
  <c r="Z1384" i="37"/>
  <c r="AH1379" i="37"/>
  <c r="AI1379" i="37" s="1"/>
  <c r="AJ1379" i="37" s="1"/>
  <c r="S1414" i="37"/>
  <c r="V1414" i="37" s="1"/>
  <c r="Z1414" i="37"/>
  <c r="S1142" i="37"/>
  <c r="V1142" i="37" s="1"/>
  <c r="Z1142" i="37"/>
  <c r="E1140" i="37"/>
  <c r="AM1140" i="37" s="1"/>
  <c r="AN1140" i="37" s="1"/>
  <c r="AK1140" i="37"/>
  <c r="AK1382" i="37"/>
  <c r="E1382" i="37"/>
  <c r="AM1382" i="37" s="1"/>
  <c r="AN1382" i="37" s="1"/>
  <c r="N1144" i="37"/>
  <c r="N1423" i="37"/>
  <c r="O1423" i="37" s="1"/>
  <c r="O1143" i="37"/>
  <c r="AH1404" i="37"/>
  <c r="AI1404" i="37" s="1"/>
  <c r="AJ1404" i="37" s="1"/>
  <c r="AK1369" i="37" l="1"/>
  <c r="AK1141" i="37"/>
  <c r="E1405" i="37"/>
  <c r="AM1405" i="37" s="1"/>
  <c r="AN1405" i="37" s="1"/>
  <c r="S1406" i="37"/>
  <c r="V1406" i="37" s="1"/>
  <c r="AH1406" i="37" s="1"/>
  <c r="AI1406" i="37" s="1"/>
  <c r="AJ1406" i="37" s="1"/>
  <c r="N1416" i="37"/>
  <c r="O1416" i="37" s="1"/>
  <c r="S1416" i="37" s="1"/>
  <c r="V1416" i="37" s="1"/>
  <c r="N1424" i="37"/>
  <c r="O1424" i="37" s="1"/>
  <c r="Z1381" i="37"/>
  <c r="AH1381" i="37" s="1"/>
  <c r="AI1381" i="37" s="1"/>
  <c r="AJ1381" i="37" s="1"/>
  <c r="Z1415" i="37"/>
  <c r="S1415" i="37"/>
  <c r="V1415" i="37" s="1"/>
  <c r="N1386" i="37"/>
  <c r="O1386" i="37" s="1"/>
  <c r="S1386" i="37" s="1"/>
  <c r="V1386" i="37" s="1"/>
  <c r="N1407" i="37"/>
  <c r="O1407" i="37" s="1"/>
  <c r="AH1384" i="37"/>
  <c r="AI1384" i="37" s="1"/>
  <c r="AJ1384" i="37" s="1"/>
  <c r="AK1384" i="37" s="1"/>
  <c r="AH1414" i="37"/>
  <c r="AI1414" i="37" s="1"/>
  <c r="AJ1414" i="37" s="1"/>
  <c r="E1414" i="37" s="1"/>
  <c r="AM1414" i="37" s="1"/>
  <c r="AN1414" i="37" s="1"/>
  <c r="AH1142" i="37"/>
  <c r="AI1142" i="37" s="1"/>
  <c r="AJ1142" i="37" s="1"/>
  <c r="AK1142" i="37" s="1"/>
  <c r="Z1385" i="37"/>
  <c r="S1385" i="37"/>
  <c r="V1385" i="37" s="1"/>
  <c r="E1380" i="37"/>
  <c r="AM1380" i="37" s="1"/>
  <c r="AN1380" i="37" s="1"/>
  <c r="AK1380" i="37"/>
  <c r="AK1379" i="37"/>
  <c r="E1379" i="37"/>
  <c r="AM1379" i="37" s="1"/>
  <c r="AN1379" i="37" s="1"/>
  <c r="S1423" i="37"/>
  <c r="V1423" i="37" s="1"/>
  <c r="Z1423" i="37"/>
  <c r="E1404" i="37"/>
  <c r="AM1404" i="37" s="1"/>
  <c r="AN1404" i="37" s="1"/>
  <c r="AK1404" i="37"/>
  <c r="O1144" i="37"/>
  <c r="N1145" i="37"/>
  <c r="N1434" i="37" s="1"/>
  <c r="O1434" i="37" s="1"/>
  <c r="N1433" i="37"/>
  <c r="O1433" i="37" s="1"/>
  <c r="S1143" i="37"/>
  <c r="V1143" i="37" s="1"/>
  <c r="Z1143" i="37"/>
  <c r="E1384" i="37" l="1"/>
  <c r="AM1384" i="37" s="1"/>
  <c r="AN1384" i="37" s="1"/>
  <c r="Z1434" i="37"/>
  <c r="S1434" i="37"/>
  <c r="V1434" i="37" s="1"/>
  <c r="Z1416" i="37"/>
  <c r="AH1416" i="37" s="1"/>
  <c r="AI1416" i="37" s="1"/>
  <c r="AJ1416" i="37" s="1"/>
  <c r="E1416" i="37" s="1"/>
  <c r="AM1416" i="37" s="1"/>
  <c r="AN1416" i="37" s="1"/>
  <c r="AH1143" i="37"/>
  <c r="AI1143" i="37" s="1"/>
  <c r="AJ1143" i="37" s="1"/>
  <c r="AK1143" i="37" s="1"/>
  <c r="N1417" i="37"/>
  <c r="O1417" i="37" s="1"/>
  <c r="Z1417" i="37" s="1"/>
  <c r="N1425" i="37"/>
  <c r="O1425" i="37" s="1"/>
  <c r="S1424" i="37"/>
  <c r="V1424" i="37" s="1"/>
  <c r="Z1424" i="37"/>
  <c r="AH1415" i="37"/>
  <c r="AI1415" i="37" s="1"/>
  <c r="AJ1415" i="37" s="1"/>
  <c r="E1415" i="37" s="1"/>
  <c r="AM1415" i="37" s="1"/>
  <c r="AN1415" i="37" s="1"/>
  <c r="Z1386" i="37"/>
  <c r="AH1386" i="37" s="1"/>
  <c r="AI1386" i="37" s="1"/>
  <c r="AJ1386" i="37" s="1"/>
  <c r="E1142" i="37"/>
  <c r="AM1142" i="37" s="1"/>
  <c r="AN1142" i="37" s="1"/>
  <c r="AK1416" i="37"/>
  <c r="AK1414" i="37"/>
  <c r="N1387" i="37"/>
  <c r="O1387" i="37" s="1"/>
  <c r="Z1387" i="37" s="1"/>
  <c r="N1408" i="37"/>
  <c r="O1408" i="37" s="1"/>
  <c r="E1406" i="37"/>
  <c r="AM1406" i="37" s="1"/>
  <c r="AN1406" i="37" s="1"/>
  <c r="AK1406" i="37"/>
  <c r="S1407" i="37"/>
  <c r="V1407" i="37" s="1"/>
  <c r="Z1407" i="37"/>
  <c r="AH1423" i="37"/>
  <c r="AI1423" i="37" s="1"/>
  <c r="AJ1423" i="37" s="1"/>
  <c r="E1423" i="37" s="1"/>
  <c r="AM1423" i="37" s="1"/>
  <c r="AN1423" i="37" s="1"/>
  <c r="AH1385" i="37"/>
  <c r="AI1385" i="37" s="1"/>
  <c r="AJ1385" i="37" s="1"/>
  <c r="E1385" i="37" s="1"/>
  <c r="AM1385" i="37" s="1"/>
  <c r="AN1385" i="37" s="1"/>
  <c r="AK1381" i="37"/>
  <c r="E1381" i="37"/>
  <c r="AM1381" i="37" s="1"/>
  <c r="AN1381" i="37" s="1"/>
  <c r="N1146" i="37"/>
  <c r="N1442" i="37"/>
  <c r="O1442" i="37" s="1"/>
  <c r="O1145" i="37"/>
  <c r="S1433" i="37"/>
  <c r="V1433" i="37" s="1"/>
  <c r="Z1433" i="37"/>
  <c r="S1144" i="37"/>
  <c r="V1144" i="37" s="1"/>
  <c r="Z1144" i="37"/>
  <c r="AK1415" i="37" l="1"/>
  <c r="E1143" i="37"/>
  <c r="AM1143" i="37" s="1"/>
  <c r="AN1143" i="37" s="1"/>
  <c r="N1435" i="37"/>
  <c r="O1435" i="37" s="1"/>
  <c r="N1443" i="37"/>
  <c r="O1443" i="37" s="1"/>
  <c r="S1417" i="37"/>
  <c r="V1417" i="37" s="1"/>
  <c r="AH1417" i="37" s="1"/>
  <c r="AI1417" i="37" s="1"/>
  <c r="AJ1417" i="37" s="1"/>
  <c r="AH1424" i="37"/>
  <c r="AI1424" i="37" s="1"/>
  <c r="AJ1424" i="37" s="1"/>
  <c r="E1424" i="37" s="1"/>
  <c r="AM1424" i="37" s="1"/>
  <c r="AN1424" i="37" s="1"/>
  <c r="S1435" i="37"/>
  <c r="V1435" i="37" s="1"/>
  <c r="Z1435" i="37"/>
  <c r="AH1434" i="37"/>
  <c r="AI1434" i="37" s="1"/>
  <c r="AJ1434" i="37" s="1"/>
  <c r="N1418" i="37"/>
  <c r="O1418" i="37" s="1"/>
  <c r="Z1418" i="37" s="1"/>
  <c r="N1426" i="37"/>
  <c r="O1426" i="37" s="1"/>
  <c r="Z1425" i="37"/>
  <c r="S1425" i="37"/>
  <c r="V1425" i="37" s="1"/>
  <c r="S1387" i="37"/>
  <c r="V1387" i="37" s="1"/>
  <c r="AH1387" i="37" s="1"/>
  <c r="AI1387" i="37" s="1"/>
  <c r="AJ1387" i="37" s="1"/>
  <c r="AK1423" i="37"/>
  <c r="AH1407" i="37"/>
  <c r="AI1407" i="37" s="1"/>
  <c r="AJ1407" i="37" s="1"/>
  <c r="AK1407" i="37" s="1"/>
  <c r="S1408" i="37"/>
  <c r="V1408" i="37" s="1"/>
  <c r="Z1408" i="37"/>
  <c r="N1388" i="37"/>
  <c r="O1388" i="37" s="1"/>
  <c r="Z1388" i="37" s="1"/>
  <c r="N1409" i="37"/>
  <c r="O1409" i="37" s="1"/>
  <c r="AK1385" i="37"/>
  <c r="AH1433" i="37"/>
  <c r="AI1433" i="37" s="1"/>
  <c r="AJ1433" i="37" s="1"/>
  <c r="E1433" i="37" s="1"/>
  <c r="AM1433" i="37" s="1"/>
  <c r="AN1433" i="37" s="1"/>
  <c r="AK1386" i="37"/>
  <c r="E1386" i="37"/>
  <c r="AM1386" i="37" s="1"/>
  <c r="AN1386" i="37" s="1"/>
  <c r="AH1144" i="37"/>
  <c r="AI1144" i="37" s="1"/>
  <c r="AJ1144" i="37" s="1"/>
  <c r="E1144" i="37" s="1"/>
  <c r="AM1144" i="37" s="1"/>
  <c r="AN1144" i="37" s="1"/>
  <c r="Z1442" i="37"/>
  <c r="S1442" i="37"/>
  <c r="V1442" i="37" s="1"/>
  <c r="S1145" i="37"/>
  <c r="V1145" i="37" s="1"/>
  <c r="Z1145" i="37"/>
  <c r="N1447" i="37"/>
  <c r="O1447" i="37" s="1"/>
  <c r="O1146" i="37"/>
  <c r="N1147" i="37"/>
  <c r="AK1424" i="37" l="1"/>
  <c r="AH1435" i="37"/>
  <c r="AI1435" i="37" s="1"/>
  <c r="AJ1435" i="37" s="1"/>
  <c r="AK1435" i="37" s="1"/>
  <c r="S1418" i="37"/>
  <c r="V1418" i="37" s="1"/>
  <c r="S1443" i="37"/>
  <c r="V1443" i="37" s="1"/>
  <c r="Z1443" i="37"/>
  <c r="N1436" i="37"/>
  <c r="O1436" i="37" s="1"/>
  <c r="S1436" i="37" s="1"/>
  <c r="V1436" i="37" s="1"/>
  <c r="N1444" i="37"/>
  <c r="O1444" i="37" s="1"/>
  <c r="E1434" i="37"/>
  <c r="AM1434" i="37" s="1"/>
  <c r="AN1434" i="37" s="1"/>
  <c r="AK1434" i="37"/>
  <c r="E1435" i="37"/>
  <c r="AM1435" i="37" s="1"/>
  <c r="AN1435" i="37" s="1"/>
  <c r="N1419" i="37"/>
  <c r="O1419" i="37" s="1"/>
  <c r="Z1419" i="37" s="1"/>
  <c r="N1427" i="37"/>
  <c r="O1427" i="37" s="1"/>
  <c r="S1388" i="37"/>
  <c r="V1388" i="37" s="1"/>
  <c r="AH1388" i="37" s="1"/>
  <c r="AI1388" i="37" s="1"/>
  <c r="AJ1388" i="37" s="1"/>
  <c r="E1388" i="37" s="1"/>
  <c r="AM1388" i="37" s="1"/>
  <c r="AN1388" i="37" s="1"/>
  <c r="AH1425" i="37"/>
  <c r="AI1425" i="37" s="1"/>
  <c r="AJ1425" i="37" s="1"/>
  <c r="Z1426" i="37"/>
  <c r="S1426" i="37"/>
  <c r="V1426" i="37" s="1"/>
  <c r="AK1417" i="37"/>
  <c r="E1417" i="37"/>
  <c r="AM1417" i="37" s="1"/>
  <c r="AN1417" i="37" s="1"/>
  <c r="AH1408" i="37"/>
  <c r="AI1408" i="37" s="1"/>
  <c r="AJ1408" i="37" s="1"/>
  <c r="AK1408" i="37" s="1"/>
  <c r="E1407" i="37"/>
  <c r="AM1407" i="37" s="1"/>
  <c r="AN1407" i="37" s="1"/>
  <c r="N1389" i="37"/>
  <c r="O1389" i="37" s="1"/>
  <c r="Z1389" i="37" s="1"/>
  <c r="N1410" i="37"/>
  <c r="O1410" i="37" s="1"/>
  <c r="Z1409" i="37"/>
  <c r="S1409" i="37"/>
  <c r="V1409" i="37" s="1"/>
  <c r="AK1433" i="37"/>
  <c r="AK1144" i="37"/>
  <c r="AH1145" i="37"/>
  <c r="AI1145" i="37" s="1"/>
  <c r="AJ1145" i="37" s="1"/>
  <c r="E1145" i="37" s="1"/>
  <c r="AM1145" i="37" s="1"/>
  <c r="AN1145" i="37" s="1"/>
  <c r="AK1387" i="37"/>
  <c r="E1387" i="37"/>
  <c r="AM1387" i="37" s="1"/>
  <c r="AN1387" i="37" s="1"/>
  <c r="N1148" i="37"/>
  <c r="N1448" i="37"/>
  <c r="O1448" i="37" s="1"/>
  <c r="O1147" i="37"/>
  <c r="S1447" i="37"/>
  <c r="V1447" i="37" s="1"/>
  <c r="Z1447" i="37"/>
  <c r="Z1146" i="37"/>
  <c r="S1146" i="37"/>
  <c r="V1146" i="37" s="1"/>
  <c r="AH1442" i="37"/>
  <c r="AI1442" i="37" s="1"/>
  <c r="AJ1442" i="37" s="1"/>
  <c r="AH1418" i="37" l="1"/>
  <c r="AI1418" i="37" s="1"/>
  <c r="AJ1418" i="37" s="1"/>
  <c r="E1418" i="37" s="1"/>
  <c r="AM1418" i="37" s="1"/>
  <c r="AN1418" i="37" s="1"/>
  <c r="Z1436" i="37"/>
  <c r="AH1436" i="37" s="1"/>
  <c r="AI1436" i="37" s="1"/>
  <c r="AJ1436" i="37" s="1"/>
  <c r="AH1443" i="37"/>
  <c r="AI1443" i="37" s="1"/>
  <c r="AJ1443" i="37" s="1"/>
  <c r="AK1443" i="37" s="1"/>
  <c r="Z1444" i="37"/>
  <c r="S1444" i="37"/>
  <c r="V1444" i="37" s="1"/>
  <c r="N1437" i="37"/>
  <c r="O1437" i="37" s="1"/>
  <c r="Z1437" i="37" s="1"/>
  <c r="N1445" i="37"/>
  <c r="O1445" i="37" s="1"/>
  <c r="S1419" i="37"/>
  <c r="V1419" i="37" s="1"/>
  <c r="AH1419" i="37" s="1"/>
  <c r="AI1419" i="37" s="1"/>
  <c r="AJ1419" i="37" s="1"/>
  <c r="E1419" i="37" s="1"/>
  <c r="AM1419" i="37" s="1"/>
  <c r="AN1419" i="37" s="1"/>
  <c r="E1408" i="37"/>
  <c r="AM1408" i="37" s="1"/>
  <c r="AN1408" i="37" s="1"/>
  <c r="AH1426" i="37"/>
  <c r="AI1426" i="37" s="1"/>
  <c r="AJ1426" i="37" s="1"/>
  <c r="AK1425" i="37"/>
  <c r="E1425" i="37"/>
  <c r="AM1425" i="37" s="1"/>
  <c r="AN1425" i="37" s="1"/>
  <c r="S1427" i="37"/>
  <c r="V1427" i="37" s="1"/>
  <c r="Z1427" i="37"/>
  <c r="N1420" i="37"/>
  <c r="O1420" i="37" s="1"/>
  <c r="Z1420" i="37" s="1"/>
  <c r="N1428" i="37"/>
  <c r="O1428" i="37" s="1"/>
  <c r="S1389" i="37"/>
  <c r="V1389" i="37" s="1"/>
  <c r="AH1389" i="37" s="1"/>
  <c r="AI1389" i="37" s="1"/>
  <c r="AJ1389" i="37" s="1"/>
  <c r="AK1389" i="37" s="1"/>
  <c r="AK1388" i="37"/>
  <c r="AK1145" i="37"/>
  <c r="AH1409" i="37"/>
  <c r="AI1409" i="37" s="1"/>
  <c r="AJ1409" i="37" s="1"/>
  <c r="S1410" i="37"/>
  <c r="V1410" i="37" s="1"/>
  <c r="Z1410" i="37"/>
  <c r="N1390" i="37"/>
  <c r="O1390" i="37" s="1"/>
  <c r="S1390" i="37" s="1"/>
  <c r="V1390" i="37" s="1"/>
  <c r="N1411" i="37"/>
  <c r="O1411" i="37" s="1"/>
  <c r="AH1447" i="37"/>
  <c r="AI1447" i="37" s="1"/>
  <c r="AJ1447" i="37" s="1"/>
  <c r="AK1447" i="37" s="1"/>
  <c r="AH1146" i="37"/>
  <c r="AI1146" i="37" s="1"/>
  <c r="AJ1146" i="37" s="1"/>
  <c r="E1146" i="37" s="1"/>
  <c r="AM1146" i="37" s="1"/>
  <c r="AN1146" i="37" s="1"/>
  <c r="AK1442" i="37"/>
  <c r="E1442" i="37"/>
  <c r="AM1442" i="37" s="1"/>
  <c r="AN1442" i="37" s="1"/>
  <c r="Z1147" i="37"/>
  <c r="S1147" i="37"/>
  <c r="V1147" i="37" s="1"/>
  <c r="S1448" i="37"/>
  <c r="V1448" i="37" s="1"/>
  <c r="Z1448" i="37"/>
  <c r="N1149" i="37"/>
  <c r="O1148" i="37"/>
  <c r="N1449" i="37"/>
  <c r="O1449" i="37" s="1"/>
  <c r="AK1418" i="37" l="1"/>
  <c r="AK1436" i="37"/>
  <c r="E1436" i="37"/>
  <c r="AM1436" i="37" s="1"/>
  <c r="AN1436" i="37" s="1"/>
  <c r="E1443" i="37"/>
  <c r="AM1443" i="37" s="1"/>
  <c r="AN1443" i="37" s="1"/>
  <c r="Z1445" i="37"/>
  <c r="S1445" i="37"/>
  <c r="V1445" i="37" s="1"/>
  <c r="N1438" i="37"/>
  <c r="O1438" i="37" s="1"/>
  <c r="S1438" i="37" s="1"/>
  <c r="V1438" i="37" s="1"/>
  <c r="N1446" i="37"/>
  <c r="O1446" i="37" s="1"/>
  <c r="S1437" i="37"/>
  <c r="V1437" i="37" s="1"/>
  <c r="AH1444" i="37"/>
  <c r="AI1444" i="37" s="1"/>
  <c r="AJ1444" i="37" s="1"/>
  <c r="S1420" i="37"/>
  <c r="V1420" i="37" s="1"/>
  <c r="AH1420" i="37" s="1"/>
  <c r="AI1420" i="37" s="1"/>
  <c r="AJ1420" i="37" s="1"/>
  <c r="AH1437" i="37"/>
  <c r="AI1437" i="37" s="1"/>
  <c r="AJ1437" i="37" s="1"/>
  <c r="AK1419" i="37"/>
  <c r="AH1427" i="37"/>
  <c r="AI1427" i="37" s="1"/>
  <c r="AJ1427" i="37" s="1"/>
  <c r="E1427" i="37" s="1"/>
  <c r="AM1427" i="37" s="1"/>
  <c r="AN1427" i="37" s="1"/>
  <c r="N1421" i="37"/>
  <c r="O1421" i="37" s="1"/>
  <c r="Z1421" i="37" s="1"/>
  <c r="N1429" i="37"/>
  <c r="O1429" i="37" s="1"/>
  <c r="S1428" i="37"/>
  <c r="V1428" i="37" s="1"/>
  <c r="Z1428" i="37"/>
  <c r="E1447" i="37"/>
  <c r="AM1447" i="37" s="1"/>
  <c r="AN1447" i="37" s="1"/>
  <c r="E1426" i="37"/>
  <c r="AM1426" i="37" s="1"/>
  <c r="AN1426" i="37" s="1"/>
  <c r="AK1426" i="37"/>
  <c r="E1389" i="37"/>
  <c r="AM1389" i="37" s="1"/>
  <c r="AN1389" i="37" s="1"/>
  <c r="AH1410" i="37"/>
  <c r="AI1410" i="37" s="1"/>
  <c r="AJ1410" i="37" s="1"/>
  <c r="AK1410" i="37" s="1"/>
  <c r="Z1390" i="37"/>
  <c r="AH1390" i="37" s="1"/>
  <c r="AI1390" i="37" s="1"/>
  <c r="AJ1390" i="37" s="1"/>
  <c r="N1391" i="37"/>
  <c r="O1391" i="37" s="1"/>
  <c r="Z1391" i="37" s="1"/>
  <c r="N1412" i="37"/>
  <c r="O1412" i="37" s="1"/>
  <c r="E1409" i="37"/>
  <c r="AM1409" i="37" s="1"/>
  <c r="AN1409" i="37" s="1"/>
  <c r="AK1409" i="37"/>
  <c r="S1411" i="37"/>
  <c r="V1411" i="37" s="1"/>
  <c r="Z1411" i="37"/>
  <c r="AK1146" i="37"/>
  <c r="Z1449" i="37"/>
  <c r="S1449" i="37"/>
  <c r="V1449" i="37" s="1"/>
  <c r="AH1147" i="37"/>
  <c r="AI1147" i="37" s="1"/>
  <c r="AJ1147" i="37" s="1"/>
  <c r="Z1148" i="37"/>
  <c r="S1148" i="37"/>
  <c r="V1148" i="37" s="1"/>
  <c r="O1149" i="37"/>
  <c r="N1150" i="37"/>
  <c r="N1439" i="37" s="1"/>
  <c r="O1439" i="37" s="1"/>
  <c r="N1450" i="37"/>
  <c r="O1450" i="37" s="1"/>
  <c r="AH1448" i="37"/>
  <c r="AI1448" i="37" s="1"/>
  <c r="AJ1448" i="37" s="1"/>
  <c r="AH1428" i="37" l="1"/>
  <c r="AI1428" i="37" s="1"/>
  <c r="AJ1428" i="37" s="1"/>
  <c r="E1428" i="37" s="1"/>
  <c r="AM1428" i="37" s="1"/>
  <c r="AN1428" i="37" s="1"/>
  <c r="Z1438" i="37"/>
  <c r="AH1438" i="37" s="1"/>
  <c r="AI1438" i="37" s="1"/>
  <c r="AJ1438" i="37" s="1"/>
  <c r="S1446" i="37"/>
  <c r="V1446" i="37" s="1"/>
  <c r="Z1446" i="37"/>
  <c r="AK1444" i="37"/>
  <c r="E1444" i="37"/>
  <c r="AM1444" i="37" s="1"/>
  <c r="AN1444" i="37" s="1"/>
  <c r="AH1445" i="37"/>
  <c r="AI1445" i="37" s="1"/>
  <c r="AJ1445" i="37" s="1"/>
  <c r="S1421" i="37"/>
  <c r="V1421" i="37" s="1"/>
  <c r="AH1421" i="37" s="1"/>
  <c r="AI1421" i="37" s="1"/>
  <c r="AJ1421" i="37" s="1"/>
  <c r="E1437" i="37"/>
  <c r="AM1437" i="37" s="1"/>
  <c r="AN1437" i="37" s="1"/>
  <c r="AK1437" i="37"/>
  <c r="Z1439" i="37"/>
  <c r="S1439" i="37"/>
  <c r="V1439" i="37" s="1"/>
  <c r="AK1427" i="37"/>
  <c r="S1391" i="37"/>
  <c r="V1391" i="37" s="1"/>
  <c r="AH1391" i="37" s="1"/>
  <c r="AI1391" i="37" s="1"/>
  <c r="AJ1391" i="37" s="1"/>
  <c r="E1410" i="37"/>
  <c r="AM1410" i="37" s="1"/>
  <c r="AN1410" i="37" s="1"/>
  <c r="N1422" i="37"/>
  <c r="O1422" i="37" s="1"/>
  <c r="Z1422" i="37" s="1"/>
  <c r="N1430" i="37"/>
  <c r="O1430" i="37" s="1"/>
  <c r="Z1429" i="37"/>
  <c r="S1429" i="37"/>
  <c r="V1429" i="37" s="1"/>
  <c r="AK1420" i="37"/>
  <c r="E1420" i="37"/>
  <c r="AM1420" i="37" s="1"/>
  <c r="AN1420" i="37" s="1"/>
  <c r="AH1411" i="37"/>
  <c r="AI1411" i="37" s="1"/>
  <c r="AJ1411" i="37" s="1"/>
  <c r="AK1411" i="37" s="1"/>
  <c r="N1392" i="37"/>
  <c r="O1392" i="37" s="1"/>
  <c r="Z1392" i="37" s="1"/>
  <c r="N1413" i="37"/>
  <c r="O1413" i="37" s="1"/>
  <c r="Z1412" i="37"/>
  <c r="S1412" i="37"/>
  <c r="V1412" i="37" s="1"/>
  <c r="AK1390" i="37"/>
  <c r="E1390" i="37"/>
  <c r="AM1390" i="37" s="1"/>
  <c r="AN1390" i="37" s="1"/>
  <c r="S1450" i="37"/>
  <c r="V1450" i="37" s="1"/>
  <c r="Z1450" i="37"/>
  <c r="Z1149" i="37"/>
  <c r="S1149" i="37"/>
  <c r="V1149" i="37" s="1"/>
  <c r="E1448" i="37"/>
  <c r="AM1448" i="37" s="1"/>
  <c r="AN1448" i="37" s="1"/>
  <c r="AK1448" i="37"/>
  <c r="N1151" i="37"/>
  <c r="N1451" i="37"/>
  <c r="O1451" i="37" s="1"/>
  <c r="O1150" i="37"/>
  <c r="AH1148" i="37"/>
  <c r="AI1148" i="37" s="1"/>
  <c r="AJ1148" i="37" s="1"/>
  <c r="E1147" i="37"/>
  <c r="AM1147" i="37" s="1"/>
  <c r="AN1147" i="37" s="1"/>
  <c r="AK1147" i="37"/>
  <c r="AH1449" i="37"/>
  <c r="AI1449" i="37" s="1"/>
  <c r="AJ1449" i="37" s="1"/>
  <c r="AK1428" i="37" l="1"/>
  <c r="AH1446" i="37"/>
  <c r="AI1446" i="37" s="1"/>
  <c r="AJ1446" i="37" s="1"/>
  <c r="AK1446" i="37" s="1"/>
  <c r="E1445" i="37"/>
  <c r="AM1445" i="37" s="1"/>
  <c r="AN1445" i="37" s="1"/>
  <c r="AK1445" i="37"/>
  <c r="AH1439" i="37"/>
  <c r="AI1439" i="37" s="1"/>
  <c r="AJ1439" i="37" s="1"/>
  <c r="N1431" i="37"/>
  <c r="O1431" i="37" s="1"/>
  <c r="S1431" i="37" s="1"/>
  <c r="V1431" i="37" s="1"/>
  <c r="N1440" i="37"/>
  <c r="O1440" i="37" s="1"/>
  <c r="E1438" i="37"/>
  <c r="AM1438" i="37" s="1"/>
  <c r="AN1438" i="37" s="1"/>
  <c r="AK1438" i="37"/>
  <c r="AH1429" i="37"/>
  <c r="AI1429" i="37" s="1"/>
  <c r="AJ1429" i="37" s="1"/>
  <c r="E1429" i="37" s="1"/>
  <c r="AM1429" i="37" s="1"/>
  <c r="AN1429" i="37" s="1"/>
  <c r="Z1430" i="37"/>
  <c r="S1430" i="37"/>
  <c r="V1430" i="37" s="1"/>
  <c r="E1411" i="37"/>
  <c r="AM1411" i="37" s="1"/>
  <c r="AN1411" i="37" s="1"/>
  <c r="S1422" i="37"/>
  <c r="V1422" i="37" s="1"/>
  <c r="AH1422" i="37" s="1"/>
  <c r="AI1422" i="37" s="1"/>
  <c r="AJ1422" i="37" s="1"/>
  <c r="AH1450" i="37"/>
  <c r="AI1450" i="37" s="1"/>
  <c r="AJ1450" i="37" s="1"/>
  <c r="E1450" i="37" s="1"/>
  <c r="AM1450" i="37" s="1"/>
  <c r="AN1450" i="37" s="1"/>
  <c r="S1392" i="37"/>
  <c r="V1392" i="37" s="1"/>
  <c r="AH1392" i="37" s="1"/>
  <c r="AI1392" i="37" s="1"/>
  <c r="AJ1392" i="37" s="1"/>
  <c r="AK1421" i="37"/>
  <c r="E1421" i="37"/>
  <c r="AM1421" i="37" s="1"/>
  <c r="AN1421" i="37" s="1"/>
  <c r="N1393" i="37"/>
  <c r="O1393" i="37" s="1"/>
  <c r="S1393" i="37" s="1"/>
  <c r="V1393" i="37" s="1"/>
  <c r="AH1412" i="37"/>
  <c r="AI1412" i="37" s="1"/>
  <c r="AJ1412" i="37" s="1"/>
  <c r="Z1413" i="37"/>
  <c r="S1413" i="37"/>
  <c r="V1413" i="37" s="1"/>
  <c r="E1391" i="37"/>
  <c r="AM1391" i="37" s="1"/>
  <c r="AN1391" i="37" s="1"/>
  <c r="AK1391" i="37"/>
  <c r="AK1449" i="37"/>
  <c r="E1449" i="37"/>
  <c r="AM1449" i="37" s="1"/>
  <c r="AN1449" i="37" s="1"/>
  <c r="E1148" i="37"/>
  <c r="AM1148" i="37" s="1"/>
  <c r="AN1148" i="37" s="1"/>
  <c r="AK1148" i="37"/>
  <c r="O1151" i="37"/>
  <c r="N1152" i="37"/>
  <c r="N1441" i="37" s="1"/>
  <c r="O1441" i="37" s="1"/>
  <c r="N1452" i="37"/>
  <c r="O1452" i="37" s="1"/>
  <c r="Z1150" i="37"/>
  <c r="S1150" i="37"/>
  <c r="V1150" i="37" s="1"/>
  <c r="AH1149" i="37"/>
  <c r="AI1149" i="37" s="1"/>
  <c r="AJ1149" i="37" s="1"/>
  <c r="Z1451" i="37"/>
  <c r="S1451" i="37"/>
  <c r="V1451" i="37" s="1"/>
  <c r="Z1431" i="37" l="1"/>
  <c r="AH1431" i="37" s="1"/>
  <c r="AI1431" i="37" s="1"/>
  <c r="AJ1431" i="37" s="1"/>
  <c r="E1446" i="37"/>
  <c r="AM1446" i="37" s="1"/>
  <c r="AN1446" i="37" s="1"/>
  <c r="Z1440" i="37"/>
  <c r="S1440" i="37"/>
  <c r="V1440" i="37" s="1"/>
  <c r="Z1441" i="37"/>
  <c r="S1441" i="37"/>
  <c r="V1441" i="37" s="1"/>
  <c r="AK1439" i="37"/>
  <c r="E1439" i="37"/>
  <c r="AM1439" i="37" s="1"/>
  <c r="AN1439" i="37" s="1"/>
  <c r="AK1429" i="37"/>
  <c r="N1394" i="37"/>
  <c r="O1394" i="37" s="1"/>
  <c r="Z1394" i="37" s="1"/>
  <c r="N1432" i="37"/>
  <c r="O1432" i="37" s="1"/>
  <c r="AK1450" i="37"/>
  <c r="AH1430" i="37"/>
  <c r="AI1430" i="37" s="1"/>
  <c r="AJ1430" i="37" s="1"/>
  <c r="Z1393" i="37"/>
  <c r="AH1393" i="37" s="1"/>
  <c r="AI1393" i="37" s="1"/>
  <c r="AJ1393" i="37" s="1"/>
  <c r="E1422" i="37"/>
  <c r="AM1422" i="37" s="1"/>
  <c r="AN1422" i="37" s="1"/>
  <c r="AK1422" i="37"/>
  <c r="AH1413" i="37"/>
  <c r="AI1413" i="37" s="1"/>
  <c r="AJ1413" i="37" s="1"/>
  <c r="AK1412" i="37"/>
  <c r="E1412" i="37"/>
  <c r="AM1412" i="37" s="1"/>
  <c r="AN1412" i="37" s="1"/>
  <c r="E1392" i="37"/>
  <c r="AM1392" i="37" s="1"/>
  <c r="AN1392" i="37" s="1"/>
  <c r="AK1392" i="37"/>
  <c r="AH1451" i="37"/>
  <c r="AI1451" i="37" s="1"/>
  <c r="AJ1451" i="37" s="1"/>
  <c r="AK1149" i="37"/>
  <c r="E1149" i="37"/>
  <c r="AM1149" i="37" s="1"/>
  <c r="AN1149" i="37" s="1"/>
  <c r="AH1150" i="37"/>
  <c r="AI1150" i="37" s="1"/>
  <c r="AJ1150" i="37" s="1"/>
  <c r="O1152" i="37"/>
  <c r="N1153" i="37"/>
  <c r="N1453" i="37"/>
  <c r="O1453" i="37" s="1"/>
  <c r="Z1452" i="37"/>
  <c r="S1452" i="37"/>
  <c r="V1452" i="37" s="1"/>
  <c r="Z1151" i="37"/>
  <c r="S1151" i="37"/>
  <c r="V1151" i="37" s="1"/>
  <c r="AK1431" i="37" l="1"/>
  <c r="E1431" i="37"/>
  <c r="AM1431" i="37" s="1"/>
  <c r="AN1431" i="37" s="1"/>
  <c r="N1395" i="37"/>
  <c r="O1395" i="37" s="1"/>
  <c r="Z1395" i="37" s="1"/>
  <c r="S1394" i="37"/>
  <c r="V1394" i="37" s="1"/>
  <c r="AH1394" i="37" s="1"/>
  <c r="AI1394" i="37" s="1"/>
  <c r="AJ1394" i="37" s="1"/>
  <c r="AH1441" i="37"/>
  <c r="AI1441" i="37" s="1"/>
  <c r="AJ1441" i="37" s="1"/>
  <c r="AH1440" i="37"/>
  <c r="AI1440" i="37" s="1"/>
  <c r="AJ1440" i="37" s="1"/>
  <c r="S1432" i="37"/>
  <c r="V1432" i="37" s="1"/>
  <c r="Z1432" i="37"/>
  <c r="E1430" i="37"/>
  <c r="AM1430" i="37" s="1"/>
  <c r="AN1430" i="37" s="1"/>
  <c r="AK1430" i="37"/>
  <c r="E1413" i="37"/>
  <c r="AM1413" i="37" s="1"/>
  <c r="AN1413" i="37" s="1"/>
  <c r="AK1413" i="37"/>
  <c r="AK1393" i="37"/>
  <c r="E1393" i="37"/>
  <c r="AM1393" i="37" s="1"/>
  <c r="AN1393" i="37" s="1"/>
  <c r="AH1151" i="37"/>
  <c r="AI1151" i="37" s="1"/>
  <c r="AJ1151" i="37" s="1"/>
  <c r="AK1150" i="37"/>
  <c r="E1150" i="37"/>
  <c r="AM1150" i="37" s="1"/>
  <c r="AN1150" i="37" s="1"/>
  <c r="S1152" i="37"/>
  <c r="V1152" i="37" s="1"/>
  <c r="Z1152" i="37"/>
  <c r="Z1453" i="37"/>
  <c r="S1453" i="37"/>
  <c r="V1453" i="37" s="1"/>
  <c r="AH1452" i="37"/>
  <c r="AI1452" i="37" s="1"/>
  <c r="AJ1452" i="37" s="1"/>
  <c r="O1153" i="37"/>
  <c r="N1154" i="37"/>
  <c r="N1396" i="37" s="1"/>
  <c r="O1396" i="37" s="1"/>
  <c r="N1454" i="37"/>
  <c r="O1454" i="37" s="1"/>
  <c r="AK1451" i="37"/>
  <c r="E1451" i="37"/>
  <c r="AM1451" i="37" s="1"/>
  <c r="AN1451" i="37" s="1"/>
  <c r="S1395" i="37" l="1"/>
  <c r="V1395" i="37" s="1"/>
  <c r="AH1395" i="37" s="1"/>
  <c r="AI1395" i="37" s="1"/>
  <c r="AJ1395" i="37" s="1"/>
  <c r="AK1440" i="37"/>
  <c r="E1440" i="37"/>
  <c r="AM1440" i="37" s="1"/>
  <c r="AN1440" i="37" s="1"/>
  <c r="E1441" i="37"/>
  <c r="AM1441" i="37" s="1"/>
  <c r="AN1441" i="37" s="1"/>
  <c r="AK1441" i="37"/>
  <c r="AH1432" i="37"/>
  <c r="AI1432" i="37" s="1"/>
  <c r="AJ1432" i="37" s="1"/>
  <c r="AK1432" i="37" s="1"/>
  <c r="AK1394" i="37"/>
  <c r="E1394" i="37"/>
  <c r="AM1394" i="37" s="1"/>
  <c r="AN1394" i="37" s="1"/>
  <c r="S1396" i="37"/>
  <c r="V1396" i="37" s="1"/>
  <c r="Z1396" i="37"/>
  <c r="AH1152" i="37"/>
  <c r="AI1152" i="37" s="1"/>
  <c r="AJ1152" i="37" s="1"/>
  <c r="AK1152" i="37" s="1"/>
  <c r="S1153" i="37"/>
  <c r="V1153" i="37" s="1"/>
  <c r="Z1153" i="37"/>
  <c r="E1452" i="37"/>
  <c r="AM1452" i="37" s="1"/>
  <c r="AN1452" i="37" s="1"/>
  <c r="AK1452" i="37"/>
  <c r="Z1454" i="37"/>
  <c r="S1454" i="37"/>
  <c r="V1454" i="37" s="1"/>
  <c r="AH1453" i="37"/>
  <c r="AI1453" i="37" s="1"/>
  <c r="AJ1453" i="37" s="1"/>
  <c r="O1154" i="37"/>
  <c r="N1155" i="37"/>
  <c r="N1397" i="37" s="1"/>
  <c r="O1397" i="37" s="1"/>
  <c r="N1455" i="37"/>
  <c r="O1455" i="37" s="1"/>
  <c r="AK1151" i="37"/>
  <c r="E1151" i="37"/>
  <c r="AM1151" i="37" s="1"/>
  <c r="AN1151" i="37" s="1"/>
  <c r="E1432" i="37" l="1"/>
  <c r="AM1432" i="37" s="1"/>
  <c r="AN1432" i="37" s="1"/>
  <c r="S1397" i="37"/>
  <c r="V1397" i="37" s="1"/>
  <c r="Z1397" i="37"/>
  <c r="E1152" i="37"/>
  <c r="AM1152" i="37" s="1"/>
  <c r="AN1152" i="37" s="1"/>
  <c r="AH1396" i="37"/>
  <c r="AI1396" i="37" s="1"/>
  <c r="AJ1396" i="37" s="1"/>
  <c r="E1395" i="37"/>
  <c r="AM1395" i="37" s="1"/>
  <c r="AN1395" i="37" s="1"/>
  <c r="AK1395" i="37"/>
  <c r="AH1153" i="37"/>
  <c r="AI1153" i="37" s="1"/>
  <c r="AJ1153" i="37" s="1"/>
  <c r="AK1153" i="37" s="1"/>
  <c r="Z1154" i="37"/>
  <c r="S1154" i="37"/>
  <c r="V1154" i="37" s="1"/>
  <c r="N1456" i="37"/>
  <c r="O1456" i="37" s="1"/>
  <c r="O1155" i="37"/>
  <c r="N1156" i="37"/>
  <c r="N1398" i="37" s="1"/>
  <c r="O1398" i="37" s="1"/>
  <c r="S1455" i="37"/>
  <c r="V1455" i="37" s="1"/>
  <c r="Z1455" i="37"/>
  <c r="AK1453" i="37"/>
  <c r="E1453" i="37"/>
  <c r="AM1453" i="37" s="1"/>
  <c r="AN1453" i="37" s="1"/>
  <c r="AH1454" i="37"/>
  <c r="AI1454" i="37" s="1"/>
  <c r="AJ1454" i="37" s="1"/>
  <c r="AH1397" i="37" l="1"/>
  <c r="AI1397" i="37" s="1"/>
  <c r="AJ1397" i="37" s="1"/>
  <c r="E1397" i="37" s="1"/>
  <c r="AM1397" i="37" s="1"/>
  <c r="AN1397" i="37" s="1"/>
  <c r="Z1398" i="37"/>
  <c r="S1398" i="37"/>
  <c r="V1398" i="37" s="1"/>
  <c r="AH1455" i="37"/>
  <c r="AI1455" i="37" s="1"/>
  <c r="AJ1455" i="37" s="1"/>
  <c r="AK1455" i="37" s="1"/>
  <c r="E1153" i="37"/>
  <c r="AM1153" i="37" s="1"/>
  <c r="AN1153" i="37" s="1"/>
  <c r="AK1396" i="37"/>
  <c r="E1396" i="37"/>
  <c r="AM1396" i="37" s="1"/>
  <c r="AN1396" i="37" s="1"/>
  <c r="AK1454" i="37"/>
  <c r="E1454" i="37"/>
  <c r="AM1454" i="37" s="1"/>
  <c r="AN1454" i="37" s="1"/>
  <c r="S1155" i="37"/>
  <c r="V1155" i="37" s="1"/>
  <c r="Z1155" i="37"/>
  <c r="N1457" i="37"/>
  <c r="O1457" i="37" s="1"/>
  <c r="O1156" i="37"/>
  <c r="N1157" i="37"/>
  <c r="N1399" i="37" s="1"/>
  <c r="O1399" i="37" s="1"/>
  <c r="S1456" i="37"/>
  <c r="V1456" i="37" s="1"/>
  <c r="Z1456" i="37"/>
  <c r="AH1154" i="37"/>
  <c r="AI1154" i="37" s="1"/>
  <c r="AJ1154" i="37" s="1"/>
  <c r="AK1397" i="37" l="1"/>
  <c r="AH1456" i="37"/>
  <c r="AI1456" i="37" s="1"/>
  <c r="AJ1456" i="37" s="1"/>
  <c r="E1456" i="37" s="1"/>
  <c r="AM1456" i="37" s="1"/>
  <c r="AN1456" i="37" s="1"/>
  <c r="E1455" i="37"/>
  <c r="AM1455" i="37" s="1"/>
  <c r="AN1455" i="37" s="1"/>
  <c r="AH1155" i="37"/>
  <c r="AI1155" i="37" s="1"/>
  <c r="AJ1155" i="37" s="1"/>
  <c r="AK1155" i="37" s="1"/>
  <c r="S1399" i="37"/>
  <c r="V1399" i="37" s="1"/>
  <c r="Z1399" i="37"/>
  <c r="AH1398" i="37"/>
  <c r="AI1398" i="37" s="1"/>
  <c r="AJ1398" i="37" s="1"/>
  <c r="E1154" i="37"/>
  <c r="AM1154" i="37" s="1"/>
  <c r="AN1154" i="37" s="1"/>
  <c r="AK1154" i="37"/>
  <c r="N1458" i="37"/>
  <c r="O1458" i="37" s="1"/>
  <c r="N1158" i="37"/>
  <c r="N1400" i="37" s="1"/>
  <c r="O1400" i="37" s="1"/>
  <c r="O1157" i="37"/>
  <c r="S1156" i="37"/>
  <c r="V1156" i="37" s="1"/>
  <c r="Z1156" i="37"/>
  <c r="S1457" i="37"/>
  <c r="V1457" i="37" s="1"/>
  <c r="Z1457" i="37"/>
  <c r="AK1456" i="37" l="1"/>
  <c r="AH1457" i="37"/>
  <c r="AI1457" i="37" s="1"/>
  <c r="AJ1457" i="37" s="1"/>
  <c r="AK1457" i="37" s="1"/>
  <c r="AH1399" i="37"/>
  <c r="AI1399" i="37" s="1"/>
  <c r="AJ1399" i="37" s="1"/>
  <c r="AK1399" i="37" s="1"/>
  <c r="E1155" i="37"/>
  <c r="AM1155" i="37" s="1"/>
  <c r="AN1155" i="37" s="1"/>
  <c r="Z1400" i="37"/>
  <c r="S1400" i="37"/>
  <c r="V1400" i="37" s="1"/>
  <c r="E1398" i="37"/>
  <c r="AM1398" i="37" s="1"/>
  <c r="AN1398" i="37" s="1"/>
  <c r="AK1398" i="37"/>
  <c r="AH1156" i="37"/>
  <c r="AI1156" i="37" s="1"/>
  <c r="AJ1156" i="37" s="1"/>
  <c r="S1157" i="37"/>
  <c r="V1157" i="37" s="1"/>
  <c r="Z1157" i="37"/>
  <c r="O1158" i="37"/>
  <c r="N1459" i="37"/>
  <c r="O1459" i="37" s="1"/>
  <c r="N1159" i="37"/>
  <c r="Z1458" i="37"/>
  <c r="S1458" i="37"/>
  <c r="V1458" i="37" s="1"/>
  <c r="E1457" i="37" l="1"/>
  <c r="AM1457" i="37" s="1"/>
  <c r="AN1457" i="37" s="1"/>
  <c r="E1399" i="37"/>
  <c r="AM1399" i="37" s="1"/>
  <c r="AN1399" i="37" s="1"/>
  <c r="N1401" i="37"/>
  <c r="O1401" i="37" s="1"/>
  <c r="Z1401" i="37" s="1"/>
  <c r="N1460" i="37"/>
  <c r="O1460" i="37" s="1"/>
  <c r="AH1400" i="37"/>
  <c r="AI1400" i="37" s="1"/>
  <c r="AJ1400" i="37" s="1"/>
  <c r="AK1400" i="37" s="1"/>
  <c r="AH1157" i="37"/>
  <c r="AI1157" i="37" s="1"/>
  <c r="AJ1157" i="37" s="1"/>
  <c r="E1157" i="37" s="1"/>
  <c r="AM1157" i="37" s="1"/>
  <c r="AN1157" i="37" s="1"/>
  <c r="AK1156" i="37"/>
  <c r="E1156" i="37"/>
  <c r="AM1156" i="37" s="1"/>
  <c r="AN1156" i="37" s="1"/>
  <c r="N1160" i="37"/>
  <c r="O1159" i="37"/>
  <c r="N1473" i="37"/>
  <c r="O1473" i="37" s="1"/>
  <c r="S1158" i="37"/>
  <c r="V1158" i="37" s="1"/>
  <c r="Z1158" i="37"/>
  <c r="Z1459" i="37"/>
  <c r="S1459" i="37"/>
  <c r="V1459" i="37" s="1"/>
  <c r="AH1458" i="37"/>
  <c r="AI1458" i="37" s="1"/>
  <c r="AJ1458" i="37" s="1"/>
  <c r="S1401" i="37" l="1"/>
  <c r="V1401" i="37" s="1"/>
  <c r="AH1401" i="37" s="1"/>
  <c r="AI1401" i="37" s="1"/>
  <c r="AJ1401" i="37" s="1"/>
  <c r="E1400" i="37"/>
  <c r="AM1400" i="37" s="1"/>
  <c r="AN1400" i="37" s="1"/>
  <c r="N1402" i="37"/>
  <c r="O1402" i="37" s="1"/>
  <c r="S1402" i="37" s="1"/>
  <c r="V1402" i="37" s="1"/>
  <c r="N1461" i="37"/>
  <c r="O1461" i="37" s="1"/>
  <c r="S1460" i="37"/>
  <c r="V1460" i="37" s="1"/>
  <c r="Z1460" i="37"/>
  <c r="AH1158" i="37"/>
  <c r="AI1158" i="37" s="1"/>
  <c r="AJ1158" i="37" s="1"/>
  <c r="E1158" i="37" s="1"/>
  <c r="AM1158" i="37" s="1"/>
  <c r="AN1158" i="37" s="1"/>
  <c r="AK1157" i="37"/>
  <c r="E1458" i="37"/>
  <c r="AM1458" i="37" s="1"/>
  <c r="AN1458" i="37" s="1"/>
  <c r="AK1458" i="37"/>
  <c r="AH1459" i="37"/>
  <c r="AI1459" i="37" s="1"/>
  <c r="AJ1459" i="37" s="1"/>
  <c r="Z1159" i="37"/>
  <c r="S1159" i="37"/>
  <c r="V1159" i="37" s="1"/>
  <c r="Z1473" i="37"/>
  <c r="S1473" i="37"/>
  <c r="V1473" i="37" s="1"/>
  <c r="O1160" i="37"/>
  <c r="N1474" i="37"/>
  <c r="O1474" i="37" s="1"/>
  <c r="N1161" i="37"/>
  <c r="Z1402" i="37" l="1"/>
  <c r="AH1402" i="37" s="1"/>
  <c r="AI1402" i="37" s="1"/>
  <c r="AJ1402" i="37" s="1"/>
  <c r="AK1158" i="37"/>
  <c r="AH1460" i="37"/>
  <c r="AI1460" i="37" s="1"/>
  <c r="AJ1460" i="37" s="1"/>
  <c r="N1403" i="37"/>
  <c r="O1403" i="37" s="1"/>
  <c r="S1403" i="37" s="1"/>
  <c r="V1403" i="37" s="1"/>
  <c r="N1462" i="37"/>
  <c r="O1462" i="37" s="1"/>
  <c r="AK1460" i="37"/>
  <c r="E1460" i="37"/>
  <c r="AM1460" i="37" s="1"/>
  <c r="AN1460" i="37" s="1"/>
  <c r="S1461" i="37"/>
  <c r="V1461" i="37" s="1"/>
  <c r="Z1461" i="37"/>
  <c r="E1401" i="37"/>
  <c r="AM1401" i="37" s="1"/>
  <c r="AN1401" i="37" s="1"/>
  <c r="AK1401" i="37"/>
  <c r="N1162" i="37"/>
  <c r="N1463" i="37" s="1"/>
  <c r="O1463" i="37" s="1"/>
  <c r="N1475" i="37"/>
  <c r="O1475" i="37" s="1"/>
  <c r="O1161" i="37"/>
  <c r="E1459" i="37"/>
  <c r="AM1459" i="37" s="1"/>
  <c r="AN1459" i="37" s="1"/>
  <c r="AK1459" i="37"/>
  <c r="S1160" i="37"/>
  <c r="V1160" i="37" s="1"/>
  <c r="Z1160" i="37"/>
  <c r="AH1159" i="37"/>
  <c r="AI1159" i="37" s="1"/>
  <c r="AJ1159" i="37" s="1"/>
  <c r="Z1474" i="37"/>
  <c r="S1474" i="37"/>
  <c r="V1474" i="37" s="1"/>
  <c r="AH1473" i="37"/>
  <c r="AI1473" i="37" s="1"/>
  <c r="AJ1473" i="37" s="1"/>
  <c r="AK1402" i="37" l="1"/>
  <c r="E1402" i="37"/>
  <c r="AM1402" i="37" s="1"/>
  <c r="AN1402" i="37" s="1"/>
  <c r="Z1403" i="37"/>
  <c r="AH1403" i="37" s="1"/>
  <c r="AI1403" i="37" s="1"/>
  <c r="AJ1403" i="37" s="1"/>
  <c r="AK1403" i="37" s="1"/>
  <c r="AH1461" i="37"/>
  <c r="AI1461" i="37" s="1"/>
  <c r="AJ1461" i="37" s="1"/>
  <c r="E1461" i="37" s="1"/>
  <c r="AM1461" i="37" s="1"/>
  <c r="AN1461" i="37" s="1"/>
  <c r="S1462" i="37"/>
  <c r="V1462" i="37" s="1"/>
  <c r="Z1462" i="37"/>
  <c r="S1463" i="37"/>
  <c r="V1463" i="37" s="1"/>
  <c r="Z1463" i="37"/>
  <c r="AH1160" i="37"/>
  <c r="AI1160" i="37" s="1"/>
  <c r="AJ1160" i="37" s="1"/>
  <c r="AK1160" i="37" s="1"/>
  <c r="E1159" i="37"/>
  <c r="AM1159" i="37" s="1"/>
  <c r="AN1159" i="37" s="1"/>
  <c r="AK1159" i="37"/>
  <c r="S1475" i="37"/>
  <c r="V1475" i="37" s="1"/>
  <c r="Z1475" i="37"/>
  <c r="E1473" i="37"/>
  <c r="AM1473" i="37" s="1"/>
  <c r="AN1473" i="37" s="1"/>
  <c r="AK1473" i="37"/>
  <c r="O1162" i="37"/>
  <c r="N1163" i="37"/>
  <c r="N1476" i="37"/>
  <c r="O1476" i="37" s="1"/>
  <c r="AH1474" i="37"/>
  <c r="AI1474" i="37" s="1"/>
  <c r="AJ1474" i="37" s="1"/>
  <c r="S1161" i="37"/>
  <c r="V1161" i="37" s="1"/>
  <c r="Z1161" i="37"/>
  <c r="AK1461" i="37" l="1"/>
  <c r="N1464" i="37"/>
  <c r="O1464" i="37" s="1"/>
  <c r="S1464" i="37" s="1"/>
  <c r="V1464" i="37" s="1"/>
  <c r="N1477" i="37"/>
  <c r="O1477" i="37" s="1"/>
  <c r="E1160" i="37"/>
  <c r="AM1160" i="37" s="1"/>
  <c r="AN1160" i="37" s="1"/>
  <c r="AH1475" i="37"/>
  <c r="AI1475" i="37" s="1"/>
  <c r="AJ1475" i="37" s="1"/>
  <c r="E1475" i="37" s="1"/>
  <c r="AM1475" i="37" s="1"/>
  <c r="AN1475" i="37" s="1"/>
  <c r="AH1463" i="37"/>
  <c r="AI1463" i="37" s="1"/>
  <c r="AJ1463" i="37" s="1"/>
  <c r="AK1463" i="37" s="1"/>
  <c r="AH1462" i="37"/>
  <c r="AI1462" i="37" s="1"/>
  <c r="AJ1462" i="37" s="1"/>
  <c r="AK1462" i="37" s="1"/>
  <c r="E1403" i="37"/>
  <c r="AM1403" i="37" s="1"/>
  <c r="AN1403" i="37" s="1"/>
  <c r="AH1161" i="37"/>
  <c r="AI1161" i="37" s="1"/>
  <c r="AJ1161" i="37" s="1"/>
  <c r="AK1161" i="37" s="1"/>
  <c r="E1474" i="37"/>
  <c r="AM1474" i="37" s="1"/>
  <c r="AN1474" i="37" s="1"/>
  <c r="AK1474" i="37"/>
  <c r="Z1476" i="37"/>
  <c r="S1476" i="37"/>
  <c r="V1476" i="37" s="1"/>
  <c r="O1163" i="37"/>
  <c r="N1481" i="37"/>
  <c r="O1481" i="37" s="1"/>
  <c r="N1164" i="37"/>
  <c r="S1162" i="37"/>
  <c r="V1162" i="37" s="1"/>
  <c r="Z1162" i="37"/>
  <c r="N1465" i="37" l="1"/>
  <c r="O1465" i="37" s="1"/>
  <c r="Z1465" i="37" s="1"/>
  <c r="N1478" i="37"/>
  <c r="O1478" i="37" s="1"/>
  <c r="S1477" i="37"/>
  <c r="V1477" i="37" s="1"/>
  <c r="Z1477" i="37"/>
  <c r="Z1464" i="37"/>
  <c r="AH1464" i="37" s="1"/>
  <c r="AI1464" i="37" s="1"/>
  <c r="AJ1464" i="37" s="1"/>
  <c r="E1463" i="37"/>
  <c r="AM1463" i="37" s="1"/>
  <c r="AN1463" i="37" s="1"/>
  <c r="AK1475" i="37"/>
  <c r="E1462" i="37"/>
  <c r="AM1462" i="37" s="1"/>
  <c r="AN1462" i="37" s="1"/>
  <c r="E1161" i="37"/>
  <c r="AM1161" i="37" s="1"/>
  <c r="AN1161" i="37" s="1"/>
  <c r="AH1162" i="37"/>
  <c r="AI1162" i="37" s="1"/>
  <c r="AJ1162" i="37" s="1"/>
  <c r="E1162" i="37" s="1"/>
  <c r="AM1162" i="37" s="1"/>
  <c r="AN1162" i="37" s="1"/>
  <c r="O1164" i="37"/>
  <c r="N1165" i="37"/>
  <c r="Z1481" i="37"/>
  <c r="S1481" i="37"/>
  <c r="V1481" i="37" s="1"/>
  <c r="Z1163" i="37"/>
  <c r="S1163" i="37"/>
  <c r="V1163" i="37" s="1"/>
  <c r="AH1476" i="37"/>
  <c r="AI1476" i="37" s="1"/>
  <c r="AJ1476" i="37" s="1"/>
  <c r="AH1477" i="37" l="1"/>
  <c r="AI1477" i="37" s="1"/>
  <c r="AJ1477" i="37" s="1"/>
  <c r="E1477" i="37" s="1"/>
  <c r="AM1477" i="37" s="1"/>
  <c r="AN1477" i="37" s="1"/>
  <c r="E1464" i="37"/>
  <c r="AM1464" i="37" s="1"/>
  <c r="AN1464" i="37" s="1"/>
  <c r="AK1464" i="37"/>
  <c r="N1466" i="37"/>
  <c r="O1466" i="37" s="1"/>
  <c r="S1466" i="37" s="1"/>
  <c r="V1466" i="37" s="1"/>
  <c r="N1479" i="37"/>
  <c r="O1479" i="37" s="1"/>
  <c r="S1465" i="37"/>
  <c r="V1465" i="37" s="1"/>
  <c r="Z1478" i="37"/>
  <c r="S1478" i="37"/>
  <c r="V1478" i="37" s="1"/>
  <c r="AH1465" i="37"/>
  <c r="AI1465" i="37" s="1"/>
  <c r="AJ1465" i="37" s="1"/>
  <c r="AK1162" i="37"/>
  <c r="AH1163" i="37"/>
  <c r="AI1163" i="37" s="1"/>
  <c r="AJ1163" i="37" s="1"/>
  <c r="AK1476" i="37"/>
  <c r="E1476" i="37"/>
  <c r="AM1476" i="37" s="1"/>
  <c r="AN1476" i="37" s="1"/>
  <c r="S1164" i="37"/>
  <c r="V1164" i="37" s="1"/>
  <c r="Z1164" i="37"/>
  <c r="AH1481" i="37"/>
  <c r="AI1481" i="37" s="1"/>
  <c r="AJ1481" i="37" s="1"/>
  <c r="N1482" i="37"/>
  <c r="O1482" i="37" s="1"/>
  <c r="O1165" i="37"/>
  <c r="N1166" i="37"/>
  <c r="N1483" i="37" s="1"/>
  <c r="O1483" i="37" s="1"/>
  <c r="AK1477" i="37" l="1"/>
  <c r="Z1483" i="37"/>
  <c r="S1483" i="37"/>
  <c r="V1483" i="37" s="1"/>
  <c r="Z1466" i="37"/>
  <c r="AH1466" i="37" s="1"/>
  <c r="AI1466" i="37" s="1"/>
  <c r="AJ1466" i="37" s="1"/>
  <c r="AK1466" i="37" s="1"/>
  <c r="N1467" i="37"/>
  <c r="O1467" i="37" s="1"/>
  <c r="Z1467" i="37" s="1"/>
  <c r="N1480" i="37"/>
  <c r="O1480" i="37" s="1"/>
  <c r="AH1478" i="37"/>
  <c r="AI1478" i="37" s="1"/>
  <c r="AJ1478" i="37" s="1"/>
  <c r="Z1479" i="37"/>
  <c r="S1479" i="37"/>
  <c r="V1479" i="37" s="1"/>
  <c r="E1465" i="37"/>
  <c r="AM1465" i="37" s="1"/>
  <c r="AN1465" i="37" s="1"/>
  <c r="AK1465" i="37"/>
  <c r="AH1164" i="37"/>
  <c r="AI1164" i="37" s="1"/>
  <c r="AJ1164" i="37" s="1"/>
  <c r="E1164" i="37" s="1"/>
  <c r="AM1164" i="37" s="1"/>
  <c r="AN1164" i="37" s="1"/>
  <c r="O1166" i="37"/>
  <c r="N1167" i="37"/>
  <c r="Z1165" i="37"/>
  <c r="S1165" i="37"/>
  <c r="V1165" i="37" s="1"/>
  <c r="E1481" i="37"/>
  <c r="AM1481" i="37" s="1"/>
  <c r="AN1481" i="37" s="1"/>
  <c r="AK1481" i="37"/>
  <c r="S1482" i="37"/>
  <c r="V1482" i="37" s="1"/>
  <c r="Z1482" i="37"/>
  <c r="AK1163" i="37"/>
  <c r="E1163" i="37"/>
  <c r="AM1163" i="37" s="1"/>
  <c r="AN1163" i="37" s="1"/>
  <c r="AH1482" i="37" l="1"/>
  <c r="AI1482" i="37" s="1"/>
  <c r="AJ1482" i="37" s="1"/>
  <c r="AK1482" i="37" s="1"/>
  <c r="N1468" i="37"/>
  <c r="O1468" i="37" s="1"/>
  <c r="Z1468" i="37" s="1"/>
  <c r="N1484" i="37"/>
  <c r="O1484" i="37" s="1"/>
  <c r="AH1483" i="37"/>
  <c r="AI1483" i="37" s="1"/>
  <c r="AJ1483" i="37" s="1"/>
  <c r="AH1479" i="37"/>
  <c r="AI1479" i="37" s="1"/>
  <c r="AJ1479" i="37" s="1"/>
  <c r="E1479" i="37" s="1"/>
  <c r="AM1479" i="37" s="1"/>
  <c r="AN1479" i="37" s="1"/>
  <c r="AK1164" i="37"/>
  <c r="S1467" i="37"/>
  <c r="V1467" i="37" s="1"/>
  <c r="E1466" i="37"/>
  <c r="AM1466" i="37" s="1"/>
  <c r="AN1466" i="37" s="1"/>
  <c r="AK1478" i="37"/>
  <c r="E1478" i="37"/>
  <c r="AM1478" i="37" s="1"/>
  <c r="AN1478" i="37" s="1"/>
  <c r="S1480" i="37"/>
  <c r="V1480" i="37" s="1"/>
  <c r="Z1480" i="37"/>
  <c r="AH1467" i="37"/>
  <c r="AI1467" i="37" s="1"/>
  <c r="AJ1467" i="37" s="1"/>
  <c r="AH1165" i="37"/>
  <c r="AI1165" i="37" s="1"/>
  <c r="AJ1165" i="37" s="1"/>
  <c r="AK1165" i="37" s="1"/>
  <c r="O1167" i="37"/>
  <c r="N1486" i="37"/>
  <c r="O1486" i="37" s="1"/>
  <c r="N1168" i="37"/>
  <c r="N1485" i="37" s="1"/>
  <c r="O1485" i="37" s="1"/>
  <c r="Z1166" i="37"/>
  <c r="S1166" i="37"/>
  <c r="V1166" i="37" s="1"/>
  <c r="S1468" i="37" l="1"/>
  <c r="V1468" i="37" s="1"/>
  <c r="AH1468" i="37" s="1"/>
  <c r="AI1468" i="37" s="1"/>
  <c r="AJ1468" i="37" s="1"/>
  <c r="E1482" i="37"/>
  <c r="AM1482" i="37" s="1"/>
  <c r="AN1482" i="37" s="1"/>
  <c r="S1485" i="37"/>
  <c r="V1485" i="37" s="1"/>
  <c r="Z1485" i="37"/>
  <c r="AK1483" i="37"/>
  <c r="E1483" i="37"/>
  <c r="AM1483" i="37" s="1"/>
  <c r="AN1483" i="37" s="1"/>
  <c r="Z1484" i="37"/>
  <c r="S1484" i="37"/>
  <c r="V1484" i="37" s="1"/>
  <c r="AK1479" i="37"/>
  <c r="AH1480" i="37"/>
  <c r="AI1480" i="37" s="1"/>
  <c r="AJ1480" i="37" s="1"/>
  <c r="E1480" i="37" s="1"/>
  <c r="AM1480" i="37" s="1"/>
  <c r="AN1480" i="37" s="1"/>
  <c r="N1469" i="37"/>
  <c r="O1469" i="37" s="1"/>
  <c r="S1469" i="37" s="1"/>
  <c r="V1469" i="37" s="1"/>
  <c r="N1487" i="37"/>
  <c r="O1487" i="37" s="1"/>
  <c r="AK1467" i="37"/>
  <c r="E1467" i="37"/>
  <c r="AM1467" i="37" s="1"/>
  <c r="AN1467" i="37" s="1"/>
  <c r="E1165" i="37"/>
  <c r="AM1165" i="37" s="1"/>
  <c r="AN1165" i="37" s="1"/>
  <c r="AH1166" i="37"/>
  <c r="AI1166" i="37" s="1"/>
  <c r="AJ1166" i="37" s="1"/>
  <c r="E1166" i="37" s="1"/>
  <c r="AM1166" i="37" s="1"/>
  <c r="AN1166" i="37" s="1"/>
  <c r="N1169" i="37"/>
  <c r="N1490" i="37" s="1"/>
  <c r="O1490" i="37" s="1"/>
  <c r="N1489" i="37"/>
  <c r="O1489" i="37" s="1"/>
  <c r="O1168" i="37"/>
  <c r="Z1486" i="37"/>
  <c r="S1486" i="37"/>
  <c r="V1486" i="37" s="1"/>
  <c r="S1167" i="37"/>
  <c r="V1167" i="37" s="1"/>
  <c r="Z1167" i="37"/>
  <c r="AK1480" i="37" l="1"/>
  <c r="AH1485" i="37"/>
  <c r="AI1485" i="37" s="1"/>
  <c r="AJ1485" i="37" s="1"/>
  <c r="AK1485" i="37" s="1"/>
  <c r="AH1484" i="37"/>
  <c r="AI1484" i="37" s="1"/>
  <c r="AJ1484" i="37" s="1"/>
  <c r="Z1490" i="37"/>
  <c r="S1490" i="37"/>
  <c r="V1490" i="37" s="1"/>
  <c r="Z1469" i="37"/>
  <c r="N1470" i="37"/>
  <c r="O1470" i="37" s="1"/>
  <c r="Z1470" i="37" s="1"/>
  <c r="N1488" i="37"/>
  <c r="O1488" i="37" s="1"/>
  <c r="Z1487" i="37"/>
  <c r="S1487" i="37"/>
  <c r="V1487" i="37" s="1"/>
  <c r="AH1469" i="37"/>
  <c r="AI1469" i="37" s="1"/>
  <c r="AJ1469" i="37" s="1"/>
  <c r="AK1469" i="37" s="1"/>
  <c r="E1468" i="37"/>
  <c r="AM1468" i="37" s="1"/>
  <c r="AN1468" i="37" s="1"/>
  <c r="AK1468" i="37"/>
  <c r="AH1167" i="37"/>
  <c r="AI1167" i="37" s="1"/>
  <c r="AJ1167" i="37" s="1"/>
  <c r="E1167" i="37" s="1"/>
  <c r="AM1167" i="37" s="1"/>
  <c r="AN1167" i="37" s="1"/>
  <c r="AK1166" i="37"/>
  <c r="AH1486" i="37"/>
  <c r="AI1486" i="37" s="1"/>
  <c r="AJ1486" i="37" s="1"/>
  <c r="O1169" i="37"/>
  <c r="N1170" i="37"/>
  <c r="Z1168" i="37"/>
  <c r="S1168" i="37"/>
  <c r="V1168" i="37" s="1"/>
  <c r="S1489" i="37"/>
  <c r="V1489" i="37" s="1"/>
  <c r="Z1489" i="37"/>
  <c r="E1485" i="37" l="1"/>
  <c r="AM1485" i="37" s="1"/>
  <c r="AN1485" i="37" s="1"/>
  <c r="E1484" i="37"/>
  <c r="AM1484" i="37" s="1"/>
  <c r="AN1484" i="37" s="1"/>
  <c r="AK1484" i="37"/>
  <c r="AH1490" i="37"/>
  <c r="AI1490" i="37" s="1"/>
  <c r="AJ1490" i="37" s="1"/>
  <c r="E1490" i="37" s="1"/>
  <c r="AM1490" i="37" s="1"/>
  <c r="AN1490" i="37" s="1"/>
  <c r="E1469" i="37"/>
  <c r="AM1469" i="37" s="1"/>
  <c r="AN1469" i="37" s="1"/>
  <c r="S1470" i="37"/>
  <c r="V1470" i="37" s="1"/>
  <c r="N1471" i="37"/>
  <c r="O1471" i="37" s="1"/>
  <c r="S1471" i="37" s="1"/>
  <c r="V1471" i="37" s="1"/>
  <c r="N1491" i="37"/>
  <c r="O1491" i="37" s="1"/>
  <c r="AH1487" i="37"/>
  <c r="AI1487" i="37" s="1"/>
  <c r="AJ1487" i="37" s="1"/>
  <c r="Z1488" i="37"/>
  <c r="S1488" i="37"/>
  <c r="V1488" i="37" s="1"/>
  <c r="AK1167" i="37"/>
  <c r="AH1470" i="37"/>
  <c r="AI1470" i="37" s="1"/>
  <c r="AJ1470" i="37" s="1"/>
  <c r="E1470" i="37" s="1"/>
  <c r="AM1470" i="37" s="1"/>
  <c r="AN1470" i="37" s="1"/>
  <c r="AH1168" i="37"/>
  <c r="AI1168" i="37" s="1"/>
  <c r="AJ1168" i="37" s="1"/>
  <c r="E1486" i="37"/>
  <c r="AM1486" i="37" s="1"/>
  <c r="AN1486" i="37" s="1"/>
  <c r="AK1486" i="37"/>
  <c r="AH1489" i="37"/>
  <c r="AI1489" i="37" s="1"/>
  <c r="AJ1489" i="37" s="1"/>
  <c r="O1170" i="37"/>
  <c r="N1171" i="37"/>
  <c r="S1169" i="37"/>
  <c r="V1169" i="37" s="1"/>
  <c r="Z1169" i="37"/>
  <c r="Z1471" i="37" l="1"/>
  <c r="AH1471" i="37" s="1"/>
  <c r="AI1471" i="37" s="1"/>
  <c r="AJ1471" i="37" s="1"/>
  <c r="E1471" i="37" s="1"/>
  <c r="AM1471" i="37" s="1"/>
  <c r="AN1471" i="37" s="1"/>
  <c r="AK1490" i="37"/>
  <c r="N1472" i="37"/>
  <c r="O1472" i="37" s="1"/>
  <c r="S1472" i="37" s="1"/>
  <c r="V1472" i="37" s="1"/>
  <c r="N1492" i="37"/>
  <c r="O1492" i="37" s="1"/>
  <c r="Z1491" i="37"/>
  <c r="S1491" i="37"/>
  <c r="V1491" i="37" s="1"/>
  <c r="AH1488" i="37"/>
  <c r="AI1488" i="37" s="1"/>
  <c r="AJ1488" i="37" s="1"/>
  <c r="AK1488" i="37" s="1"/>
  <c r="E1487" i="37"/>
  <c r="AM1487" i="37" s="1"/>
  <c r="AN1487" i="37" s="1"/>
  <c r="AK1487" i="37"/>
  <c r="AK1470" i="37"/>
  <c r="AH1169" i="37"/>
  <c r="AI1169" i="37" s="1"/>
  <c r="AJ1169" i="37" s="1"/>
  <c r="E1169" i="37" s="1"/>
  <c r="AM1169" i="37" s="1"/>
  <c r="AN1169" i="37" s="1"/>
  <c r="O1171" i="37"/>
  <c r="N1172" i="37"/>
  <c r="N1493" i="37" s="1"/>
  <c r="O1493" i="37" s="1"/>
  <c r="AK1168" i="37"/>
  <c r="E1168" i="37"/>
  <c r="AM1168" i="37" s="1"/>
  <c r="AN1168" i="37" s="1"/>
  <c r="Z1170" i="37"/>
  <c r="S1170" i="37"/>
  <c r="V1170" i="37" s="1"/>
  <c r="AK1489" i="37"/>
  <c r="E1489" i="37"/>
  <c r="AM1489" i="37" s="1"/>
  <c r="AN1489" i="37" s="1"/>
  <c r="Z1472" i="37" l="1"/>
  <c r="AH1472" i="37" s="1"/>
  <c r="AI1472" i="37" s="1"/>
  <c r="AJ1472" i="37" s="1"/>
  <c r="E1472" i="37" s="1"/>
  <c r="AM1472" i="37" s="1"/>
  <c r="AN1472" i="37" s="1"/>
  <c r="Z1493" i="37"/>
  <c r="S1493" i="37"/>
  <c r="V1493" i="37" s="1"/>
  <c r="AK1471" i="37"/>
  <c r="AH1491" i="37"/>
  <c r="AI1491" i="37" s="1"/>
  <c r="AJ1491" i="37" s="1"/>
  <c r="S1492" i="37"/>
  <c r="V1492" i="37" s="1"/>
  <c r="Z1492" i="37"/>
  <c r="E1488" i="37"/>
  <c r="AM1488" i="37" s="1"/>
  <c r="AN1488" i="37" s="1"/>
  <c r="AK1169" i="37"/>
  <c r="AH1170" i="37"/>
  <c r="AI1170" i="37" s="1"/>
  <c r="AJ1170" i="37" s="1"/>
  <c r="E1170" i="37" s="1"/>
  <c r="AM1170" i="37" s="1"/>
  <c r="AN1170" i="37" s="1"/>
  <c r="Z1171" i="37"/>
  <c r="S1171" i="37"/>
  <c r="V1171" i="37" s="1"/>
  <c r="O1172" i="37"/>
  <c r="N1173" i="37"/>
  <c r="N1494" i="37" s="1"/>
  <c r="O1494" i="37" s="1"/>
  <c r="AH1493" i="37" l="1"/>
  <c r="AI1493" i="37" s="1"/>
  <c r="AJ1493" i="37" s="1"/>
  <c r="E1493" i="37" s="1"/>
  <c r="AM1493" i="37" s="1"/>
  <c r="AN1493" i="37" s="1"/>
  <c r="AK1170" i="37"/>
  <c r="AH1492" i="37"/>
  <c r="AI1492" i="37" s="1"/>
  <c r="AJ1492" i="37" s="1"/>
  <c r="AK1492" i="37" s="1"/>
  <c r="AK1472" i="37"/>
  <c r="AK1491" i="37"/>
  <c r="E1491" i="37"/>
  <c r="AM1491" i="37" s="1"/>
  <c r="AN1491" i="37" s="1"/>
  <c r="S1494" i="37"/>
  <c r="V1494" i="37" s="1"/>
  <c r="Z1494" i="37"/>
  <c r="Z1172" i="37"/>
  <c r="S1172" i="37"/>
  <c r="V1172" i="37" s="1"/>
  <c r="O1173" i="37"/>
  <c r="N1174" i="37"/>
  <c r="N1495" i="37" s="1"/>
  <c r="O1495" i="37" s="1"/>
  <c r="AH1171" i="37"/>
  <c r="AI1171" i="37" s="1"/>
  <c r="AJ1171" i="37" s="1"/>
  <c r="AK1493" i="37" l="1"/>
  <c r="E1492" i="37"/>
  <c r="AM1492" i="37" s="1"/>
  <c r="AN1492" i="37" s="1"/>
  <c r="AH1494" i="37"/>
  <c r="AI1494" i="37" s="1"/>
  <c r="AJ1494" i="37" s="1"/>
  <c r="E1494" i="37" s="1"/>
  <c r="AM1494" i="37" s="1"/>
  <c r="AN1494" i="37" s="1"/>
  <c r="S1495" i="37"/>
  <c r="V1495" i="37" s="1"/>
  <c r="Z1495" i="37"/>
  <c r="E1171" i="37"/>
  <c r="AM1171" i="37" s="1"/>
  <c r="AN1171" i="37" s="1"/>
  <c r="AK1171" i="37"/>
  <c r="O1174" i="37"/>
  <c r="N1175" i="37"/>
  <c r="N1496" i="37" s="1"/>
  <c r="O1496" i="37" s="1"/>
  <c r="S1173" i="37"/>
  <c r="V1173" i="37" s="1"/>
  <c r="Z1173" i="37"/>
  <c r="AH1172" i="37"/>
  <c r="AI1172" i="37" s="1"/>
  <c r="AJ1172" i="37" s="1"/>
  <c r="AK1494" i="37" l="1"/>
  <c r="Z1496" i="37"/>
  <c r="S1496" i="37"/>
  <c r="V1496" i="37" s="1"/>
  <c r="AH1495" i="37"/>
  <c r="AI1495" i="37" s="1"/>
  <c r="AJ1495" i="37" s="1"/>
  <c r="AH1173" i="37"/>
  <c r="AI1173" i="37" s="1"/>
  <c r="AJ1173" i="37" s="1"/>
  <c r="E1172" i="37"/>
  <c r="AM1172" i="37" s="1"/>
  <c r="AN1172" i="37" s="1"/>
  <c r="AK1172" i="37"/>
  <c r="N1176" i="37"/>
  <c r="N1497" i="37" s="1"/>
  <c r="O1497" i="37" s="1"/>
  <c r="O1175" i="37"/>
  <c r="E1173" i="37"/>
  <c r="AM1173" i="37" s="1"/>
  <c r="AN1173" i="37" s="1"/>
  <c r="AK1173" i="37"/>
  <c r="S1174" i="37"/>
  <c r="V1174" i="37" s="1"/>
  <c r="Z1174" i="37"/>
  <c r="AH1174" i="37" l="1"/>
  <c r="AI1174" i="37" s="1"/>
  <c r="AJ1174" i="37" s="1"/>
  <c r="Z1497" i="37"/>
  <c r="S1497" i="37"/>
  <c r="V1497" i="37" s="1"/>
  <c r="AK1495" i="37"/>
  <c r="E1495" i="37"/>
  <c r="AM1495" i="37" s="1"/>
  <c r="AN1495" i="37" s="1"/>
  <c r="AH1496" i="37"/>
  <c r="AI1496" i="37" s="1"/>
  <c r="AJ1496" i="37" s="1"/>
  <c r="AK1174" i="37"/>
  <c r="E1174" i="37"/>
  <c r="AM1174" i="37" s="1"/>
  <c r="AN1174" i="37" s="1"/>
  <c r="O1176" i="37"/>
  <c r="N1177" i="37"/>
  <c r="Z1175" i="37"/>
  <c r="S1175" i="37"/>
  <c r="V1175" i="37" s="1"/>
  <c r="AH1497" i="37" l="1"/>
  <c r="AI1497" i="37" s="1"/>
  <c r="AJ1497" i="37" s="1"/>
  <c r="E1497" i="37" s="1"/>
  <c r="AM1497" i="37" s="1"/>
  <c r="AN1497" i="37" s="1"/>
  <c r="AK1496" i="37"/>
  <c r="E1496" i="37"/>
  <c r="AM1496" i="37" s="1"/>
  <c r="AN1496" i="37" s="1"/>
  <c r="AK1497" i="37"/>
  <c r="AH1175" i="37"/>
  <c r="AI1175" i="37" s="1"/>
  <c r="AJ1175" i="37" s="1"/>
  <c r="O1177" i="37"/>
  <c r="N1178" i="37"/>
  <c r="S1176" i="37"/>
  <c r="V1176" i="37" s="1"/>
  <c r="Z1176" i="37"/>
  <c r="AH1176" i="37" l="1"/>
  <c r="AI1176" i="37" s="1"/>
  <c r="AJ1176" i="37" s="1"/>
  <c r="E1176" i="37" s="1"/>
  <c r="AM1176" i="37" s="1"/>
  <c r="AN1176" i="37" s="1"/>
  <c r="Z1177" i="37"/>
  <c r="S1177" i="37"/>
  <c r="V1177" i="37" s="1"/>
  <c r="O1178" i="37"/>
  <c r="N1179" i="37"/>
  <c r="N1499" i="37" s="1"/>
  <c r="O1499" i="37" s="1"/>
  <c r="N1498" i="37"/>
  <c r="O1498" i="37" s="1"/>
  <c r="E1175" i="37"/>
  <c r="AM1175" i="37" s="1"/>
  <c r="AN1175" i="37" s="1"/>
  <c r="AK1175" i="37"/>
  <c r="Z1499" i="37" l="1"/>
  <c r="S1499" i="37"/>
  <c r="V1499" i="37" s="1"/>
  <c r="AK1176" i="37"/>
  <c r="O1179" i="37"/>
  <c r="N1180" i="37"/>
  <c r="N1514" i="37"/>
  <c r="O1514" i="37" s="1"/>
  <c r="Z1498" i="37"/>
  <c r="S1498" i="37"/>
  <c r="V1498" i="37" s="1"/>
  <c r="AH1177" i="37"/>
  <c r="AI1177" i="37" s="1"/>
  <c r="AJ1177" i="37" s="1"/>
  <c r="S1178" i="37"/>
  <c r="V1178" i="37" s="1"/>
  <c r="Z1178" i="37"/>
  <c r="N1500" i="37" l="1"/>
  <c r="O1500" i="37" s="1"/>
  <c r="S1500" i="37" s="1"/>
  <c r="V1500" i="37" s="1"/>
  <c r="N1515" i="37"/>
  <c r="O1515" i="37" s="1"/>
  <c r="AH1499" i="37"/>
  <c r="AI1499" i="37" s="1"/>
  <c r="AJ1499" i="37" s="1"/>
  <c r="S1514" i="37"/>
  <c r="V1514" i="37" s="1"/>
  <c r="Z1514" i="37"/>
  <c r="AH1178" i="37"/>
  <c r="AI1178" i="37" s="1"/>
  <c r="AJ1178" i="37" s="1"/>
  <c r="AH1498" i="37"/>
  <c r="AI1498" i="37" s="1"/>
  <c r="AJ1498" i="37" s="1"/>
  <c r="N1181" i="37"/>
  <c r="O1180" i="37"/>
  <c r="N1516" i="37"/>
  <c r="O1516" i="37" s="1"/>
  <c r="E1177" i="37"/>
  <c r="AM1177" i="37" s="1"/>
  <c r="AN1177" i="37" s="1"/>
  <c r="AK1177" i="37"/>
  <c r="Z1179" i="37"/>
  <c r="S1179" i="37"/>
  <c r="V1179" i="37" s="1"/>
  <c r="Z1500" i="37" l="1"/>
  <c r="N1501" i="37"/>
  <c r="O1501" i="37" s="1"/>
  <c r="S1501" i="37" s="1"/>
  <c r="V1501" i="37" s="1"/>
  <c r="N1517" i="37"/>
  <c r="O1517" i="37" s="1"/>
  <c r="AH1500" i="37"/>
  <c r="AI1500" i="37" s="1"/>
  <c r="AJ1500" i="37" s="1"/>
  <c r="Z1515" i="37"/>
  <c r="S1515" i="37"/>
  <c r="V1515" i="37" s="1"/>
  <c r="E1500" i="37"/>
  <c r="AM1500" i="37" s="1"/>
  <c r="AN1500" i="37" s="1"/>
  <c r="AK1500" i="37"/>
  <c r="AK1499" i="37"/>
  <c r="E1499" i="37"/>
  <c r="AM1499" i="37" s="1"/>
  <c r="AN1499" i="37" s="1"/>
  <c r="AH1514" i="37"/>
  <c r="AI1514" i="37" s="1"/>
  <c r="AJ1514" i="37" s="1"/>
  <c r="E1514" i="37" s="1"/>
  <c r="AM1514" i="37" s="1"/>
  <c r="AN1514" i="37" s="1"/>
  <c r="Z1180" i="37"/>
  <c r="S1180" i="37"/>
  <c r="V1180" i="37" s="1"/>
  <c r="Z1516" i="37"/>
  <c r="S1516" i="37"/>
  <c r="V1516" i="37" s="1"/>
  <c r="AK1498" i="37"/>
  <c r="E1498" i="37"/>
  <c r="AM1498" i="37" s="1"/>
  <c r="AN1498" i="37" s="1"/>
  <c r="AH1179" i="37"/>
  <c r="AI1179" i="37" s="1"/>
  <c r="AJ1179" i="37" s="1"/>
  <c r="O1181" i="37"/>
  <c r="N1518" i="37"/>
  <c r="O1518" i="37" s="1"/>
  <c r="N1182" i="37"/>
  <c r="N1502" i="37" s="1"/>
  <c r="O1502" i="37" s="1"/>
  <c r="E1178" i="37"/>
  <c r="AM1178" i="37" s="1"/>
  <c r="AN1178" i="37" s="1"/>
  <c r="AK1178" i="37"/>
  <c r="Z1501" i="37" l="1"/>
  <c r="S1517" i="37"/>
  <c r="V1517" i="37" s="1"/>
  <c r="Z1517" i="37"/>
  <c r="AH1517" i="37" s="1"/>
  <c r="AI1517" i="37" s="1"/>
  <c r="AJ1517" i="37" s="1"/>
  <c r="AH1515" i="37"/>
  <c r="AI1515" i="37" s="1"/>
  <c r="AJ1515" i="37" s="1"/>
  <c r="AH1501" i="37"/>
  <c r="AI1501" i="37" s="1"/>
  <c r="AJ1501" i="37" s="1"/>
  <c r="AK1501" i="37" s="1"/>
  <c r="Z1502" i="37"/>
  <c r="S1502" i="37"/>
  <c r="V1502" i="37" s="1"/>
  <c r="AK1514" i="37"/>
  <c r="O1182" i="37"/>
  <c r="N1183" i="37"/>
  <c r="N1519" i="37"/>
  <c r="O1519" i="37" s="1"/>
  <c r="Z1518" i="37"/>
  <c r="S1518" i="37"/>
  <c r="V1518" i="37" s="1"/>
  <c r="S1181" i="37"/>
  <c r="V1181" i="37" s="1"/>
  <c r="Z1181" i="37"/>
  <c r="E1179" i="37"/>
  <c r="AM1179" i="37" s="1"/>
  <c r="AN1179" i="37" s="1"/>
  <c r="AK1179" i="37"/>
  <c r="AH1516" i="37"/>
  <c r="AI1516" i="37" s="1"/>
  <c r="AJ1516" i="37" s="1"/>
  <c r="AH1180" i="37"/>
  <c r="AI1180" i="37" s="1"/>
  <c r="AJ1180" i="37" s="1"/>
  <c r="N1503" i="37" l="1"/>
  <c r="O1503" i="37" s="1"/>
  <c r="N1520" i="37"/>
  <c r="O1520" i="37" s="1"/>
  <c r="AK1517" i="37"/>
  <c r="E1517" i="37"/>
  <c r="AM1517" i="37" s="1"/>
  <c r="AN1517" i="37" s="1"/>
  <c r="AK1515" i="37"/>
  <c r="E1515" i="37"/>
  <c r="AM1515" i="37" s="1"/>
  <c r="AN1515" i="37" s="1"/>
  <c r="E1501" i="37"/>
  <c r="AM1501" i="37" s="1"/>
  <c r="AN1501" i="37" s="1"/>
  <c r="Z1503" i="37"/>
  <c r="S1503" i="37"/>
  <c r="V1503" i="37" s="1"/>
  <c r="AH1502" i="37"/>
  <c r="AI1502" i="37" s="1"/>
  <c r="AJ1502" i="37" s="1"/>
  <c r="AH1181" i="37"/>
  <c r="AI1181" i="37" s="1"/>
  <c r="AJ1181" i="37" s="1"/>
  <c r="E1181" i="37" s="1"/>
  <c r="AM1181" i="37" s="1"/>
  <c r="AN1181" i="37" s="1"/>
  <c r="AH1518" i="37"/>
  <c r="AI1518" i="37" s="1"/>
  <c r="AJ1518" i="37" s="1"/>
  <c r="E1516" i="37"/>
  <c r="AM1516" i="37" s="1"/>
  <c r="AN1516" i="37" s="1"/>
  <c r="AK1516" i="37"/>
  <c r="S1519" i="37"/>
  <c r="V1519" i="37" s="1"/>
  <c r="Z1519" i="37"/>
  <c r="N1184" i="37"/>
  <c r="N1557" i="37"/>
  <c r="O1557" i="37" s="1"/>
  <c r="O1183" i="37"/>
  <c r="AK1180" i="37"/>
  <c r="E1180" i="37"/>
  <c r="AM1180" i="37" s="1"/>
  <c r="AN1180" i="37" s="1"/>
  <c r="Z1182" i="37"/>
  <c r="S1182" i="37"/>
  <c r="V1182" i="37" s="1"/>
  <c r="S1520" i="37" l="1"/>
  <c r="V1520" i="37" s="1"/>
  <c r="Z1520" i="37"/>
  <c r="N1504" i="37"/>
  <c r="O1504" i="37" s="1"/>
  <c r="Z1504" i="37" s="1"/>
  <c r="N1521" i="37"/>
  <c r="O1521" i="37" s="1"/>
  <c r="AK1502" i="37"/>
  <c r="E1502" i="37"/>
  <c r="AM1502" i="37" s="1"/>
  <c r="AN1502" i="37" s="1"/>
  <c r="AH1503" i="37"/>
  <c r="AI1503" i="37" s="1"/>
  <c r="AJ1503" i="37" s="1"/>
  <c r="AK1181" i="37"/>
  <c r="AH1519" i="37"/>
  <c r="AI1519" i="37" s="1"/>
  <c r="AJ1519" i="37" s="1"/>
  <c r="AK1519" i="37" s="1"/>
  <c r="E1518" i="37"/>
  <c r="AM1518" i="37" s="1"/>
  <c r="AN1518" i="37" s="1"/>
  <c r="AK1518" i="37"/>
  <c r="S1183" i="37"/>
  <c r="V1183" i="37" s="1"/>
  <c r="Z1183" i="37"/>
  <c r="S1557" i="37"/>
  <c r="V1557" i="37" s="1"/>
  <c r="F8" i="38" s="1"/>
  <c r="Z1557" i="37"/>
  <c r="AH1182" i="37"/>
  <c r="AI1182" i="37" s="1"/>
  <c r="AJ1182" i="37" s="1"/>
  <c r="O1184" i="37"/>
  <c r="N1185" i="37"/>
  <c r="N1558" i="37"/>
  <c r="O1558" i="37" s="1"/>
  <c r="S1504" i="37" l="1"/>
  <c r="V1504" i="37" s="1"/>
  <c r="S1521" i="37"/>
  <c r="V1521" i="37" s="1"/>
  <c r="F7" i="38" s="1"/>
  <c r="Z1521" i="37"/>
  <c r="N1505" i="37"/>
  <c r="O1505" i="37" s="1"/>
  <c r="N1522" i="37"/>
  <c r="O1522" i="37" s="1"/>
  <c r="AH1520" i="37"/>
  <c r="AI1520" i="37" s="1"/>
  <c r="AJ1520" i="37" s="1"/>
  <c r="E1519" i="37"/>
  <c r="AM1519" i="37" s="1"/>
  <c r="AN1519" i="37" s="1"/>
  <c r="AH1504" i="37"/>
  <c r="AI1504" i="37" s="1"/>
  <c r="AJ1504" i="37" s="1"/>
  <c r="I8" i="38"/>
  <c r="J8" i="38" s="1"/>
  <c r="Q15" i="39" s="1"/>
  <c r="H15" i="39" s="1"/>
  <c r="I15" i="39" s="1"/>
  <c r="L8" i="38"/>
  <c r="O8" i="38" s="1"/>
  <c r="P8" i="38" s="1"/>
  <c r="E1503" i="37"/>
  <c r="AM1503" i="37" s="1"/>
  <c r="AN1503" i="37" s="1"/>
  <c r="AK1503" i="37"/>
  <c r="S1505" i="37"/>
  <c r="V1505" i="37" s="1"/>
  <c r="Z1505" i="37"/>
  <c r="E1504" i="37"/>
  <c r="AM1504" i="37" s="1"/>
  <c r="AN1504" i="37" s="1"/>
  <c r="AK1504" i="37"/>
  <c r="AH1557" i="37"/>
  <c r="AI1557" i="37" s="1"/>
  <c r="AJ1557" i="37" s="1"/>
  <c r="E1557" i="37" s="1"/>
  <c r="AM1557" i="37" s="1"/>
  <c r="AN1557" i="37" s="1"/>
  <c r="AH1183" i="37"/>
  <c r="AI1183" i="37" s="1"/>
  <c r="AJ1183" i="37" s="1"/>
  <c r="S1184" i="37"/>
  <c r="V1184" i="37" s="1"/>
  <c r="Z1184" i="37"/>
  <c r="Z1558" i="37"/>
  <c r="S1558" i="37"/>
  <c r="V1558" i="37" s="1"/>
  <c r="F9" i="38" s="1"/>
  <c r="AK1182" i="37"/>
  <c r="E1182" i="37"/>
  <c r="AM1182" i="37" s="1"/>
  <c r="AN1182" i="37" s="1"/>
  <c r="O1185" i="37"/>
  <c r="N1559" i="37"/>
  <c r="O1559" i="37" s="1"/>
  <c r="N1186" i="37"/>
  <c r="I7" i="38" l="1"/>
  <c r="J7" i="38" s="1"/>
  <c r="Q14" i="39" s="1"/>
  <c r="H14" i="39" s="1"/>
  <c r="I14" i="39" s="1"/>
  <c r="L7" i="38"/>
  <c r="O7" i="38" s="1"/>
  <c r="P7" i="38" s="1"/>
  <c r="N1506" i="37"/>
  <c r="O1506" i="37" s="1"/>
  <c r="N1523" i="37"/>
  <c r="O1523" i="37" s="1"/>
  <c r="AH1521" i="37"/>
  <c r="AI1521" i="37" s="1"/>
  <c r="AJ1521" i="37" s="1"/>
  <c r="AK1520" i="37"/>
  <c r="E1520" i="37"/>
  <c r="AM1520" i="37" s="1"/>
  <c r="AN1520" i="37" s="1"/>
  <c r="S1522" i="37"/>
  <c r="V1522" i="37" s="1"/>
  <c r="Z1522" i="37"/>
  <c r="AH1505" i="37"/>
  <c r="AI1505" i="37" s="1"/>
  <c r="AJ1505" i="37" s="1"/>
  <c r="AK1505" i="37" s="1"/>
  <c r="I9" i="38"/>
  <c r="J9" i="38" s="1"/>
  <c r="Q16" i="39" s="1"/>
  <c r="H16" i="39" s="1"/>
  <c r="I16" i="39" s="1"/>
  <c r="L9" i="38"/>
  <c r="O9" i="38" s="1"/>
  <c r="P9" i="38" s="1"/>
  <c r="Z1506" i="37"/>
  <c r="S1506" i="37"/>
  <c r="V1506" i="37" s="1"/>
  <c r="AK1557" i="37"/>
  <c r="AH1184" i="37"/>
  <c r="AI1184" i="37" s="1"/>
  <c r="AJ1184" i="37" s="1"/>
  <c r="AK1184" i="37" s="1"/>
  <c r="AK1183" i="37"/>
  <c r="E1183" i="37"/>
  <c r="AM1183" i="37" s="1"/>
  <c r="AN1183" i="37" s="1"/>
  <c r="O1186" i="37"/>
  <c r="N1560" i="37"/>
  <c r="O1560" i="37" s="1"/>
  <c r="N1187" i="37"/>
  <c r="N1561" i="37" s="1"/>
  <c r="O1561" i="37" s="1"/>
  <c r="S1559" i="37"/>
  <c r="V1559" i="37" s="1"/>
  <c r="F10" i="38" s="1"/>
  <c r="Z1559" i="37"/>
  <c r="Z1185" i="37"/>
  <c r="S1185" i="37"/>
  <c r="V1185" i="37" s="1"/>
  <c r="AH1558" i="37"/>
  <c r="AI1558" i="37" s="1"/>
  <c r="AJ1558" i="37" s="1"/>
  <c r="Z1561" i="37" l="1"/>
  <c r="S1561" i="37"/>
  <c r="V1561" i="37" s="1"/>
  <c r="AH1522" i="37"/>
  <c r="AI1522" i="37" s="1"/>
  <c r="AJ1522" i="37" s="1"/>
  <c r="AK1522" i="37" s="1"/>
  <c r="E1184" i="37"/>
  <c r="AM1184" i="37" s="1"/>
  <c r="AN1184" i="37" s="1"/>
  <c r="N1507" i="37"/>
  <c r="O1507" i="37" s="1"/>
  <c r="N1524" i="37"/>
  <c r="O1524" i="37" s="1"/>
  <c r="AK1521" i="37"/>
  <c r="E1521" i="37"/>
  <c r="AM1521" i="37" s="1"/>
  <c r="AN1521" i="37" s="1"/>
  <c r="Z1523" i="37"/>
  <c r="S1523" i="37"/>
  <c r="V1523" i="37" s="1"/>
  <c r="E1505" i="37"/>
  <c r="AM1505" i="37" s="1"/>
  <c r="AN1505" i="37" s="1"/>
  <c r="AH1506" i="37"/>
  <c r="AI1506" i="37" s="1"/>
  <c r="AJ1506" i="37" s="1"/>
  <c r="E1506" i="37" s="1"/>
  <c r="AM1506" i="37" s="1"/>
  <c r="AN1506" i="37" s="1"/>
  <c r="I10" i="38"/>
  <c r="J10" i="38" s="1"/>
  <c r="Q17" i="39" s="1"/>
  <c r="H17" i="39" s="1"/>
  <c r="I17" i="39" s="1"/>
  <c r="L10" i="38"/>
  <c r="O10" i="38" s="1"/>
  <c r="P10" i="38" s="1"/>
  <c r="Z1507" i="37"/>
  <c r="S1507" i="37"/>
  <c r="V1507" i="37" s="1"/>
  <c r="AH1559" i="37"/>
  <c r="AI1559" i="37" s="1"/>
  <c r="AJ1559" i="37" s="1"/>
  <c r="AK1559" i="37" s="1"/>
  <c r="AK1558" i="37"/>
  <c r="E1558" i="37"/>
  <c r="AM1558" i="37" s="1"/>
  <c r="AN1558" i="37" s="1"/>
  <c r="N1188" i="37"/>
  <c r="N1562" i="37" s="1"/>
  <c r="O1562" i="37" s="1"/>
  <c r="O1187" i="37"/>
  <c r="S1560" i="37"/>
  <c r="V1560" i="37" s="1"/>
  <c r="Z1560" i="37"/>
  <c r="AH1185" i="37"/>
  <c r="AI1185" i="37" s="1"/>
  <c r="AJ1185" i="37" s="1"/>
  <c r="Z1186" i="37"/>
  <c r="S1186" i="37"/>
  <c r="V1186" i="37" s="1"/>
  <c r="Z1562" i="37" l="1"/>
  <c r="S1562" i="37"/>
  <c r="V1562" i="37" s="1"/>
  <c r="AH1561" i="37"/>
  <c r="AI1561" i="37" s="1"/>
  <c r="AJ1561" i="37" s="1"/>
  <c r="AK1506" i="37"/>
  <c r="E1522" i="37"/>
  <c r="AM1522" i="37" s="1"/>
  <c r="AN1522" i="37" s="1"/>
  <c r="AH1523" i="37"/>
  <c r="AI1523" i="37" s="1"/>
  <c r="AJ1523" i="37" s="1"/>
  <c r="S1524" i="37"/>
  <c r="V1524" i="37" s="1"/>
  <c r="Z1524" i="37"/>
  <c r="N1508" i="37"/>
  <c r="O1508" i="37" s="1"/>
  <c r="S1508" i="37" s="1"/>
  <c r="V1508" i="37" s="1"/>
  <c r="N1525" i="37"/>
  <c r="O1525" i="37" s="1"/>
  <c r="AH1560" i="37"/>
  <c r="AI1560" i="37" s="1"/>
  <c r="AJ1560" i="37" s="1"/>
  <c r="AK1560" i="37" s="1"/>
  <c r="E1559" i="37"/>
  <c r="AM1559" i="37" s="1"/>
  <c r="AN1559" i="37" s="1"/>
  <c r="AH1507" i="37"/>
  <c r="AI1507" i="37" s="1"/>
  <c r="AJ1507" i="37" s="1"/>
  <c r="AH1186" i="37"/>
  <c r="AI1186" i="37" s="1"/>
  <c r="AJ1186" i="37" s="1"/>
  <c r="E1186" i="37" s="1"/>
  <c r="AM1186" i="37" s="1"/>
  <c r="AN1186" i="37" s="1"/>
  <c r="E1185" i="37"/>
  <c r="AM1185" i="37" s="1"/>
  <c r="AN1185" i="37" s="1"/>
  <c r="AK1185" i="37"/>
  <c r="Z1187" i="37"/>
  <c r="S1187" i="37"/>
  <c r="V1187" i="37" s="1"/>
  <c r="F12" i="38"/>
  <c r="O1188" i="37"/>
  <c r="N1189" i="37"/>
  <c r="N1563" i="37" s="1"/>
  <c r="O1563" i="37" s="1"/>
  <c r="N1569" i="37"/>
  <c r="O1569" i="37" s="1"/>
  <c r="Z1563" i="37" l="1"/>
  <c r="S1563" i="37"/>
  <c r="V1563" i="37" s="1"/>
  <c r="AK1561" i="37"/>
  <c r="E1561" i="37"/>
  <c r="AM1561" i="37" s="1"/>
  <c r="AN1561" i="37" s="1"/>
  <c r="AH1562" i="37"/>
  <c r="AI1562" i="37" s="1"/>
  <c r="AJ1562" i="37" s="1"/>
  <c r="AH1524" i="37"/>
  <c r="AI1524" i="37" s="1"/>
  <c r="AJ1524" i="37" s="1"/>
  <c r="AK1524" i="37" s="1"/>
  <c r="Z1508" i="37"/>
  <c r="AH1508" i="37" s="1"/>
  <c r="AI1508" i="37" s="1"/>
  <c r="AJ1508" i="37" s="1"/>
  <c r="Z1525" i="37"/>
  <c r="S1525" i="37"/>
  <c r="V1525" i="37" s="1"/>
  <c r="E1524" i="37"/>
  <c r="AM1524" i="37" s="1"/>
  <c r="AN1524" i="37" s="1"/>
  <c r="N1509" i="37"/>
  <c r="O1509" i="37" s="1"/>
  <c r="S1509" i="37" s="1"/>
  <c r="V1509" i="37" s="1"/>
  <c r="N1526" i="37"/>
  <c r="O1526" i="37" s="1"/>
  <c r="E1560" i="37"/>
  <c r="AM1560" i="37" s="1"/>
  <c r="AN1560" i="37" s="1"/>
  <c r="E1523" i="37"/>
  <c r="AM1523" i="37" s="1"/>
  <c r="AN1523" i="37" s="1"/>
  <c r="AK1523" i="37"/>
  <c r="AK1186" i="37"/>
  <c r="L12" i="38"/>
  <c r="O12" i="38" s="1"/>
  <c r="P12" i="38" s="1"/>
  <c r="I12" i="38"/>
  <c r="J12" i="38" s="1"/>
  <c r="Q19" i="39" s="1"/>
  <c r="H19" i="39" s="1"/>
  <c r="I19" i="39" s="1"/>
  <c r="E1507" i="37"/>
  <c r="AM1507" i="37" s="1"/>
  <c r="AN1507" i="37" s="1"/>
  <c r="AK1507" i="37"/>
  <c r="N1570" i="37"/>
  <c r="O1570" i="37" s="1"/>
  <c r="O1189" i="37"/>
  <c r="N1190" i="37"/>
  <c r="N1564" i="37" s="1"/>
  <c r="O1564" i="37" s="1"/>
  <c r="S1569" i="37"/>
  <c r="V1569" i="37" s="1"/>
  <c r="F13" i="38" s="1"/>
  <c r="Z1569" i="37"/>
  <c r="S1188" i="37"/>
  <c r="V1188" i="37" s="1"/>
  <c r="Z1188" i="37"/>
  <c r="AH1187" i="37"/>
  <c r="AI1187" i="37" s="1"/>
  <c r="AJ1187" i="37" s="1"/>
  <c r="Z1564" i="37" l="1"/>
  <c r="S1564" i="37"/>
  <c r="V1564" i="37" s="1"/>
  <c r="F11" i="38" s="1"/>
  <c r="AK1562" i="37"/>
  <c r="E1562" i="37"/>
  <c r="AM1562" i="37" s="1"/>
  <c r="AN1562" i="37" s="1"/>
  <c r="AH1563" i="37"/>
  <c r="AI1563" i="37" s="1"/>
  <c r="AJ1563" i="37" s="1"/>
  <c r="Z1509" i="37"/>
  <c r="S1526" i="37"/>
  <c r="V1526" i="37" s="1"/>
  <c r="Z1526" i="37"/>
  <c r="N1510" i="37"/>
  <c r="O1510" i="37" s="1"/>
  <c r="Z1510" i="37" s="1"/>
  <c r="N1527" i="37"/>
  <c r="O1527" i="37" s="1"/>
  <c r="AH1525" i="37"/>
  <c r="AI1525" i="37" s="1"/>
  <c r="AJ1525" i="37" s="1"/>
  <c r="L13" i="38"/>
  <c r="O13" i="38" s="1"/>
  <c r="P13" i="38" s="1"/>
  <c r="I13" i="38"/>
  <c r="J13" i="38" s="1"/>
  <c r="Q20" i="39" s="1"/>
  <c r="H20" i="39" s="1"/>
  <c r="I20" i="39" s="1"/>
  <c r="AH1509" i="37"/>
  <c r="AI1509" i="37" s="1"/>
  <c r="AJ1509" i="37" s="1"/>
  <c r="AK1508" i="37"/>
  <c r="E1508" i="37"/>
  <c r="AM1508" i="37" s="1"/>
  <c r="AN1508" i="37" s="1"/>
  <c r="AH1188" i="37"/>
  <c r="AI1188" i="37" s="1"/>
  <c r="AJ1188" i="37" s="1"/>
  <c r="E1188" i="37" s="1"/>
  <c r="AM1188" i="37" s="1"/>
  <c r="AN1188" i="37" s="1"/>
  <c r="AH1569" i="37"/>
  <c r="AI1569" i="37" s="1"/>
  <c r="AJ1569" i="37" s="1"/>
  <c r="E1187" i="37"/>
  <c r="AM1187" i="37" s="1"/>
  <c r="AN1187" i="37" s="1"/>
  <c r="AK1187" i="37"/>
  <c r="N1191" i="37"/>
  <c r="N1565" i="37" s="1"/>
  <c r="O1565" i="37" s="1"/>
  <c r="O1190" i="37"/>
  <c r="Z1189" i="37"/>
  <c r="S1189" i="37"/>
  <c r="V1189" i="37" s="1"/>
  <c r="Z1570" i="37"/>
  <c r="S1570" i="37"/>
  <c r="V1570" i="37" s="1"/>
  <c r="F14" i="38" s="1"/>
  <c r="I11" i="38" l="1"/>
  <c r="J11" i="38" s="1"/>
  <c r="Q18" i="39" s="1"/>
  <c r="H18" i="39" s="1"/>
  <c r="I18" i="39" s="1"/>
  <c r="L11" i="38"/>
  <c r="O11" i="38" s="1"/>
  <c r="P11" i="38" s="1"/>
  <c r="Z1565" i="37"/>
  <c r="S1565" i="37"/>
  <c r="V1565" i="37" s="1"/>
  <c r="E1563" i="37"/>
  <c r="AM1563" i="37" s="1"/>
  <c r="AN1563" i="37" s="1"/>
  <c r="AK1563" i="37"/>
  <c r="AH1564" i="37"/>
  <c r="AI1564" i="37" s="1"/>
  <c r="AJ1564" i="37" s="1"/>
  <c r="AH1526" i="37"/>
  <c r="AI1526" i="37" s="1"/>
  <c r="AJ1526" i="37" s="1"/>
  <c r="E1526" i="37" s="1"/>
  <c r="AM1526" i="37" s="1"/>
  <c r="AN1526" i="37" s="1"/>
  <c r="S1510" i="37"/>
  <c r="V1510" i="37" s="1"/>
  <c r="AH1510" i="37" s="1"/>
  <c r="AI1510" i="37" s="1"/>
  <c r="AJ1510" i="37" s="1"/>
  <c r="E1525" i="37"/>
  <c r="AM1525" i="37" s="1"/>
  <c r="AN1525" i="37" s="1"/>
  <c r="AK1525" i="37"/>
  <c r="S1527" i="37"/>
  <c r="V1527" i="37" s="1"/>
  <c r="Z1527" i="37"/>
  <c r="N1511" i="37"/>
  <c r="O1511" i="37" s="1"/>
  <c r="S1511" i="37" s="1"/>
  <c r="V1511" i="37" s="1"/>
  <c r="N1528" i="37"/>
  <c r="O1528" i="37" s="1"/>
  <c r="L14" i="38"/>
  <c r="O14" i="38" s="1"/>
  <c r="P14" i="38" s="1"/>
  <c r="I14" i="38"/>
  <c r="J14" i="38" s="1"/>
  <c r="Q21" i="39" s="1"/>
  <c r="H21" i="39" s="1"/>
  <c r="I21" i="39" s="1"/>
  <c r="AK1509" i="37"/>
  <c r="E1509" i="37"/>
  <c r="AM1509" i="37" s="1"/>
  <c r="AN1509" i="37" s="1"/>
  <c r="AK1188" i="37"/>
  <c r="E1569" i="37"/>
  <c r="AM1569" i="37" s="1"/>
  <c r="AN1569" i="37" s="1"/>
  <c r="AK1569" i="37"/>
  <c r="Z1190" i="37"/>
  <c r="S1190" i="37"/>
  <c r="V1190" i="37" s="1"/>
  <c r="AH1570" i="37"/>
  <c r="AI1570" i="37" s="1"/>
  <c r="AJ1570" i="37" s="1"/>
  <c r="AH1189" i="37"/>
  <c r="AI1189" i="37" s="1"/>
  <c r="AJ1189" i="37" s="1"/>
  <c r="O1191" i="37"/>
  <c r="N1192" i="37"/>
  <c r="N1566" i="37" s="1"/>
  <c r="O1566" i="37" s="1"/>
  <c r="N1572" i="37"/>
  <c r="O1572" i="37" s="1"/>
  <c r="Z1566" i="37" l="1"/>
  <c r="S1566" i="37"/>
  <c r="V1566" i="37" s="1"/>
  <c r="AK1564" i="37"/>
  <c r="E1564" i="37"/>
  <c r="AM1564" i="37" s="1"/>
  <c r="AN1564" i="37" s="1"/>
  <c r="AH1565" i="37"/>
  <c r="AI1565" i="37" s="1"/>
  <c r="AJ1565" i="37" s="1"/>
  <c r="AH1527" i="37"/>
  <c r="AI1527" i="37" s="1"/>
  <c r="AJ1527" i="37" s="1"/>
  <c r="AK1526" i="37"/>
  <c r="E1510" i="37"/>
  <c r="AM1510" i="37" s="1"/>
  <c r="AN1510" i="37" s="1"/>
  <c r="AK1510" i="37"/>
  <c r="N1512" i="37"/>
  <c r="O1512" i="37" s="1"/>
  <c r="Z1512" i="37" s="1"/>
  <c r="N1529" i="37"/>
  <c r="O1529" i="37" s="1"/>
  <c r="S1528" i="37"/>
  <c r="V1528" i="37" s="1"/>
  <c r="Z1528" i="37"/>
  <c r="Z1511" i="37"/>
  <c r="AH1511" i="37" s="1"/>
  <c r="AI1511" i="37" s="1"/>
  <c r="AJ1511" i="37" s="1"/>
  <c r="AK1527" i="37"/>
  <c r="E1527" i="37"/>
  <c r="AM1527" i="37" s="1"/>
  <c r="AN1527" i="37" s="1"/>
  <c r="S1572" i="37"/>
  <c r="V1572" i="37" s="1"/>
  <c r="Z1572" i="37"/>
  <c r="N1193" i="37"/>
  <c r="N1567" i="37" s="1"/>
  <c r="O1567" i="37" s="1"/>
  <c r="N1573" i="37"/>
  <c r="O1573" i="37" s="1"/>
  <c r="O1192" i="37"/>
  <c r="E1570" i="37"/>
  <c r="AM1570" i="37" s="1"/>
  <c r="AN1570" i="37" s="1"/>
  <c r="AK1570" i="37"/>
  <c r="S1191" i="37"/>
  <c r="V1191" i="37" s="1"/>
  <c r="Z1191" i="37"/>
  <c r="E1189" i="37"/>
  <c r="AM1189" i="37" s="1"/>
  <c r="AN1189" i="37" s="1"/>
  <c r="AK1189" i="37"/>
  <c r="AH1190" i="37"/>
  <c r="AI1190" i="37" s="1"/>
  <c r="AJ1190" i="37" s="1"/>
  <c r="AK1565" i="37" l="1"/>
  <c r="E1565" i="37"/>
  <c r="AM1565" i="37" s="1"/>
  <c r="AN1565" i="37" s="1"/>
  <c r="S1567" i="37"/>
  <c r="V1567" i="37" s="1"/>
  <c r="Z1567" i="37"/>
  <c r="AH1567" i="37" s="1"/>
  <c r="AI1567" i="37" s="1"/>
  <c r="AJ1567" i="37" s="1"/>
  <c r="AH1566" i="37"/>
  <c r="AI1566" i="37" s="1"/>
  <c r="AJ1566" i="37" s="1"/>
  <c r="S1512" i="37"/>
  <c r="V1512" i="37" s="1"/>
  <c r="AH1528" i="37"/>
  <c r="AI1528" i="37" s="1"/>
  <c r="AJ1528" i="37" s="1"/>
  <c r="E1528" i="37" s="1"/>
  <c r="AM1528" i="37" s="1"/>
  <c r="AN1528" i="37" s="1"/>
  <c r="S1529" i="37"/>
  <c r="V1529" i="37" s="1"/>
  <c r="Z1529" i="37"/>
  <c r="N1513" i="37"/>
  <c r="O1513" i="37" s="1"/>
  <c r="Z1513" i="37" s="1"/>
  <c r="N1530" i="37"/>
  <c r="O1530" i="37" s="1"/>
  <c r="AH1512" i="37"/>
  <c r="AI1512" i="37" s="1"/>
  <c r="AJ1512" i="37" s="1"/>
  <c r="AK1511" i="37"/>
  <c r="E1511" i="37"/>
  <c r="AM1511" i="37" s="1"/>
  <c r="AN1511" i="37" s="1"/>
  <c r="AH1572" i="37"/>
  <c r="AI1572" i="37" s="1"/>
  <c r="AJ1572" i="37" s="1"/>
  <c r="AH1191" i="37"/>
  <c r="AI1191" i="37" s="1"/>
  <c r="AJ1191" i="37" s="1"/>
  <c r="AK1191" i="37" s="1"/>
  <c r="S1573" i="37"/>
  <c r="V1573" i="37" s="1"/>
  <c r="Z1573" i="37"/>
  <c r="E1190" i="37"/>
  <c r="AM1190" i="37" s="1"/>
  <c r="AN1190" i="37" s="1"/>
  <c r="AK1190" i="37"/>
  <c r="S1192" i="37"/>
  <c r="V1192" i="37" s="1"/>
  <c r="Z1192" i="37"/>
  <c r="N1194" i="37"/>
  <c r="O1193" i="37"/>
  <c r="N1574" i="37"/>
  <c r="O1574" i="37" s="1"/>
  <c r="N1531" i="37" l="1"/>
  <c r="O1531" i="37" s="1"/>
  <c r="N1568" i="37"/>
  <c r="O1568" i="37" s="1"/>
  <c r="E1566" i="37"/>
  <c r="AM1566" i="37" s="1"/>
  <c r="AN1566" i="37" s="1"/>
  <c r="AK1566" i="37"/>
  <c r="E1567" i="37"/>
  <c r="AM1567" i="37" s="1"/>
  <c r="AN1567" i="37" s="1"/>
  <c r="AK1567" i="37"/>
  <c r="AK1528" i="37"/>
  <c r="AH1529" i="37"/>
  <c r="AI1529" i="37" s="1"/>
  <c r="AJ1529" i="37" s="1"/>
  <c r="AK1529" i="37" s="1"/>
  <c r="S1513" i="37"/>
  <c r="V1513" i="37" s="1"/>
  <c r="AH1513" i="37" s="1"/>
  <c r="AI1513" i="37" s="1"/>
  <c r="AJ1513" i="37" s="1"/>
  <c r="S1531" i="37"/>
  <c r="V1531" i="37" s="1"/>
  <c r="Z1531" i="37"/>
  <c r="S1530" i="37"/>
  <c r="V1530" i="37" s="1"/>
  <c r="Z1530" i="37"/>
  <c r="E1512" i="37"/>
  <c r="AM1512" i="37" s="1"/>
  <c r="AN1512" i="37" s="1"/>
  <c r="AK1512" i="37"/>
  <c r="E1191" i="37"/>
  <c r="AM1191" i="37" s="1"/>
  <c r="AN1191" i="37" s="1"/>
  <c r="E1572" i="37"/>
  <c r="AM1572" i="37" s="1"/>
  <c r="AN1572" i="37" s="1"/>
  <c r="AK1572" i="37"/>
  <c r="AH1573" i="37"/>
  <c r="AI1573" i="37" s="1"/>
  <c r="AJ1573" i="37" s="1"/>
  <c r="AK1573" i="37" s="1"/>
  <c r="Z1574" i="37"/>
  <c r="S1574" i="37"/>
  <c r="V1574" i="37" s="1"/>
  <c r="N1575" i="37"/>
  <c r="O1575" i="37" s="1"/>
  <c r="O1194" i="37"/>
  <c r="N1195" i="37"/>
  <c r="S1193" i="37"/>
  <c r="V1193" i="37" s="1"/>
  <c r="Z1193" i="37"/>
  <c r="AH1192" i="37"/>
  <c r="AI1192" i="37" s="1"/>
  <c r="AJ1192" i="37" s="1"/>
  <c r="N1532" i="37" l="1"/>
  <c r="O1532" i="37" s="1"/>
  <c r="S1568" i="37"/>
  <c r="V1568" i="37" s="1"/>
  <c r="Z1568" i="37"/>
  <c r="AH1568" i="37" s="1"/>
  <c r="AI1568" i="37" s="1"/>
  <c r="AJ1568" i="37" s="1"/>
  <c r="E1529" i="37"/>
  <c r="AM1529" i="37" s="1"/>
  <c r="AN1529" i="37" s="1"/>
  <c r="AH1530" i="37"/>
  <c r="AI1530" i="37" s="1"/>
  <c r="AJ1530" i="37" s="1"/>
  <c r="E1530" i="37" s="1"/>
  <c r="AM1530" i="37" s="1"/>
  <c r="AN1530" i="37" s="1"/>
  <c r="AH1531" i="37"/>
  <c r="AI1531" i="37" s="1"/>
  <c r="AJ1531" i="37" s="1"/>
  <c r="S1532" i="37"/>
  <c r="V1532" i="37" s="1"/>
  <c r="Z1532" i="37"/>
  <c r="E1573" i="37"/>
  <c r="AM1573" i="37" s="1"/>
  <c r="AN1573" i="37" s="1"/>
  <c r="AK1513" i="37"/>
  <c r="E1513" i="37"/>
  <c r="AM1513" i="37" s="1"/>
  <c r="AN1513" i="37" s="1"/>
  <c r="AH1193" i="37"/>
  <c r="AI1193" i="37" s="1"/>
  <c r="AJ1193" i="37" s="1"/>
  <c r="E1193" i="37" s="1"/>
  <c r="AM1193" i="37" s="1"/>
  <c r="AN1193" i="37" s="1"/>
  <c r="E1192" i="37"/>
  <c r="AM1192" i="37" s="1"/>
  <c r="AN1192" i="37" s="1"/>
  <c r="AK1192" i="37"/>
  <c r="N1196" i="37"/>
  <c r="N1576" i="37"/>
  <c r="O1576" i="37" s="1"/>
  <c r="O1195" i="37"/>
  <c r="Z1194" i="37"/>
  <c r="S1194" i="37"/>
  <c r="V1194" i="37" s="1"/>
  <c r="S1575" i="37"/>
  <c r="V1575" i="37" s="1"/>
  <c r="Z1575" i="37"/>
  <c r="AH1574" i="37"/>
  <c r="AI1574" i="37" s="1"/>
  <c r="AJ1574" i="37" s="1"/>
  <c r="N1533" i="37" l="1"/>
  <c r="O1533" i="37" s="1"/>
  <c r="Z1533" i="37" s="1"/>
  <c r="AK1568" i="37"/>
  <c r="E1568" i="37"/>
  <c r="AM1568" i="37" s="1"/>
  <c r="AN1568" i="37" s="1"/>
  <c r="AH1532" i="37"/>
  <c r="AI1532" i="37" s="1"/>
  <c r="AJ1532" i="37" s="1"/>
  <c r="AK1530" i="37"/>
  <c r="S1533" i="37"/>
  <c r="V1533" i="37" s="1"/>
  <c r="E1532" i="37"/>
  <c r="AM1532" i="37" s="1"/>
  <c r="AN1532" i="37" s="1"/>
  <c r="AK1532" i="37"/>
  <c r="AK1531" i="37"/>
  <c r="E1531" i="37"/>
  <c r="AM1531" i="37" s="1"/>
  <c r="AN1531" i="37" s="1"/>
  <c r="AK1193" i="37"/>
  <c r="AH1575" i="37"/>
  <c r="AI1575" i="37" s="1"/>
  <c r="AJ1575" i="37" s="1"/>
  <c r="E1575" i="37" s="1"/>
  <c r="AM1575" i="37" s="1"/>
  <c r="AN1575" i="37" s="1"/>
  <c r="E1574" i="37"/>
  <c r="AM1574" i="37" s="1"/>
  <c r="AN1574" i="37" s="1"/>
  <c r="AK1574" i="37"/>
  <c r="AH1194" i="37"/>
  <c r="AI1194" i="37" s="1"/>
  <c r="AJ1194" i="37" s="1"/>
  <c r="Z1195" i="37"/>
  <c r="S1195" i="37"/>
  <c r="V1195" i="37" s="1"/>
  <c r="S1576" i="37"/>
  <c r="V1576" i="37" s="1"/>
  <c r="Z1576" i="37"/>
  <c r="N1577" i="37"/>
  <c r="O1577" i="37" s="1"/>
  <c r="O1196" i="37"/>
  <c r="N1197" i="37"/>
  <c r="N1534" i="37" l="1"/>
  <c r="O1534" i="37" s="1"/>
  <c r="Z1534" i="37" s="1"/>
  <c r="AH1533" i="37"/>
  <c r="AI1533" i="37" s="1"/>
  <c r="AJ1533" i="37" s="1"/>
  <c r="AK1575" i="37"/>
  <c r="AH1576" i="37"/>
  <c r="AI1576" i="37" s="1"/>
  <c r="AJ1576" i="37" s="1"/>
  <c r="N1578" i="37"/>
  <c r="O1578" i="37" s="1"/>
  <c r="O1197" i="37"/>
  <c r="N1198" i="37"/>
  <c r="N1535" i="37" s="1"/>
  <c r="O1535" i="37" s="1"/>
  <c r="Z1577" i="37"/>
  <c r="S1577" i="37"/>
  <c r="V1577" i="37" s="1"/>
  <c r="Z1196" i="37"/>
  <c r="S1196" i="37"/>
  <c r="V1196" i="37" s="1"/>
  <c r="AH1195" i="37"/>
  <c r="AI1195" i="37" s="1"/>
  <c r="AJ1195" i="37" s="1"/>
  <c r="E1194" i="37"/>
  <c r="AM1194" i="37" s="1"/>
  <c r="AN1194" i="37" s="1"/>
  <c r="AK1194" i="37"/>
  <c r="S1534" i="37" l="1"/>
  <c r="V1534" i="37" s="1"/>
  <c r="S1535" i="37"/>
  <c r="V1535" i="37" s="1"/>
  <c r="Z1535" i="37"/>
  <c r="AK1533" i="37"/>
  <c r="E1533" i="37"/>
  <c r="AM1533" i="37" s="1"/>
  <c r="AN1533" i="37" s="1"/>
  <c r="AH1534" i="37"/>
  <c r="AI1534" i="37" s="1"/>
  <c r="AJ1534" i="37" s="1"/>
  <c r="E1576" i="37"/>
  <c r="AM1576" i="37" s="1"/>
  <c r="AN1576" i="37" s="1"/>
  <c r="AK1576" i="37"/>
  <c r="E1195" i="37"/>
  <c r="AM1195" i="37" s="1"/>
  <c r="AN1195" i="37" s="1"/>
  <c r="AK1195" i="37"/>
  <c r="AH1577" i="37"/>
  <c r="AI1577" i="37" s="1"/>
  <c r="AJ1577" i="37" s="1"/>
  <c r="AH1196" i="37"/>
  <c r="AI1196" i="37" s="1"/>
  <c r="AJ1196" i="37" s="1"/>
  <c r="N1199" i="37"/>
  <c r="N1536" i="37" s="1"/>
  <c r="O1536" i="37" s="1"/>
  <c r="O1198" i="37"/>
  <c r="N1579" i="37"/>
  <c r="O1579" i="37" s="1"/>
  <c r="S1197" i="37"/>
  <c r="V1197" i="37" s="1"/>
  <c r="Z1197" i="37"/>
  <c r="S1578" i="37"/>
  <c r="V1578" i="37" s="1"/>
  <c r="Z1578" i="37"/>
  <c r="AH1535" i="37" l="1"/>
  <c r="AI1535" i="37" s="1"/>
  <c r="AJ1535" i="37" s="1"/>
  <c r="AK1535" i="37" s="1"/>
  <c r="S1536" i="37"/>
  <c r="V1536" i="37" s="1"/>
  <c r="Z1536" i="37"/>
  <c r="AH1536" i="37" s="1"/>
  <c r="AI1536" i="37" s="1"/>
  <c r="AJ1536" i="37" s="1"/>
  <c r="AK1534" i="37"/>
  <c r="E1534" i="37"/>
  <c r="AM1534" i="37" s="1"/>
  <c r="AN1534" i="37" s="1"/>
  <c r="AH1197" i="37"/>
  <c r="AI1197" i="37" s="1"/>
  <c r="AJ1197" i="37" s="1"/>
  <c r="E1197" i="37" s="1"/>
  <c r="AM1197" i="37" s="1"/>
  <c r="AN1197" i="37" s="1"/>
  <c r="AH1578" i="37"/>
  <c r="AI1578" i="37" s="1"/>
  <c r="AJ1578" i="37" s="1"/>
  <c r="AK1578" i="37" s="1"/>
  <c r="Z1198" i="37"/>
  <c r="S1198" i="37"/>
  <c r="V1198" i="37" s="1"/>
  <c r="Z1579" i="37"/>
  <c r="S1579" i="37"/>
  <c r="V1579" i="37" s="1"/>
  <c r="E1196" i="37"/>
  <c r="AM1196" i="37" s="1"/>
  <c r="AN1196" i="37" s="1"/>
  <c r="AK1196" i="37"/>
  <c r="N1580" i="37"/>
  <c r="O1580" i="37" s="1"/>
  <c r="O1199" i="37"/>
  <c r="N1200" i="37"/>
  <c r="N1537" i="37" s="1"/>
  <c r="O1537" i="37" s="1"/>
  <c r="AK1577" i="37"/>
  <c r="E1577" i="37"/>
  <c r="AM1577" i="37" s="1"/>
  <c r="AN1577" i="37" s="1"/>
  <c r="E1535" i="37" l="1"/>
  <c r="AM1535" i="37" s="1"/>
  <c r="AN1535" i="37" s="1"/>
  <c r="AK1536" i="37"/>
  <c r="E1536" i="37"/>
  <c r="AM1536" i="37" s="1"/>
  <c r="AN1536" i="37" s="1"/>
  <c r="S1537" i="37"/>
  <c r="V1537" i="37" s="1"/>
  <c r="Z1537" i="37"/>
  <c r="AK1197" i="37"/>
  <c r="E1578" i="37"/>
  <c r="AM1578" i="37" s="1"/>
  <c r="AN1578" i="37" s="1"/>
  <c r="O1200" i="37"/>
  <c r="N1201" i="37"/>
  <c r="N1538" i="37" s="1"/>
  <c r="O1538" i="37" s="1"/>
  <c r="N1581" i="37"/>
  <c r="O1581" i="37" s="1"/>
  <c r="S1199" i="37"/>
  <c r="V1199" i="37" s="1"/>
  <c r="Z1199" i="37"/>
  <c r="AH1579" i="37"/>
  <c r="AI1579" i="37" s="1"/>
  <c r="AJ1579" i="37" s="1"/>
  <c r="Z1580" i="37"/>
  <c r="S1580" i="37"/>
  <c r="V1580" i="37" s="1"/>
  <c r="AH1198" i="37"/>
  <c r="AI1198" i="37" s="1"/>
  <c r="AJ1198" i="37" s="1"/>
  <c r="AH1537" i="37" l="1"/>
  <c r="AI1537" i="37" s="1"/>
  <c r="AJ1537" i="37" s="1"/>
  <c r="AK1537" i="37" s="1"/>
  <c r="Z1538" i="37"/>
  <c r="S1538" i="37"/>
  <c r="V1538" i="37" s="1"/>
  <c r="E1537" i="37"/>
  <c r="AM1537" i="37" s="1"/>
  <c r="AN1537" i="37" s="1"/>
  <c r="AH1199" i="37"/>
  <c r="AI1199" i="37" s="1"/>
  <c r="AJ1199" i="37" s="1"/>
  <c r="E1199" i="37" s="1"/>
  <c r="AM1199" i="37" s="1"/>
  <c r="AN1199" i="37" s="1"/>
  <c r="AH1580" i="37"/>
  <c r="AI1580" i="37" s="1"/>
  <c r="AJ1580" i="37" s="1"/>
  <c r="E1580" i="37" s="1"/>
  <c r="AM1580" i="37" s="1"/>
  <c r="AN1580" i="37" s="1"/>
  <c r="S1581" i="37"/>
  <c r="V1581" i="37" s="1"/>
  <c r="Z1581" i="37"/>
  <c r="AK1198" i="37"/>
  <c r="E1198" i="37"/>
  <c r="AM1198" i="37" s="1"/>
  <c r="AN1198" i="37" s="1"/>
  <c r="N1202" i="37"/>
  <c r="N1539" i="37" s="1"/>
  <c r="O1539" i="37" s="1"/>
  <c r="O1201" i="37"/>
  <c r="N1582" i="37"/>
  <c r="O1582" i="37" s="1"/>
  <c r="AK1579" i="37"/>
  <c r="E1579" i="37"/>
  <c r="AM1579" i="37" s="1"/>
  <c r="AN1579" i="37" s="1"/>
  <c r="Z1200" i="37"/>
  <c r="S1200" i="37"/>
  <c r="V1200" i="37" s="1"/>
  <c r="S1539" i="37" l="1"/>
  <c r="V1539" i="37" s="1"/>
  <c r="Z1539" i="37"/>
  <c r="AH1539" i="37" s="1"/>
  <c r="AI1539" i="37" s="1"/>
  <c r="AJ1539" i="37" s="1"/>
  <c r="AH1538" i="37"/>
  <c r="AI1538" i="37" s="1"/>
  <c r="AJ1538" i="37" s="1"/>
  <c r="AK1199" i="37"/>
  <c r="AK1580" i="37"/>
  <c r="AH1581" i="37"/>
  <c r="AI1581" i="37" s="1"/>
  <c r="AJ1581" i="37" s="1"/>
  <c r="E1581" i="37" s="1"/>
  <c r="AM1581" i="37" s="1"/>
  <c r="AN1581" i="37" s="1"/>
  <c r="AH1200" i="37"/>
  <c r="AI1200" i="37" s="1"/>
  <c r="AJ1200" i="37" s="1"/>
  <c r="AK1200" i="37" s="1"/>
  <c r="Z1201" i="37"/>
  <c r="S1201" i="37"/>
  <c r="V1201" i="37" s="1"/>
  <c r="S1582" i="37"/>
  <c r="V1582" i="37" s="1"/>
  <c r="Z1582" i="37"/>
  <c r="O1202" i="37"/>
  <c r="N1203" i="37"/>
  <c r="N1540" i="37" s="1"/>
  <c r="O1540" i="37" s="1"/>
  <c r="N1583" i="37"/>
  <c r="O1583" i="37" s="1"/>
  <c r="E1538" i="37" l="1"/>
  <c r="AM1538" i="37" s="1"/>
  <c r="AN1538" i="37" s="1"/>
  <c r="AK1538" i="37"/>
  <c r="Z1540" i="37"/>
  <c r="S1540" i="37"/>
  <c r="V1540" i="37" s="1"/>
  <c r="E1539" i="37"/>
  <c r="AM1539" i="37" s="1"/>
  <c r="AN1539" i="37" s="1"/>
  <c r="AK1539" i="37"/>
  <c r="AK1581" i="37"/>
  <c r="AH1582" i="37"/>
  <c r="AI1582" i="37" s="1"/>
  <c r="AJ1582" i="37" s="1"/>
  <c r="E1582" i="37" s="1"/>
  <c r="AM1582" i="37" s="1"/>
  <c r="AN1582" i="37" s="1"/>
  <c r="E1200" i="37"/>
  <c r="AM1200" i="37" s="1"/>
  <c r="AN1200" i="37" s="1"/>
  <c r="AH1201" i="37"/>
  <c r="AI1201" i="37" s="1"/>
  <c r="AJ1201" i="37" s="1"/>
  <c r="E1201" i="37" s="1"/>
  <c r="AM1201" i="37" s="1"/>
  <c r="AN1201" i="37" s="1"/>
  <c r="O1203" i="37"/>
  <c r="N1204" i="37"/>
  <c r="N1541" i="37" s="1"/>
  <c r="O1541" i="37" s="1"/>
  <c r="N1584" i="37"/>
  <c r="O1584" i="37" s="1"/>
  <c r="S1202" i="37"/>
  <c r="V1202" i="37" s="1"/>
  <c r="Z1202" i="37"/>
  <c r="Z1583" i="37"/>
  <c r="S1583" i="37"/>
  <c r="V1583" i="37" s="1"/>
  <c r="AH1540" i="37" l="1"/>
  <c r="AI1540" i="37" s="1"/>
  <c r="AJ1540" i="37" s="1"/>
  <c r="AK1540" i="37" s="1"/>
  <c r="Z1541" i="37"/>
  <c r="S1541" i="37"/>
  <c r="V1541" i="37" s="1"/>
  <c r="AK1201" i="37"/>
  <c r="AK1582" i="37"/>
  <c r="AH1202" i="37"/>
  <c r="AI1202" i="37" s="1"/>
  <c r="AJ1202" i="37" s="1"/>
  <c r="E1202" i="37" s="1"/>
  <c r="AM1202" i="37" s="1"/>
  <c r="AN1202" i="37" s="1"/>
  <c r="AH1583" i="37"/>
  <c r="AI1583" i="37" s="1"/>
  <c r="AJ1583" i="37" s="1"/>
  <c r="E1583" i="37" s="1"/>
  <c r="AM1583" i="37" s="1"/>
  <c r="AN1583" i="37" s="1"/>
  <c r="Z1584" i="37"/>
  <c r="S1584" i="37"/>
  <c r="V1584" i="37" s="1"/>
  <c r="O1204" i="37"/>
  <c r="N1585" i="37"/>
  <c r="O1585" i="37" s="1"/>
  <c r="N1205" i="37"/>
  <c r="N1542" i="37" s="1"/>
  <c r="O1542" i="37" s="1"/>
  <c r="Z1203" i="37"/>
  <c r="S1203" i="37"/>
  <c r="V1203" i="37" s="1"/>
  <c r="E1540" i="37" l="1"/>
  <c r="AM1540" i="37" s="1"/>
  <c r="AN1540" i="37" s="1"/>
  <c r="S1542" i="37"/>
  <c r="V1542" i="37" s="1"/>
  <c r="Z1542" i="37"/>
  <c r="AH1541" i="37"/>
  <c r="AI1541" i="37" s="1"/>
  <c r="AJ1541" i="37" s="1"/>
  <c r="AK1202" i="37"/>
  <c r="AK1583" i="37"/>
  <c r="Z1585" i="37"/>
  <c r="S1585" i="37"/>
  <c r="V1585" i="37" s="1"/>
  <c r="AH1203" i="37"/>
  <c r="AI1203" i="37" s="1"/>
  <c r="AJ1203" i="37" s="1"/>
  <c r="N1206" i="37"/>
  <c r="N1543" i="37" s="1"/>
  <c r="O1543" i="37" s="1"/>
  <c r="N1586" i="37"/>
  <c r="O1586" i="37" s="1"/>
  <c r="O1205" i="37"/>
  <c r="S1204" i="37"/>
  <c r="V1204" i="37" s="1"/>
  <c r="Z1204" i="37"/>
  <c r="AH1584" i="37"/>
  <c r="AI1584" i="37" s="1"/>
  <c r="AJ1584" i="37" s="1"/>
  <c r="AH1542" i="37" l="1"/>
  <c r="AI1542" i="37" s="1"/>
  <c r="AJ1542" i="37" s="1"/>
  <c r="E1542" i="37" s="1"/>
  <c r="AM1542" i="37" s="1"/>
  <c r="AN1542" i="37" s="1"/>
  <c r="S1543" i="37"/>
  <c r="V1543" i="37" s="1"/>
  <c r="Z1543" i="37"/>
  <c r="E1541" i="37"/>
  <c r="AM1541" i="37" s="1"/>
  <c r="AN1541" i="37" s="1"/>
  <c r="AK1541" i="37"/>
  <c r="AH1204" i="37"/>
  <c r="AI1204" i="37" s="1"/>
  <c r="AJ1204" i="37" s="1"/>
  <c r="E1204" i="37" s="1"/>
  <c r="AM1204" i="37" s="1"/>
  <c r="AN1204" i="37" s="1"/>
  <c r="AK1584" i="37"/>
  <c r="E1584" i="37"/>
  <c r="AM1584" i="37" s="1"/>
  <c r="AN1584" i="37" s="1"/>
  <c r="S1205" i="37"/>
  <c r="V1205" i="37" s="1"/>
  <c r="Z1205" i="37"/>
  <c r="N1207" i="37"/>
  <c r="N1544" i="37" s="1"/>
  <c r="O1544" i="37" s="1"/>
  <c r="O1206" i="37"/>
  <c r="N1587" i="37"/>
  <c r="O1587" i="37" s="1"/>
  <c r="S1586" i="37"/>
  <c r="V1586" i="37" s="1"/>
  <c r="Z1586" i="37"/>
  <c r="E1203" i="37"/>
  <c r="AM1203" i="37" s="1"/>
  <c r="AN1203" i="37" s="1"/>
  <c r="AK1203" i="37"/>
  <c r="AH1585" i="37"/>
  <c r="AI1585" i="37" s="1"/>
  <c r="AJ1585" i="37" s="1"/>
  <c r="AK1542" i="37" l="1"/>
  <c r="Z1544" i="37"/>
  <c r="S1544" i="37"/>
  <c r="V1544" i="37" s="1"/>
  <c r="AH1543" i="37"/>
  <c r="AI1543" i="37" s="1"/>
  <c r="AJ1543" i="37" s="1"/>
  <c r="AK1543" i="37" s="1"/>
  <c r="AK1204" i="37"/>
  <c r="AH1586" i="37"/>
  <c r="AI1586" i="37" s="1"/>
  <c r="AJ1586" i="37" s="1"/>
  <c r="AK1586" i="37" s="1"/>
  <c r="AH1205" i="37"/>
  <c r="AI1205" i="37" s="1"/>
  <c r="AJ1205" i="37" s="1"/>
  <c r="E1205" i="37" s="1"/>
  <c r="AM1205" i="37" s="1"/>
  <c r="AN1205" i="37" s="1"/>
  <c r="Z1587" i="37"/>
  <c r="S1587" i="37"/>
  <c r="V1587" i="37" s="1"/>
  <c r="S1206" i="37"/>
  <c r="V1206" i="37" s="1"/>
  <c r="Z1206" i="37"/>
  <c r="E1585" i="37"/>
  <c r="AM1585" i="37" s="1"/>
  <c r="AN1585" i="37" s="1"/>
  <c r="AK1585" i="37"/>
  <c r="N1588" i="37"/>
  <c r="O1588" i="37" s="1"/>
  <c r="O1207" i="37"/>
  <c r="N1208" i="37"/>
  <c r="N1545" i="37" s="1"/>
  <c r="O1545" i="37" s="1"/>
  <c r="E1543" i="37" l="1"/>
  <c r="AM1543" i="37" s="1"/>
  <c r="AN1543" i="37" s="1"/>
  <c r="AH1544" i="37"/>
  <c r="AI1544" i="37" s="1"/>
  <c r="AJ1544" i="37" s="1"/>
  <c r="AK1544" i="37" s="1"/>
  <c r="S1545" i="37"/>
  <c r="V1545" i="37" s="1"/>
  <c r="Z1545" i="37"/>
  <c r="AK1205" i="37"/>
  <c r="E1586" i="37"/>
  <c r="AM1586" i="37" s="1"/>
  <c r="AN1586" i="37" s="1"/>
  <c r="O1208" i="37"/>
  <c r="N1589" i="37"/>
  <c r="O1589" i="37" s="1"/>
  <c r="N1209" i="37"/>
  <c r="N1546" i="37" s="1"/>
  <c r="O1546" i="37" s="1"/>
  <c r="Z1207" i="37"/>
  <c r="S1207" i="37"/>
  <c r="V1207" i="37" s="1"/>
  <c r="S1588" i="37"/>
  <c r="V1588" i="37" s="1"/>
  <c r="Z1588" i="37"/>
  <c r="AH1206" i="37"/>
  <c r="AI1206" i="37" s="1"/>
  <c r="AJ1206" i="37" s="1"/>
  <c r="AH1587" i="37"/>
  <c r="AI1587" i="37" s="1"/>
  <c r="AJ1587" i="37" s="1"/>
  <c r="E1544" i="37" l="1"/>
  <c r="AM1544" i="37" s="1"/>
  <c r="AN1544" i="37" s="1"/>
  <c r="AH1545" i="37"/>
  <c r="AI1545" i="37" s="1"/>
  <c r="AJ1545" i="37" s="1"/>
  <c r="S1546" i="37"/>
  <c r="V1546" i="37" s="1"/>
  <c r="Z1546" i="37"/>
  <c r="E1545" i="37"/>
  <c r="AM1545" i="37" s="1"/>
  <c r="AN1545" i="37" s="1"/>
  <c r="AK1545" i="37"/>
  <c r="AH1588" i="37"/>
  <c r="AI1588" i="37" s="1"/>
  <c r="AJ1588" i="37" s="1"/>
  <c r="E1588" i="37" s="1"/>
  <c r="AM1588" i="37" s="1"/>
  <c r="AN1588" i="37" s="1"/>
  <c r="AH1207" i="37"/>
  <c r="AI1207" i="37" s="1"/>
  <c r="AJ1207" i="37" s="1"/>
  <c r="E1587" i="37"/>
  <c r="AM1587" i="37" s="1"/>
  <c r="AN1587" i="37" s="1"/>
  <c r="AK1587" i="37"/>
  <c r="AK1206" i="37"/>
  <c r="E1206" i="37"/>
  <c r="AM1206" i="37" s="1"/>
  <c r="AN1206" i="37" s="1"/>
  <c r="N1590" i="37"/>
  <c r="O1590" i="37" s="1"/>
  <c r="O1209" i="37"/>
  <c r="N1210" i="37"/>
  <c r="N1547" i="37" s="1"/>
  <c r="O1547" i="37" s="1"/>
  <c r="S1589" i="37"/>
  <c r="V1589" i="37" s="1"/>
  <c r="Z1589" i="37"/>
  <c r="Z1208" i="37"/>
  <c r="S1208" i="37"/>
  <c r="V1208" i="37" s="1"/>
  <c r="AK1588" i="37" l="1"/>
  <c r="AH1546" i="37"/>
  <c r="AI1546" i="37" s="1"/>
  <c r="AJ1546" i="37" s="1"/>
  <c r="AK1546" i="37" s="1"/>
  <c r="Z1547" i="37"/>
  <c r="S1547" i="37"/>
  <c r="V1547" i="37" s="1"/>
  <c r="AH1208" i="37"/>
  <c r="AI1208" i="37" s="1"/>
  <c r="AJ1208" i="37" s="1"/>
  <c r="AH1589" i="37"/>
  <c r="AI1589" i="37" s="1"/>
  <c r="AJ1589" i="37" s="1"/>
  <c r="E1589" i="37" s="1"/>
  <c r="AM1589" i="37" s="1"/>
  <c r="AN1589" i="37" s="1"/>
  <c r="AK1207" i="37"/>
  <c r="E1207" i="37"/>
  <c r="AM1207" i="37" s="1"/>
  <c r="AN1207" i="37" s="1"/>
  <c r="E1208" i="37"/>
  <c r="AM1208" i="37" s="1"/>
  <c r="AN1208" i="37" s="1"/>
  <c r="AK1208" i="37"/>
  <c r="N1211" i="37"/>
  <c r="N1548" i="37" s="1"/>
  <c r="O1548" i="37" s="1"/>
  <c r="N1591" i="37"/>
  <c r="O1591" i="37" s="1"/>
  <c r="O1210" i="37"/>
  <c r="Z1590" i="37"/>
  <c r="S1590" i="37"/>
  <c r="V1590" i="37" s="1"/>
  <c r="S1209" i="37"/>
  <c r="V1209" i="37" s="1"/>
  <c r="Z1209" i="37"/>
  <c r="E1546" i="37" l="1"/>
  <c r="AM1546" i="37" s="1"/>
  <c r="AN1546" i="37" s="1"/>
  <c r="Z1548" i="37"/>
  <c r="S1548" i="37"/>
  <c r="V1548" i="37" s="1"/>
  <c r="AH1547" i="37"/>
  <c r="AI1547" i="37" s="1"/>
  <c r="AJ1547" i="37" s="1"/>
  <c r="AK1589" i="37"/>
  <c r="AH1209" i="37"/>
  <c r="AI1209" i="37" s="1"/>
  <c r="AJ1209" i="37" s="1"/>
  <c r="E1209" i="37" s="1"/>
  <c r="AM1209" i="37" s="1"/>
  <c r="AN1209" i="37" s="1"/>
  <c r="Z1591" i="37"/>
  <c r="S1591" i="37"/>
  <c r="V1591" i="37" s="1"/>
  <c r="S1210" i="37"/>
  <c r="V1210" i="37" s="1"/>
  <c r="Z1210" i="37"/>
  <c r="AH1590" i="37"/>
  <c r="AI1590" i="37" s="1"/>
  <c r="AJ1590" i="37" s="1"/>
  <c r="O1211" i="37"/>
  <c r="N1212" i="37"/>
  <c r="N1549" i="37" s="1"/>
  <c r="O1549" i="37" s="1"/>
  <c r="N1592" i="37"/>
  <c r="O1592" i="37" s="1"/>
  <c r="AH1548" i="37" l="1"/>
  <c r="AI1548" i="37" s="1"/>
  <c r="AJ1548" i="37" s="1"/>
  <c r="E1548" i="37" s="1"/>
  <c r="AM1548" i="37" s="1"/>
  <c r="AN1548" i="37" s="1"/>
  <c r="AK1547" i="37"/>
  <c r="E1547" i="37"/>
  <c r="AM1547" i="37" s="1"/>
  <c r="AN1547" i="37" s="1"/>
  <c r="S1549" i="37"/>
  <c r="V1549" i="37" s="1"/>
  <c r="Z1549" i="37"/>
  <c r="AK1209" i="37"/>
  <c r="AH1210" i="37"/>
  <c r="AI1210" i="37" s="1"/>
  <c r="AJ1210" i="37" s="1"/>
  <c r="AK1210" i="37" s="1"/>
  <c r="N1213" i="37"/>
  <c r="N1550" i="37" s="1"/>
  <c r="O1550" i="37" s="1"/>
  <c r="N1593" i="37"/>
  <c r="O1593" i="37" s="1"/>
  <c r="O1212" i="37"/>
  <c r="Z1592" i="37"/>
  <c r="S1592" i="37"/>
  <c r="V1592" i="37" s="1"/>
  <c r="E1590" i="37"/>
  <c r="AM1590" i="37" s="1"/>
  <c r="AN1590" i="37" s="1"/>
  <c r="AK1590" i="37"/>
  <c r="S1211" i="37"/>
  <c r="V1211" i="37" s="1"/>
  <c r="Z1211" i="37"/>
  <c r="AH1591" i="37"/>
  <c r="AI1591" i="37" s="1"/>
  <c r="AJ1591" i="37" s="1"/>
  <c r="AH1549" i="37" l="1"/>
  <c r="AI1549" i="37" s="1"/>
  <c r="AJ1549" i="37" s="1"/>
  <c r="E1549" i="37" s="1"/>
  <c r="AM1549" i="37" s="1"/>
  <c r="AN1549" i="37" s="1"/>
  <c r="AK1548" i="37"/>
  <c r="S1550" i="37"/>
  <c r="V1550" i="37" s="1"/>
  <c r="Z1550" i="37"/>
  <c r="AH1550" i="37" s="1"/>
  <c r="AI1550" i="37" s="1"/>
  <c r="AJ1550" i="37" s="1"/>
  <c r="E1210" i="37"/>
  <c r="AM1210" i="37" s="1"/>
  <c r="AN1210" i="37" s="1"/>
  <c r="AH1211" i="37"/>
  <c r="AI1211" i="37" s="1"/>
  <c r="AJ1211" i="37" s="1"/>
  <c r="AK1211" i="37" s="1"/>
  <c r="AH1592" i="37"/>
  <c r="AI1592" i="37" s="1"/>
  <c r="AJ1592" i="37" s="1"/>
  <c r="E1591" i="37"/>
  <c r="AM1591" i="37" s="1"/>
  <c r="AN1591" i="37" s="1"/>
  <c r="AK1591" i="37"/>
  <c r="Z1593" i="37"/>
  <c r="S1593" i="37"/>
  <c r="V1593" i="37" s="1"/>
  <c r="S1212" i="37"/>
  <c r="V1212" i="37" s="1"/>
  <c r="Z1212" i="37"/>
  <c r="N1594" i="37"/>
  <c r="O1594" i="37" s="1"/>
  <c r="N1214" i="37"/>
  <c r="N1551" i="37" s="1"/>
  <c r="O1551" i="37" s="1"/>
  <c r="O1213" i="37"/>
  <c r="E1211" i="37" l="1"/>
  <c r="AM1211" i="37" s="1"/>
  <c r="AN1211" i="37" s="1"/>
  <c r="AK1549" i="37"/>
  <c r="AK1550" i="37"/>
  <c r="E1550" i="37"/>
  <c r="AM1550" i="37" s="1"/>
  <c r="AN1550" i="37" s="1"/>
  <c r="Z1551" i="37"/>
  <c r="S1551" i="37"/>
  <c r="V1551" i="37" s="1"/>
  <c r="AH1212" i="37"/>
  <c r="AI1212" i="37" s="1"/>
  <c r="AJ1212" i="37" s="1"/>
  <c r="AK1212" i="37" s="1"/>
  <c r="Z1213" i="37"/>
  <c r="S1213" i="37"/>
  <c r="V1213" i="37" s="1"/>
  <c r="Z1594" i="37"/>
  <c r="S1594" i="37"/>
  <c r="V1594" i="37" s="1"/>
  <c r="N1215" i="37"/>
  <c r="N1552" i="37" s="1"/>
  <c r="O1552" i="37" s="1"/>
  <c r="O1214" i="37"/>
  <c r="N1595" i="37"/>
  <c r="O1595" i="37" s="1"/>
  <c r="E1212" i="37"/>
  <c r="AM1212" i="37" s="1"/>
  <c r="AN1212" i="37" s="1"/>
  <c r="AH1593" i="37"/>
  <c r="AI1593" i="37" s="1"/>
  <c r="AJ1593" i="37" s="1"/>
  <c r="E1592" i="37"/>
  <c r="AM1592" i="37" s="1"/>
  <c r="AN1592" i="37" s="1"/>
  <c r="AK1592" i="37"/>
  <c r="S1552" i="37" l="1"/>
  <c r="V1552" i="37" s="1"/>
  <c r="Z1552" i="37"/>
  <c r="AH1551" i="37"/>
  <c r="AI1551" i="37" s="1"/>
  <c r="AJ1551" i="37" s="1"/>
  <c r="Z1214" i="37"/>
  <c r="S1214" i="37"/>
  <c r="V1214" i="37" s="1"/>
  <c r="AK1593" i="37"/>
  <c r="E1593" i="37"/>
  <c r="AM1593" i="37" s="1"/>
  <c r="AN1593" i="37" s="1"/>
  <c r="Z1595" i="37"/>
  <c r="S1595" i="37"/>
  <c r="V1595" i="37" s="1"/>
  <c r="O1215" i="37"/>
  <c r="N1216" i="37"/>
  <c r="N1553" i="37" s="1"/>
  <c r="O1553" i="37" s="1"/>
  <c r="N1596" i="37"/>
  <c r="O1596" i="37" s="1"/>
  <c r="AH1594" i="37"/>
  <c r="AI1594" i="37" s="1"/>
  <c r="AJ1594" i="37" s="1"/>
  <c r="AH1213" i="37"/>
  <c r="AI1213" i="37" s="1"/>
  <c r="AJ1213" i="37" s="1"/>
  <c r="AH1552" i="37" l="1"/>
  <c r="AI1552" i="37" s="1"/>
  <c r="AJ1552" i="37" s="1"/>
  <c r="E1552" i="37" s="1"/>
  <c r="AM1552" i="37" s="1"/>
  <c r="AN1552" i="37" s="1"/>
  <c r="Z1553" i="37"/>
  <c r="S1553" i="37"/>
  <c r="V1553" i="37" s="1"/>
  <c r="AK1551" i="37"/>
  <c r="E1551" i="37"/>
  <c r="AM1551" i="37" s="1"/>
  <c r="AN1551" i="37" s="1"/>
  <c r="E1594" i="37"/>
  <c r="AM1594" i="37" s="1"/>
  <c r="AN1594" i="37" s="1"/>
  <c r="AK1594" i="37"/>
  <c r="Z1596" i="37"/>
  <c r="S1596" i="37"/>
  <c r="V1596" i="37" s="1"/>
  <c r="E1213" i="37"/>
  <c r="AM1213" i="37" s="1"/>
  <c r="AN1213" i="37" s="1"/>
  <c r="AK1213" i="37"/>
  <c r="O1216" i="37"/>
  <c r="N1217" i="37"/>
  <c r="N1554" i="37" s="1"/>
  <c r="O1554" i="37" s="1"/>
  <c r="N1597" i="37"/>
  <c r="O1597" i="37" s="1"/>
  <c r="AH1595" i="37"/>
  <c r="AI1595" i="37" s="1"/>
  <c r="AJ1595" i="37" s="1"/>
  <c r="S1215" i="37"/>
  <c r="V1215" i="37" s="1"/>
  <c r="Z1215" i="37"/>
  <c r="AH1214" i="37"/>
  <c r="AI1214" i="37" s="1"/>
  <c r="AJ1214" i="37" s="1"/>
  <c r="AK1552" i="37" l="1"/>
  <c r="AH1553" i="37"/>
  <c r="AI1553" i="37" s="1"/>
  <c r="AJ1553" i="37" s="1"/>
  <c r="AK1553" i="37" s="1"/>
  <c r="Z1554" i="37"/>
  <c r="S1554" i="37"/>
  <c r="V1554" i="37" s="1"/>
  <c r="AH1215" i="37"/>
  <c r="AI1215" i="37" s="1"/>
  <c r="AJ1215" i="37" s="1"/>
  <c r="AK1215" i="37" s="1"/>
  <c r="E1214" i="37"/>
  <c r="AM1214" i="37" s="1"/>
  <c r="AN1214" i="37" s="1"/>
  <c r="AK1214" i="37"/>
  <c r="E1595" i="37"/>
  <c r="AM1595" i="37" s="1"/>
  <c r="AN1595" i="37" s="1"/>
  <c r="AK1595" i="37"/>
  <c r="Z1216" i="37"/>
  <c r="S1216" i="37"/>
  <c r="V1216" i="37" s="1"/>
  <c r="Z1597" i="37"/>
  <c r="S1597" i="37"/>
  <c r="V1597" i="37" s="1"/>
  <c r="N1598" i="37"/>
  <c r="O1598" i="37" s="1"/>
  <c r="N1218" i="37"/>
  <c r="N1555" i="37" s="1"/>
  <c r="O1555" i="37" s="1"/>
  <c r="O1217" i="37"/>
  <c r="AH1596" i="37"/>
  <c r="AI1596" i="37" s="1"/>
  <c r="AJ1596" i="37" s="1"/>
  <c r="E1553" i="37" l="1"/>
  <c r="AM1553" i="37" s="1"/>
  <c r="AN1553" i="37" s="1"/>
  <c r="S1555" i="37"/>
  <c r="V1555" i="37" s="1"/>
  <c r="Z1555" i="37"/>
  <c r="AH1554" i="37"/>
  <c r="AI1554" i="37" s="1"/>
  <c r="AJ1554" i="37" s="1"/>
  <c r="E1215" i="37"/>
  <c r="AM1215" i="37" s="1"/>
  <c r="AN1215" i="37" s="1"/>
  <c r="AK1596" i="37"/>
  <c r="E1596" i="37"/>
  <c r="AM1596" i="37" s="1"/>
  <c r="AN1596" i="37" s="1"/>
  <c r="Z1217" i="37"/>
  <c r="S1217" i="37"/>
  <c r="V1217" i="37" s="1"/>
  <c r="N1599" i="37"/>
  <c r="O1599" i="37" s="1"/>
  <c r="O1218" i="37"/>
  <c r="N1219" i="37"/>
  <c r="N1556" i="37" s="1"/>
  <c r="O1556" i="37" s="1"/>
  <c r="AH1597" i="37"/>
  <c r="AI1597" i="37" s="1"/>
  <c r="AJ1597" i="37" s="1"/>
  <c r="AH1216" i="37"/>
  <c r="AI1216" i="37" s="1"/>
  <c r="AJ1216" i="37" s="1"/>
  <c r="S1598" i="37"/>
  <c r="V1598" i="37" s="1"/>
  <c r="Z1598" i="37"/>
  <c r="S1556" i="37" l="1"/>
  <c r="V1556" i="37" s="1"/>
  <c r="Z1556" i="37"/>
  <c r="AK1554" i="37"/>
  <c r="E1554" i="37"/>
  <c r="AM1554" i="37" s="1"/>
  <c r="AN1554" i="37" s="1"/>
  <c r="AH1555" i="37"/>
  <c r="AI1555" i="37" s="1"/>
  <c r="AJ1555" i="37" s="1"/>
  <c r="AH1598" i="37"/>
  <c r="AI1598" i="37" s="1"/>
  <c r="AJ1598" i="37" s="1"/>
  <c r="AK1598" i="37" s="1"/>
  <c r="E1597" i="37"/>
  <c r="AM1597" i="37" s="1"/>
  <c r="AN1597" i="37" s="1"/>
  <c r="AK1597" i="37"/>
  <c r="AK1216" i="37"/>
  <c r="E1216" i="37"/>
  <c r="AM1216" i="37" s="1"/>
  <c r="AN1216" i="37" s="1"/>
  <c r="O1219" i="37"/>
  <c r="N1220" i="37"/>
  <c r="N1600" i="37"/>
  <c r="O1600" i="37" s="1"/>
  <c r="Z1218" i="37"/>
  <c r="S1218" i="37"/>
  <c r="V1218" i="37" s="1"/>
  <c r="Z1599" i="37"/>
  <c r="S1599" i="37"/>
  <c r="V1599" i="37" s="1"/>
  <c r="AH1217" i="37"/>
  <c r="AI1217" i="37" s="1"/>
  <c r="AJ1217" i="37" s="1"/>
  <c r="AH1556" i="37" l="1"/>
  <c r="AI1556" i="37" s="1"/>
  <c r="AJ1556" i="37" s="1"/>
  <c r="AK1556" i="37" s="1"/>
  <c r="AK1555" i="37"/>
  <c r="E1555" i="37"/>
  <c r="AM1555" i="37" s="1"/>
  <c r="AN1555" i="37" s="1"/>
  <c r="E1598" i="37"/>
  <c r="AM1598" i="37" s="1"/>
  <c r="AN1598" i="37" s="1"/>
  <c r="AH1218" i="37"/>
  <c r="AI1218" i="37" s="1"/>
  <c r="AJ1218" i="37" s="1"/>
  <c r="Z1600" i="37"/>
  <c r="S1600" i="37"/>
  <c r="V1600" i="37" s="1"/>
  <c r="S1219" i="37"/>
  <c r="V1219" i="37" s="1"/>
  <c r="Z1219" i="37"/>
  <c r="E1217" i="37"/>
  <c r="AM1217" i="37" s="1"/>
  <c r="AN1217" i="37" s="1"/>
  <c r="AK1217" i="37"/>
  <c r="AH1599" i="37"/>
  <c r="AI1599" i="37" s="1"/>
  <c r="AJ1599" i="37" s="1"/>
  <c r="N1221" i="37"/>
  <c r="O1220" i="37"/>
  <c r="N1601" i="37"/>
  <c r="O1601" i="37" s="1"/>
  <c r="E1556" i="37" l="1"/>
  <c r="AM1556" i="37" s="1"/>
  <c r="AN1556" i="37" s="1"/>
  <c r="AH1219" i="37"/>
  <c r="AI1219" i="37" s="1"/>
  <c r="AJ1219" i="37" s="1"/>
  <c r="E1219" i="37" s="1"/>
  <c r="AM1219" i="37" s="1"/>
  <c r="AN1219" i="37" s="1"/>
  <c r="Z1220" i="37"/>
  <c r="S1220" i="37"/>
  <c r="V1220" i="37" s="1"/>
  <c r="N1222" i="37"/>
  <c r="N1602" i="37"/>
  <c r="O1602" i="37" s="1"/>
  <c r="O1221" i="37"/>
  <c r="AH1600" i="37"/>
  <c r="AI1600" i="37" s="1"/>
  <c r="AJ1600" i="37" s="1"/>
  <c r="S1601" i="37"/>
  <c r="V1601" i="37" s="1"/>
  <c r="Z1601" i="37"/>
  <c r="E1599" i="37"/>
  <c r="AM1599" i="37" s="1"/>
  <c r="AN1599" i="37" s="1"/>
  <c r="AK1599" i="37"/>
  <c r="E1218" i="37"/>
  <c r="AM1218" i="37" s="1"/>
  <c r="AN1218" i="37" s="1"/>
  <c r="AK1218" i="37"/>
  <c r="AK1219" i="37" l="1"/>
  <c r="S1602" i="37"/>
  <c r="V1602" i="37" s="1"/>
  <c r="Z1602" i="37"/>
  <c r="AH1601" i="37"/>
  <c r="AI1601" i="37" s="1"/>
  <c r="AJ1601" i="37" s="1"/>
  <c r="E1600" i="37"/>
  <c r="AM1600" i="37" s="1"/>
  <c r="AN1600" i="37" s="1"/>
  <c r="AK1600" i="37"/>
  <c r="S1221" i="37"/>
  <c r="V1221" i="37" s="1"/>
  <c r="Z1221" i="37"/>
  <c r="N1223" i="37"/>
  <c r="O1222" i="37"/>
  <c r="N1603" i="37"/>
  <c r="O1603" i="37" s="1"/>
  <c r="AH1220" i="37"/>
  <c r="AI1220" i="37" s="1"/>
  <c r="AJ1220" i="37" s="1"/>
  <c r="AH1602" i="37" l="1"/>
  <c r="AI1602" i="37" s="1"/>
  <c r="AJ1602" i="37" s="1"/>
  <c r="AK1602" i="37" s="1"/>
  <c r="AH1221" i="37"/>
  <c r="AI1221" i="37" s="1"/>
  <c r="AJ1221" i="37" s="1"/>
  <c r="AK1221" i="37" s="1"/>
  <c r="AK1220" i="37"/>
  <c r="E1220" i="37"/>
  <c r="AM1220" i="37" s="1"/>
  <c r="AN1220" i="37" s="1"/>
  <c r="N1604" i="37"/>
  <c r="O1604" i="37" s="1"/>
  <c r="O1223" i="37"/>
  <c r="N1224" i="37"/>
  <c r="S1603" i="37"/>
  <c r="V1603" i="37" s="1"/>
  <c r="Z1603" i="37"/>
  <c r="Z1222" i="37"/>
  <c r="S1222" i="37"/>
  <c r="V1222" i="37" s="1"/>
  <c r="E1601" i="37"/>
  <c r="AM1601" i="37" s="1"/>
  <c r="AN1601" i="37" s="1"/>
  <c r="AK1601" i="37"/>
  <c r="E1602" i="37" l="1"/>
  <c r="AM1602" i="37" s="1"/>
  <c r="AN1602" i="37" s="1"/>
  <c r="E1221" i="37"/>
  <c r="AM1221" i="37" s="1"/>
  <c r="AN1221" i="37" s="1"/>
  <c r="AH1603" i="37"/>
  <c r="AI1603" i="37" s="1"/>
  <c r="AJ1603" i="37" s="1"/>
  <c r="AK1603" i="37" s="1"/>
  <c r="AH1222" i="37"/>
  <c r="AI1222" i="37" s="1"/>
  <c r="AJ1222" i="37" s="1"/>
  <c r="N1225" i="37"/>
  <c r="N1605" i="37"/>
  <c r="O1605" i="37" s="1"/>
  <c r="O1224" i="37"/>
  <c r="S1223" i="37"/>
  <c r="V1223" i="37" s="1"/>
  <c r="Z1223" i="37"/>
  <c r="S1604" i="37"/>
  <c r="V1604" i="37" s="1"/>
  <c r="Z1604" i="37"/>
  <c r="AH1223" i="37" l="1"/>
  <c r="AI1223" i="37" s="1"/>
  <c r="AJ1223" i="37" s="1"/>
  <c r="E1223" i="37" s="1"/>
  <c r="AM1223" i="37" s="1"/>
  <c r="AN1223" i="37" s="1"/>
  <c r="E1603" i="37"/>
  <c r="AM1603" i="37" s="1"/>
  <c r="AN1603" i="37" s="1"/>
  <c r="AH1604" i="37"/>
  <c r="AI1604" i="37" s="1"/>
  <c r="AJ1604" i="37" s="1"/>
  <c r="AK1604" i="37" s="1"/>
  <c r="S1224" i="37"/>
  <c r="V1224" i="37" s="1"/>
  <c r="Z1224" i="37"/>
  <c r="O1225" i="37"/>
  <c r="N1606" i="37"/>
  <c r="O1606" i="37" s="1"/>
  <c r="N1226" i="37"/>
  <c r="Z1605" i="37"/>
  <c r="S1605" i="37"/>
  <c r="V1605" i="37" s="1"/>
  <c r="E1222" i="37"/>
  <c r="AM1222" i="37" s="1"/>
  <c r="AN1222" i="37" s="1"/>
  <c r="AK1222" i="37"/>
  <c r="AK1223" i="37" l="1"/>
  <c r="E1604" i="37"/>
  <c r="AM1604" i="37" s="1"/>
  <c r="AN1604" i="37" s="1"/>
  <c r="AH1224" i="37"/>
  <c r="AI1224" i="37" s="1"/>
  <c r="AJ1224" i="37" s="1"/>
  <c r="N1227" i="37"/>
  <c r="N1607" i="37"/>
  <c r="O1607" i="37" s="1"/>
  <c r="O1226" i="37"/>
  <c r="AH1605" i="37"/>
  <c r="AI1605" i="37" s="1"/>
  <c r="AJ1605" i="37" s="1"/>
  <c r="S1225" i="37"/>
  <c r="V1225" i="37" s="1"/>
  <c r="Z1225" i="37"/>
  <c r="E1224" i="37"/>
  <c r="AM1224" i="37" s="1"/>
  <c r="AN1224" i="37" s="1"/>
  <c r="AK1224" i="37"/>
  <c r="S1606" i="37"/>
  <c r="V1606" i="37" s="1"/>
  <c r="Z1606" i="37"/>
  <c r="AH1606" i="37" l="1"/>
  <c r="AI1606" i="37" s="1"/>
  <c r="AJ1606" i="37" s="1"/>
  <c r="E1606" i="37" s="1"/>
  <c r="AM1606" i="37" s="1"/>
  <c r="AN1606" i="37" s="1"/>
  <c r="AH1225" i="37"/>
  <c r="AI1225" i="37" s="1"/>
  <c r="AJ1225" i="37" s="1"/>
  <c r="E1605" i="37"/>
  <c r="AM1605" i="37" s="1"/>
  <c r="AN1605" i="37" s="1"/>
  <c r="AK1605" i="37"/>
  <c r="Z1607" i="37"/>
  <c r="S1607" i="37"/>
  <c r="V1607" i="37" s="1"/>
  <c r="S1226" i="37"/>
  <c r="V1226" i="37" s="1"/>
  <c r="Z1226" i="37"/>
  <c r="N1228" i="37"/>
  <c r="N1608" i="37"/>
  <c r="O1608" i="37" s="1"/>
  <c r="O1227" i="37"/>
  <c r="AK1606" i="37" l="1"/>
  <c r="AH1226" i="37"/>
  <c r="AI1226" i="37" s="1"/>
  <c r="AJ1226" i="37" s="1"/>
  <c r="AK1226" i="37" s="1"/>
  <c r="O1228" i="37"/>
  <c r="N1229" i="37"/>
  <c r="N1609" i="37"/>
  <c r="O1609" i="37" s="1"/>
  <c r="Z1608" i="37"/>
  <c r="S1608" i="37"/>
  <c r="V1608" i="37" s="1"/>
  <c r="E1226" i="37"/>
  <c r="AM1226" i="37" s="1"/>
  <c r="AN1226" i="37" s="1"/>
  <c r="AH1607" i="37"/>
  <c r="AI1607" i="37" s="1"/>
  <c r="AJ1607" i="37" s="1"/>
  <c r="S1227" i="37"/>
  <c r="V1227" i="37" s="1"/>
  <c r="Z1227" i="37"/>
  <c r="E1225" i="37"/>
  <c r="AM1225" i="37" s="1"/>
  <c r="AN1225" i="37" s="1"/>
  <c r="AK1225" i="37"/>
  <c r="S1609" i="37" l="1"/>
  <c r="V1609" i="37" s="1"/>
  <c r="Z1609" i="37"/>
  <c r="AH1227" i="37"/>
  <c r="AI1227" i="37" s="1"/>
  <c r="AJ1227" i="37" s="1"/>
  <c r="E1607" i="37"/>
  <c r="AM1607" i="37" s="1"/>
  <c r="AN1607" i="37" s="1"/>
  <c r="AK1607" i="37"/>
  <c r="AH1608" i="37"/>
  <c r="AI1608" i="37" s="1"/>
  <c r="AJ1608" i="37" s="1"/>
  <c r="O1229" i="37"/>
  <c r="N1230" i="37"/>
  <c r="N1610" i="37"/>
  <c r="O1610" i="37" s="1"/>
  <c r="S1228" i="37"/>
  <c r="V1228" i="37" s="1"/>
  <c r="Z1228" i="37"/>
  <c r="AH1609" i="37" l="1"/>
  <c r="AI1609" i="37" s="1"/>
  <c r="AJ1609" i="37" s="1"/>
  <c r="AH1228" i="37"/>
  <c r="AI1228" i="37" s="1"/>
  <c r="AJ1228" i="37" s="1"/>
  <c r="AK1228" i="37" s="1"/>
  <c r="S1610" i="37"/>
  <c r="V1610" i="37" s="1"/>
  <c r="Z1610" i="37"/>
  <c r="E1608" i="37"/>
  <c r="AM1608" i="37" s="1"/>
  <c r="AN1608" i="37" s="1"/>
  <c r="AK1608" i="37"/>
  <c r="Z1229" i="37"/>
  <c r="S1229" i="37"/>
  <c r="V1229" i="37" s="1"/>
  <c r="O1230" i="37"/>
  <c r="N1231" i="37"/>
  <c r="N1611" i="37"/>
  <c r="O1611" i="37" s="1"/>
  <c r="E1227" i="37"/>
  <c r="AM1227" i="37" s="1"/>
  <c r="AN1227" i="37" s="1"/>
  <c r="AK1227" i="37"/>
  <c r="E1609" i="37" l="1"/>
  <c r="AM1609" i="37" s="1"/>
  <c r="AN1609" i="37" s="1"/>
  <c r="AK1609" i="37"/>
  <c r="E1228" i="37"/>
  <c r="AM1228" i="37" s="1"/>
  <c r="AN1228" i="37" s="1"/>
  <c r="AH1610" i="37"/>
  <c r="AI1610" i="37" s="1"/>
  <c r="AJ1610" i="37" s="1"/>
  <c r="S1230" i="37"/>
  <c r="V1230" i="37" s="1"/>
  <c r="Z1230" i="37"/>
  <c r="Z1611" i="37"/>
  <c r="S1611" i="37"/>
  <c r="V1611" i="37" s="1"/>
  <c r="AH1229" i="37"/>
  <c r="AI1229" i="37" s="1"/>
  <c r="AJ1229" i="37" s="1"/>
  <c r="O1231" i="37"/>
  <c r="N1612" i="37"/>
  <c r="O1612" i="37" s="1"/>
  <c r="N1232" i="37"/>
  <c r="AK1610" i="37"/>
  <c r="E1610" i="37"/>
  <c r="AM1610" i="37" s="1"/>
  <c r="AN1610" i="37" s="1"/>
  <c r="AH1230" i="37" l="1"/>
  <c r="AI1230" i="37" s="1"/>
  <c r="AJ1230" i="37" s="1"/>
  <c r="S1612" i="37"/>
  <c r="V1612" i="37" s="1"/>
  <c r="Z1612" i="37"/>
  <c r="N1233" i="37"/>
  <c r="N1613" i="37"/>
  <c r="O1613" i="37" s="1"/>
  <c r="O1232" i="37"/>
  <c r="E1229" i="37"/>
  <c r="AM1229" i="37" s="1"/>
  <c r="AN1229" i="37" s="1"/>
  <c r="AK1229" i="37"/>
  <c r="S1231" i="37"/>
  <c r="V1231" i="37" s="1"/>
  <c r="Z1231" i="37"/>
  <c r="AH1611" i="37"/>
  <c r="AI1611" i="37" s="1"/>
  <c r="AJ1611" i="37" s="1"/>
  <c r="AH1612" i="37" l="1"/>
  <c r="AI1612" i="37" s="1"/>
  <c r="AJ1612" i="37" s="1"/>
  <c r="AK1612" i="37" s="1"/>
  <c r="AK1230" i="37"/>
  <c r="E1230" i="37"/>
  <c r="AM1230" i="37" s="1"/>
  <c r="AN1230" i="37" s="1"/>
  <c r="E1611" i="37"/>
  <c r="AM1611" i="37" s="1"/>
  <c r="AN1611" i="37" s="1"/>
  <c r="AK1611" i="37"/>
  <c r="AH1231" i="37"/>
  <c r="AI1231" i="37" s="1"/>
  <c r="AJ1231" i="37" s="1"/>
  <c r="S1613" i="37"/>
  <c r="V1613" i="37" s="1"/>
  <c r="Z1613" i="37"/>
  <c r="S1232" i="37"/>
  <c r="V1232" i="37" s="1"/>
  <c r="Z1232" i="37"/>
  <c r="O1233" i="37"/>
  <c r="N1614" i="37"/>
  <c r="O1614" i="37" s="1"/>
  <c r="N1234" i="37"/>
  <c r="E1612" i="37" l="1"/>
  <c r="AM1612" i="37" s="1"/>
  <c r="AN1612" i="37" s="1"/>
  <c r="AH1232" i="37"/>
  <c r="AI1232" i="37" s="1"/>
  <c r="AJ1232" i="37" s="1"/>
  <c r="S1614" i="37"/>
  <c r="V1614" i="37" s="1"/>
  <c r="Z1614" i="37"/>
  <c r="Z1233" i="37"/>
  <c r="S1233" i="37"/>
  <c r="V1233" i="37" s="1"/>
  <c r="N1615" i="37"/>
  <c r="O1615" i="37" s="1"/>
  <c r="O1234" i="37"/>
  <c r="N1235" i="37"/>
  <c r="E1232" i="37"/>
  <c r="AM1232" i="37" s="1"/>
  <c r="AN1232" i="37" s="1"/>
  <c r="AK1232" i="37"/>
  <c r="AH1613" i="37"/>
  <c r="AI1613" i="37" s="1"/>
  <c r="AJ1613" i="37" s="1"/>
  <c r="E1231" i="37"/>
  <c r="AM1231" i="37" s="1"/>
  <c r="AN1231" i="37" s="1"/>
  <c r="AK1231" i="37"/>
  <c r="AH1614" i="37" l="1"/>
  <c r="AI1614" i="37" s="1"/>
  <c r="AJ1614" i="37" s="1"/>
  <c r="S1615" i="37"/>
  <c r="V1615" i="37" s="1"/>
  <c r="Z1615" i="37"/>
  <c r="AK1613" i="37"/>
  <c r="E1613" i="37"/>
  <c r="AM1613" i="37" s="1"/>
  <c r="AN1613" i="37" s="1"/>
  <c r="O1235" i="37"/>
  <c r="N1236" i="37"/>
  <c r="N1616" i="37"/>
  <c r="O1616" i="37" s="1"/>
  <c r="Z1234" i="37"/>
  <c r="S1234" i="37"/>
  <c r="V1234" i="37" s="1"/>
  <c r="AH1233" i="37"/>
  <c r="AI1233" i="37" s="1"/>
  <c r="AJ1233" i="37" s="1"/>
  <c r="AK1614" i="37"/>
  <c r="E1614" i="37"/>
  <c r="AM1614" i="37" s="1"/>
  <c r="AN1614" i="37" s="1"/>
  <c r="AH1615" i="37" l="1"/>
  <c r="AI1615" i="37" s="1"/>
  <c r="AJ1615" i="37" s="1"/>
  <c r="Z1235" i="37"/>
  <c r="S1235" i="37"/>
  <c r="V1235" i="37" s="1"/>
  <c r="AK1233" i="37"/>
  <c r="E1233" i="37"/>
  <c r="AM1233" i="37" s="1"/>
  <c r="AN1233" i="37" s="1"/>
  <c r="AH1234" i="37"/>
  <c r="AI1234" i="37" s="1"/>
  <c r="AJ1234" i="37" s="1"/>
  <c r="N1617" i="37"/>
  <c r="O1617" i="37" s="1"/>
  <c r="N1237" i="37"/>
  <c r="O1236" i="37"/>
  <c r="Z1616" i="37"/>
  <c r="S1616" i="37"/>
  <c r="V1616" i="37" s="1"/>
  <c r="E1615" i="37" l="1"/>
  <c r="AM1615" i="37" s="1"/>
  <c r="AN1615" i="37" s="1"/>
  <c r="AK1615" i="37"/>
  <c r="Z1617" i="37"/>
  <c r="S1617" i="37"/>
  <c r="V1617" i="37" s="1"/>
  <c r="AH1616" i="37"/>
  <c r="AI1616" i="37" s="1"/>
  <c r="AJ1616" i="37" s="1"/>
  <c r="O1237" i="37"/>
  <c r="N1238" i="37"/>
  <c r="N1618" i="37"/>
  <c r="O1618" i="37" s="1"/>
  <c r="Z1236" i="37"/>
  <c r="S1236" i="37"/>
  <c r="V1236" i="37" s="1"/>
  <c r="AK1234" i="37"/>
  <c r="E1234" i="37"/>
  <c r="AM1234" i="37" s="1"/>
  <c r="AN1234" i="37" s="1"/>
  <c r="AH1235" i="37"/>
  <c r="AI1235" i="37" s="1"/>
  <c r="AJ1235" i="37" s="1"/>
  <c r="E1235" i="37" l="1"/>
  <c r="AM1235" i="37" s="1"/>
  <c r="AN1235" i="37" s="1"/>
  <c r="AK1235" i="37"/>
  <c r="S1618" i="37"/>
  <c r="V1618" i="37" s="1"/>
  <c r="Z1618" i="37"/>
  <c r="S1237" i="37"/>
  <c r="V1237" i="37" s="1"/>
  <c r="Z1237" i="37"/>
  <c r="AH1236" i="37"/>
  <c r="AI1236" i="37" s="1"/>
  <c r="AJ1236" i="37" s="1"/>
  <c r="O1238" i="37"/>
  <c r="N1619" i="37"/>
  <c r="O1619" i="37" s="1"/>
  <c r="N1239" i="37"/>
  <c r="E1616" i="37"/>
  <c r="AM1616" i="37" s="1"/>
  <c r="AN1616" i="37" s="1"/>
  <c r="AK1616" i="37"/>
  <c r="AH1617" i="37"/>
  <c r="AI1617" i="37" s="1"/>
  <c r="AJ1617" i="37" s="1"/>
  <c r="AH1618" i="37" l="1"/>
  <c r="AI1618" i="37" s="1"/>
  <c r="AJ1618" i="37" s="1"/>
  <c r="AK1618" i="37" s="1"/>
  <c r="AH1237" i="37"/>
  <c r="AI1237" i="37" s="1"/>
  <c r="AJ1237" i="37" s="1"/>
  <c r="E1617" i="37"/>
  <c r="AM1617" i="37" s="1"/>
  <c r="AN1617" i="37" s="1"/>
  <c r="AK1617" i="37"/>
  <c r="N1240" i="37"/>
  <c r="N1620" i="37"/>
  <c r="O1620" i="37" s="1"/>
  <c r="O1239" i="37"/>
  <c r="AK1236" i="37"/>
  <c r="E1236" i="37"/>
  <c r="AM1236" i="37" s="1"/>
  <c r="AN1236" i="37" s="1"/>
  <c r="S1619" i="37"/>
  <c r="V1619" i="37" s="1"/>
  <c r="Z1619" i="37"/>
  <c r="AK1237" i="37"/>
  <c r="E1237" i="37"/>
  <c r="AM1237" i="37" s="1"/>
  <c r="AN1237" i="37" s="1"/>
  <c r="Z1238" i="37"/>
  <c r="S1238" i="37"/>
  <c r="V1238" i="37" s="1"/>
  <c r="E1618" i="37" l="1"/>
  <c r="AM1618" i="37" s="1"/>
  <c r="AN1618" i="37" s="1"/>
  <c r="AH1619" i="37"/>
  <c r="AI1619" i="37" s="1"/>
  <c r="AJ1619" i="37" s="1"/>
  <c r="AH1238" i="37"/>
  <c r="AI1238" i="37" s="1"/>
  <c r="AJ1238" i="37" s="1"/>
  <c r="E1619" i="37"/>
  <c r="AM1619" i="37" s="1"/>
  <c r="AN1619" i="37" s="1"/>
  <c r="AK1619" i="37"/>
  <c r="Z1239" i="37"/>
  <c r="S1239" i="37"/>
  <c r="V1239" i="37" s="1"/>
  <c r="Z1620" i="37"/>
  <c r="S1620" i="37"/>
  <c r="V1620" i="37" s="1"/>
  <c r="N1621" i="37"/>
  <c r="O1621" i="37" s="1"/>
  <c r="O1240" i="37"/>
  <c r="N1241" i="37"/>
  <c r="S1240" i="37" l="1"/>
  <c r="V1240" i="37" s="1"/>
  <c r="Z1240" i="37"/>
  <c r="N1242" i="37"/>
  <c r="O1241" i="37"/>
  <c r="N1622" i="37"/>
  <c r="O1622" i="37" s="1"/>
  <c r="AH1620" i="37"/>
  <c r="AI1620" i="37" s="1"/>
  <c r="AJ1620" i="37" s="1"/>
  <c r="Z1621" i="37"/>
  <c r="S1621" i="37"/>
  <c r="V1621" i="37" s="1"/>
  <c r="AH1239" i="37"/>
  <c r="AI1239" i="37" s="1"/>
  <c r="AJ1239" i="37" s="1"/>
  <c r="E1238" i="37"/>
  <c r="AM1238" i="37" s="1"/>
  <c r="AN1238" i="37" s="1"/>
  <c r="AK1238" i="37"/>
  <c r="AH1240" i="37" l="1"/>
  <c r="AI1240" i="37" s="1"/>
  <c r="AJ1240" i="37" s="1"/>
  <c r="E1240" i="37" s="1"/>
  <c r="AM1240" i="37" s="1"/>
  <c r="AN1240" i="37" s="1"/>
  <c r="AH1621" i="37"/>
  <c r="AI1621" i="37" s="1"/>
  <c r="AJ1621" i="37" s="1"/>
  <c r="E1621" i="37" s="1"/>
  <c r="AM1621" i="37" s="1"/>
  <c r="AN1621" i="37" s="1"/>
  <c r="AK1239" i="37"/>
  <c r="E1239" i="37"/>
  <c r="AM1239" i="37" s="1"/>
  <c r="AN1239" i="37" s="1"/>
  <c r="E1620" i="37"/>
  <c r="AM1620" i="37" s="1"/>
  <c r="AN1620" i="37" s="1"/>
  <c r="AK1620" i="37"/>
  <c r="S1241" i="37"/>
  <c r="V1241" i="37" s="1"/>
  <c r="Z1241" i="37"/>
  <c r="S1622" i="37"/>
  <c r="V1622" i="37" s="1"/>
  <c r="Z1622" i="37"/>
  <c r="O1242" i="37"/>
  <c r="N1243" i="37"/>
  <c r="N1623" i="37"/>
  <c r="O1623" i="37" s="1"/>
  <c r="AK1621" i="37" l="1"/>
  <c r="AH1622" i="37"/>
  <c r="AI1622" i="37" s="1"/>
  <c r="AJ1622" i="37" s="1"/>
  <c r="AK1240" i="37"/>
  <c r="AH1241" i="37"/>
  <c r="AI1241" i="37" s="1"/>
  <c r="AJ1241" i="37" s="1"/>
  <c r="S1623" i="37"/>
  <c r="V1623" i="37" s="1"/>
  <c r="Z1623" i="37"/>
  <c r="O1243" i="37"/>
  <c r="N1624" i="37"/>
  <c r="O1624" i="37" s="1"/>
  <c r="N1244" i="37"/>
  <c r="E1622" i="37"/>
  <c r="AM1622" i="37" s="1"/>
  <c r="AN1622" i="37" s="1"/>
  <c r="AK1622" i="37"/>
  <c r="Z1242" i="37"/>
  <c r="S1242" i="37"/>
  <c r="V1242" i="37" s="1"/>
  <c r="AK1241" i="37"/>
  <c r="E1241" i="37"/>
  <c r="AM1241" i="37" s="1"/>
  <c r="AN1241" i="37" s="1"/>
  <c r="AH1623" i="37" l="1"/>
  <c r="AI1623" i="37" s="1"/>
  <c r="AJ1623" i="37" s="1"/>
  <c r="AK1623" i="37" s="1"/>
  <c r="AH1242" i="37"/>
  <c r="AI1242" i="37" s="1"/>
  <c r="AJ1242" i="37" s="1"/>
  <c r="O1244" i="37"/>
  <c r="N1245" i="37"/>
  <c r="N1625" i="37"/>
  <c r="O1625" i="37" s="1"/>
  <c r="S1624" i="37"/>
  <c r="V1624" i="37" s="1"/>
  <c r="Z1624" i="37"/>
  <c r="Z1243" i="37"/>
  <c r="S1243" i="37"/>
  <c r="V1243" i="37" s="1"/>
  <c r="E1623" i="37" l="1"/>
  <c r="AM1623" i="37" s="1"/>
  <c r="AN1623" i="37" s="1"/>
  <c r="AH1624" i="37"/>
  <c r="AI1624" i="37" s="1"/>
  <c r="AJ1624" i="37" s="1"/>
  <c r="E1624" i="37" s="1"/>
  <c r="AM1624" i="37" s="1"/>
  <c r="AN1624" i="37" s="1"/>
  <c r="AH1243" i="37"/>
  <c r="AI1243" i="37" s="1"/>
  <c r="AJ1243" i="37" s="1"/>
  <c r="E1243" i="37" s="1"/>
  <c r="AM1243" i="37" s="1"/>
  <c r="AN1243" i="37" s="1"/>
  <c r="S1244" i="37"/>
  <c r="V1244" i="37" s="1"/>
  <c r="Z1244" i="37"/>
  <c r="S1625" i="37"/>
  <c r="V1625" i="37" s="1"/>
  <c r="Z1625" i="37"/>
  <c r="N1626" i="37"/>
  <c r="O1626" i="37" s="1"/>
  <c r="N1246" i="37"/>
  <c r="O1245" i="37"/>
  <c r="E1242" i="37"/>
  <c r="AM1242" i="37" s="1"/>
  <c r="AN1242" i="37" s="1"/>
  <c r="AK1242" i="37"/>
  <c r="AK1624" i="37" l="1"/>
  <c r="AH1625" i="37"/>
  <c r="AI1625" i="37" s="1"/>
  <c r="AJ1625" i="37" s="1"/>
  <c r="AH1244" i="37"/>
  <c r="AI1244" i="37" s="1"/>
  <c r="AJ1244" i="37" s="1"/>
  <c r="AK1244" i="37" s="1"/>
  <c r="AK1243" i="37"/>
  <c r="S1245" i="37"/>
  <c r="V1245" i="37" s="1"/>
  <c r="Z1245" i="37"/>
  <c r="N1627" i="37"/>
  <c r="O1627" i="37" s="1"/>
  <c r="O1246" i="37"/>
  <c r="N1247" i="37"/>
  <c r="E1625" i="37"/>
  <c r="AM1625" i="37" s="1"/>
  <c r="AN1625" i="37" s="1"/>
  <c r="AK1625" i="37"/>
  <c r="Z1626" i="37"/>
  <c r="S1626" i="37"/>
  <c r="V1626" i="37" s="1"/>
  <c r="AH1245" i="37" l="1"/>
  <c r="AI1245" i="37" s="1"/>
  <c r="AJ1245" i="37" s="1"/>
  <c r="E1244" i="37"/>
  <c r="AM1244" i="37" s="1"/>
  <c r="AN1244" i="37" s="1"/>
  <c r="AH1626" i="37"/>
  <c r="AI1626" i="37" s="1"/>
  <c r="AJ1626" i="37" s="1"/>
  <c r="O1247" i="37"/>
  <c r="N1628" i="37"/>
  <c r="O1628" i="37" s="1"/>
  <c r="N1248" i="37"/>
  <c r="S1246" i="37"/>
  <c r="V1246" i="37" s="1"/>
  <c r="Z1246" i="37"/>
  <c r="AK1245" i="37"/>
  <c r="E1245" i="37"/>
  <c r="AM1245" i="37" s="1"/>
  <c r="AN1245" i="37" s="1"/>
  <c r="S1627" i="37"/>
  <c r="V1627" i="37" s="1"/>
  <c r="Z1627" i="37"/>
  <c r="AH1246" i="37" l="1"/>
  <c r="AI1246" i="37" s="1"/>
  <c r="AJ1246" i="37" s="1"/>
  <c r="AH1627" i="37"/>
  <c r="AI1627" i="37" s="1"/>
  <c r="AJ1627" i="37" s="1"/>
  <c r="AK1627" i="37" s="1"/>
  <c r="S1628" i="37"/>
  <c r="V1628" i="37" s="1"/>
  <c r="Z1628" i="37"/>
  <c r="Z1247" i="37"/>
  <c r="S1247" i="37"/>
  <c r="V1247" i="37" s="1"/>
  <c r="O1248" i="37"/>
  <c r="N1249" i="37"/>
  <c r="N1629" i="37"/>
  <c r="O1629" i="37" s="1"/>
  <c r="E1626" i="37"/>
  <c r="AM1626" i="37" s="1"/>
  <c r="AN1626" i="37" s="1"/>
  <c r="AK1626" i="37"/>
  <c r="E1627" i="37" l="1"/>
  <c r="AM1627" i="37" s="1"/>
  <c r="AN1627" i="37" s="1"/>
  <c r="E1246" i="37"/>
  <c r="AM1246" i="37" s="1"/>
  <c r="AN1246" i="37" s="1"/>
  <c r="AK1246" i="37"/>
  <c r="AH1628" i="37"/>
  <c r="AI1628" i="37" s="1"/>
  <c r="AJ1628" i="37" s="1"/>
  <c r="AK1628" i="37" s="1"/>
  <c r="N1630" i="37"/>
  <c r="O1630" i="37" s="1"/>
  <c r="N1250" i="37"/>
  <c r="O1249" i="37"/>
  <c r="Z1629" i="37"/>
  <c r="S1629" i="37"/>
  <c r="V1629" i="37" s="1"/>
  <c r="Z1248" i="37"/>
  <c r="S1248" i="37"/>
  <c r="V1248" i="37" s="1"/>
  <c r="AH1247" i="37"/>
  <c r="AI1247" i="37" s="1"/>
  <c r="AJ1247" i="37" s="1"/>
  <c r="E1628" i="37" l="1"/>
  <c r="AM1628" i="37" s="1"/>
  <c r="AN1628" i="37" s="1"/>
  <c r="E1247" i="37"/>
  <c r="AM1247" i="37" s="1"/>
  <c r="AN1247" i="37" s="1"/>
  <c r="AK1247" i="37"/>
  <c r="S1249" i="37"/>
  <c r="V1249" i="37" s="1"/>
  <c r="Z1249" i="37"/>
  <c r="AH1248" i="37"/>
  <c r="AI1248" i="37" s="1"/>
  <c r="AJ1248" i="37" s="1"/>
  <c r="AH1629" i="37"/>
  <c r="AI1629" i="37" s="1"/>
  <c r="AJ1629" i="37" s="1"/>
  <c r="N1251" i="37"/>
  <c r="O1250" i="37"/>
  <c r="N1631" i="37"/>
  <c r="O1631" i="37" s="1"/>
  <c r="S1630" i="37"/>
  <c r="V1630" i="37" s="1"/>
  <c r="Z1630" i="37"/>
  <c r="AH1249" i="37" l="1"/>
  <c r="AI1249" i="37" s="1"/>
  <c r="AJ1249" i="37" s="1"/>
  <c r="AK1249" i="37" s="1"/>
  <c r="AH1630" i="37"/>
  <c r="AI1630" i="37" s="1"/>
  <c r="AJ1630" i="37" s="1"/>
  <c r="AK1630" i="37" s="1"/>
  <c r="S1631" i="37"/>
  <c r="V1631" i="37" s="1"/>
  <c r="Z1631" i="37"/>
  <c r="O1251" i="37"/>
  <c r="N1632" i="37"/>
  <c r="O1632" i="37" s="1"/>
  <c r="N1252" i="37"/>
  <c r="E1248" i="37"/>
  <c r="AM1248" i="37" s="1"/>
  <c r="AN1248" i="37" s="1"/>
  <c r="AK1248" i="37"/>
  <c r="S1250" i="37"/>
  <c r="V1250" i="37" s="1"/>
  <c r="Z1250" i="37"/>
  <c r="E1629" i="37"/>
  <c r="AM1629" i="37" s="1"/>
  <c r="AN1629" i="37" s="1"/>
  <c r="AK1629" i="37"/>
  <c r="E1249" i="37" l="1"/>
  <c r="AM1249" i="37" s="1"/>
  <c r="AN1249" i="37" s="1"/>
  <c r="E1630" i="37"/>
  <c r="AM1630" i="37" s="1"/>
  <c r="AN1630" i="37" s="1"/>
  <c r="AH1631" i="37"/>
  <c r="AI1631" i="37" s="1"/>
  <c r="AJ1631" i="37" s="1"/>
  <c r="AK1631" i="37" s="1"/>
  <c r="AH1250" i="37"/>
  <c r="AI1250" i="37" s="1"/>
  <c r="AJ1250" i="37" s="1"/>
  <c r="E1250" i="37" s="1"/>
  <c r="AM1250" i="37" s="1"/>
  <c r="AN1250" i="37" s="1"/>
  <c r="O1252" i="37"/>
  <c r="N1253" i="37"/>
  <c r="N1633" i="37"/>
  <c r="O1633" i="37" s="1"/>
  <c r="S1632" i="37"/>
  <c r="V1632" i="37" s="1"/>
  <c r="Z1632" i="37"/>
  <c r="S1251" i="37"/>
  <c r="V1251" i="37" s="1"/>
  <c r="Z1251" i="37"/>
  <c r="AH1632" i="37" l="1"/>
  <c r="AI1632" i="37" s="1"/>
  <c r="AJ1632" i="37" s="1"/>
  <c r="AK1632" i="37" s="1"/>
  <c r="E1631" i="37"/>
  <c r="AM1631" i="37" s="1"/>
  <c r="AN1631" i="37" s="1"/>
  <c r="AH1251" i="37"/>
  <c r="AI1251" i="37" s="1"/>
  <c r="AJ1251" i="37" s="1"/>
  <c r="AK1251" i="37" s="1"/>
  <c r="E1632" i="37"/>
  <c r="AM1632" i="37" s="1"/>
  <c r="AN1632" i="37" s="1"/>
  <c r="AK1250" i="37"/>
  <c r="O1253" i="37"/>
  <c r="N1254" i="37"/>
  <c r="N1634" i="37"/>
  <c r="O1634" i="37" s="1"/>
  <c r="Z1633" i="37"/>
  <c r="S1633" i="37"/>
  <c r="V1633" i="37" s="1"/>
  <c r="Z1252" i="37"/>
  <c r="S1252" i="37"/>
  <c r="V1252" i="37" s="1"/>
  <c r="E1251" i="37" l="1"/>
  <c r="AM1251" i="37" s="1"/>
  <c r="AN1251" i="37" s="1"/>
  <c r="Z1634" i="37"/>
  <c r="S1634" i="37"/>
  <c r="V1634" i="37" s="1"/>
  <c r="AH1252" i="37"/>
  <c r="AI1252" i="37" s="1"/>
  <c r="AJ1252" i="37" s="1"/>
  <c r="AH1633" i="37"/>
  <c r="AI1633" i="37" s="1"/>
  <c r="AJ1633" i="37" s="1"/>
  <c r="N1255" i="37"/>
  <c r="N1635" i="37"/>
  <c r="O1635" i="37" s="1"/>
  <c r="O1254" i="37"/>
  <c r="Z1253" i="37"/>
  <c r="S1253" i="37"/>
  <c r="V1253" i="37" s="1"/>
  <c r="AH1253" i="37" l="1"/>
  <c r="AI1253" i="37" s="1"/>
  <c r="AJ1253" i="37" s="1"/>
  <c r="O1255" i="37"/>
  <c r="N1256" i="37"/>
  <c r="N1636" i="37"/>
  <c r="O1636" i="37" s="1"/>
  <c r="S1635" i="37"/>
  <c r="V1635" i="37" s="1"/>
  <c r="Z1635" i="37"/>
  <c r="AH1635" i="37" s="1"/>
  <c r="AI1635" i="37" s="1"/>
  <c r="AJ1635" i="37" s="1"/>
  <c r="S1254" i="37"/>
  <c r="V1254" i="37" s="1"/>
  <c r="Z1254" i="37"/>
  <c r="E1633" i="37"/>
  <c r="AM1633" i="37" s="1"/>
  <c r="AN1633" i="37" s="1"/>
  <c r="AK1633" i="37"/>
  <c r="AK1252" i="37"/>
  <c r="E1252" i="37"/>
  <c r="AM1252" i="37" s="1"/>
  <c r="AN1252" i="37" s="1"/>
  <c r="AH1634" i="37"/>
  <c r="AI1634" i="37" s="1"/>
  <c r="AJ1634" i="37" s="1"/>
  <c r="AH1254" i="37" l="1"/>
  <c r="AI1254" i="37" s="1"/>
  <c r="AJ1254" i="37" s="1"/>
  <c r="E1254" i="37" s="1"/>
  <c r="AM1254" i="37" s="1"/>
  <c r="AN1254" i="37" s="1"/>
  <c r="E1635" i="37"/>
  <c r="AM1635" i="37" s="1"/>
  <c r="AN1635" i="37" s="1"/>
  <c r="AK1635" i="37"/>
  <c r="E1634" i="37"/>
  <c r="AM1634" i="37" s="1"/>
  <c r="AN1634" i="37" s="1"/>
  <c r="AK1634" i="37"/>
  <c r="S1255" i="37"/>
  <c r="V1255" i="37" s="1"/>
  <c r="Z1255" i="37"/>
  <c r="S1636" i="37"/>
  <c r="V1636" i="37" s="1"/>
  <c r="Z1636" i="37"/>
  <c r="N1257" i="37"/>
  <c r="N1637" i="37"/>
  <c r="O1637" i="37" s="1"/>
  <c r="O1256" i="37"/>
  <c r="AK1253" i="37"/>
  <c r="E1253" i="37"/>
  <c r="AM1253" i="37" s="1"/>
  <c r="AN1253" i="37" s="1"/>
  <c r="AK1254" i="37" l="1"/>
  <c r="AH1255" i="37"/>
  <c r="AI1255" i="37" s="1"/>
  <c r="AJ1255" i="37" s="1"/>
  <c r="E1255" i="37" s="1"/>
  <c r="AM1255" i="37" s="1"/>
  <c r="AN1255" i="37" s="1"/>
  <c r="AH1636" i="37"/>
  <c r="AI1636" i="37" s="1"/>
  <c r="AJ1636" i="37" s="1"/>
  <c r="AK1636" i="37" s="1"/>
  <c r="S1637" i="37"/>
  <c r="V1637" i="37" s="1"/>
  <c r="Z1637" i="37"/>
  <c r="O1257" i="37"/>
  <c r="N1258" i="37"/>
  <c r="N1638" i="37"/>
  <c r="O1638" i="37" s="1"/>
  <c r="AK1255" i="37"/>
  <c r="S1256" i="37"/>
  <c r="V1256" i="37" s="1"/>
  <c r="Z1256" i="37"/>
  <c r="AH1256" i="37" l="1"/>
  <c r="AI1256" i="37" s="1"/>
  <c r="AJ1256" i="37" s="1"/>
  <c r="E1636" i="37"/>
  <c r="AM1636" i="37" s="1"/>
  <c r="AN1636" i="37" s="1"/>
  <c r="AH1637" i="37"/>
  <c r="AI1637" i="37" s="1"/>
  <c r="AJ1637" i="37" s="1"/>
  <c r="E1256" i="37"/>
  <c r="AM1256" i="37" s="1"/>
  <c r="AN1256" i="37" s="1"/>
  <c r="AK1256" i="37"/>
  <c r="Z1638" i="37"/>
  <c r="S1638" i="37"/>
  <c r="V1638" i="37" s="1"/>
  <c r="N1259" i="37"/>
  <c r="O1258" i="37"/>
  <c r="N1639" i="37"/>
  <c r="O1639" i="37" s="1"/>
  <c r="Z1257" i="37"/>
  <c r="S1257" i="37"/>
  <c r="V1257" i="37" s="1"/>
  <c r="E1637" i="37" l="1"/>
  <c r="AM1637" i="37" s="1"/>
  <c r="AN1637" i="37" s="1"/>
  <c r="AK1637" i="37"/>
  <c r="Z1258" i="37"/>
  <c r="S1258" i="37"/>
  <c r="V1258" i="37" s="1"/>
  <c r="AH1257" i="37"/>
  <c r="AI1257" i="37" s="1"/>
  <c r="AJ1257" i="37" s="1"/>
  <c r="N1260" i="37"/>
  <c r="N1640" i="37"/>
  <c r="O1640" i="37" s="1"/>
  <c r="O1259" i="37"/>
  <c r="Z1639" i="37"/>
  <c r="S1639" i="37"/>
  <c r="V1639" i="37" s="1"/>
  <c r="AH1638" i="37"/>
  <c r="AI1638" i="37" s="1"/>
  <c r="AJ1638" i="37" s="1"/>
  <c r="E1638" i="37" l="1"/>
  <c r="AM1638" i="37" s="1"/>
  <c r="AN1638" i="37" s="1"/>
  <c r="AK1638" i="37"/>
  <c r="AH1639" i="37"/>
  <c r="AI1639" i="37" s="1"/>
  <c r="AJ1639" i="37" s="1"/>
  <c r="S1640" i="37"/>
  <c r="V1640" i="37" s="1"/>
  <c r="Z1640" i="37"/>
  <c r="O1260" i="37"/>
  <c r="N1261" i="37"/>
  <c r="N1641" i="37"/>
  <c r="O1641" i="37" s="1"/>
  <c r="Z1259" i="37"/>
  <c r="S1259" i="37"/>
  <c r="V1259" i="37" s="1"/>
  <c r="E1257" i="37"/>
  <c r="AM1257" i="37" s="1"/>
  <c r="AN1257" i="37" s="1"/>
  <c r="AK1257" i="37"/>
  <c r="AH1258" i="37"/>
  <c r="AI1258" i="37" s="1"/>
  <c r="AJ1258" i="37" s="1"/>
  <c r="AH1640" i="37" l="1"/>
  <c r="AI1640" i="37" s="1"/>
  <c r="AJ1640" i="37" s="1"/>
  <c r="E1258" i="37"/>
  <c r="AM1258" i="37" s="1"/>
  <c r="AN1258" i="37" s="1"/>
  <c r="AK1258" i="37"/>
  <c r="AH1259" i="37"/>
  <c r="AI1259" i="37" s="1"/>
  <c r="AJ1259" i="37" s="1"/>
  <c r="S1260" i="37"/>
  <c r="V1260" i="37" s="1"/>
  <c r="Z1260" i="37"/>
  <c r="Z1641" i="37"/>
  <c r="S1641" i="37"/>
  <c r="V1641" i="37" s="1"/>
  <c r="N1262" i="37"/>
  <c r="O1261" i="37"/>
  <c r="N1642" i="37"/>
  <c r="O1642" i="37" s="1"/>
  <c r="E1640" i="37"/>
  <c r="AM1640" i="37" s="1"/>
  <c r="AN1640" i="37" s="1"/>
  <c r="AK1640" i="37"/>
  <c r="E1639" i="37"/>
  <c r="AM1639" i="37" s="1"/>
  <c r="AN1639" i="37" s="1"/>
  <c r="AK1639" i="37"/>
  <c r="AH1260" i="37" l="1"/>
  <c r="AI1260" i="37" s="1"/>
  <c r="AJ1260" i="37" s="1"/>
  <c r="S1261" i="37"/>
  <c r="V1261" i="37" s="1"/>
  <c r="Z1261" i="37"/>
  <c r="Z1642" i="37"/>
  <c r="S1642" i="37"/>
  <c r="V1642" i="37" s="1"/>
  <c r="E1260" i="37"/>
  <c r="AM1260" i="37" s="1"/>
  <c r="AN1260" i="37" s="1"/>
  <c r="AK1260" i="37"/>
  <c r="O1262" i="37"/>
  <c r="N1263" i="37"/>
  <c r="N1643" i="37"/>
  <c r="O1643" i="37" s="1"/>
  <c r="AH1641" i="37"/>
  <c r="AI1641" i="37" s="1"/>
  <c r="AJ1641" i="37" s="1"/>
  <c r="E1259" i="37"/>
  <c r="AM1259" i="37" s="1"/>
  <c r="AN1259" i="37" s="1"/>
  <c r="AK1259" i="37"/>
  <c r="AH1261" i="37" l="1"/>
  <c r="AI1261" i="37" s="1"/>
  <c r="AJ1261" i="37" s="1"/>
  <c r="E1641" i="37"/>
  <c r="AM1641" i="37" s="1"/>
  <c r="AN1641" i="37" s="1"/>
  <c r="AK1641" i="37"/>
  <c r="S1262" i="37"/>
  <c r="V1262" i="37" s="1"/>
  <c r="Z1262" i="37"/>
  <c r="Z1643" i="37"/>
  <c r="S1643" i="37"/>
  <c r="V1643" i="37" s="1"/>
  <c r="N1644" i="37"/>
  <c r="O1644" i="37" s="1"/>
  <c r="O1263" i="37"/>
  <c r="N1264" i="37"/>
  <c r="AH1642" i="37"/>
  <c r="AI1642" i="37" s="1"/>
  <c r="AJ1642" i="37" s="1"/>
  <c r="AK1261" i="37"/>
  <c r="E1261" i="37"/>
  <c r="AM1261" i="37" s="1"/>
  <c r="AN1261" i="37" s="1"/>
  <c r="AH1262" i="37" l="1"/>
  <c r="AI1262" i="37" s="1"/>
  <c r="AJ1262" i="37" s="1"/>
  <c r="E1642" i="37"/>
  <c r="AM1642" i="37" s="1"/>
  <c r="AN1642" i="37" s="1"/>
  <c r="AK1642" i="37"/>
  <c r="O1264" i="37"/>
  <c r="N1265" i="37"/>
  <c r="N1645" i="37"/>
  <c r="O1645" i="37" s="1"/>
  <c r="S1644" i="37"/>
  <c r="V1644" i="37" s="1"/>
  <c r="Z1644" i="37"/>
  <c r="AH1643" i="37"/>
  <c r="AI1643" i="37" s="1"/>
  <c r="AJ1643" i="37" s="1"/>
  <c r="S1263" i="37"/>
  <c r="V1263" i="37" s="1"/>
  <c r="Z1263" i="37"/>
  <c r="AH1644" i="37" l="1"/>
  <c r="AI1644" i="37" s="1"/>
  <c r="AJ1644" i="37" s="1"/>
  <c r="E1262" i="37"/>
  <c r="AM1262" i="37" s="1"/>
  <c r="AN1262" i="37" s="1"/>
  <c r="AK1262" i="37"/>
  <c r="AH1263" i="37"/>
  <c r="AI1263" i="37" s="1"/>
  <c r="AJ1263" i="37" s="1"/>
  <c r="E1263" i="37" s="1"/>
  <c r="AM1263" i="37" s="1"/>
  <c r="AN1263" i="37" s="1"/>
  <c r="AK1643" i="37"/>
  <c r="E1643" i="37"/>
  <c r="AM1643" i="37" s="1"/>
  <c r="AN1643" i="37" s="1"/>
  <c r="E1644" i="37"/>
  <c r="AM1644" i="37" s="1"/>
  <c r="AN1644" i="37" s="1"/>
  <c r="AK1644" i="37"/>
  <c r="Z1645" i="37"/>
  <c r="S1645" i="37"/>
  <c r="V1645" i="37" s="1"/>
  <c r="N1266" i="37"/>
  <c r="N1646" i="37"/>
  <c r="O1646" i="37" s="1"/>
  <c r="O1265" i="37"/>
  <c r="Z1264" i="37"/>
  <c r="S1264" i="37"/>
  <c r="V1264" i="37" s="1"/>
  <c r="AK1263" i="37" l="1"/>
  <c r="AH1264" i="37"/>
  <c r="AI1264" i="37" s="1"/>
  <c r="AJ1264" i="37" s="1"/>
  <c r="AH1645" i="37"/>
  <c r="AI1645" i="37" s="1"/>
  <c r="AJ1645" i="37" s="1"/>
  <c r="E1645" i="37" s="1"/>
  <c r="AM1645" i="37" s="1"/>
  <c r="AN1645" i="37" s="1"/>
  <c r="E1264" i="37"/>
  <c r="AM1264" i="37" s="1"/>
  <c r="AN1264" i="37" s="1"/>
  <c r="AK1264" i="37"/>
  <c r="S1646" i="37"/>
  <c r="V1646" i="37" s="1"/>
  <c r="Z1646" i="37"/>
  <c r="Z1265" i="37"/>
  <c r="S1265" i="37"/>
  <c r="V1265" i="37" s="1"/>
  <c r="N1647" i="37"/>
  <c r="O1647" i="37" s="1"/>
  <c r="N1267" i="37"/>
  <c r="O1266" i="37"/>
  <c r="AH1646" i="37" l="1"/>
  <c r="AI1646" i="37" s="1"/>
  <c r="AJ1646" i="37" s="1"/>
  <c r="AK1645" i="37"/>
  <c r="O1267" i="37"/>
  <c r="N1268" i="37"/>
  <c r="N1648" i="37"/>
  <c r="O1648" i="37" s="1"/>
  <c r="S1266" i="37"/>
  <c r="V1266" i="37" s="1"/>
  <c r="Z1266" i="37"/>
  <c r="AH1265" i="37"/>
  <c r="AI1265" i="37" s="1"/>
  <c r="AJ1265" i="37" s="1"/>
  <c r="Z1647" i="37"/>
  <c r="S1647" i="37"/>
  <c r="V1647" i="37" s="1"/>
  <c r="E1646" i="37"/>
  <c r="AM1646" i="37" s="1"/>
  <c r="AN1646" i="37" s="1"/>
  <c r="AK1646" i="37"/>
  <c r="AH1266" i="37" l="1"/>
  <c r="AI1266" i="37" s="1"/>
  <c r="AJ1266" i="37" s="1"/>
  <c r="S1648" i="37"/>
  <c r="V1648" i="37" s="1"/>
  <c r="Z1648" i="37"/>
  <c r="AH1647" i="37"/>
  <c r="AI1647" i="37" s="1"/>
  <c r="AJ1647" i="37" s="1"/>
  <c r="AK1266" i="37"/>
  <c r="E1266" i="37"/>
  <c r="AM1266" i="37" s="1"/>
  <c r="AN1266" i="37" s="1"/>
  <c r="O1268" i="37"/>
  <c r="N1269" i="37"/>
  <c r="N1649" i="37"/>
  <c r="O1649" i="37" s="1"/>
  <c r="E1265" i="37"/>
  <c r="AM1265" i="37" s="1"/>
  <c r="AN1265" i="37" s="1"/>
  <c r="AK1265" i="37"/>
  <c r="Z1267" i="37"/>
  <c r="S1267" i="37"/>
  <c r="V1267" i="37" s="1"/>
  <c r="AH1648" i="37" l="1"/>
  <c r="AI1648" i="37" s="1"/>
  <c r="AJ1648" i="37" s="1"/>
  <c r="Z1649" i="37"/>
  <c r="S1649" i="37"/>
  <c r="V1649" i="37" s="1"/>
  <c r="S1268" i="37"/>
  <c r="V1268" i="37" s="1"/>
  <c r="Z1268" i="37"/>
  <c r="AH1268" i="37" s="1"/>
  <c r="AI1268" i="37" s="1"/>
  <c r="AJ1268" i="37" s="1"/>
  <c r="E1648" i="37"/>
  <c r="AM1648" i="37" s="1"/>
  <c r="AN1648" i="37" s="1"/>
  <c r="AK1648" i="37"/>
  <c r="AH1267" i="37"/>
  <c r="AI1267" i="37" s="1"/>
  <c r="AJ1267" i="37" s="1"/>
  <c r="N1650" i="37"/>
  <c r="O1650" i="37" s="1"/>
  <c r="O1269" i="37"/>
  <c r="N1270" i="37"/>
  <c r="E1647" i="37"/>
  <c r="AM1647" i="37" s="1"/>
  <c r="AN1647" i="37" s="1"/>
  <c r="AK1647" i="37"/>
  <c r="O1270" i="37" l="1"/>
  <c r="N1271" i="37"/>
  <c r="N1651" i="37"/>
  <c r="O1651" i="37" s="1"/>
  <c r="E1267" i="37"/>
  <c r="AM1267" i="37" s="1"/>
  <c r="AN1267" i="37" s="1"/>
  <c r="AK1267" i="37"/>
  <c r="S1269" i="37"/>
  <c r="V1269" i="37" s="1"/>
  <c r="Z1269" i="37"/>
  <c r="Z1650" i="37"/>
  <c r="S1650" i="37"/>
  <c r="V1650" i="37" s="1"/>
  <c r="E1268" i="37"/>
  <c r="AM1268" i="37" s="1"/>
  <c r="AN1268" i="37" s="1"/>
  <c r="AK1268" i="37"/>
  <c r="AH1649" i="37"/>
  <c r="AI1649" i="37" s="1"/>
  <c r="AJ1649" i="37" s="1"/>
  <c r="AH1269" i="37" l="1"/>
  <c r="AI1269" i="37" s="1"/>
  <c r="AJ1269" i="37" s="1"/>
  <c r="E1269" i="37" s="1"/>
  <c r="AM1269" i="37" s="1"/>
  <c r="AN1269" i="37" s="1"/>
  <c r="AH1650" i="37"/>
  <c r="AI1650" i="37" s="1"/>
  <c r="AJ1650" i="37" s="1"/>
  <c r="AK1650" i="37" s="1"/>
  <c r="Z1651" i="37"/>
  <c r="S1651" i="37"/>
  <c r="V1651" i="37" s="1"/>
  <c r="E1649" i="37"/>
  <c r="AM1649" i="37" s="1"/>
  <c r="AN1649" i="37" s="1"/>
  <c r="AK1649" i="37"/>
  <c r="AK1269" i="37"/>
  <c r="O1271" i="37"/>
  <c r="N1272" i="37"/>
  <c r="N1652" i="37"/>
  <c r="O1652" i="37" s="1"/>
  <c r="Z1270" i="37"/>
  <c r="S1270" i="37"/>
  <c r="V1270" i="37" s="1"/>
  <c r="E1650" i="37" l="1"/>
  <c r="AM1650" i="37" s="1"/>
  <c r="AN1650" i="37" s="1"/>
  <c r="S1652" i="37"/>
  <c r="V1652" i="37" s="1"/>
  <c r="Z1652" i="37"/>
  <c r="Z1271" i="37"/>
  <c r="S1271" i="37"/>
  <c r="V1271" i="37" s="1"/>
  <c r="AH1651" i="37"/>
  <c r="AI1651" i="37" s="1"/>
  <c r="AJ1651" i="37" s="1"/>
  <c r="AH1270" i="37"/>
  <c r="AI1270" i="37" s="1"/>
  <c r="AJ1270" i="37" s="1"/>
  <c r="O1272" i="37"/>
  <c r="N1273" i="37"/>
  <c r="N1653" i="37"/>
  <c r="O1653" i="37" s="1"/>
  <c r="AH1652" i="37" l="1"/>
  <c r="AI1652" i="37" s="1"/>
  <c r="AJ1652" i="37" s="1"/>
  <c r="Z1272" i="37"/>
  <c r="S1272" i="37"/>
  <c r="V1272" i="37" s="1"/>
  <c r="N1274" i="37"/>
  <c r="N1654" i="37"/>
  <c r="O1654" i="37" s="1"/>
  <c r="O1273" i="37"/>
  <c r="E1652" i="37"/>
  <c r="AM1652" i="37" s="1"/>
  <c r="AN1652" i="37" s="1"/>
  <c r="AK1652" i="37"/>
  <c r="Z1653" i="37"/>
  <c r="S1653" i="37"/>
  <c r="V1653" i="37" s="1"/>
  <c r="AK1270" i="37"/>
  <c r="E1270" i="37"/>
  <c r="AM1270" i="37" s="1"/>
  <c r="AN1270" i="37" s="1"/>
  <c r="AK1651" i="37"/>
  <c r="E1651" i="37"/>
  <c r="AM1651" i="37" s="1"/>
  <c r="AN1651" i="37" s="1"/>
  <c r="AH1271" i="37"/>
  <c r="AI1271" i="37" s="1"/>
  <c r="AJ1271" i="37" s="1"/>
  <c r="AK1271" i="37" l="1"/>
  <c r="E1271" i="37"/>
  <c r="AM1271" i="37" s="1"/>
  <c r="AN1271" i="37" s="1"/>
  <c r="AH1653" i="37"/>
  <c r="AI1653" i="37" s="1"/>
  <c r="AJ1653" i="37" s="1"/>
  <c r="S1654" i="37"/>
  <c r="V1654" i="37" s="1"/>
  <c r="Z1654" i="37"/>
  <c r="S1273" i="37"/>
  <c r="V1273" i="37" s="1"/>
  <c r="Z1273" i="37"/>
  <c r="N1275" i="37"/>
  <c r="O1274" i="37"/>
  <c r="N1655" i="37"/>
  <c r="O1655" i="37" s="1"/>
  <c r="AH1272" i="37"/>
  <c r="AI1272" i="37" s="1"/>
  <c r="AJ1272" i="37" s="1"/>
  <c r="AH1654" i="37" l="1"/>
  <c r="AI1654" i="37" s="1"/>
  <c r="AJ1654" i="37" s="1"/>
  <c r="AH1273" i="37"/>
  <c r="AI1273" i="37" s="1"/>
  <c r="AJ1273" i="37" s="1"/>
  <c r="E1272" i="37"/>
  <c r="AM1272" i="37" s="1"/>
  <c r="AN1272" i="37" s="1"/>
  <c r="AK1272" i="37"/>
  <c r="Z1274" i="37"/>
  <c r="S1274" i="37"/>
  <c r="V1274" i="37" s="1"/>
  <c r="S1655" i="37"/>
  <c r="V1655" i="37" s="1"/>
  <c r="Z1655" i="37"/>
  <c r="AK1273" i="37"/>
  <c r="E1273" i="37"/>
  <c r="AM1273" i="37" s="1"/>
  <c r="AN1273" i="37" s="1"/>
  <c r="O1275" i="37"/>
  <c r="N1656" i="37"/>
  <c r="O1656" i="37" s="1"/>
  <c r="N1276" i="37"/>
  <c r="E1654" i="37"/>
  <c r="AM1654" i="37" s="1"/>
  <c r="AN1654" i="37" s="1"/>
  <c r="AK1654" i="37"/>
  <c r="E1653" i="37"/>
  <c r="AM1653" i="37" s="1"/>
  <c r="AN1653" i="37" s="1"/>
  <c r="AK1653" i="37"/>
  <c r="AH1655" i="37" l="1"/>
  <c r="AI1655" i="37" s="1"/>
  <c r="AJ1655" i="37" s="1"/>
  <c r="E1655" i="37" s="1"/>
  <c r="AM1655" i="37" s="1"/>
  <c r="AN1655" i="37" s="1"/>
  <c r="N1277" i="37"/>
  <c r="O1276" i="37"/>
  <c r="N1657" i="37"/>
  <c r="O1657" i="37" s="1"/>
  <c r="AK1655" i="37"/>
  <c r="S1656" i="37"/>
  <c r="V1656" i="37" s="1"/>
  <c r="Z1656" i="37"/>
  <c r="Z1275" i="37"/>
  <c r="S1275" i="37"/>
  <c r="V1275" i="37" s="1"/>
  <c r="AH1274" i="37"/>
  <c r="AI1274" i="37" s="1"/>
  <c r="AJ1274" i="37" s="1"/>
  <c r="AH1656" i="37" l="1"/>
  <c r="AI1656" i="37" s="1"/>
  <c r="AJ1656" i="37" s="1"/>
  <c r="E1274" i="37"/>
  <c r="AM1274" i="37" s="1"/>
  <c r="AN1274" i="37" s="1"/>
  <c r="AK1274" i="37"/>
  <c r="AH1275" i="37"/>
  <c r="AI1275" i="37" s="1"/>
  <c r="AJ1275" i="37" s="1"/>
  <c r="E1656" i="37"/>
  <c r="AM1656" i="37" s="1"/>
  <c r="AN1656" i="37" s="1"/>
  <c r="AK1656" i="37"/>
  <c r="Z1276" i="37"/>
  <c r="S1276" i="37"/>
  <c r="V1276" i="37" s="1"/>
  <c r="Z1657" i="37"/>
  <c r="S1657" i="37"/>
  <c r="V1657" i="37" s="1"/>
  <c r="O1277" i="37"/>
  <c r="N1278" i="37"/>
  <c r="N1658" i="37"/>
  <c r="O1658" i="37" s="1"/>
  <c r="AH1276" i="37" l="1"/>
  <c r="AI1276" i="37" s="1"/>
  <c r="AJ1276" i="37" s="1"/>
  <c r="E1276" i="37" s="1"/>
  <c r="AM1276" i="37" s="1"/>
  <c r="AN1276" i="37" s="1"/>
  <c r="N1659" i="37"/>
  <c r="O1659" i="37" s="1"/>
  <c r="O1278" i="37"/>
  <c r="N1279" i="37"/>
  <c r="S1658" i="37"/>
  <c r="V1658" i="37" s="1"/>
  <c r="Z1658" i="37"/>
  <c r="AH1657" i="37"/>
  <c r="AI1657" i="37" s="1"/>
  <c r="AJ1657" i="37" s="1"/>
  <c r="AK1276" i="37"/>
  <c r="S1277" i="37"/>
  <c r="V1277" i="37" s="1"/>
  <c r="Z1277" i="37"/>
  <c r="E1275" i="37"/>
  <c r="AM1275" i="37" s="1"/>
  <c r="AN1275" i="37" s="1"/>
  <c r="AK1275" i="37"/>
  <c r="AH1658" i="37" l="1"/>
  <c r="AI1658" i="37" s="1"/>
  <c r="AJ1658" i="37" s="1"/>
  <c r="AH1277" i="37"/>
  <c r="AI1277" i="37" s="1"/>
  <c r="AJ1277" i="37" s="1"/>
  <c r="E1277" i="37" s="1"/>
  <c r="AM1277" i="37" s="1"/>
  <c r="AN1277" i="37" s="1"/>
  <c r="O1279" i="37"/>
  <c r="N1280" i="37"/>
  <c r="N1660" i="37"/>
  <c r="O1660" i="37" s="1"/>
  <c r="S1278" i="37"/>
  <c r="V1278" i="37" s="1"/>
  <c r="Z1278" i="37"/>
  <c r="E1657" i="37"/>
  <c r="AM1657" i="37" s="1"/>
  <c r="AN1657" i="37" s="1"/>
  <c r="AK1657" i="37"/>
  <c r="Z1659" i="37"/>
  <c r="S1659" i="37"/>
  <c r="V1659" i="37" s="1"/>
  <c r="AH1278" i="37" l="1"/>
  <c r="AI1278" i="37" s="1"/>
  <c r="AJ1278" i="37" s="1"/>
  <c r="AK1658" i="37"/>
  <c r="E1658" i="37"/>
  <c r="AM1658" i="37" s="1"/>
  <c r="AN1658" i="37" s="1"/>
  <c r="AK1277" i="37"/>
  <c r="AH1659" i="37"/>
  <c r="AI1659" i="37" s="1"/>
  <c r="AJ1659" i="37" s="1"/>
  <c r="E1278" i="37"/>
  <c r="AM1278" i="37" s="1"/>
  <c r="AN1278" i="37" s="1"/>
  <c r="AK1278" i="37"/>
  <c r="Z1279" i="37"/>
  <c r="S1279" i="37"/>
  <c r="V1279" i="37" s="1"/>
  <c r="S1660" i="37"/>
  <c r="V1660" i="37" s="1"/>
  <c r="Z1660" i="37"/>
  <c r="O1280" i="37"/>
  <c r="N1281" i="37"/>
  <c r="N1661" i="37"/>
  <c r="O1661" i="37" s="1"/>
  <c r="AH1660" i="37" l="1"/>
  <c r="AI1660" i="37" s="1"/>
  <c r="AJ1660" i="37" s="1"/>
  <c r="E1660" i="37" s="1"/>
  <c r="AM1660" i="37" s="1"/>
  <c r="AN1660" i="37" s="1"/>
  <c r="S1661" i="37"/>
  <c r="V1661" i="37" s="1"/>
  <c r="Z1661" i="37"/>
  <c r="Z1280" i="37"/>
  <c r="S1280" i="37"/>
  <c r="V1280" i="37" s="1"/>
  <c r="N1662" i="37"/>
  <c r="O1662" i="37" s="1"/>
  <c r="O1281" i="37"/>
  <c r="N1282" i="37"/>
  <c r="AH1279" i="37"/>
  <c r="AI1279" i="37" s="1"/>
  <c r="AJ1279" i="37" s="1"/>
  <c r="AK1660" i="37"/>
  <c r="E1659" i="37"/>
  <c r="AM1659" i="37" s="1"/>
  <c r="AN1659" i="37" s="1"/>
  <c r="AK1659" i="37"/>
  <c r="F4" i="38"/>
  <c r="L4" i="38" s="1"/>
  <c r="O4" i="38" s="1"/>
  <c r="P4" i="38" s="1"/>
  <c r="AH1661" i="37" l="1"/>
  <c r="AI1661" i="37" s="1"/>
  <c r="AJ1661" i="37" s="1"/>
  <c r="E1279" i="37"/>
  <c r="AM1279" i="37" s="1"/>
  <c r="AN1279" i="37" s="1"/>
  <c r="AK1279" i="37"/>
  <c r="O1282" i="37"/>
  <c r="N1663" i="37"/>
  <c r="O1663" i="37" s="1"/>
  <c r="N1283" i="37"/>
  <c r="S1281" i="37"/>
  <c r="V1281" i="37" s="1"/>
  <c r="Z1281" i="37"/>
  <c r="E1661" i="37"/>
  <c r="AM1661" i="37" s="1"/>
  <c r="AN1661" i="37" s="1"/>
  <c r="AK1661" i="37"/>
  <c r="S1662" i="37"/>
  <c r="V1662" i="37" s="1"/>
  <c r="Z1662" i="37"/>
  <c r="AH1280" i="37"/>
  <c r="AI1280" i="37" s="1"/>
  <c r="AJ1280" i="37" s="1"/>
  <c r="I4" i="38"/>
  <c r="J4" i="38" s="1"/>
  <c r="Q11" i="39" s="1"/>
  <c r="H11" i="39" s="1"/>
  <c r="I11" i="39" s="1"/>
  <c r="AH1662" i="37" l="1"/>
  <c r="AI1662" i="37" s="1"/>
  <c r="AJ1662" i="37" s="1"/>
  <c r="AH1281" i="37"/>
  <c r="AI1281" i="37" s="1"/>
  <c r="AJ1281" i="37" s="1"/>
  <c r="E1662" i="37"/>
  <c r="AM1662" i="37" s="1"/>
  <c r="AN1662" i="37" s="1"/>
  <c r="AK1662" i="37"/>
  <c r="N1284" i="37"/>
  <c r="O1283" i="37"/>
  <c r="N1664" i="37"/>
  <c r="O1664" i="37" s="1"/>
  <c r="S1663" i="37"/>
  <c r="V1663" i="37" s="1"/>
  <c r="Z1663" i="37"/>
  <c r="AK1280" i="37"/>
  <c r="E1280" i="37"/>
  <c r="AM1280" i="37" s="1"/>
  <c r="AN1280" i="37" s="1"/>
  <c r="S1282" i="37"/>
  <c r="V1282" i="37" s="1"/>
  <c r="Z1282" i="37"/>
  <c r="F5" i="38"/>
  <c r="AH1663" i="37" l="1"/>
  <c r="AI1663" i="37" s="1"/>
  <c r="AJ1663" i="37" s="1"/>
  <c r="E1663" i="37" s="1"/>
  <c r="AM1663" i="37" s="1"/>
  <c r="AN1663" i="37" s="1"/>
  <c r="AH1282" i="37"/>
  <c r="AI1282" i="37" s="1"/>
  <c r="AJ1282" i="37" s="1"/>
  <c r="E1282" i="37" s="1"/>
  <c r="AM1282" i="37" s="1"/>
  <c r="AN1282" i="37" s="1"/>
  <c r="AK1281" i="37"/>
  <c r="E1281" i="37"/>
  <c r="AM1281" i="37" s="1"/>
  <c r="AN1281" i="37" s="1"/>
  <c r="S1664" i="37"/>
  <c r="V1664" i="37" s="1"/>
  <c r="Z1664" i="37"/>
  <c r="Z1283" i="37"/>
  <c r="S1283" i="37"/>
  <c r="V1283" i="37" s="1"/>
  <c r="N1285" i="37"/>
  <c r="N1665" i="37"/>
  <c r="O1665" i="37" s="1"/>
  <c r="O1284" i="37"/>
  <c r="I5" i="38"/>
  <c r="J5" i="38" s="1"/>
  <c r="Q12" i="39" s="1"/>
  <c r="H12" i="39" s="1"/>
  <c r="I12" i="39" s="1"/>
  <c r="L5" i="38"/>
  <c r="O5" i="38" s="1"/>
  <c r="P5" i="38" s="1"/>
  <c r="F6" i="38"/>
  <c r="AK1663" i="37" l="1"/>
  <c r="AK1282" i="37"/>
  <c r="AH1664" i="37"/>
  <c r="AI1664" i="37" s="1"/>
  <c r="AJ1664" i="37" s="1"/>
  <c r="E1664" i="37" s="1"/>
  <c r="AM1664" i="37" s="1"/>
  <c r="AN1664" i="37" s="1"/>
  <c r="S1284" i="37"/>
  <c r="V1284" i="37" s="1"/>
  <c r="Z1284" i="37"/>
  <c r="Z1665" i="37"/>
  <c r="S1665" i="37"/>
  <c r="V1665" i="37" s="1"/>
  <c r="AK1664" i="37"/>
  <c r="O1285" i="37"/>
  <c r="N1286" i="37"/>
  <c r="N1666" i="37"/>
  <c r="O1666" i="37" s="1"/>
  <c r="AH1283" i="37"/>
  <c r="AI1283" i="37" s="1"/>
  <c r="AJ1283" i="37" s="1"/>
  <c r="L6" i="38"/>
  <c r="O6" i="38" s="1"/>
  <c r="P6" i="38" s="1"/>
  <c r="I6" i="38"/>
  <c r="J6" i="38" s="1"/>
  <c r="Q13" i="39" s="1"/>
  <c r="H13" i="39" s="1"/>
  <c r="I13" i="39" s="1"/>
  <c r="AH1284" i="37" l="1"/>
  <c r="AI1284" i="37" s="1"/>
  <c r="AJ1284" i="37" s="1"/>
  <c r="E1284" i="37" s="1"/>
  <c r="AM1284" i="37" s="1"/>
  <c r="AN1284" i="37" s="1"/>
  <c r="S1666" i="37"/>
  <c r="V1666" i="37" s="1"/>
  <c r="Z1666" i="37"/>
  <c r="O1286" i="37"/>
  <c r="N1667" i="37"/>
  <c r="O1667" i="37" s="1"/>
  <c r="N1287" i="37"/>
  <c r="S1285" i="37"/>
  <c r="V1285" i="37" s="1"/>
  <c r="Z1285" i="37"/>
  <c r="E1283" i="37"/>
  <c r="AM1283" i="37" s="1"/>
  <c r="AN1283" i="37" s="1"/>
  <c r="AK1283" i="37"/>
  <c r="AH1665" i="37"/>
  <c r="AI1665" i="37" s="1"/>
  <c r="AJ1665" i="37" s="1"/>
  <c r="AK1284" i="37" l="1"/>
  <c r="AH1666" i="37"/>
  <c r="AI1666" i="37" s="1"/>
  <c r="AJ1666" i="37" s="1"/>
  <c r="AH1285" i="37"/>
  <c r="AI1285" i="37" s="1"/>
  <c r="AJ1285" i="37" s="1"/>
  <c r="AK1285" i="37" s="1"/>
  <c r="E1665" i="37"/>
  <c r="AM1665" i="37" s="1"/>
  <c r="AN1665" i="37" s="1"/>
  <c r="AK1665" i="37"/>
  <c r="O1287" i="37"/>
  <c r="N1288" i="37"/>
  <c r="N1668" i="37"/>
  <c r="O1668" i="37" s="1"/>
  <c r="Z1667" i="37"/>
  <c r="S1667" i="37"/>
  <c r="V1667" i="37" s="1"/>
  <c r="Z1286" i="37"/>
  <c r="S1286" i="37"/>
  <c r="V1286" i="37" s="1"/>
  <c r="E1285" i="37" l="1"/>
  <c r="AM1285" i="37" s="1"/>
  <c r="AN1285" i="37" s="1"/>
  <c r="E1666" i="37"/>
  <c r="AM1666" i="37" s="1"/>
  <c r="AN1666" i="37" s="1"/>
  <c r="AK1666" i="37"/>
  <c r="AH1286" i="37"/>
  <c r="AI1286" i="37" s="1"/>
  <c r="AJ1286" i="37" s="1"/>
  <c r="AH1667" i="37"/>
  <c r="AI1667" i="37" s="1"/>
  <c r="AJ1667" i="37" s="1"/>
  <c r="S1668" i="37"/>
  <c r="V1668" i="37" s="1"/>
  <c r="Z1668" i="37"/>
  <c r="O1288" i="37"/>
  <c r="N1289" i="37"/>
  <c r="N1669" i="37"/>
  <c r="O1669" i="37" s="1"/>
  <c r="Z1287" i="37"/>
  <c r="S1287" i="37"/>
  <c r="V1287" i="37" s="1"/>
  <c r="AH1668" i="37" l="1"/>
  <c r="AI1668" i="37" s="1"/>
  <c r="AJ1668" i="37" s="1"/>
  <c r="E1668" i="37" s="1"/>
  <c r="AM1668" i="37" s="1"/>
  <c r="AN1668" i="37" s="1"/>
  <c r="AH1287" i="37"/>
  <c r="AI1287" i="37" s="1"/>
  <c r="AJ1287" i="37" s="1"/>
  <c r="E1287" i="37" s="1"/>
  <c r="AM1287" i="37" s="1"/>
  <c r="AN1287" i="37" s="1"/>
  <c r="S1669" i="37"/>
  <c r="V1669" i="37" s="1"/>
  <c r="Z1669" i="37"/>
  <c r="O1289" i="37"/>
  <c r="N1670" i="37"/>
  <c r="O1670" i="37" s="1"/>
  <c r="N1290" i="37"/>
  <c r="E1667" i="37"/>
  <c r="AM1667" i="37" s="1"/>
  <c r="AN1667" i="37" s="1"/>
  <c r="AK1667" i="37"/>
  <c r="Z1288" i="37"/>
  <c r="S1288" i="37"/>
  <c r="V1288" i="37" s="1"/>
  <c r="E1286" i="37"/>
  <c r="AM1286" i="37" s="1"/>
  <c r="AN1286" i="37" s="1"/>
  <c r="AK1286" i="37"/>
  <c r="AK1668" i="37" l="1"/>
  <c r="AK1287" i="37"/>
  <c r="AH1669" i="37"/>
  <c r="AI1669" i="37" s="1"/>
  <c r="AJ1669" i="37" s="1"/>
  <c r="E1669" i="37" s="1"/>
  <c r="AM1669" i="37" s="1"/>
  <c r="AN1669" i="37" s="1"/>
  <c r="AH1288" i="37"/>
  <c r="AI1288" i="37" s="1"/>
  <c r="AJ1288" i="37" s="1"/>
  <c r="O1290" i="37"/>
  <c r="N1291" i="37"/>
  <c r="N1671" i="37"/>
  <c r="O1671" i="37" s="1"/>
  <c r="S1670" i="37"/>
  <c r="V1670" i="37" s="1"/>
  <c r="Z1670" i="37"/>
  <c r="Z1289" i="37"/>
  <c r="S1289" i="37"/>
  <c r="V1289" i="37" s="1"/>
  <c r="AK1669" i="37" l="1"/>
  <c r="AH1670" i="37"/>
  <c r="AI1670" i="37" s="1"/>
  <c r="AJ1670" i="37" s="1"/>
  <c r="E1670" i="37" s="1"/>
  <c r="AM1670" i="37" s="1"/>
  <c r="AN1670" i="37" s="1"/>
  <c r="AH1289" i="37"/>
  <c r="AI1289" i="37" s="1"/>
  <c r="AJ1289" i="37" s="1"/>
  <c r="S1290" i="37"/>
  <c r="V1290" i="37" s="1"/>
  <c r="Z1290" i="37"/>
  <c r="Z1671" i="37"/>
  <c r="S1671" i="37"/>
  <c r="V1671" i="37" s="1"/>
  <c r="N1292" i="37"/>
  <c r="N1672" i="37"/>
  <c r="O1672" i="37" s="1"/>
  <c r="O1291" i="37"/>
  <c r="E1288" i="37"/>
  <c r="AM1288" i="37" s="1"/>
  <c r="AN1288" i="37" s="1"/>
  <c r="AK1288" i="37"/>
  <c r="AK1670" i="37" l="1"/>
  <c r="S1291" i="37"/>
  <c r="V1291" i="37" s="1"/>
  <c r="Z1291" i="37"/>
  <c r="N1293" i="37"/>
  <c r="N1673" i="37"/>
  <c r="O1673" i="37" s="1"/>
  <c r="O1292" i="37"/>
  <c r="AH1671" i="37"/>
  <c r="AI1671" i="37" s="1"/>
  <c r="AJ1671" i="37" s="1"/>
  <c r="Z1672" i="37"/>
  <c r="S1672" i="37"/>
  <c r="V1672" i="37" s="1"/>
  <c r="AH1290" i="37"/>
  <c r="AI1290" i="37" s="1"/>
  <c r="AJ1290" i="37" s="1"/>
  <c r="E1289" i="37"/>
  <c r="AM1289" i="37" s="1"/>
  <c r="AN1289" i="37" s="1"/>
  <c r="AK1289" i="37"/>
  <c r="AH1291" i="37" l="1"/>
  <c r="AI1291" i="37" s="1"/>
  <c r="AJ1291" i="37" s="1"/>
  <c r="AK1291" i="37" s="1"/>
  <c r="AH1672" i="37"/>
  <c r="AI1672" i="37" s="1"/>
  <c r="AJ1672" i="37" s="1"/>
  <c r="E1672" i="37" s="1"/>
  <c r="AM1672" i="37" s="1"/>
  <c r="AN1672" i="37" s="1"/>
  <c r="AK1290" i="37"/>
  <c r="E1290" i="37"/>
  <c r="AM1290" i="37" s="1"/>
  <c r="AN1290" i="37" s="1"/>
  <c r="E1671" i="37"/>
  <c r="AM1671" i="37" s="1"/>
  <c r="AN1671" i="37" s="1"/>
  <c r="AK1671" i="37"/>
  <c r="S1292" i="37"/>
  <c r="V1292" i="37" s="1"/>
  <c r="Z1292" i="37"/>
  <c r="Z1673" i="37"/>
  <c r="S1673" i="37"/>
  <c r="V1673" i="37" s="1"/>
  <c r="N1674" i="37"/>
  <c r="O1674" i="37" s="1"/>
  <c r="O1293" i="37"/>
  <c r="N1294" i="37"/>
  <c r="E1291" i="37" l="1"/>
  <c r="AM1291" i="37" s="1"/>
  <c r="AN1291" i="37" s="1"/>
  <c r="AK1672" i="37"/>
  <c r="AH1292" i="37"/>
  <c r="AI1292" i="37" s="1"/>
  <c r="AJ1292" i="37" s="1"/>
  <c r="AK1292" i="37" s="1"/>
  <c r="S1293" i="37"/>
  <c r="V1293" i="37" s="1"/>
  <c r="Z1293" i="37"/>
  <c r="AH1673" i="37"/>
  <c r="AI1673" i="37" s="1"/>
  <c r="AJ1673" i="37" s="1"/>
  <c r="S1674" i="37"/>
  <c r="V1674" i="37" s="1"/>
  <c r="Z1674" i="37"/>
  <c r="O1294" i="37"/>
  <c r="N1295" i="37"/>
  <c r="N1675" i="37"/>
  <c r="O1675" i="37" s="1"/>
  <c r="E1292" i="37" l="1"/>
  <c r="AM1292" i="37" s="1"/>
  <c r="AN1292" i="37" s="1"/>
  <c r="AH1674" i="37"/>
  <c r="AI1674" i="37" s="1"/>
  <c r="AJ1674" i="37" s="1"/>
  <c r="AH1293" i="37"/>
  <c r="AI1293" i="37" s="1"/>
  <c r="AJ1293" i="37" s="1"/>
  <c r="AK1293" i="37" s="1"/>
  <c r="Z1675" i="37"/>
  <c r="S1675" i="37"/>
  <c r="V1675" i="37" s="1"/>
  <c r="N1676" i="37"/>
  <c r="O1676" i="37" s="1"/>
  <c r="N1296" i="37"/>
  <c r="O1295" i="37"/>
  <c r="S1294" i="37"/>
  <c r="V1294" i="37" s="1"/>
  <c r="Z1294" i="37"/>
  <c r="E1673" i="37"/>
  <c r="AM1673" i="37" s="1"/>
  <c r="AN1673" i="37" s="1"/>
  <c r="AK1673" i="37"/>
  <c r="E1293" i="37" l="1"/>
  <c r="AM1293" i="37" s="1"/>
  <c r="AN1293" i="37" s="1"/>
  <c r="E1674" i="37"/>
  <c r="AM1674" i="37" s="1"/>
  <c r="AN1674" i="37" s="1"/>
  <c r="AK1674" i="37"/>
  <c r="AH1294" i="37"/>
  <c r="AI1294" i="37" s="1"/>
  <c r="AJ1294" i="37" s="1"/>
  <c r="E1294" i="37" s="1"/>
  <c r="AM1294" i="37" s="1"/>
  <c r="AN1294" i="37" s="1"/>
  <c r="Z1295" i="37"/>
  <c r="S1295" i="37"/>
  <c r="V1295" i="37" s="1"/>
  <c r="O1296" i="37"/>
  <c r="N1677" i="37"/>
  <c r="O1677" i="37" s="1"/>
  <c r="N1297" i="37"/>
  <c r="Z1676" i="37"/>
  <c r="S1676" i="37"/>
  <c r="V1676" i="37" s="1"/>
  <c r="AH1675" i="37"/>
  <c r="AI1675" i="37" s="1"/>
  <c r="AJ1675" i="37" s="1"/>
  <c r="AK1294" i="37" l="1"/>
  <c r="Z1677" i="37"/>
  <c r="S1677" i="37"/>
  <c r="V1677" i="37" s="1"/>
  <c r="E1675" i="37"/>
  <c r="AM1675" i="37" s="1"/>
  <c r="AN1675" i="37" s="1"/>
  <c r="AK1675" i="37"/>
  <c r="AH1676" i="37"/>
  <c r="AI1676" i="37" s="1"/>
  <c r="AJ1676" i="37" s="1"/>
  <c r="O1297" i="37"/>
  <c r="N1298" i="37"/>
  <c r="N1678" i="37"/>
  <c r="O1678" i="37" s="1"/>
  <c r="Z1296" i="37"/>
  <c r="S1296" i="37"/>
  <c r="V1296" i="37" s="1"/>
  <c r="AH1295" i="37"/>
  <c r="AI1295" i="37" s="1"/>
  <c r="AJ1295" i="37" s="1"/>
  <c r="E1295" i="37" l="1"/>
  <c r="AM1295" i="37" s="1"/>
  <c r="AN1295" i="37" s="1"/>
  <c r="AK1295" i="37"/>
  <c r="AH1296" i="37"/>
  <c r="AI1296" i="37" s="1"/>
  <c r="AJ1296" i="37" s="1"/>
  <c r="N1299" i="37"/>
  <c r="O1298" i="37"/>
  <c r="N1679" i="37"/>
  <c r="O1679" i="37" s="1"/>
  <c r="S1678" i="37"/>
  <c r="V1678" i="37" s="1"/>
  <c r="Z1678" i="37"/>
  <c r="E1676" i="37"/>
  <c r="AM1676" i="37" s="1"/>
  <c r="AN1676" i="37" s="1"/>
  <c r="AK1676" i="37"/>
  <c r="S1297" i="37"/>
  <c r="V1297" i="37" s="1"/>
  <c r="Z1297" i="37"/>
  <c r="AH1677" i="37"/>
  <c r="AI1677" i="37" s="1"/>
  <c r="AJ1677" i="37" s="1"/>
  <c r="AH1297" i="37" l="1"/>
  <c r="AI1297" i="37" s="1"/>
  <c r="AJ1297" i="37" s="1"/>
  <c r="E1297" i="37" s="1"/>
  <c r="AM1297" i="37" s="1"/>
  <c r="AN1297" i="37" s="1"/>
  <c r="AH1678" i="37"/>
  <c r="AI1678" i="37" s="1"/>
  <c r="AJ1678" i="37" s="1"/>
  <c r="E1678" i="37" s="1"/>
  <c r="AM1678" i="37" s="1"/>
  <c r="AN1678" i="37" s="1"/>
  <c r="AK1677" i="37"/>
  <c r="E1677" i="37"/>
  <c r="AM1677" i="37" s="1"/>
  <c r="AN1677" i="37" s="1"/>
  <c r="Z1679" i="37"/>
  <c r="S1679" i="37"/>
  <c r="V1679" i="37" s="1"/>
  <c r="N1300" i="37"/>
  <c r="N1680" i="37"/>
  <c r="O1680" i="37" s="1"/>
  <c r="O1299" i="37"/>
  <c r="S1298" i="37"/>
  <c r="V1298" i="37" s="1"/>
  <c r="Z1298" i="37"/>
  <c r="AK1296" i="37"/>
  <c r="E1296" i="37"/>
  <c r="AM1296" i="37" s="1"/>
  <c r="AN1296" i="37" s="1"/>
  <c r="AK1297" i="37" l="1"/>
  <c r="AK1678" i="37"/>
  <c r="AH1298" i="37"/>
  <c r="AI1298" i="37" s="1"/>
  <c r="AJ1298" i="37" s="1"/>
  <c r="AK1298" i="37" s="1"/>
  <c r="Z1299" i="37"/>
  <c r="S1299" i="37"/>
  <c r="V1299" i="37" s="1"/>
  <c r="O1300" i="37"/>
  <c r="N1301" i="37"/>
  <c r="N1681" i="37"/>
  <c r="O1681" i="37" s="1"/>
  <c r="Z1680" i="37"/>
  <c r="S1680" i="37"/>
  <c r="V1680" i="37" s="1"/>
  <c r="AH1679" i="37"/>
  <c r="AI1679" i="37" s="1"/>
  <c r="AJ1679" i="37" s="1"/>
  <c r="E1298" i="37" l="1"/>
  <c r="AM1298" i="37" s="1"/>
  <c r="AN1298" i="37" s="1"/>
  <c r="AK1679" i="37"/>
  <c r="E1679" i="37"/>
  <c r="AM1679" i="37" s="1"/>
  <c r="AN1679" i="37" s="1"/>
  <c r="AH1680" i="37"/>
  <c r="AI1680" i="37" s="1"/>
  <c r="AJ1680" i="37" s="1"/>
  <c r="N1302" i="37"/>
  <c r="O1301" i="37"/>
  <c r="N1682" i="37"/>
  <c r="O1682" i="37" s="1"/>
  <c r="S1300" i="37"/>
  <c r="V1300" i="37" s="1"/>
  <c r="Z1300" i="37"/>
  <c r="AH1300" i="37" s="1"/>
  <c r="AI1300" i="37" s="1"/>
  <c r="AJ1300" i="37" s="1"/>
  <c r="Z1681" i="37"/>
  <c r="S1681" i="37"/>
  <c r="V1681" i="37" s="1"/>
  <c r="AH1299" i="37"/>
  <c r="AI1299" i="37" s="1"/>
  <c r="AJ1299" i="37" s="1"/>
  <c r="S1682" i="37" l="1"/>
  <c r="V1682" i="37" s="1"/>
  <c r="Z1682" i="37"/>
  <c r="Z1301" i="37"/>
  <c r="S1301" i="37"/>
  <c r="V1301" i="37" s="1"/>
  <c r="E1299" i="37"/>
  <c r="AM1299" i="37" s="1"/>
  <c r="AN1299" i="37" s="1"/>
  <c r="AK1299" i="37"/>
  <c r="AH1681" i="37"/>
  <c r="AI1681" i="37" s="1"/>
  <c r="AJ1681" i="37" s="1"/>
  <c r="E1300" i="37"/>
  <c r="AM1300" i="37" s="1"/>
  <c r="AN1300" i="37" s="1"/>
  <c r="AK1300" i="37"/>
  <c r="N1683" i="37"/>
  <c r="O1683" i="37" s="1"/>
  <c r="O1302" i="37"/>
  <c r="N1303" i="37"/>
  <c r="E1680" i="37"/>
  <c r="AM1680" i="37" s="1"/>
  <c r="AN1680" i="37" s="1"/>
  <c r="AK1680" i="37"/>
  <c r="AH1682" i="37" l="1"/>
  <c r="AI1682" i="37" s="1"/>
  <c r="AJ1682" i="37" s="1"/>
  <c r="N1304" i="37"/>
  <c r="O1303" i="37"/>
  <c r="N1684" i="37"/>
  <c r="O1684" i="37" s="1"/>
  <c r="S1683" i="37"/>
  <c r="V1683" i="37" s="1"/>
  <c r="Z1683" i="37"/>
  <c r="Z1302" i="37"/>
  <c r="S1302" i="37"/>
  <c r="V1302" i="37" s="1"/>
  <c r="AK1681" i="37"/>
  <c r="E1681" i="37"/>
  <c r="AM1681" i="37" s="1"/>
  <c r="AN1681" i="37" s="1"/>
  <c r="AH1301" i="37"/>
  <c r="AI1301" i="37" s="1"/>
  <c r="AJ1301" i="37" s="1"/>
  <c r="AH1683" i="37" l="1"/>
  <c r="AI1683" i="37" s="1"/>
  <c r="AJ1683" i="37" s="1"/>
  <c r="E1682" i="37"/>
  <c r="AM1682" i="37" s="1"/>
  <c r="AN1682" i="37" s="1"/>
  <c r="AK1682" i="37"/>
  <c r="E1301" i="37"/>
  <c r="AM1301" i="37" s="1"/>
  <c r="AN1301" i="37" s="1"/>
  <c r="AK1301" i="37"/>
  <c r="AH1302" i="37"/>
  <c r="AI1302" i="37" s="1"/>
  <c r="AJ1302" i="37" s="1"/>
  <c r="AK1683" i="37"/>
  <c r="E1683" i="37"/>
  <c r="AM1683" i="37" s="1"/>
  <c r="AN1683" i="37" s="1"/>
  <c r="Z1303" i="37"/>
  <c r="S1303" i="37"/>
  <c r="V1303" i="37" s="1"/>
  <c r="S1684" i="37"/>
  <c r="V1684" i="37" s="1"/>
  <c r="Z1684" i="37"/>
  <c r="O1304" i="37"/>
  <c r="N1305" i="37"/>
  <c r="N1685" i="37"/>
  <c r="O1685" i="37" s="1"/>
  <c r="AH1684" i="37" l="1"/>
  <c r="AI1684" i="37" s="1"/>
  <c r="AJ1684" i="37" s="1"/>
  <c r="E1684" i="37" s="1"/>
  <c r="AM1684" i="37" s="1"/>
  <c r="AN1684" i="37" s="1"/>
  <c r="Z1685" i="37"/>
  <c r="S1685" i="37"/>
  <c r="V1685" i="37" s="1"/>
  <c r="N1686" i="37"/>
  <c r="O1686" i="37" s="1"/>
  <c r="N1306" i="37"/>
  <c r="O1305" i="37"/>
  <c r="Z1304" i="37"/>
  <c r="S1304" i="37"/>
  <c r="V1304" i="37" s="1"/>
  <c r="AH1303" i="37"/>
  <c r="AI1303" i="37" s="1"/>
  <c r="AJ1303" i="37" s="1"/>
  <c r="E1302" i="37"/>
  <c r="AM1302" i="37" s="1"/>
  <c r="AN1302" i="37" s="1"/>
  <c r="AK1302" i="37"/>
  <c r="AK1684" i="37" l="1"/>
  <c r="E1303" i="37"/>
  <c r="AM1303" i="37" s="1"/>
  <c r="AN1303" i="37" s="1"/>
  <c r="AK1303" i="37"/>
  <c r="AH1304" i="37"/>
  <c r="AI1304" i="37" s="1"/>
  <c r="AJ1304" i="37" s="1"/>
  <c r="N1307" i="37"/>
  <c r="O1306" i="37"/>
  <c r="N1687" i="37"/>
  <c r="O1687" i="37" s="1"/>
  <c r="S1305" i="37"/>
  <c r="V1305" i="37" s="1"/>
  <c r="Z1305" i="37"/>
  <c r="AH1305" i="37" s="1"/>
  <c r="AI1305" i="37" s="1"/>
  <c r="AJ1305" i="37" s="1"/>
  <c r="S1686" i="37"/>
  <c r="V1686" i="37" s="1"/>
  <c r="Z1686" i="37"/>
  <c r="AH1685" i="37"/>
  <c r="AI1685" i="37" s="1"/>
  <c r="AJ1685" i="37" s="1"/>
  <c r="AH1686" i="37" l="1"/>
  <c r="AI1686" i="37" s="1"/>
  <c r="AJ1686" i="37" s="1"/>
  <c r="E1686" i="37" s="1"/>
  <c r="AM1686" i="37" s="1"/>
  <c r="AN1686" i="37" s="1"/>
  <c r="E1305" i="37"/>
  <c r="AM1305" i="37" s="1"/>
  <c r="AN1305" i="37" s="1"/>
  <c r="AK1305" i="37"/>
  <c r="E1685" i="37"/>
  <c r="AM1685" i="37" s="1"/>
  <c r="AN1685" i="37" s="1"/>
  <c r="AK1685" i="37"/>
  <c r="S1306" i="37"/>
  <c r="V1306" i="37" s="1"/>
  <c r="Z1306" i="37"/>
  <c r="O1307" i="37"/>
  <c r="N1688" i="37"/>
  <c r="O1688" i="37" s="1"/>
  <c r="N1308" i="37"/>
  <c r="Z1687" i="37"/>
  <c r="S1687" i="37"/>
  <c r="V1687" i="37" s="1"/>
  <c r="E1304" i="37"/>
  <c r="AM1304" i="37" s="1"/>
  <c r="AN1304" i="37" s="1"/>
  <c r="AK1304" i="37"/>
  <c r="AK1686" i="37" l="1"/>
  <c r="AH1306" i="37"/>
  <c r="AI1306" i="37" s="1"/>
  <c r="AJ1306" i="37" s="1"/>
  <c r="E1306" i="37" s="1"/>
  <c r="AM1306" i="37" s="1"/>
  <c r="AN1306" i="37" s="1"/>
  <c r="AH1687" i="37"/>
  <c r="AI1687" i="37" s="1"/>
  <c r="AJ1687" i="37" s="1"/>
  <c r="N1309" i="37"/>
  <c r="O1308" i="37"/>
  <c r="N1689" i="37"/>
  <c r="O1689" i="37" s="1"/>
  <c r="S1307" i="37"/>
  <c r="V1307" i="37" s="1"/>
  <c r="Z1307" i="37"/>
  <c r="Z1688" i="37"/>
  <c r="S1688" i="37"/>
  <c r="V1688" i="37" s="1"/>
  <c r="AH1307" i="37" l="1"/>
  <c r="AI1307" i="37" s="1"/>
  <c r="AJ1307" i="37" s="1"/>
  <c r="AK1307" i="37" s="1"/>
  <c r="AK1306" i="37"/>
  <c r="AH1688" i="37"/>
  <c r="AI1688" i="37" s="1"/>
  <c r="AJ1688" i="37" s="1"/>
  <c r="Z1689" i="37"/>
  <c r="S1689" i="37"/>
  <c r="V1689" i="37" s="1"/>
  <c r="N1310" i="37"/>
  <c r="O1309" i="37"/>
  <c r="N1690" i="37"/>
  <c r="O1690" i="37" s="1"/>
  <c r="S1308" i="37"/>
  <c r="V1308" i="37" s="1"/>
  <c r="Z1308" i="37"/>
  <c r="AK1687" i="37"/>
  <c r="E1687" i="37"/>
  <c r="AM1687" i="37" s="1"/>
  <c r="AN1687" i="37" s="1"/>
  <c r="E1307" i="37" l="1"/>
  <c r="AM1307" i="37" s="1"/>
  <c r="AN1307" i="37" s="1"/>
  <c r="AH1308" i="37"/>
  <c r="AI1308" i="37" s="1"/>
  <c r="AJ1308" i="37" s="1"/>
  <c r="AK1308" i="37" s="1"/>
  <c r="S1309" i="37"/>
  <c r="V1309" i="37" s="1"/>
  <c r="Z1309" i="37"/>
  <c r="S1690" i="37"/>
  <c r="V1690" i="37" s="1"/>
  <c r="Z1690" i="37"/>
  <c r="N1311" i="37"/>
  <c r="N1691" i="37"/>
  <c r="O1691" i="37" s="1"/>
  <c r="O1310" i="37"/>
  <c r="AH1689" i="37"/>
  <c r="AI1689" i="37" s="1"/>
  <c r="AJ1689" i="37" s="1"/>
  <c r="AK1688" i="37"/>
  <c r="E1688" i="37"/>
  <c r="AM1688" i="37" s="1"/>
  <c r="AN1688" i="37" s="1"/>
  <c r="E1308" i="37" l="1"/>
  <c r="AM1308" i="37" s="1"/>
  <c r="AN1308" i="37" s="1"/>
  <c r="AH1309" i="37"/>
  <c r="AI1309" i="37" s="1"/>
  <c r="AJ1309" i="37" s="1"/>
  <c r="S1310" i="37"/>
  <c r="V1310" i="37" s="1"/>
  <c r="Z1310" i="37"/>
  <c r="E1689" i="37"/>
  <c r="AM1689" i="37" s="1"/>
  <c r="AN1689" i="37" s="1"/>
  <c r="AK1689" i="37"/>
  <c r="N1692" i="37"/>
  <c r="O1692" i="37" s="1"/>
  <c r="N1312" i="37"/>
  <c r="O1311" i="37"/>
  <c r="Z1691" i="37"/>
  <c r="S1691" i="37"/>
  <c r="V1691" i="37" s="1"/>
  <c r="AH1690" i="37"/>
  <c r="AI1690" i="37" s="1"/>
  <c r="AJ1690" i="37" s="1"/>
  <c r="E1309" i="37"/>
  <c r="AM1309" i="37" s="1"/>
  <c r="AN1309" i="37" s="1"/>
  <c r="AK1309" i="37"/>
  <c r="AH1310" i="37" l="1"/>
  <c r="AI1310" i="37" s="1"/>
  <c r="AJ1310" i="37" s="1"/>
  <c r="E1690" i="37"/>
  <c r="AM1690" i="37" s="1"/>
  <c r="AN1690" i="37" s="1"/>
  <c r="AK1690" i="37"/>
  <c r="AH1691" i="37"/>
  <c r="AI1691" i="37" s="1"/>
  <c r="AJ1691" i="37" s="1"/>
  <c r="S1311" i="37"/>
  <c r="V1311" i="37" s="1"/>
  <c r="Z1311" i="37"/>
  <c r="O1312" i="37"/>
  <c r="N1313" i="37"/>
  <c r="N1693" i="37"/>
  <c r="O1693" i="37" s="1"/>
  <c r="Z1692" i="37"/>
  <c r="S1692" i="37"/>
  <c r="V1692" i="37" s="1"/>
  <c r="AK1310" i="37" l="1"/>
  <c r="E1310" i="37"/>
  <c r="AM1310" i="37" s="1"/>
  <c r="AN1310" i="37" s="1"/>
  <c r="AH1311" i="37"/>
  <c r="AI1311" i="37" s="1"/>
  <c r="AJ1311" i="37" s="1"/>
  <c r="AH1692" i="37"/>
  <c r="AI1692" i="37" s="1"/>
  <c r="AJ1692" i="37" s="1"/>
  <c r="E1692" i="37" s="1"/>
  <c r="AM1692" i="37" s="1"/>
  <c r="AN1692" i="37" s="1"/>
  <c r="S1693" i="37"/>
  <c r="V1693" i="37" s="1"/>
  <c r="Z1693" i="37"/>
  <c r="Z1312" i="37"/>
  <c r="S1312" i="37"/>
  <c r="V1312" i="37" s="1"/>
  <c r="O1313" i="37"/>
  <c r="N1314" i="37"/>
  <c r="N1694" i="37"/>
  <c r="O1694" i="37" s="1"/>
  <c r="E1311" i="37"/>
  <c r="AM1311" i="37" s="1"/>
  <c r="AN1311" i="37" s="1"/>
  <c r="AK1311" i="37"/>
  <c r="E1691" i="37"/>
  <c r="AM1691" i="37" s="1"/>
  <c r="AN1691" i="37" s="1"/>
  <c r="AK1691" i="37"/>
  <c r="AK1692" i="37" l="1"/>
  <c r="AH1693" i="37"/>
  <c r="AI1693" i="37" s="1"/>
  <c r="AJ1693" i="37" s="1"/>
  <c r="E1693" i="37" s="1"/>
  <c r="AM1693" i="37" s="1"/>
  <c r="AN1693" i="37" s="1"/>
  <c r="S1694" i="37"/>
  <c r="V1694" i="37" s="1"/>
  <c r="Z1694" i="37"/>
  <c r="O1314" i="37"/>
  <c r="N1695" i="37"/>
  <c r="O1695" i="37" s="1"/>
  <c r="N1315" i="37"/>
  <c r="AK1693" i="37"/>
  <c r="Z1313" i="37"/>
  <c r="S1313" i="37"/>
  <c r="V1313" i="37" s="1"/>
  <c r="AH1312" i="37"/>
  <c r="AI1312" i="37" s="1"/>
  <c r="AJ1312" i="37" s="1"/>
  <c r="AH1694" i="37" l="1"/>
  <c r="AI1694" i="37" s="1"/>
  <c r="AJ1694" i="37" s="1"/>
  <c r="AH1313" i="37"/>
  <c r="AI1313" i="37" s="1"/>
  <c r="AJ1313" i="37" s="1"/>
  <c r="O1315" i="37"/>
  <c r="N1316" i="37"/>
  <c r="N1696" i="37"/>
  <c r="O1696" i="37" s="1"/>
  <c r="Z1695" i="37"/>
  <c r="S1695" i="37"/>
  <c r="V1695" i="37" s="1"/>
  <c r="AK1312" i="37"/>
  <c r="E1312" i="37"/>
  <c r="AM1312" i="37" s="1"/>
  <c r="AN1312" i="37" s="1"/>
  <c r="Z1314" i="37"/>
  <c r="S1314" i="37"/>
  <c r="V1314" i="37" s="1"/>
  <c r="E1694" i="37"/>
  <c r="AM1694" i="37" s="1"/>
  <c r="AN1694" i="37" s="1"/>
  <c r="AK1694" i="37"/>
  <c r="AH1314" i="37" l="1"/>
  <c r="AI1314" i="37" s="1"/>
  <c r="AJ1314" i="37" s="1"/>
  <c r="AH1695" i="37"/>
  <c r="AI1695" i="37" s="1"/>
  <c r="AJ1695" i="37" s="1"/>
  <c r="S1696" i="37"/>
  <c r="V1696" i="37" s="1"/>
  <c r="Z1696" i="37"/>
  <c r="O1316" i="37"/>
  <c r="N1317" i="37"/>
  <c r="N1697" i="37"/>
  <c r="O1697" i="37" s="1"/>
  <c r="S1315" i="37"/>
  <c r="V1315" i="37" s="1"/>
  <c r="Z1315" i="37"/>
  <c r="E1313" i="37"/>
  <c r="AM1313" i="37" s="1"/>
  <c r="AN1313" i="37" s="1"/>
  <c r="AK1313" i="37"/>
  <c r="AH1315" i="37" l="1"/>
  <c r="AI1315" i="37" s="1"/>
  <c r="AJ1315" i="37" s="1"/>
  <c r="AH1696" i="37"/>
  <c r="AI1696" i="37" s="1"/>
  <c r="AJ1696" i="37" s="1"/>
  <c r="S1316" i="37"/>
  <c r="V1316" i="37" s="1"/>
  <c r="Z1316" i="37"/>
  <c r="E1315" i="37"/>
  <c r="AM1315" i="37" s="1"/>
  <c r="AN1315" i="37" s="1"/>
  <c r="AK1315" i="37"/>
  <c r="O1317" i="37"/>
  <c r="N1698" i="37"/>
  <c r="O1698" i="37" s="1"/>
  <c r="N1318" i="37"/>
  <c r="E1695" i="37"/>
  <c r="AM1695" i="37" s="1"/>
  <c r="AN1695" i="37" s="1"/>
  <c r="AK1695" i="37"/>
  <c r="Z1697" i="37"/>
  <c r="S1697" i="37"/>
  <c r="V1697" i="37" s="1"/>
  <c r="E1314" i="37"/>
  <c r="AM1314" i="37" s="1"/>
  <c r="AN1314" i="37" s="1"/>
  <c r="AK1314" i="37"/>
  <c r="E1696" i="37" l="1"/>
  <c r="AM1696" i="37" s="1"/>
  <c r="AN1696" i="37" s="1"/>
  <c r="AK1696" i="37"/>
  <c r="AH1316" i="37"/>
  <c r="AI1316" i="37" s="1"/>
  <c r="AJ1316" i="37" s="1"/>
  <c r="N1319" i="37"/>
  <c r="N1699" i="37"/>
  <c r="O1699" i="37" s="1"/>
  <c r="O1318" i="37"/>
  <c r="AH1697" i="37"/>
  <c r="AI1697" i="37" s="1"/>
  <c r="AJ1697" i="37" s="1"/>
  <c r="S1317" i="37"/>
  <c r="V1317" i="37" s="1"/>
  <c r="Z1317" i="37"/>
  <c r="Z1698" i="37"/>
  <c r="S1698" i="37"/>
  <c r="V1698" i="37" s="1"/>
  <c r="E1316" i="37"/>
  <c r="AM1316" i="37" s="1"/>
  <c r="AN1316" i="37" s="1"/>
  <c r="AK1316" i="37"/>
  <c r="AJ2" i="37"/>
  <c r="E2" i="37" s="1"/>
  <c r="E1732" i="37" s="1"/>
  <c r="AH1317" i="37" l="1"/>
  <c r="AI1317" i="37" s="1"/>
  <c r="AJ1317" i="37" s="1"/>
  <c r="E1317" i="37" s="1"/>
  <c r="AM1317" i="37" s="1"/>
  <c r="AN1317" i="37" s="1"/>
  <c r="S1318" i="37"/>
  <c r="V1318" i="37" s="1"/>
  <c r="Z1318" i="37"/>
  <c r="AK1697" i="37"/>
  <c r="E1697" i="37"/>
  <c r="AM1697" i="37" s="1"/>
  <c r="AN1697" i="37" s="1"/>
  <c r="AH1698" i="37"/>
  <c r="AI1698" i="37" s="1"/>
  <c r="AJ1698" i="37" s="1"/>
  <c r="S1699" i="37"/>
  <c r="V1699" i="37" s="1"/>
  <c r="Z1699" i="37"/>
  <c r="N1320" i="37"/>
  <c r="O1319" i="37"/>
  <c r="N1700" i="37"/>
  <c r="O1700" i="37" s="1"/>
  <c r="AK2" i="37"/>
  <c r="AK1732" i="37" s="1"/>
  <c r="AM2" i="37"/>
  <c r="AN2" i="37" s="1"/>
  <c r="AH1318" i="37" l="1"/>
  <c r="AI1318" i="37" s="1"/>
  <c r="AJ1318" i="37" s="1"/>
  <c r="AK1317" i="37"/>
  <c r="AH1699" i="37"/>
  <c r="AI1699" i="37" s="1"/>
  <c r="AJ1699" i="37" s="1"/>
  <c r="O1320" i="37"/>
  <c r="N1701" i="37"/>
  <c r="O1701" i="37" s="1"/>
  <c r="N1321" i="37"/>
  <c r="E1698" i="37"/>
  <c r="AM1698" i="37" s="1"/>
  <c r="AN1698" i="37" s="1"/>
  <c r="AK1698" i="37"/>
  <c r="Z1319" i="37"/>
  <c r="S1319" i="37"/>
  <c r="V1319" i="37" s="1"/>
  <c r="S1700" i="37"/>
  <c r="V1700" i="37" s="1"/>
  <c r="Z1700" i="37"/>
  <c r="AH1700" i="37" l="1"/>
  <c r="AI1700" i="37" s="1"/>
  <c r="AJ1700" i="37" s="1"/>
  <c r="E1700" i="37" s="1"/>
  <c r="AM1700" i="37" s="1"/>
  <c r="AN1700" i="37" s="1"/>
  <c r="E1318" i="37"/>
  <c r="AM1318" i="37" s="1"/>
  <c r="AN1318" i="37" s="1"/>
  <c r="AK1318" i="37"/>
  <c r="E1699" i="37"/>
  <c r="AM1699" i="37" s="1"/>
  <c r="AN1699" i="37" s="1"/>
  <c r="AK1699" i="37"/>
  <c r="AK1700" i="37"/>
  <c r="AH1319" i="37"/>
  <c r="AI1319" i="37" s="1"/>
  <c r="AJ1319" i="37" s="1"/>
  <c r="O1321" i="37"/>
  <c r="N1702" i="37"/>
  <c r="O1702" i="37" s="1"/>
  <c r="N1322" i="37"/>
  <c r="S1701" i="37"/>
  <c r="V1701" i="37" s="1"/>
  <c r="Z1701" i="37"/>
  <c r="S1320" i="37"/>
  <c r="V1320" i="37" s="1"/>
  <c r="Z1320" i="37"/>
  <c r="AH1701" i="37" l="1"/>
  <c r="AI1701" i="37" s="1"/>
  <c r="AJ1701" i="37" s="1"/>
  <c r="E1701" i="37" s="1"/>
  <c r="AM1701" i="37" s="1"/>
  <c r="AN1701" i="37" s="1"/>
  <c r="AH1320" i="37"/>
  <c r="AI1320" i="37" s="1"/>
  <c r="AJ1320" i="37" s="1"/>
  <c r="E1320" i="37" s="1"/>
  <c r="AM1320" i="37" s="1"/>
  <c r="AN1320" i="37" s="1"/>
  <c r="N1323" i="37"/>
  <c r="N1703" i="37"/>
  <c r="O1703" i="37" s="1"/>
  <c r="O1322" i="37"/>
  <c r="Z1321" i="37"/>
  <c r="S1321" i="37"/>
  <c r="V1321" i="37" s="1"/>
  <c r="S1702" i="37"/>
  <c r="V1702" i="37" s="1"/>
  <c r="Z1702" i="37"/>
  <c r="AK1319" i="37"/>
  <c r="E1319" i="37"/>
  <c r="AM1319" i="37" s="1"/>
  <c r="AN1319" i="37" s="1"/>
  <c r="AK1701" i="37" l="1"/>
  <c r="AK1320" i="37"/>
  <c r="AH1702" i="37"/>
  <c r="AI1702" i="37" s="1"/>
  <c r="AJ1702" i="37" s="1"/>
  <c r="AK1702" i="37" s="1"/>
  <c r="S1322" i="37"/>
  <c r="V1322" i="37" s="1"/>
  <c r="Z1322" i="37"/>
  <c r="AH1321" i="37"/>
  <c r="AI1321" i="37" s="1"/>
  <c r="AJ1321" i="37" s="1"/>
  <c r="N1324" i="37"/>
  <c r="N1704" i="37"/>
  <c r="O1704" i="37" s="1"/>
  <c r="O1323" i="37"/>
  <c r="Z1703" i="37"/>
  <c r="S1703" i="37"/>
  <c r="V1703" i="37" s="1"/>
  <c r="E1702" i="37" l="1"/>
  <c r="AM1702" i="37" s="1"/>
  <c r="AN1702" i="37" s="1"/>
  <c r="AH1322" i="37"/>
  <c r="AI1322" i="37" s="1"/>
  <c r="AJ1322" i="37" s="1"/>
  <c r="E1322" i="37" s="1"/>
  <c r="AM1322" i="37" s="1"/>
  <c r="AN1322" i="37" s="1"/>
  <c r="AH1703" i="37"/>
  <c r="AI1703" i="37" s="1"/>
  <c r="AJ1703" i="37" s="1"/>
  <c r="S1323" i="37"/>
  <c r="V1323" i="37" s="1"/>
  <c r="Z1323" i="37"/>
  <c r="E1321" i="37"/>
  <c r="AM1321" i="37" s="1"/>
  <c r="AN1321" i="37" s="1"/>
  <c r="AK1321" i="37"/>
  <c r="Z1704" i="37"/>
  <c r="S1704" i="37"/>
  <c r="V1704" i="37" s="1"/>
  <c r="N1325" i="37"/>
  <c r="O1324" i="37"/>
  <c r="N1705" i="37"/>
  <c r="O1705" i="37" s="1"/>
  <c r="AK1322" i="37" l="1"/>
  <c r="AH1323" i="37"/>
  <c r="AI1323" i="37" s="1"/>
  <c r="AJ1323" i="37" s="1"/>
  <c r="O1325" i="37"/>
  <c r="N1706" i="37"/>
  <c r="O1706" i="37" s="1"/>
  <c r="N1326" i="37"/>
  <c r="E1323" i="37"/>
  <c r="AM1323" i="37" s="1"/>
  <c r="AN1323" i="37" s="1"/>
  <c r="AK1323" i="37"/>
  <c r="S1324" i="37"/>
  <c r="V1324" i="37" s="1"/>
  <c r="Z1324" i="37"/>
  <c r="AH1704" i="37"/>
  <c r="AI1704" i="37" s="1"/>
  <c r="AJ1704" i="37" s="1"/>
  <c r="S1705" i="37"/>
  <c r="V1705" i="37" s="1"/>
  <c r="Z1705" i="37"/>
  <c r="E1703" i="37"/>
  <c r="AM1703" i="37" s="1"/>
  <c r="AN1703" i="37" s="1"/>
  <c r="AK1703" i="37"/>
  <c r="AH1324" i="37" l="1"/>
  <c r="AI1324" i="37" s="1"/>
  <c r="AJ1324" i="37" s="1"/>
  <c r="E1324" i="37" s="1"/>
  <c r="AM1324" i="37" s="1"/>
  <c r="AN1324" i="37" s="1"/>
  <c r="AH1705" i="37"/>
  <c r="AI1705" i="37" s="1"/>
  <c r="AJ1705" i="37" s="1"/>
  <c r="E1704" i="37"/>
  <c r="AM1704" i="37" s="1"/>
  <c r="AN1704" i="37" s="1"/>
  <c r="AK1704" i="37"/>
  <c r="N1327" i="37"/>
  <c r="O1326" i="37"/>
  <c r="N1707" i="37"/>
  <c r="O1707" i="37" s="1"/>
  <c r="Z1706" i="37"/>
  <c r="S1706" i="37"/>
  <c r="V1706" i="37" s="1"/>
  <c r="E1705" i="37"/>
  <c r="AM1705" i="37" s="1"/>
  <c r="AN1705" i="37" s="1"/>
  <c r="AK1705" i="37"/>
  <c r="S1325" i="37"/>
  <c r="V1325" i="37" s="1"/>
  <c r="Z1325" i="37"/>
  <c r="AK1324" i="37" l="1"/>
  <c r="Z1326" i="37"/>
  <c r="S1326" i="37"/>
  <c r="V1326" i="37" s="1"/>
  <c r="Z1707" i="37"/>
  <c r="S1707" i="37"/>
  <c r="V1707" i="37" s="1"/>
  <c r="AH1325" i="37"/>
  <c r="AI1325" i="37" s="1"/>
  <c r="AJ1325" i="37" s="1"/>
  <c r="AH1706" i="37"/>
  <c r="AI1706" i="37" s="1"/>
  <c r="AJ1706" i="37" s="1"/>
  <c r="N1328" i="37"/>
  <c r="O1327" i="37"/>
  <c r="N1708" i="37"/>
  <c r="O1708" i="37" s="1"/>
  <c r="S1708" i="37" l="1"/>
  <c r="V1708" i="37" s="1"/>
  <c r="Z1708" i="37"/>
  <c r="O1328" i="37"/>
  <c r="N1709" i="37"/>
  <c r="O1709" i="37" s="1"/>
  <c r="N1329" i="37"/>
  <c r="E1325" i="37"/>
  <c r="AM1325" i="37" s="1"/>
  <c r="AN1325" i="37" s="1"/>
  <c r="AK1325" i="37"/>
  <c r="Z1327" i="37"/>
  <c r="S1327" i="37"/>
  <c r="V1327" i="37" s="1"/>
  <c r="AK1706" i="37"/>
  <c r="E1706" i="37"/>
  <c r="AM1706" i="37" s="1"/>
  <c r="AN1706" i="37" s="1"/>
  <c r="AH1707" i="37"/>
  <c r="AI1707" i="37" s="1"/>
  <c r="AJ1707" i="37" s="1"/>
  <c r="AH1326" i="37"/>
  <c r="AI1326" i="37" s="1"/>
  <c r="AJ1326" i="37" s="1"/>
  <c r="AH1708" i="37" l="1"/>
  <c r="AI1708" i="37" s="1"/>
  <c r="AJ1708" i="37" s="1"/>
  <c r="E1707" i="37"/>
  <c r="AM1707" i="37" s="1"/>
  <c r="AN1707" i="37" s="1"/>
  <c r="AK1707" i="37"/>
  <c r="AH1327" i="37"/>
  <c r="AI1327" i="37" s="1"/>
  <c r="AJ1327" i="37" s="1"/>
  <c r="N1330" i="37"/>
  <c r="N1710" i="37"/>
  <c r="O1710" i="37" s="1"/>
  <c r="O1329" i="37"/>
  <c r="S1709" i="37"/>
  <c r="V1709" i="37" s="1"/>
  <c r="Z1709" i="37"/>
  <c r="AH1709" i="37" s="1"/>
  <c r="AI1709" i="37" s="1"/>
  <c r="AJ1709" i="37" s="1"/>
  <c r="AK1326" i="37"/>
  <c r="E1326" i="37"/>
  <c r="AM1326" i="37" s="1"/>
  <c r="AN1326" i="37" s="1"/>
  <c r="S1328" i="37"/>
  <c r="V1328" i="37" s="1"/>
  <c r="Z1328" i="37"/>
  <c r="AK1708" i="37" l="1"/>
  <c r="E1708" i="37"/>
  <c r="AM1708" i="37" s="1"/>
  <c r="AN1708" i="37" s="1"/>
  <c r="AH1328" i="37"/>
  <c r="AI1328" i="37" s="1"/>
  <c r="AJ1328" i="37" s="1"/>
  <c r="Z1329" i="37"/>
  <c r="S1329" i="37"/>
  <c r="V1329" i="37" s="1"/>
  <c r="AK1709" i="37"/>
  <c r="E1709" i="37"/>
  <c r="AM1709" i="37" s="1"/>
  <c r="AN1709" i="37" s="1"/>
  <c r="O1330" i="37"/>
  <c r="N1331" i="37"/>
  <c r="N1711" i="37"/>
  <c r="O1711" i="37" s="1"/>
  <c r="S1710" i="37"/>
  <c r="V1710" i="37" s="1"/>
  <c r="Z1710" i="37"/>
  <c r="AK1327" i="37"/>
  <c r="E1327" i="37"/>
  <c r="AM1327" i="37" s="1"/>
  <c r="AN1327" i="37" s="1"/>
  <c r="AH1710" i="37" l="1"/>
  <c r="AI1710" i="37" s="1"/>
  <c r="AJ1710" i="37" s="1"/>
  <c r="AK1710" i="37" s="1"/>
  <c r="AH1329" i="37"/>
  <c r="AI1329" i="37" s="1"/>
  <c r="AJ1329" i="37" s="1"/>
  <c r="Z1330" i="37"/>
  <c r="S1330" i="37"/>
  <c r="V1330" i="37" s="1"/>
  <c r="Z1711" i="37"/>
  <c r="S1711" i="37"/>
  <c r="V1711" i="37" s="1"/>
  <c r="N1332" i="37"/>
  <c r="N1712" i="37"/>
  <c r="O1712" i="37" s="1"/>
  <c r="O1331" i="37"/>
  <c r="E1328" i="37"/>
  <c r="AM1328" i="37" s="1"/>
  <c r="AN1328" i="37" s="1"/>
  <c r="AK1328" i="37"/>
  <c r="E1710" i="37" l="1"/>
  <c r="AM1710" i="37" s="1"/>
  <c r="AN1710" i="37" s="1"/>
  <c r="AK1329" i="37"/>
  <c r="E1329" i="37"/>
  <c r="AM1329" i="37" s="1"/>
  <c r="AN1329" i="37" s="1"/>
  <c r="Z1331" i="37"/>
  <c r="S1331" i="37"/>
  <c r="V1331" i="37" s="1"/>
  <c r="N1713" i="37"/>
  <c r="O1713" i="37" s="1"/>
  <c r="O1332" i="37"/>
  <c r="N1333" i="37"/>
  <c r="AH1711" i="37"/>
  <c r="AI1711" i="37" s="1"/>
  <c r="AJ1711" i="37" s="1"/>
  <c r="Z1712" i="37"/>
  <c r="S1712" i="37"/>
  <c r="V1712" i="37" s="1"/>
  <c r="AH1330" i="37"/>
  <c r="AI1330" i="37" s="1"/>
  <c r="AJ1330" i="37" s="1"/>
  <c r="AK1330" i="37" l="1"/>
  <c r="E1330" i="37"/>
  <c r="AM1330" i="37" s="1"/>
  <c r="AN1330" i="37" s="1"/>
  <c r="AH1712" i="37"/>
  <c r="AI1712" i="37" s="1"/>
  <c r="AJ1712" i="37" s="1"/>
  <c r="AK1711" i="37"/>
  <c r="E1711" i="37"/>
  <c r="AM1711" i="37" s="1"/>
  <c r="AN1711" i="37" s="1"/>
  <c r="O1333" i="37"/>
  <c r="N1334" i="37"/>
  <c r="N1714" i="37"/>
  <c r="O1714" i="37" s="1"/>
  <c r="S1332" i="37"/>
  <c r="V1332" i="37" s="1"/>
  <c r="Z1332" i="37"/>
  <c r="S1713" i="37"/>
  <c r="V1713" i="37" s="1"/>
  <c r="Z1713" i="37"/>
  <c r="AH1713" i="37" s="1"/>
  <c r="AI1713" i="37" s="1"/>
  <c r="AJ1713" i="37" s="1"/>
  <c r="AH1331" i="37"/>
  <c r="AI1331" i="37" s="1"/>
  <c r="AJ1331" i="37" s="1"/>
  <c r="AH1332" i="37" l="1"/>
  <c r="AI1332" i="37" s="1"/>
  <c r="AJ1332" i="37" s="1"/>
  <c r="E1332" i="37" s="1"/>
  <c r="AM1332" i="37" s="1"/>
  <c r="AN1332" i="37" s="1"/>
  <c r="E1713" i="37"/>
  <c r="AM1713" i="37" s="1"/>
  <c r="AN1713" i="37" s="1"/>
  <c r="AK1713" i="37"/>
  <c r="AK1331" i="37"/>
  <c r="E1331" i="37"/>
  <c r="AM1331" i="37" s="1"/>
  <c r="AN1331" i="37" s="1"/>
  <c r="N1335" i="37"/>
  <c r="N1715" i="37"/>
  <c r="O1715" i="37" s="1"/>
  <c r="O1334" i="37"/>
  <c r="E1712" i="37"/>
  <c r="AM1712" i="37" s="1"/>
  <c r="AN1712" i="37" s="1"/>
  <c r="AK1712" i="37"/>
  <c r="S1714" i="37"/>
  <c r="V1714" i="37" s="1"/>
  <c r="Z1714" i="37"/>
  <c r="S1333" i="37"/>
  <c r="V1333" i="37" s="1"/>
  <c r="Z1333" i="37"/>
  <c r="AK1332" i="37" l="1"/>
  <c r="AH1714" i="37"/>
  <c r="AI1714" i="37" s="1"/>
  <c r="AJ1714" i="37" s="1"/>
  <c r="E1714" i="37" s="1"/>
  <c r="AM1714" i="37" s="1"/>
  <c r="AN1714" i="37" s="1"/>
  <c r="S1334" i="37"/>
  <c r="V1334" i="37" s="1"/>
  <c r="Z1334" i="37"/>
  <c r="O1335" i="37"/>
  <c r="N1716" i="37"/>
  <c r="O1716" i="37" s="1"/>
  <c r="N1336" i="37"/>
  <c r="N1337" i="37" s="1"/>
  <c r="O1337" i="37" s="1"/>
  <c r="Z1715" i="37"/>
  <c r="S1715" i="37"/>
  <c r="V1715" i="37" s="1"/>
  <c r="AH1333" i="37"/>
  <c r="AI1333" i="37" s="1"/>
  <c r="AJ1333" i="37" s="1"/>
  <c r="S1337" i="37" l="1"/>
  <c r="V1337" i="37" s="1"/>
  <c r="Z1337" i="37"/>
  <c r="AK1714" i="37"/>
  <c r="AH1715" i="37"/>
  <c r="AI1715" i="37" s="1"/>
  <c r="AJ1715" i="37" s="1"/>
  <c r="E1715" i="37" s="1"/>
  <c r="AM1715" i="37" s="1"/>
  <c r="AN1715" i="37" s="1"/>
  <c r="AH1334" i="37"/>
  <c r="AI1334" i="37" s="1"/>
  <c r="AJ1334" i="37" s="1"/>
  <c r="S1335" i="37"/>
  <c r="V1335" i="37" s="1"/>
  <c r="Z1335" i="37"/>
  <c r="AK1333" i="37"/>
  <c r="E1333" i="37"/>
  <c r="AM1333" i="37" s="1"/>
  <c r="AN1333" i="37" s="1"/>
  <c r="S1716" i="37"/>
  <c r="V1716" i="37" s="1"/>
  <c r="Z1716" i="37"/>
  <c r="N1717" i="37"/>
  <c r="O1717" i="37" s="1"/>
  <c r="O1336" i="37"/>
  <c r="AH1337" i="37" l="1"/>
  <c r="AI1337" i="37" s="1"/>
  <c r="AJ1337" i="37" s="1"/>
  <c r="E1337" i="37" s="1"/>
  <c r="AM1337" i="37" s="1"/>
  <c r="AN1337" i="37" s="1"/>
  <c r="AK1715" i="37"/>
  <c r="AH1716" i="37"/>
  <c r="AI1716" i="37" s="1"/>
  <c r="AJ1716" i="37" s="1"/>
  <c r="E1334" i="37"/>
  <c r="AM1334" i="37" s="1"/>
  <c r="AN1334" i="37" s="1"/>
  <c r="AK1334" i="37"/>
  <c r="AH1335" i="37"/>
  <c r="AI1335" i="37" s="1"/>
  <c r="AJ1335" i="37" s="1"/>
  <c r="AK1335" i="37" s="1"/>
  <c r="N1338" i="37"/>
  <c r="N1718" i="37"/>
  <c r="O1718" i="37" s="1"/>
  <c r="Z1717" i="37"/>
  <c r="S1717" i="37"/>
  <c r="V1717" i="37" s="1"/>
  <c r="Z1336" i="37"/>
  <c r="S1336" i="37"/>
  <c r="V1336" i="37" s="1"/>
  <c r="E1716" i="37"/>
  <c r="AM1716" i="37" s="1"/>
  <c r="AN1716" i="37" s="1"/>
  <c r="AK1716" i="37"/>
  <c r="AK1337" i="37" l="1"/>
  <c r="E1335" i="37"/>
  <c r="AM1335" i="37" s="1"/>
  <c r="AN1335" i="37" s="1"/>
  <c r="AH1336" i="37"/>
  <c r="AI1336" i="37" s="1"/>
  <c r="AJ1336" i="37" s="1"/>
  <c r="AH1717" i="37"/>
  <c r="AI1717" i="37" s="1"/>
  <c r="AJ1717" i="37" s="1"/>
  <c r="S1718" i="37"/>
  <c r="V1718" i="37" s="1"/>
  <c r="Z1718" i="37"/>
  <c r="O1338" i="37"/>
  <c r="N1339" i="37"/>
  <c r="N1719" i="37"/>
  <c r="O1719" i="37" s="1"/>
  <c r="AH1718" i="37" l="1"/>
  <c r="AI1718" i="37" s="1"/>
  <c r="AJ1718" i="37" s="1"/>
  <c r="E1718" i="37" s="1"/>
  <c r="AM1718" i="37" s="1"/>
  <c r="AN1718" i="37" s="1"/>
  <c r="Z1719" i="37"/>
  <c r="S1719" i="37"/>
  <c r="V1719" i="37" s="1"/>
  <c r="N1340" i="37"/>
  <c r="N1720" i="37"/>
  <c r="O1720" i="37" s="1"/>
  <c r="O1339" i="37"/>
  <c r="S1338" i="37"/>
  <c r="V1338" i="37" s="1"/>
  <c r="Z1338" i="37"/>
  <c r="E1717" i="37"/>
  <c r="AM1717" i="37" s="1"/>
  <c r="AN1717" i="37" s="1"/>
  <c r="AK1717" i="37"/>
  <c r="E1336" i="37"/>
  <c r="AM1336" i="37" s="1"/>
  <c r="AN1336" i="37" s="1"/>
  <c r="AK1336" i="37"/>
  <c r="AK1718" i="37" l="1"/>
  <c r="AH1338" i="37"/>
  <c r="AI1338" i="37" s="1"/>
  <c r="AJ1338" i="37" s="1"/>
  <c r="S1339" i="37"/>
  <c r="V1339" i="37" s="1"/>
  <c r="Z1339" i="37"/>
  <c r="N1721" i="37"/>
  <c r="O1721" i="37" s="1"/>
  <c r="O1340" i="37"/>
  <c r="N1341" i="37"/>
  <c r="Z1720" i="37"/>
  <c r="S1720" i="37"/>
  <c r="V1720" i="37" s="1"/>
  <c r="AH1719" i="37"/>
  <c r="AI1719" i="37" s="1"/>
  <c r="AJ1719" i="37" s="1"/>
  <c r="E1338" i="37" l="1"/>
  <c r="AM1338" i="37" s="1"/>
  <c r="AN1338" i="37" s="1"/>
  <c r="AK1338" i="37"/>
  <c r="AH1339" i="37"/>
  <c r="AI1339" i="37" s="1"/>
  <c r="AJ1339" i="37" s="1"/>
  <c r="E1339" i="37" s="1"/>
  <c r="AH1720" i="37"/>
  <c r="AI1720" i="37" s="1"/>
  <c r="AJ1720" i="37" s="1"/>
  <c r="S1340" i="37"/>
  <c r="V1340" i="37" s="1"/>
  <c r="Z1340" i="37"/>
  <c r="S1721" i="37"/>
  <c r="V1721" i="37" s="1"/>
  <c r="Z1721" i="37"/>
  <c r="E1719" i="37"/>
  <c r="AM1719" i="37" s="1"/>
  <c r="AN1719" i="37" s="1"/>
  <c r="AK1719" i="37"/>
  <c r="O1341" i="37"/>
  <c r="N1722" i="37"/>
  <c r="O1722" i="37" s="1"/>
  <c r="N1342" i="37"/>
  <c r="AH1721" i="37" l="1"/>
  <c r="AI1721" i="37" s="1"/>
  <c r="AJ1721" i="37" s="1"/>
  <c r="AH1340" i="37"/>
  <c r="AI1340" i="37" s="1"/>
  <c r="AJ1340" i="37" s="1"/>
  <c r="AK1339" i="37"/>
  <c r="AM1339" i="37"/>
  <c r="AN1339" i="37" s="1"/>
  <c r="E1720" i="37"/>
  <c r="AM1720" i="37" s="1"/>
  <c r="AN1720" i="37" s="1"/>
  <c r="AK1720" i="37"/>
  <c r="O1342" i="37"/>
  <c r="N1723" i="37"/>
  <c r="O1723" i="37" s="1"/>
  <c r="N1343" i="37"/>
  <c r="Z1722" i="37"/>
  <c r="S1722" i="37"/>
  <c r="V1722" i="37" s="1"/>
  <c r="AK1721" i="37"/>
  <c r="E1721" i="37"/>
  <c r="AM1721" i="37" s="1"/>
  <c r="AN1721" i="37" s="1"/>
  <c r="Z1341" i="37"/>
  <c r="S1341" i="37"/>
  <c r="V1341" i="37" s="1"/>
  <c r="AK1340" i="37"/>
  <c r="E1340" i="37" l="1"/>
  <c r="AM1340" i="37" s="1"/>
  <c r="AN1340" i="37" s="1"/>
  <c r="AH1722" i="37"/>
  <c r="AI1722" i="37" s="1"/>
  <c r="AJ1722" i="37" s="1"/>
  <c r="AH1341" i="37"/>
  <c r="AI1341" i="37" s="1"/>
  <c r="AJ1341" i="37" s="1"/>
  <c r="E1341" i="37" s="1"/>
  <c r="N1344" i="37"/>
  <c r="O1343" i="37"/>
  <c r="N1724" i="37"/>
  <c r="O1724" i="37" s="1"/>
  <c r="Z1723" i="37"/>
  <c r="S1723" i="37"/>
  <c r="V1723" i="37" s="1"/>
  <c r="Z1342" i="37"/>
  <c r="S1342" i="37"/>
  <c r="V1342" i="37" s="1"/>
  <c r="S1724" i="37" l="1"/>
  <c r="V1724" i="37" s="1"/>
  <c r="Z1724" i="37"/>
  <c r="AH1724" i="37" s="1"/>
  <c r="AI1724" i="37" s="1"/>
  <c r="AJ1724" i="37" s="1"/>
  <c r="AH1342" i="37"/>
  <c r="AI1342" i="37" s="1"/>
  <c r="AJ1342" i="37" s="1"/>
  <c r="E1342" i="37" s="1"/>
  <c r="AH1723" i="37"/>
  <c r="AI1723" i="37" s="1"/>
  <c r="AJ1723" i="37" s="1"/>
  <c r="AK1341" i="37"/>
  <c r="AM1341" i="37"/>
  <c r="AN1341" i="37" s="1"/>
  <c r="Z1343" i="37"/>
  <c r="S1343" i="37"/>
  <c r="V1343" i="37" s="1"/>
  <c r="O1344" i="37"/>
  <c r="N1725" i="37"/>
  <c r="O1725" i="37" s="1"/>
  <c r="N1345" i="37"/>
  <c r="E1722" i="37"/>
  <c r="AM1722" i="37" s="1"/>
  <c r="AN1722" i="37" s="1"/>
  <c r="AK1722" i="37"/>
  <c r="AH1343" i="37" l="1"/>
  <c r="AI1343" i="37" s="1"/>
  <c r="AJ1343" i="37" s="1"/>
  <c r="E1343" i="37" s="1"/>
  <c r="N1346" i="37"/>
  <c r="O1345" i="37"/>
  <c r="N1726" i="37"/>
  <c r="AM1343" i="37"/>
  <c r="AN1343" i="37" s="1"/>
  <c r="AK1343" i="37"/>
  <c r="S1344" i="37"/>
  <c r="V1344" i="37" s="1"/>
  <c r="Z1344" i="37"/>
  <c r="E1723" i="37"/>
  <c r="AM1723" i="37" s="1"/>
  <c r="AN1723" i="37" s="1"/>
  <c r="AK1723" i="37"/>
  <c r="Z1725" i="37"/>
  <c r="S1725" i="37"/>
  <c r="V1725" i="37" s="1"/>
  <c r="AM1342" i="37"/>
  <c r="AN1342" i="37" s="1"/>
  <c r="AK1342" i="37"/>
  <c r="AK1724" i="37"/>
  <c r="E1724" i="37"/>
  <c r="AM1724" i="37" s="1"/>
  <c r="AN1724" i="37" s="1"/>
  <c r="AH1344" i="37" l="1"/>
  <c r="AI1344" i="37" s="1"/>
  <c r="AJ1344" i="37" s="1"/>
  <c r="E1344" i="37" s="1"/>
  <c r="AH1725" i="37"/>
  <c r="AI1725" i="37" s="1"/>
  <c r="AJ1725" i="37" s="1"/>
  <c r="E1725" i="37" s="1"/>
  <c r="AM1725" i="37" s="1"/>
  <c r="AN1725" i="37" s="1"/>
  <c r="AM1344" i="37"/>
  <c r="AN1344" i="37" s="1"/>
  <c r="AK1344" i="37"/>
  <c r="O1726" i="37"/>
  <c r="N1727" i="37"/>
  <c r="Z1345" i="37"/>
  <c r="S1345" i="37"/>
  <c r="V1345" i="37" s="1"/>
  <c r="O1346" i="37"/>
  <c r="N1347" i="37"/>
  <c r="AK1725" i="37" l="1"/>
  <c r="F3" i="38"/>
  <c r="Z1346" i="37"/>
  <c r="S1346" i="37"/>
  <c r="V1346" i="37" s="1"/>
  <c r="O1347" i="37"/>
  <c r="N1348" i="37"/>
  <c r="AH1345" i="37"/>
  <c r="AI1345" i="37" s="1"/>
  <c r="AJ1345" i="37" s="1"/>
  <c r="E1345" i="37" s="1"/>
  <c r="O1727" i="37"/>
  <c r="N1728" i="37"/>
  <c r="Z1726" i="37"/>
  <c r="S1726" i="37"/>
  <c r="V1726" i="37" s="1"/>
  <c r="O1728" i="37" l="1"/>
  <c r="N1729" i="37"/>
  <c r="AH1726" i="37"/>
  <c r="AI1726" i="37" s="1"/>
  <c r="AJ1726" i="37" s="1"/>
  <c r="AM1345" i="37"/>
  <c r="AN1345" i="37" s="1"/>
  <c r="AK1345" i="37"/>
  <c r="Z1727" i="37"/>
  <c r="S1727" i="37"/>
  <c r="V1727" i="37" s="1"/>
  <c r="N1349" i="37"/>
  <c r="O1348" i="37"/>
  <c r="Z1347" i="37"/>
  <c r="S1347" i="37"/>
  <c r="V1347" i="37" s="1"/>
  <c r="AH1346" i="37"/>
  <c r="AI1346" i="37" s="1"/>
  <c r="AJ1346" i="37" s="1"/>
  <c r="E1346" i="37" s="1"/>
  <c r="L3" i="38"/>
  <c r="I3" i="38"/>
  <c r="J3" i="38" s="1"/>
  <c r="Q10" i="39" s="1"/>
  <c r="H10" i="39" s="1"/>
  <c r="I10" i="39" s="1"/>
  <c r="I22" i="39" s="1"/>
  <c r="I23" i="39" l="1"/>
  <c r="I24" i="39" s="1"/>
  <c r="K22" i="39"/>
  <c r="L15" i="38"/>
  <c r="O3" i="38"/>
  <c r="P3" i="38" s="1"/>
  <c r="P15" i="38" s="1"/>
  <c r="S15" i="38" s="1"/>
  <c r="AK1346" i="37"/>
  <c r="AM1346" i="37"/>
  <c r="AN1346" i="37" s="1"/>
  <c r="E1726" i="37"/>
  <c r="AM1726" i="37" s="1"/>
  <c r="AN1726" i="37" s="1"/>
  <c r="AK1726" i="37"/>
  <c r="Z1348" i="37"/>
  <c r="S1348" i="37"/>
  <c r="V1348" i="37" s="1"/>
  <c r="O1349" i="37"/>
  <c r="N1350" i="37"/>
  <c r="AH1727" i="37"/>
  <c r="AI1727" i="37" s="1"/>
  <c r="AJ1727" i="37" s="1"/>
  <c r="O1729" i="37"/>
  <c r="N1730" i="37"/>
  <c r="AH1347" i="37"/>
  <c r="AI1347" i="37" s="1"/>
  <c r="AJ1347" i="37" s="1"/>
  <c r="E1347" i="37" s="1"/>
  <c r="Z1728" i="37"/>
  <c r="S1728" i="37"/>
  <c r="V1728" i="37" s="1"/>
  <c r="AH1348" i="37" l="1"/>
  <c r="AI1348" i="37" s="1"/>
  <c r="AJ1348" i="37" s="1"/>
  <c r="E1348" i="37" s="1"/>
  <c r="Z1729" i="37"/>
  <c r="S1729" i="37"/>
  <c r="V1729" i="37" s="1"/>
  <c r="AM1347" i="37"/>
  <c r="AN1347" i="37" s="1"/>
  <c r="AK1347" i="37"/>
  <c r="AM1348" i="37"/>
  <c r="AN1348" i="37" s="1"/>
  <c r="AK1348" i="37"/>
  <c r="AH1728" i="37"/>
  <c r="AI1728" i="37" s="1"/>
  <c r="AJ1728" i="37" s="1"/>
  <c r="O1730" i="37"/>
  <c r="N1731" i="37"/>
  <c r="O1731" i="37" s="1"/>
  <c r="O1350" i="37"/>
  <c r="N1351" i="37"/>
  <c r="AK1727" i="37"/>
  <c r="E1727" i="37"/>
  <c r="AM1727" i="37" s="1"/>
  <c r="AN1727" i="37" s="1"/>
  <c r="S1349" i="37"/>
  <c r="V1349" i="37" s="1"/>
  <c r="Z1349" i="37"/>
  <c r="O15" i="38"/>
  <c r="F5" i="8"/>
  <c r="AH1349" i="37" l="1"/>
  <c r="AI1349" i="37" s="1"/>
  <c r="AJ1349" i="37" s="1"/>
  <c r="E1349" i="37" s="1"/>
  <c r="N1352" i="37"/>
  <c r="O1351" i="37"/>
  <c r="Z1731" i="37"/>
  <c r="S1731" i="37"/>
  <c r="V1731" i="37" s="1"/>
  <c r="N16" i="38"/>
  <c r="K16" i="38"/>
  <c r="O16" i="38"/>
  <c r="M16" i="38"/>
  <c r="S1730" i="37"/>
  <c r="V1730" i="37" s="1"/>
  <c r="Z1730" i="37"/>
  <c r="L16" i="38"/>
  <c r="S1350" i="37"/>
  <c r="V1350" i="37" s="1"/>
  <c r="Z1350" i="37"/>
  <c r="E1728" i="37"/>
  <c r="AM1728" i="37" s="1"/>
  <c r="AN1728" i="37" s="1"/>
  <c r="AK1728" i="37"/>
  <c r="F8" i="8"/>
  <c r="G5" i="8" s="1"/>
  <c r="AH1729" i="37"/>
  <c r="AI1729" i="37" s="1"/>
  <c r="AJ1729" i="37" s="1"/>
  <c r="M20" i="38" l="1"/>
  <c r="K22" i="38"/>
  <c r="AH1730" i="37"/>
  <c r="AI1730" i="37" s="1"/>
  <c r="AJ1730" i="37" s="1"/>
  <c r="AK1730" i="37" s="1"/>
  <c r="AH1350" i="37"/>
  <c r="S1351" i="37"/>
  <c r="V1351" i="37" s="1"/>
  <c r="Z1351" i="37"/>
  <c r="AH1731" i="37"/>
  <c r="AI1731" i="37" s="1"/>
  <c r="AJ1731" i="37" s="1"/>
  <c r="E1731" i="37" s="1"/>
  <c r="AM1731" i="37" s="1"/>
  <c r="AN1731" i="37" s="1"/>
  <c r="N1353" i="37"/>
  <c r="O1353" i="37" s="1"/>
  <c r="O1352" i="37"/>
  <c r="AK1729" i="37"/>
  <c r="E1729" i="37"/>
  <c r="AM1729" i="37" s="1"/>
  <c r="AN1729" i="37" s="1"/>
  <c r="G7" i="8"/>
  <c r="F10" i="8"/>
  <c r="F9" i="8" s="1"/>
  <c r="G6" i="8"/>
  <c r="G4" i="8"/>
  <c r="AM1349" i="37"/>
  <c r="AN1349" i="37" s="1"/>
  <c r="AK1349" i="37"/>
  <c r="AH1351" i="37" l="1"/>
  <c r="AI1351" i="37" s="1"/>
  <c r="AJ1351" i="37" s="1"/>
  <c r="E1351" i="37" s="1"/>
  <c r="M22" i="38"/>
  <c r="E1730" i="37"/>
  <c r="AM1730" i="37" s="1"/>
  <c r="AN1730" i="37" s="1"/>
  <c r="S1353" i="37"/>
  <c r="V1353" i="37" s="1"/>
  <c r="Z1353" i="37"/>
  <c r="Z1352" i="37"/>
  <c r="S1352" i="37"/>
  <c r="V1352" i="37" s="1"/>
  <c r="V1732" i="37" s="1"/>
  <c r="AK1351" i="37"/>
  <c r="AM1351" i="37"/>
  <c r="AN1351" i="37" s="1"/>
  <c r="AK1731" i="37"/>
  <c r="AI1350" i="37"/>
  <c r="AJ1350" i="37" s="1"/>
  <c r="E1350" i="37" s="1"/>
  <c r="AH1353" i="37" l="1"/>
  <c r="AI1353" i="37" s="1"/>
  <c r="AJ1353" i="37" s="1"/>
  <c r="E1353" i="37" s="1"/>
  <c r="AM1350" i="37"/>
  <c r="AN1350" i="37" s="1"/>
  <c r="AK1350" i="37"/>
  <c r="AH1352" i="37"/>
  <c r="Z1732" i="37"/>
  <c r="AM1353" i="37"/>
  <c r="AN1353" i="37" s="1"/>
  <c r="AK1353" i="37"/>
  <c r="AI1352" i="37" l="1"/>
  <c r="AJ1352" i="37" s="1"/>
  <c r="E1352" i="37" s="1"/>
  <c r="AH1732" i="37"/>
  <c r="AM1352" i="37" l="1"/>
  <c r="AN1352" i="37" s="1"/>
  <c r="AK1352" i="3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Precision</author>
  </authors>
  <commentList>
    <comment ref="C2" authorId="0" shapeId="0" xr:uid="{D6715906-E579-4DC7-A18B-BEE780F610D9}">
      <text>
        <r>
          <rPr>
            <b/>
            <sz val="9"/>
            <color indexed="81"/>
            <rFont val="Tahoma"/>
            <family val="2"/>
          </rPr>
          <t>Precision:</t>
        </r>
        <r>
          <rPr>
            <sz val="9"/>
            <color indexed="81"/>
            <rFont val="Tahoma"/>
            <family val="2"/>
          </rPr>
          <t xml:space="preserve">
COLUMNA 11
</t>
        </r>
      </text>
    </comment>
    <comment ref="D2" authorId="0" shapeId="0" xr:uid="{15CA6067-8456-4E01-B9A4-C4C1954C4518}">
      <text>
        <r>
          <rPr>
            <b/>
            <sz val="9"/>
            <color indexed="81"/>
            <rFont val="Tahoma"/>
            <family val="2"/>
          </rPr>
          <t>Precision:</t>
        </r>
        <r>
          <rPr>
            <sz val="9"/>
            <color indexed="81"/>
            <rFont val="Tahoma"/>
            <family val="2"/>
          </rPr>
          <t xml:space="preserve">
COLUMNA 20+ 24
</t>
        </r>
      </text>
    </comment>
    <comment ref="E2" authorId="0" shapeId="0" xr:uid="{AC2ABFD3-BCC2-4462-B0F4-614A0611CA6C}">
      <text>
        <r>
          <rPr>
            <b/>
            <sz val="9"/>
            <color indexed="81"/>
            <rFont val="Tahoma"/>
            <family val="2"/>
          </rPr>
          <t>Precision:</t>
        </r>
        <r>
          <rPr>
            <sz val="9"/>
            <color indexed="81"/>
            <rFont val="Tahoma"/>
            <family val="2"/>
          </rPr>
          <t xml:space="preserve">
COLUMNA 26 + 28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Precision</author>
  </authors>
  <commentList>
    <comment ref="E2" authorId="0" shapeId="0" xr:uid="{0ECFA405-59A7-4C96-8541-A2749338D9E5}">
      <text>
        <r>
          <rPr>
            <b/>
            <sz val="9"/>
            <color indexed="81"/>
            <rFont val="Tahoma"/>
            <family val="2"/>
          </rPr>
          <t>Precision:</t>
        </r>
        <r>
          <rPr>
            <sz val="9"/>
            <color indexed="81"/>
            <rFont val="Tahoma"/>
            <family val="2"/>
          </rPr>
          <t xml:space="preserve">
COLUMNA 11
</t>
        </r>
      </text>
    </comment>
    <comment ref="F2" authorId="0" shapeId="0" xr:uid="{39265DDA-A6C7-4E18-81CE-ADB945EC7674}">
      <text>
        <r>
          <rPr>
            <b/>
            <sz val="9"/>
            <color indexed="81"/>
            <rFont val="Tahoma"/>
            <family val="2"/>
          </rPr>
          <t>Precision:</t>
        </r>
        <r>
          <rPr>
            <sz val="9"/>
            <color indexed="81"/>
            <rFont val="Tahoma"/>
            <family val="2"/>
          </rPr>
          <t xml:space="preserve">
COLUMNA 20+ 24
</t>
        </r>
      </text>
    </comment>
    <comment ref="G2" authorId="0" shapeId="0" xr:uid="{D8908073-76DB-47D3-83F2-D7E1DBCEF2F6}">
      <text>
        <r>
          <rPr>
            <b/>
            <sz val="9"/>
            <color indexed="81"/>
            <rFont val="Tahoma"/>
            <family val="2"/>
          </rPr>
          <t>Precision:</t>
        </r>
        <r>
          <rPr>
            <sz val="9"/>
            <color indexed="81"/>
            <rFont val="Tahoma"/>
            <family val="2"/>
          </rPr>
          <t xml:space="preserve">
COLUMNA 26 + 28
</t>
        </r>
      </text>
    </comment>
    <comment ref="H2" authorId="0" shapeId="0" xr:uid="{01D24AD7-C0E0-4F93-A2D8-37D4A7A98122}">
      <text>
        <r>
          <rPr>
            <b/>
            <sz val="9"/>
            <color indexed="81"/>
            <rFont val="Tahoma"/>
            <family val="2"/>
          </rPr>
          <t>Precision:</t>
        </r>
        <r>
          <rPr>
            <sz val="9"/>
            <color indexed="81"/>
            <rFont val="Tahoma"/>
            <family val="2"/>
          </rPr>
          <t xml:space="preserve">
COLUMNA 26 + 28
</t>
        </r>
      </text>
    </comment>
    <comment ref="K2" authorId="0" shapeId="0" xr:uid="{D835E0B3-08B8-44F5-BD06-9623C7B133E7}">
      <text>
        <r>
          <rPr>
            <b/>
            <sz val="9"/>
            <color indexed="81"/>
            <rFont val="Tahoma"/>
            <family val="2"/>
          </rPr>
          <t>Precision:</t>
        </r>
        <r>
          <rPr>
            <sz val="9"/>
            <color indexed="81"/>
            <rFont val="Tahoma"/>
            <family val="2"/>
          </rPr>
          <t xml:space="preserve">
COLUMNA 11
</t>
        </r>
      </text>
    </comment>
    <comment ref="L2" authorId="0" shapeId="0" xr:uid="{C207D1B1-A08C-4791-8809-B82E0DB2C67A}">
      <text>
        <r>
          <rPr>
            <b/>
            <sz val="9"/>
            <color indexed="81"/>
            <rFont val="Tahoma"/>
            <family val="2"/>
          </rPr>
          <t>Precision:</t>
        </r>
        <r>
          <rPr>
            <sz val="9"/>
            <color indexed="81"/>
            <rFont val="Tahoma"/>
            <family val="2"/>
          </rPr>
          <t xml:space="preserve">
COLUMNA 20+ 24
</t>
        </r>
      </text>
    </comment>
    <comment ref="M2" authorId="0" shapeId="0" xr:uid="{1C4829FB-5D33-43F2-A0F8-B772DD1738E3}">
      <text>
        <r>
          <rPr>
            <b/>
            <sz val="9"/>
            <color indexed="81"/>
            <rFont val="Tahoma"/>
            <family val="2"/>
          </rPr>
          <t>Precision:</t>
        </r>
        <r>
          <rPr>
            <sz val="9"/>
            <color indexed="81"/>
            <rFont val="Tahoma"/>
            <family val="2"/>
          </rPr>
          <t xml:space="preserve">
COLUMNA 26 + 28
</t>
        </r>
      </text>
    </comment>
    <comment ref="N2" authorId="0" shapeId="0" xr:uid="{14A6AF4C-8C36-49EB-8D30-B5AE965823D6}">
      <text>
        <r>
          <rPr>
            <b/>
            <sz val="9"/>
            <color indexed="81"/>
            <rFont val="Tahoma"/>
            <family val="2"/>
          </rPr>
          <t>Precision:</t>
        </r>
        <r>
          <rPr>
            <sz val="9"/>
            <color indexed="81"/>
            <rFont val="Tahoma"/>
            <family val="2"/>
          </rPr>
          <t xml:space="preserve">
COLUMNA 26 + 28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jesus alberto morales lopez</author>
    <author>Precision</author>
  </authors>
  <commentList>
    <comment ref="E2" authorId="0" shapeId="0" xr:uid="{940985E9-36CA-4856-9868-F6B950F65490}">
      <text>
        <r>
          <rPr>
            <b/>
            <sz val="9"/>
            <color indexed="81"/>
            <rFont val="Tahoma"/>
            <family val="2"/>
          </rPr>
          <t>TRATAMIENTO TÈRMICO
SERVICIOS EXTERNOS DE MANUFACTURA
SERVICIOS DE LASER - CIROLASER
SERVICIOS DE CORTE LASER - CIROSTEEL
SERVICIOS DE AUTOMATIZACION - AUTOMATION</t>
        </r>
      </text>
    </comment>
    <comment ref="F2" authorId="0" shapeId="0" xr:uid="{96B1903B-47B8-42B6-9DC8-D82DC063E812}">
      <text>
        <r>
          <rPr>
            <b/>
            <sz val="9"/>
            <color indexed="81"/>
            <rFont val="Tahoma"/>
            <family val="2"/>
          </rPr>
          <t>COSTOS DE HERRAMIENTA PARA EJECUCIÓN</t>
        </r>
      </text>
    </comment>
    <comment ref="J2" authorId="0" shapeId="0" xr:uid="{359AC80D-2A27-4179-8FCE-E53D3CCD88F6}">
      <text>
        <r>
          <rPr>
            <b/>
            <sz val="9"/>
            <color indexed="81"/>
            <rFont val="Tahoma"/>
            <family val="2"/>
          </rPr>
          <t>EQUIPO O MAQUINARIA REQUERIDA:
FRESA
TORNO
RECTIFICADORA 
ETC</t>
        </r>
      </text>
    </comment>
    <comment ref="D7" authorId="1" shapeId="0" xr:uid="{F3EF2AD3-D4EA-43C3-B2C2-E6923336DC59}">
      <text>
        <r>
          <rPr>
            <b/>
            <sz val="9"/>
            <color indexed="81"/>
            <rFont val="Tahoma"/>
            <family val="2"/>
          </rPr>
          <t>Precision:</t>
        </r>
        <r>
          <rPr>
            <sz val="9"/>
            <color indexed="81"/>
            <rFont val="Tahoma"/>
            <family val="2"/>
          </rPr>
          <t xml:space="preserve">
NITROGENO
</t>
        </r>
      </text>
    </comment>
  </commentList>
</comments>
</file>

<file path=xl/sharedStrings.xml><?xml version="1.0" encoding="utf-8"?>
<sst xmlns="http://schemas.openxmlformats.org/spreadsheetml/2006/main" count="10226" uniqueCount="2235">
  <si>
    <t>TOTAL</t>
  </si>
  <si>
    <t>IMPORTE</t>
  </si>
  <si>
    <t>ANALISIS DE COSTO PROYECTO</t>
  </si>
  <si>
    <t>Criterios</t>
  </si>
  <si>
    <t>MATERIAL</t>
  </si>
  <si>
    <t>Desperdicio</t>
  </si>
  <si>
    <t>CORTE LASER</t>
  </si>
  <si>
    <t>Tarifa</t>
  </si>
  <si>
    <t>Punzonado x Golpe</t>
  </si>
  <si>
    <t>$ Costo</t>
  </si>
  <si>
    <t>Precio Venta</t>
  </si>
  <si>
    <t>T10</t>
  </si>
  <si>
    <t>No.</t>
  </si>
  <si>
    <t>Numero Parte</t>
  </si>
  <si>
    <t>Cantidad</t>
  </si>
  <si>
    <t>Material</t>
  </si>
  <si>
    <t>Acabado</t>
  </si>
  <si>
    <t>Ancho 
(in)</t>
  </si>
  <si>
    <t>Longitud (in)</t>
  </si>
  <si>
    <t>Espesor
(in)</t>
  </si>
  <si>
    <t>Peso 
(lb)</t>
  </si>
  <si>
    <t>$ / Kg</t>
  </si>
  <si>
    <t>$ Material</t>
  </si>
  <si>
    <t>TARIFA</t>
  </si>
  <si>
    <t>$/Hr</t>
  </si>
  <si>
    <t>Cal. Corte</t>
  </si>
  <si>
    <t>Velocidad</t>
  </si>
  <si>
    <t>Tarifa $/mm</t>
  </si>
  <si>
    <t>Tiempo corte laser</t>
  </si>
  <si>
    <t>Long 
corte 
(mm)</t>
  </si>
  <si>
    <t>$ Corte</t>
  </si>
  <si>
    <t>Objetos</t>
  </si>
  <si>
    <t>Tiempo por Objeto</t>
  </si>
  <si>
    <t>Total Tiempo x Objeto</t>
  </si>
  <si>
    <t>$ Objetos</t>
  </si>
  <si>
    <t>Golpes</t>
  </si>
  <si>
    <t>$ Golpes</t>
  </si>
  <si>
    <t>Punzonado</t>
  </si>
  <si>
    <t>$ Punz.</t>
  </si>
  <si>
    <t>P.V.</t>
  </si>
  <si>
    <t>P.F.</t>
  </si>
  <si>
    <t>12ga</t>
  </si>
  <si>
    <t>ACERO A36</t>
  </si>
  <si>
    <t>Cal 12</t>
  </si>
  <si>
    <t>10ga</t>
  </si>
  <si>
    <t>Cal 10</t>
  </si>
  <si>
    <t>188al</t>
  </si>
  <si>
    <t>14ga</t>
  </si>
  <si>
    <t>Cal 14</t>
  </si>
  <si>
    <t>T1.0</t>
  </si>
  <si>
    <t>Calibre</t>
  </si>
  <si>
    <t>3/8´´</t>
  </si>
  <si>
    <t>5/16´´</t>
  </si>
  <si>
    <t>1/4´´</t>
  </si>
  <si>
    <t>3/16´´</t>
  </si>
  <si>
    <t>1/8"</t>
  </si>
  <si>
    <t>Cal 16</t>
  </si>
  <si>
    <t>Cal 18</t>
  </si>
  <si>
    <t>Cal 20</t>
  </si>
  <si>
    <t>INOXIDABLE</t>
  </si>
  <si>
    <t>ALUMINIO</t>
  </si>
  <si>
    <t>mm</t>
  </si>
  <si>
    <t>mm/min</t>
  </si>
  <si>
    <t>VELOCIDAD
mm/hr</t>
  </si>
  <si>
    <t>INVERSO
hr/mm</t>
  </si>
  <si>
    <t>PRECIO (PESOS)</t>
  </si>
  <si>
    <t>in^2</t>
  </si>
  <si>
    <t>$/in</t>
  </si>
  <si>
    <t>Dobles x Golpe</t>
  </si>
  <si>
    <t>MATERIAL 1ga 4x10</t>
  </si>
  <si>
    <t>Galvanizado x Kg</t>
  </si>
  <si>
    <t>MATERIAL 12ga 4x10</t>
  </si>
  <si>
    <t>T2.0</t>
  </si>
  <si>
    <t>Galvanizado x lb</t>
  </si>
  <si>
    <t>MATERIAL 10ga 4x10</t>
  </si>
  <si>
    <t>T2.75</t>
  </si>
  <si>
    <t>Aluminio 6061 4x10</t>
  </si>
  <si>
    <t>T3.0</t>
  </si>
  <si>
    <t>T3.5</t>
  </si>
  <si>
    <t>Criterio Desperdicio</t>
  </si>
  <si>
    <t>T4.0</t>
  </si>
  <si>
    <t>T4.5</t>
  </si>
  <si>
    <t>T5.0</t>
  </si>
  <si>
    <t>T5.5</t>
  </si>
  <si>
    <t>T6.0</t>
  </si>
  <si>
    <t>T7</t>
  </si>
  <si>
    <t>T8</t>
  </si>
  <si>
    <t>T9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</si>
  <si>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</si>
  <si>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</si>
  <si>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</si>
  <si>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</si>
  <si>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</si>
  <si>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</si>
  <si>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</si>
  <si>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</si>
  <si>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</si>
  <si>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</si>
  <si>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</si>
  <si>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</si>
  <si>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</si>
  <si>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</si>
  <si>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</si>
  <si>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</si>
  <si>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</si>
  <si>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</si>
  <si>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</si>
  <si>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</si>
  <si>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</si>
  <si>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</si>
  <si>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</si>
  <si>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</si>
  <si>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</si>
  <si>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</si>
  <si>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</si>
  <si>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</si>
  <si>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</si>
  <si>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</si>
  <si>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</si>
  <si>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</si>
  <si>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</si>
  <si>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</si>
  <si>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</si>
  <si>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</si>
  <si>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</si>
  <si>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</si>
  <si>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</si>
  <si>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</si>
  <si>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</si>
  <si>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</si>
  <si>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16ga</t>
  </si>
  <si>
    <t>Tiempo (min)</t>
  </si>
  <si>
    <t>COSTO</t>
  </si>
  <si>
    <t>1/2"</t>
  </si>
  <si>
    <t>5/8"</t>
  </si>
  <si>
    <t>3/4"</t>
  </si>
  <si>
    <t>11-6285-01</t>
  </si>
  <si>
    <t>10GA</t>
  </si>
  <si>
    <t>11-A-9813-01</t>
  </si>
  <si>
    <t>11-A-9813-02</t>
  </si>
  <si>
    <t>11-A-9813-05</t>
  </si>
  <si>
    <t>11-A-9895-01</t>
  </si>
  <si>
    <t>11-B-9085-01</t>
  </si>
  <si>
    <t>11-C-9943-02</t>
  </si>
  <si>
    <t>11-D-9401-03</t>
  </si>
  <si>
    <t>11-D-9832-01</t>
  </si>
  <si>
    <t>1/4AL</t>
  </si>
  <si>
    <t>DECAPADO</t>
  </si>
  <si>
    <t>11-C-9943-01</t>
  </si>
  <si>
    <t>135MR-C200 CT SUPPORT BRACKET 10GA</t>
  </si>
  <si>
    <t>CAL. 10</t>
  </si>
  <si>
    <t>11-A-9412-06</t>
  </si>
  <si>
    <t>11-C-9746-01</t>
  </si>
  <si>
    <t>11-C-9746-02</t>
  </si>
  <si>
    <t>11-C-9747-02</t>
  </si>
  <si>
    <t>11-A-9852-01</t>
  </si>
  <si>
    <t>11-A-9960-01</t>
  </si>
  <si>
    <t>11-A-9961-01</t>
  </si>
  <si>
    <t>11-C-9587-01</t>
  </si>
  <si>
    <t>11-D-9156-01</t>
  </si>
  <si>
    <t>11-D-9157-01</t>
  </si>
  <si>
    <t>11-D-9812-01</t>
  </si>
  <si>
    <t>11-D-9817-01</t>
  </si>
  <si>
    <t>12gacr</t>
  </si>
  <si>
    <t>10gacr</t>
  </si>
  <si>
    <t>14gacr</t>
  </si>
  <si>
    <t>16gacr</t>
  </si>
  <si>
    <t>11-D-9156-02</t>
  </si>
  <si>
    <t>11-D-9156-03</t>
  </si>
  <si>
    <t>11-D-9156-04</t>
  </si>
  <si>
    <t>11-D-9156-05</t>
  </si>
  <si>
    <t>11-D-9156-06</t>
  </si>
  <si>
    <t>125al</t>
  </si>
  <si>
    <t>11-D-9157-02</t>
  </si>
  <si>
    <t>11-D-9157-03</t>
  </si>
  <si>
    <t>11-D-9157-04</t>
  </si>
  <si>
    <t>11-D-9157-05</t>
  </si>
  <si>
    <t>11-D-9157-06</t>
  </si>
  <si>
    <t>P14955-60</t>
  </si>
  <si>
    <t>11-C-9767-01</t>
  </si>
  <si>
    <t>12GA</t>
  </si>
  <si>
    <t>P12365-272</t>
  </si>
  <si>
    <t>P12365-311</t>
  </si>
  <si>
    <t>11-D-9570-01</t>
  </si>
  <si>
    <t xml:space="preserve">PP14252-17-MO </t>
  </si>
  <si>
    <t>11-B-9087-01</t>
  </si>
  <si>
    <t>11-D-9401-02</t>
  </si>
  <si>
    <t>11-A-9813-04</t>
  </si>
  <si>
    <t>P10375-49</t>
  </si>
  <si>
    <t>P10375-50</t>
  </si>
  <si>
    <t>P9817-251</t>
  </si>
  <si>
    <t>P9817-261</t>
  </si>
  <si>
    <t>P9817-291</t>
  </si>
  <si>
    <t>P10375-63</t>
  </si>
  <si>
    <t>P10375-651</t>
  </si>
  <si>
    <t>P10375-641</t>
  </si>
  <si>
    <t>P9817-561</t>
  </si>
  <si>
    <t>P9817-511</t>
  </si>
  <si>
    <t>PP1061-07-TRT</t>
  </si>
  <si>
    <t>P9721-55</t>
  </si>
  <si>
    <t>P9721-56</t>
  </si>
  <si>
    <t>11-B-9804-01</t>
  </si>
  <si>
    <t>P6686-301-TRT</t>
  </si>
  <si>
    <t>PP1061-05-TRT</t>
  </si>
  <si>
    <t>PP1061-06-TRT</t>
  </si>
  <si>
    <t>P9817-12</t>
  </si>
  <si>
    <t>P11649-242</t>
  </si>
  <si>
    <t>11-D-9401-01</t>
  </si>
  <si>
    <t>11-D-9401-04</t>
  </si>
  <si>
    <t>11-A-9813-03</t>
  </si>
  <si>
    <t>11-A-9813-06</t>
  </si>
  <si>
    <t>PP5309-79</t>
  </si>
  <si>
    <t>PP7515-161</t>
  </si>
  <si>
    <t>a</t>
  </si>
  <si>
    <t>b</t>
  </si>
  <si>
    <t>PP5309-74 MNT</t>
  </si>
  <si>
    <t>11-B-9366-01 MNT</t>
  </si>
  <si>
    <t>PP8886-46 MNT</t>
  </si>
  <si>
    <t>PP9616-783 MNT1</t>
  </si>
  <si>
    <t>PP9616-801</t>
  </si>
  <si>
    <t>P8533-59</t>
  </si>
  <si>
    <t>DS-A-22000</t>
  </si>
  <si>
    <t>PP8886-46 MNT1</t>
  </si>
  <si>
    <t>PP9616-783 MNT2</t>
  </si>
  <si>
    <t>11-C-9662-01</t>
  </si>
  <si>
    <t>11-C-9983-01</t>
  </si>
  <si>
    <t>11-C-9995-01</t>
  </si>
  <si>
    <t>11-C-9996-01</t>
  </si>
  <si>
    <t>11-C-9997-01</t>
  </si>
  <si>
    <t>11-C-9998-01</t>
  </si>
  <si>
    <t>11-C-9999-01</t>
  </si>
  <si>
    <t>11-C-9856-02</t>
  </si>
  <si>
    <t>11-E-9556-03</t>
  </si>
  <si>
    <t>11-C-9662-02</t>
  </si>
  <si>
    <t>11-C-9662-03</t>
  </si>
  <si>
    <t>11-C-9662-04</t>
  </si>
  <si>
    <t>11-C-9662-05</t>
  </si>
  <si>
    <t>11-C-9996-02</t>
  </si>
  <si>
    <t>11-B-9395-01</t>
  </si>
  <si>
    <t>11-B-9411-02</t>
  </si>
  <si>
    <t>11-B-9709-01</t>
  </si>
  <si>
    <t>11-B-9886-01</t>
  </si>
  <si>
    <t>11-A-9538-01</t>
  </si>
  <si>
    <t>11-A-9922-01</t>
  </si>
  <si>
    <t>11-A-9924-01</t>
  </si>
  <si>
    <t>PP10222-79</t>
  </si>
  <si>
    <t>PP7114-441</t>
  </si>
  <si>
    <t>PP7114-72</t>
  </si>
  <si>
    <t>11-C-9637-01</t>
  </si>
  <si>
    <t>PP14338-083-WD</t>
  </si>
  <si>
    <t>PP18599-34-WD</t>
  </si>
  <si>
    <t>DS-A-3200</t>
  </si>
  <si>
    <t>PP14252-17-MO</t>
  </si>
  <si>
    <t>11-C-9867-01</t>
  </si>
  <si>
    <t>11-C-9867-02</t>
  </si>
  <si>
    <t>11-c-9979-01</t>
  </si>
  <si>
    <t>11-B-9123-01</t>
  </si>
  <si>
    <t>11-C-9635-01</t>
  </si>
  <si>
    <t>PP9703-32</t>
  </si>
  <si>
    <t>PP9703-33</t>
  </si>
  <si>
    <t>11-A-9807-01-TBC</t>
  </si>
  <si>
    <t>11-C-9338-01-TBC</t>
  </si>
  <si>
    <t>11-E-1719-01</t>
  </si>
  <si>
    <t>11-C-9338-01-TBC1</t>
  </si>
  <si>
    <t>GAL</t>
  </si>
  <si>
    <t>11-F-9005-01</t>
  </si>
  <si>
    <t>11-F-9006-01</t>
  </si>
  <si>
    <t>11-E-9839-01</t>
  </si>
  <si>
    <t>11-E-9741-01</t>
  </si>
  <si>
    <t>11-E-9742-01</t>
  </si>
  <si>
    <t>11-E-9870-02</t>
  </si>
  <si>
    <t>11-E-9871-02</t>
  </si>
  <si>
    <t>11-E-9871-02-MCI</t>
  </si>
  <si>
    <t>11-E-9872-02</t>
  </si>
  <si>
    <t>11-C-9860-01</t>
  </si>
  <si>
    <t>11-C-9943-02-MCI</t>
  </si>
  <si>
    <t>11-E-9871-02-MCI2</t>
  </si>
  <si>
    <t>11-E-9871-02-MCI3</t>
  </si>
  <si>
    <t>PP8922-22-MCI</t>
  </si>
  <si>
    <t>PP8922-22-MCI2</t>
  </si>
  <si>
    <t>11-E-9839-02</t>
  </si>
  <si>
    <t>11-E-9839-03</t>
  </si>
  <si>
    <t>11-E-9839-04</t>
  </si>
  <si>
    <t>11-E-9839-05</t>
  </si>
  <si>
    <t>11-E-9839-06</t>
  </si>
  <si>
    <t>11-E-9839-07</t>
  </si>
  <si>
    <t>11-E-9839-08</t>
  </si>
  <si>
    <t>11-E-9839-09</t>
  </si>
  <si>
    <t>11-E-9741-02</t>
  </si>
  <si>
    <t>11-E-9741-03</t>
  </si>
  <si>
    <t>11-E-9741-04</t>
  </si>
  <si>
    <t>11-E-9741-05</t>
  </si>
  <si>
    <t>11-E-9741-06</t>
  </si>
  <si>
    <t>11-E-9741-07</t>
  </si>
  <si>
    <t>11-E-9741-08</t>
  </si>
  <si>
    <t>11-E-9741-09</t>
  </si>
  <si>
    <t>11-E-9742-02</t>
  </si>
  <si>
    <t>11-E-9742-03</t>
  </si>
  <si>
    <t>11-E-9742-04</t>
  </si>
  <si>
    <t>11-E-9742-05</t>
  </si>
  <si>
    <t>11-E-9742-06</t>
  </si>
  <si>
    <t>11-E-9742-07</t>
  </si>
  <si>
    <t>11-E-9742-08</t>
  </si>
  <si>
    <t>11-E-9742-09</t>
  </si>
  <si>
    <t>11-E-9870-01</t>
  </si>
  <si>
    <t>11-E-9870-03</t>
  </si>
  <si>
    <t>11-E-9870-04</t>
  </si>
  <si>
    <t>11-E-9871-01</t>
  </si>
  <si>
    <t>11-E-9871-03</t>
  </si>
  <si>
    <t>11-E-9871-04</t>
  </si>
  <si>
    <t>11-E-9872-01</t>
  </si>
  <si>
    <t>11-E-9872-03</t>
  </si>
  <si>
    <t>11-E-9872-04</t>
  </si>
  <si>
    <t>PP14252-17</t>
  </si>
  <si>
    <t>GALVANIZADO</t>
  </si>
  <si>
    <t>11-6284-01</t>
  </si>
  <si>
    <t>11-8233-01</t>
  </si>
  <si>
    <t>11-A-6030-06</t>
  </si>
  <si>
    <t>11-A-6068-01</t>
  </si>
  <si>
    <t>11-A-6201-01</t>
  </si>
  <si>
    <t>11-A-6271-01</t>
  </si>
  <si>
    <t>11-A-6340-01</t>
  </si>
  <si>
    <t>11-C-6085-01</t>
  </si>
  <si>
    <t>11-C-6085-02</t>
  </si>
  <si>
    <t>11-D-6150-01</t>
  </si>
  <si>
    <t>11-D-6163-01</t>
  </si>
  <si>
    <t>11-D-6164-01</t>
  </si>
  <si>
    <t>11-D-6195-05</t>
  </si>
  <si>
    <t>11-D-7627-03</t>
  </si>
  <si>
    <t>12-A-6007-04</t>
  </si>
  <si>
    <t>12-A-6073-01</t>
  </si>
  <si>
    <t>12-A-6076-01</t>
  </si>
  <si>
    <t>12-A-6077-01</t>
  </si>
  <si>
    <t>12-D-6006-06</t>
  </si>
  <si>
    <t>12-D-6007-02</t>
  </si>
  <si>
    <t>12-D-6008-01</t>
  </si>
  <si>
    <t>12-D-6009-01</t>
  </si>
  <si>
    <t>12-D-6015-04</t>
  </si>
  <si>
    <t>12-D-6232-08</t>
  </si>
  <si>
    <t>12-D-6235-01</t>
  </si>
  <si>
    <t>12-D-6236-01</t>
  </si>
  <si>
    <t>12-D-6237-08</t>
  </si>
  <si>
    <t>12-D-6356-02</t>
  </si>
  <si>
    <t>12-D-6371-03</t>
  </si>
  <si>
    <t>13-D-6401-01</t>
  </si>
  <si>
    <t>16-6492-02</t>
  </si>
  <si>
    <t>22-6045-01</t>
  </si>
  <si>
    <t>96-6029-02</t>
  </si>
  <si>
    <t>96-6030-03</t>
  </si>
  <si>
    <t>P13754-58</t>
  </si>
  <si>
    <t>P13754-71</t>
  </si>
  <si>
    <t>P14660-29</t>
  </si>
  <si>
    <t>P15539-22</t>
  </si>
  <si>
    <t>P5286-031</t>
  </si>
  <si>
    <t>P6671-041</t>
  </si>
  <si>
    <t>PD094-28-01</t>
  </si>
  <si>
    <t>PD094-29-01</t>
  </si>
  <si>
    <t>PD094-30-01</t>
  </si>
  <si>
    <t>PD094-31-01</t>
  </si>
  <si>
    <t>PP19535-051</t>
  </si>
  <si>
    <t>PP19535-06</t>
  </si>
  <si>
    <t>PP6868-269</t>
  </si>
  <si>
    <t>12-D-6019-08</t>
  </si>
  <si>
    <t>11-A-6030-01</t>
  </si>
  <si>
    <t>11-A-6030-02</t>
  </si>
  <si>
    <t>11-A-6030-03</t>
  </si>
  <si>
    <t>11-A-6030-04</t>
  </si>
  <si>
    <t>11-A-6030-05</t>
  </si>
  <si>
    <t>11-A-6030-07</t>
  </si>
  <si>
    <t>11-A-6030-08</t>
  </si>
  <si>
    <t>11-D-6195-01</t>
  </si>
  <si>
    <t>11-D-6195-02</t>
  </si>
  <si>
    <t>11-D-6195-03</t>
  </si>
  <si>
    <t>11-D-6195-04</t>
  </si>
  <si>
    <t>11-D-6195-06</t>
  </si>
  <si>
    <t>11-D-6195-07</t>
  </si>
  <si>
    <t>11-D-6195-08</t>
  </si>
  <si>
    <t>11-D-6195-09</t>
  </si>
  <si>
    <t>11-D-7627-01</t>
  </si>
  <si>
    <t>11-D-7627-02</t>
  </si>
  <si>
    <t>11-D-7627-04</t>
  </si>
  <si>
    <t>11-D-7627-05</t>
  </si>
  <si>
    <t>11-D-7627-06</t>
  </si>
  <si>
    <t>11-D-7627-07</t>
  </si>
  <si>
    <t>11-D-7627-08</t>
  </si>
  <si>
    <t>12-A-6007-01</t>
  </si>
  <si>
    <t>12-A-6007-02</t>
  </si>
  <si>
    <t>12-A-6007-03</t>
  </si>
  <si>
    <t>12-A-6007-05</t>
  </si>
  <si>
    <t>12-A-6007-06</t>
  </si>
  <si>
    <t>12-A-6007-07</t>
  </si>
  <si>
    <t>12-A-6007-08</t>
  </si>
  <si>
    <t>12-D-6006-01</t>
  </si>
  <si>
    <t>12-D-6006-02</t>
  </si>
  <si>
    <t>12-D-6006-03</t>
  </si>
  <si>
    <t>12-D-6006-04</t>
  </si>
  <si>
    <t>12-D-6006-05</t>
  </si>
  <si>
    <t>12-D-6006-07</t>
  </si>
  <si>
    <t>12-D-6006-08</t>
  </si>
  <si>
    <t>12-D-6006-09</t>
  </si>
  <si>
    <t>12-D-6006-10</t>
  </si>
  <si>
    <t>12-D-6006-11</t>
  </si>
  <si>
    <t>12-D-6006-12</t>
  </si>
  <si>
    <t>12-D-6006-13</t>
  </si>
  <si>
    <t>12-D-6006-14</t>
  </si>
  <si>
    <t>12-D-6007-01</t>
  </si>
  <si>
    <t>12-D-6007-03</t>
  </si>
  <si>
    <t>12-D-6015-01</t>
  </si>
  <si>
    <t>12-D-6015-02</t>
  </si>
  <si>
    <t>12-D-6015-03</t>
  </si>
  <si>
    <t>12-D-6015-05</t>
  </si>
  <si>
    <t>12-D-6015-06</t>
  </si>
  <si>
    <t>12-D-6015-07</t>
  </si>
  <si>
    <t>12-D-6015-08</t>
  </si>
  <si>
    <t>12-D-6015-09</t>
  </si>
  <si>
    <t>12-D-6015-10</t>
  </si>
  <si>
    <t>12-D-6015-11</t>
  </si>
  <si>
    <t>12-D-6015-12</t>
  </si>
  <si>
    <t>12-D-6015-13</t>
  </si>
  <si>
    <t>12-D-6015-14</t>
  </si>
  <si>
    <t>12-D-6232-01</t>
  </si>
  <si>
    <t>12-D-6232-02</t>
  </si>
  <si>
    <t>12-D-6232-03</t>
  </si>
  <si>
    <t>12-D-6232-04</t>
  </si>
  <si>
    <t>12-D-6232-05</t>
  </si>
  <si>
    <t>12-D-6232-06</t>
  </si>
  <si>
    <t>12-D-6232-07</t>
  </si>
  <si>
    <t>12-D-6232-09</t>
  </si>
  <si>
    <t>12-D-6232-10</t>
  </si>
  <si>
    <t>12-D-6232-11</t>
  </si>
  <si>
    <t>12-D-6232-12</t>
  </si>
  <si>
    <t>12-D-6232-13</t>
  </si>
  <si>
    <t>12-D-6232-14</t>
  </si>
  <si>
    <t>12-D-6237-01</t>
  </si>
  <si>
    <t>12-D-6237-02</t>
  </si>
  <si>
    <t>12-D-6237-03</t>
  </si>
  <si>
    <t>12-D-6237-04</t>
  </si>
  <si>
    <t>12-D-6237-05</t>
  </si>
  <si>
    <t>12-D-6237-06</t>
  </si>
  <si>
    <t>12-D-6237-07</t>
  </si>
  <si>
    <t>12-D-6237-09</t>
  </si>
  <si>
    <t>12-D-6237-10</t>
  </si>
  <si>
    <t>12-D-6237-11</t>
  </si>
  <si>
    <t>12-D-6237-12</t>
  </si>
  <si>
    <t>12-D-6237-13</t>
  </si>
  <si>
    <t>12-D-6237-14</t>
  </si>
  <si>
    <t>12-D-6237-15</t>
  </si>
  <si>
    <t>12-D-6237-16</t>
  </si>
  <si>
    <t>12-D-6237-17</t>
  </si>
  <si>
    <t>12-D-6237-18</t>
  </si>
  <si>
    <t>12-D-6237-19</t>
  </si>
  <si>
    <t>12-D-6237-20</t>
  </si>
  <si>
    <t>12-D-6237-21</t>
  </si>
  <si>
    <t>12-D-6237-22</t>
  </si>
  <si>
    <t>12-D-6237-23</t>
  </si>
  <si>
    <t>12-D-6237-24</t>
  </si>
  <si>
    <t>12-D-6237-25</t>
  </si>
  <si>
    <t>12-D-6237-26</t>
  </si>
  <si>
    <t>12-D-6237-27</t>
  </si>
  <si>
    <t>12-D-6356-01</t>
  </si>
  <si>
    <t>12-D-6371-01</t>
  </si>
  <si>
    <t>12-D-6371-02</t>
  </si>
  <si>
    <t>12-D-6371-04</t>
  </si>
  <si>
    <t>16-6492-01</t>
  </si>
  <si>
    <t>96-6029-01</t>
  </si>
  <si>
    <t>96-6030-01</t>
  </si>
  <si>
    <t>96-6030-02</t>
  </si>
  <si>
    <t>12-D-6019-01</t>
  </si>
  <si>
    <t>12-D-6019-02</t>
  </si>
  <si>
    <t>12-D-6019-03</t>
  </si>
  <si>
    <t>12-D-6019-04</t>
  </si>
  <si>
    <t>12-D-6019-05</t>
  </si>
  <si>
    <t>12-D-6019-06</t>
  </si>
  <si>
    <t>12-D-6019-07</t>
  </si>
  <si>
    <t>12-D-6019-09</t>
  </si>
  <si>
    <t>12-D-6019-10</t>
  </si>
  <si>
    <t>12-D-6019-11</t>
  </si>
  <si>
    <t>12-D-6019-12</t>
  </si>
  <si>
    <t>12-D-6019-13</t>
  </si>
  <si>
    <t>12-D-6019-14</t>
  </si>
  <si>
    <t>11-F-9063-MOD</t>
  </si>
  <si>
    <t>MTNG-CT-01</t>
  </si>
  <si>
    <t>MTNG-LH-01</t>
  </si>
  <si>
    <t>MTNG-RH-01</t>
  </si>
  <si>
    <t>P13754-51</t>
  </si>
  <si>
    <t>P13754-54</t>
  </si>
  <si>
    <t>P14660-15</t>
  </si>
  <si>
    <t>P14660-18</t>
  </si>
  <si>
    <t>11-A-1879-01</t>
  </si>
  <si>
    <t>11-A-6815-01</t>
  </si>
  <si>
    <t>11-A-6815-02</t>
  </si>
  <si>
    <t>11-A-6815-03</t>
  </si>
  <si>
    <t>11-A-6815-04</t>
  </si>
  <si>
    <t>11-A-6815-05</t>
  </si>
  <si>
    <t>11-A-6815-06</t>
  </si>
  <si>
    <t>11-A-6815-07</t>
  </si>
  <si>
    <t>11-A-6815-08</t>
  </si>
  <si>
    <t>11-A-6815-09</t>
  </si>
  <si>
    <t>11-A-6815-10</t>
  </si>
  <si>
    <t>11-A-6815-11</t>
  </si>
  <si>
    <t>11-A-6815-12</t>
  </si>
  <si>
    <t>11-A-6815-13</t>
  </si>
  <si>
    <t>11-A-6815-14</t>
  </si>
  <si>
    <t>11-A-6815-15</t>
  </si>
  <si>
    <t>11-A-6815-16</t>
  </si>
  <si>
    <t>11-A-6815-17</t>
  </si>
  <si>
    <t>11-A-6815-18</t>
  </si>
  <si>
    <t>11-A-6815-19</t>
  </si>
  <si>
    <t>11-A-6815-20</t>
  </si>
  <si>
    <t>11-A-6815-21</t>
  </si>
  <si>
    <t>11-D-6152-01</t>
  </si>
  <si>
    <t>12-a-7490-01</t>
  </si>
  <si>
    <t>12-a-7490-02</t>
  </si>
  <si>
    <t>12-a-7490-03</t>
  </si>
  <si>
    <t>12-a-7490-04</t>
  </si>
  <si>
    <t>12-a-7490-05</t>
  </si>
  <si>
    <t>12-a-7490-06</t>
  </si>
  <si>
    <t>12-a-7490-07</t>
  </si>
  <si>
    <t>12-a-7490-08</t>
  </si>
  <si>
    <t>12-a-7490-09</t>
  </si>
  <si>
    <t>12-a-7490-10</t>
  </si>
  <si>
    <t>12-a-7490-11</t>
  </si>
  <si>
    <t>12-a-7490-12</t>
  </si>
  <si>
    <t>12-a-7490-13</t>
  </si>
  <si>
    <t>12-a-7490-14</t>
  </si>
  <si>
    <t>12-a-7490-15</t>
  </si>
  <si>
    <t>12-a-7490-16</t>
  </si>
  <si>
    <t>12-a-7490-17</t>
  </si>
  <si>
    <t>12-a-7490-18</t>
  </si>
  <si>
    <t>12-a-7490-19</t>
  </si>
  <si>
    <t>12-a-7490-20</t>
  </si>
  <si>
    <t>11-A-9895-02</t>
  </si>
  <si>
    <t>11-B-9085-02</t>
  </si>
  <si>
    <t>11-C-9668-01</t>
  </si>
  <si>
    <t>11-B-9959-02</t>
  </si>
  <si>
    <t>11-B-9959-01</t>
  </si>
  <si>
    <t>PP19535-052</t>
  </si>
  <si>
    <t>PP19535-053</t>
  </si>
  <si>
    <t>PP19535-054</t>
  </si>
  <si>
    <t>PP19535-055</t>
  </si>
  <si>
    <t>PP19535-056</t>
  </si>
  <si>
    <t>PP19535-057</t>
  </si>
  <si>
    <t>PP19535-058</t>
  </si>
  <si>
    <t>PP19535-059</t>
  </si>
  <si>
    <t>PP19535-0510</t>
  </si>
  <si>
    <t>PP19535-0511</t>
  </si>
  <si>
    <t>12-D-6013-01</t>
  </si>
  <si>
    <t>13-D-6022-01</t>
  </si>
  <si>
    <t>12-D-6479-01</t>
  </si>
  <si>
    <t>11-F-9208-01</t>
  </si>
  <si>
    <t>11-6474-01</t>
  </si>
  <si>
    <t>12-A-6075-01</t>
  </si>
  <si>
    <t>12-A-6080-01</t>
  </si>
  <si>
    <t>12-A-6081-01</t>
  </si>
  <si>
    <t>12-D-6030-08</t>
  </si>
  <si>
    <t>12-D-6000-02</t>
  </si>
  <si>
    <t>12-D-6480-01</t>
  </si>
  <si>
    <t>12-C-6181-02</t>
  </si>
  <si>
    <t>12-D-6389-01</t>
  </si>
  <si>
    <t>13-D-6402-01</t>
  </si>
  <si>
    <t>17-D-6001-02</t>
  </si>
  <si>
    <t>11-E-6003-02</t>
  </si>
  <si>
    <t>11-E-6005-06</t>
  </si>
  <si>
    <t>11-E-6006-06</t>
  </si>
  <si>
    <t>12-D-6030-12</t>
  </si>
  <si>
    <t>12-D-6001-05</t>
  </si>
  <si>
    <t>12-D-6340-01</t>
  </si>
  <si>
    <t>12-D-6398-01</t>
  </si>
  <si>
    <t>17-D-6002-01</t>
  </si>
  <si>
    <t>12-D-6030-10</t>
  </si>
  <si>
    <t>12-D-6463-04</t>
  </si>
  <si>
    <t>12-D-6464-02</t>
  </si>
  <si>
    <t>12-D-6478-01</t>
  </si>
  <si>
    <t>12-D-6480-02</t>
  </si>
  <si>
    <t>13-D-6024-01</t>
  </si>
  <si>
    <t>12-D-6030-04</t>
  </si>
  <si>
    <t>11-E-6005-02</t>
  </si>
  <si>
    <t>11-E-6006-02</t>
  </si>
  <si>
    <t>11-E-6012-01</t>
  </si>
  <si>
    <t>12-D-6116-05</t>
  </si>
  <si>
    <t>12-D-6424-01</t>
  </si>
  <si>
    <t>11-A-6095-01</t>
  </si>
  <si>
    <t>12-D-6425-01</t>
  </si>
  <si>
    <t>12-D-7815-01</t>
  </si>
  <si>
    <t>12-D-7816-01</t>
  </si>
  <si>
    <t>13-D-6060-03</t>
  </si>
  <si>
    <t>12-D-6234-06</t>
  </si>
  <si>
    <t>11-A-6149-01</t>
  </si>
  <si>
    <t>11-D-6238-01</t>
  </si>
  <si>
    <t>12-D-6030-07</t>
  </si>
  <si>
    <t>13-D-6071-02</t>
  </si>
  <si>
    <t>CANTIDAD</t>
  </si>
  <si>
    <t>PP9431-01-BM</t>
  </si>
  <si>
    <t>PP9431-02-BM</t>
  </si>
  <si>
    <t>11-6355-01</t>
  </si>
  <si>
    <t>11-A-6160-01</t>
  </si>
  <si>
    <t>11-D-6218-01</t>
  </si>
  <si>
    <t>11-D-6219-01</t>
  </si>
  <si>
    <t>11-D-6220-01</t>
  </si>
  <si>
    <t>11-D-6221-01</t>
  </si>
  <si>
    <t>11-D-6222-01</t>
  </si>
  <si>
    <t>12-D-6001-03</t>
  </si>
  <si>
    <t>12-D-6030-03</t>
  </si>
  <si>
    <t>12-D-6234-03</t>
  </si>
  <si>
    <t>12-D-6234-14</t>
  </si>
  <si>
    <t>13-D-6006-01</t>
  </si>
  <si>
    <t>P10811-01</t>
  </si>
  <si>
    <t>P10811-02</t>
  </si>
  <si>
    <t>P10811-03</t>
  </si>
  <si>
    <t>P12040-012</t>
  </si>
  <si>
    <t>P13704-012</t>
  </si>
  <si>
    <t>P13704-015</t>
  </si>
  <si>
    <t>P13704-062</t>
  </si>
  <si>
    <t>P13704-072</t>
  </si>
  <si>
    <t>P13704-073</t>
  </si>
  <si>
    <t>P13704-081</t>
  </si>
  <si>
    <t>P13704-082</t>
  </si>
  <si>
    <t>P13704-132</t>
  </si>
  <si>
    <t>P13704-191</t>
  </si>
  <si>
    <t>P13704-201</t>
  </si>
  <si>
    <t>P13704-213</t>
  </si>
  <si>
    <t>P14734-10</t>
  </si>
  <si>
    <t>P14734-11</t>
  </si>
  <si>
    <t>P14901-11</t>
  </si>
  <si>
    <t>P14901-12</t>
  </si>
  <si>
    <t>P14901-13</t>
  </si>
  <si>
    <t>P16970-025</t>
  </si>
  <si>
    <t>P16970-026</t>
  </si>
  <si>
    <t>P17685-11</t>
  </si>
  <si>
    <t>P17690-13</t>
  </si>
  <si>
    <t>P17690-27</t>
  </si>
  <si>
    <t>P17690-29</t>
  </si>
  <si>
    <t>P17690-30</t>
  </si>
  <si>
    <t>P18039-40</t>
  </si>
  <si>
    <t>P18469-02</t>
  </si>
  <si>
    <t>P19382-09</t>
  </si>
  <si>
    <t>P19491-06</t>
  </si>
  <si>
    <t>P19491-07</t>
  </si>
  <si>
    <t>P19491-08</t>
  </si>
  <si>
    <t>P19491-09</t>
  </si>
  <si>
    <t>P19491-10</t>
  </si>
  <si>
    <t>P19500-10</t>
  </si>
  <si>
    <t>P19500-11</t>
  </si>
  <si>
    <t>P19500-21</t>
  </si>
  <si>
    <t>P4876-016</t>
  </si>
  <si>
    <t>PP10008-03</t>
  </si>
  <si>
    <t>PP14805-01</t>
  </si>
  <si>
    <t>PP14805-02</t>
  </si>
  <si>
    <t>PP14805-03</t>
  </si>
  <si>
    <t>PP14805-06</t>
  </si>
  <si>
    <t>PP14873-01</t>
  </si>
  <si>
    <t>PP14873-02</t>
  </si>
  <si>
    <t>PP15822-01</t>
  </si>
  <si>
    <t>PP15822-03</t>
  </si>
  <si>
    <t>PP17073-02</t>
  </si>
  <si>
    <t>PP20203-02</t>
  </si>
  <si>
    <t>PP20203-03</t>
  </si>
  <si>
    <t>PP20203-14</t>
  </si>
  <si>
    <t>PP20204-02</t>
  </si>
  <si>
    <t>PP20204-03</t>
  </si>
  <si>
    <t>PP20204-14</t>
  </si>
  <si>
    <t>PP20205-022</t>
  </si>
  <si>
    <t>PP20205-031</t>
  </si>
  <si>
    <t>PP20205-141</t>
  </si>
  <si>
    <t>PP21013-23</t>
  </si>
  <si>
    <t>PP21013-44</t>
  </si>
  <si>
    <t>PP21013-45</t>
  </si>
  <si>
    <t>PP2931-07</t>
  </si>
  <si>
    <t xml:space="preserve">PP5413-04 </t>
  </si>
  <si>
    <t>PP7722-13</t>
  </si>
  <si>
    <t>MAT</t>
  </si>
  <si>
    <t>LASER</t>
  </si>
  <si>
    <t>DOBLEZ</t>
  </si>
  <si>
    <t>COSTO TOTAL</t>
  </si>
  <si>
    <t>PARTE</t>
  </si>
  <si>
    <t>Margen de Utilidad</t>
  </si>
  <si>
    <t>Doblez Precio x Golpe</t>
  </si>
  <si>
    <t>Punzon Precio x Golpe</t>
  </si>
  <si>
    <t>MO</t>
  </si>
  <si>
    <t>SUP</t>
  </si>
  <si>
    <t>CALIDAD</t>
  </si>
  <si>
    <t>GAS</t>
  </si>
  <si>
    <t>DEPRECIACION</t>
  </si>
  <si>
    <t>ELE</t>
  </si>
  <si>
    <t>NITROGENO</t>
  </si>
  <si>
    <t>DEPRECIACIÓN</t>
  </si>
  <si>
    <t>T1</t>
  </si>
  <si>
    <t>PISO</t>
  </si>
  <si>
    <t>NO VIABLE</t>
  </si>
  <si>
    <t>T2</t>
  </si>
  <si>
    <t>T3</t>
  </si>
  <si>
    <t>CAT 1</t>
  </si>
  <si>
    <t>T4</t>
  </si>
  <si>
    <t>CAT 2</t>
  </si>
  <si>
    <t>T5</t>
  </si>
  <si>
    <t>NITRO</t>
  </si>
  <si>
    <t>PRECIO GOLPE</t>
  </si>
  <si>
    <t>PRECIO X GOLPE</t>
  </si>
  <si>
    <t>NOR</t>
  </si>
  <si>
    <t>TARIFA 1</t>
  </si>
  <si>
    <t>TARIFA 2</t>
  </si>
  <si>
    <t>TARIFA 3</t>
  </si>
  <si>
    <t>TARIFA 4</t>
  </si>
  <si>
    <t>TARIFA 5</t>
  </si>
  <si>
    <t>TARIFA 6</t>
  </si>
  <si>
    <t>TARIFA 7</t>
  </si>
  <si>
    <t>TARIFA 8</t>
  </si>
  <si>
    <t>TARIFA 9</t>
  </si>
  <si>
    <t>TARIFA 10</t>
  </si>
  <si>
    <t>TIPO</t>
  </si>
  <si>
    <t>FACTORES DE COTIZACIÓN DE PIEZA</t>
  </si>
  <si>
    <t>SUB - TOTALES</t>
  </si>
  <si>
    <t>MARGEN</t>
  </si>
  <si>
    <t>%</t>
  </si>
  <si>
    <t>QTY</t>
  </si>
  <si>
    <t>Total</t>
  </si>
  <si>
    <t>$ Materia
Prima</t>
  </si>
  <si>
    <t>$ T.T. ó Serv. Externo</t>
  </si>
  <si>
    <t>$ Hta</t>
  </si>
  <si>
    <t>Factor de Tipo
 Maquinado</t>
  </si>
  <si>
    <t>Costo Final x Hora</t>
  </si>
  <si>
    <t>Hrs</t>
  </si>
  <si>
    <t>Equipo Utilizado</t>
  </si>
  <si>
    <t>Depreciación Maquina</t>
  </si>
  <si>
    <t>% Tiempo Muerto</t>
  </si>
  <si>
    <t>Dias Financ.</t>
  </si>
  <si>
    <t>Tratamiento</t>
  </si>
  <si>
    <t>Herramienta</t>
  </si>
  <si>
    <t>Horas Hombre</t>
  </si>
  <si>
    <t>Depreciación equipo</t>
  </si>
  <si>
    <t>Financiero</t>
  </si>
  <si>
    <t>Depreciación</t>
  </si>
  <si>
    <t>Maquina Laser Corte 3000W</t>
  </si>
  <si>
    <t xml:space="preserve"> </t>
  </si>
  <si>
    <t>MAQUINADO NORMAL</t>
  </si>
  <si>
    <t>Ninguno</t>
  </si>
  <si>
    <t>Tipo de Maquina</t>
  </si>
  <si>
    <t>Precio</t>
  </si>
  <si>
    <t>Años</t>
  </si>
  <si>
    <t>Dias por año</t>
  </si>
  <si>
    <t>Horas x Dia</t>
  </si>
  <si>
    <t>Torno CNC</t>
  </si>
  <si>
    <t>Torno Convencional</t>
  </si>
  <si>
    <t>Fresa CNC</t>
  </si>
  <si>
    <t>Fresa Convencional</t>
  </si>
  <si>
    <t>Fresa EDM Penetración</t>
  </si>
  <si>
    <t>Fresa EDM Hilo</t>
  </si>
  <si>
    <t>Rectificadora</t>
  </si>
  <si>
    <t>DOBLADORA 200 T</t>
  </si>
  <si>
    <t>Soldadura Aluminio</t>
  </si>
  <si>
    <t>Maquina Laser Corte 1500W</t>
  </si>
  <si>
    <t>Maquina Laser Corte 6000W</t>
  </si>
  <si>
    <t>Maquina Laser Corte 12000W</t>
  </si>
  <si>
    <t>MAQUINADO PRODUCCIÓN</t>
  </si>
  <si>
    <t>PIEZA</t>
  </si>
  <si>
    <t>MAQUINADO PRECISIÓN CONVENCIONAL</t>
  </si>
  <si>
    <t>OPERACIÓN</t>
  </si>
  <si>
    <t>MAQUINADO URGENCIA</t>
  </si>
  <si>
    <t>ENSAMBLE</t>
  </si>
  <si>
    <t>MAQUINADO URGENCIA Y PRECISIÓN</t>
  </si>
  <si>
    <t>MAQUINADO ROBUSTO</t>
  </si>
  <si>
    <t>MAQUINADO PRECISIÓN CNC</t>
  </si>
  <si>
    <t>ENSAMBLE SOLDADURA</t>
  </si>
  <si>
    <t>SOLDADURA</t>
  </si>
  <si>
    <t>CORTE Y SOLDADURA</t>
  </si>
  <si>
    <t>Tasa Anual Financiamiento</t>
  </si>
  <si>
    <t>Nomina OPERACIÓN</t>
  </si>
  <si>
    <t>Gastos Indirectos Ingenieria + Calidad</t>
  </si>
  <si>
    <t>Periodo</t>
  </si>
  <si>
    <t>Importe</t>
  </si>
  <si>
    <t>Mes 1</t>
  </si>
  <si>
    <t>Mes 2</t>
  </si>
  <si>
    <t>Mes 3</t>
  </si>
  <si>
    <t>PROMEDIO</t>
  </si>
  <si>
    <t>Maquinas Horario Normal</t>
  </si>
  <si>
    <t>Numero de Maquinas</t>
  </si>
  <si>
    <t>Horas Laborables x Día</t>
  </si>
  <si>
    <t>Días en servicio x Mes</t>
  </si>
  <si>
    <t>Horas Laborables x Mes</t>
  </si>
  <si>
    <t>Maquinas Horarios Diferentes</t>
  </si>
  <si>
    <t>Maquina 1</t>
  </si>
  <si>
    <t>Maquina 2</t>
  </si>
  <si>
    <t>Maquina 3</t>
  </si>
  <si>
    <t>Maquina 4</t>
  </si>
  <si>
    <t>Maquina 5</t>
  </si>
  <si>
    <t>Maquina 6</t>
  </si>
  <si>
    <t>Maquina 7</t>
  </si>
  <si>
    <t>Maquina 8</t>
  </si>
  <si>
    <t>Maquina 9</t>
  </si>
  <si>
    <t>Maquina 10</t>
  </si>
  <si>
    <t>Horas totales</t>
  </si>
  <si>
    <t>Resultados</t>
  </si>
  <si>
    <t>Costo Total</t>
  </si>
  <si>
    <t>Costo X Hora</t>
  </si>
  <si>
    <t>Promedio Nomina</t>
  </si>
  <si>
    <t>Promedio Gastos Indirectos</t>
  </si>
  <si>
    <t>Horas Laborables X Mes</t>
  </si>
  <si>
    <t>Costo General X Hora</t>
  </si>
  <si>
    <t>COTIZADOR PINTURA POR AREA M2</t>
  </si>
  <si>
    <t>Precio de Pintura
por Kg.</t>
  </si>
  <si>
    <t xml:space="preserve">Tratamiento       3 en 1 </t>
  </si>
  <si>
    <t>Sello organico</t>
  </si>
  <si>
    <t>Costo kg Gas LP</t>
  </si>
  <si>
    <r>
      <t>Rendimiento
M</t>
    </r>
    <r>
      <rPr>
        <vertAlign val="superscript"/>
        <sz val="12"/>
        <color theme="0"/>
        <rFont val="Calibri"/>
        <family val="2"/>
        <scheme val="minor"/>
      </rPr>
      <t xml:space="preserve">2 </t>
    </r>
    <r>
      <rPr>
        <sz val="12"/>
        <color theme="0"/>
        <rFont val="Calibri"/>
        <family val="2"/>
        <scheme val="minor"/>
      </rPr>
      <t>por Kilo pintura</t>
    </r>
  </si>
  <si>
    <r>
      <t>Área de la 
Pieza M</t>
    </r>
    <r>
      <rPr>
        <vertAlign val="superscript"/>
        <sz val="12"/>
        <color theme="0"/>
        <rFont val="Calibri"/>
        <family val="2"/>
        <scheme val="minor"/>
      </rPr>
      <t>2</t>
    </r>
  </si>
  <si>
    <t>Cantidad de piezas a pintar</t>
  </si>
  <si>
    <t>Total m2</t>
  </si>
  <si>
    <t>Consumo pintura Kg. Por Pieza</t>
  </si>
  <si>
    <t>Costo de pintura por Pieza</t>
  </si>
  <si>
    <t>Consumo total Pintura  Kg</t>
  </si>
  <si>
    <t xml:space="preserve">Costo total de pintura </t>
  </si>
  <si>
    <t>Consumo en Lts. TOTAL FOSFAT</t>
  </si>
  <si>
    <t>Costo Limpieza x m2</t>
  </si>
  <si>
    <t>Costo Horneo</t>
  </si>
  <si>
    <t>Costo total x horneado 1 sola pza</t>
  </si>
  <si>
    <t>Costo total horneada horno lleno</t>
  </si>
  <si>
    <t>Tiempo de Horneo minutos</t>
  </si>
  <si>
    <t>Costo unitario por pieza horno completo</t>
  </si>
  <si>
    <t>variable</t>
  </si>
  <si>
    <t>AXALTA</t>
  </si>
  <si>
    <t>Margen Interno</t>
  </si>
  <si>
    <t>P.V. Interno Cirotec</t>
  </si>
  <si>
    <t>VITRACOAT</t>
  </si>
  <si>
    <t>1.- Costo del kilogramo de pintura.</t>
  </si>
  <si>
    <t>2.- Costo del kilogramo de Fosfato.</t>
  </si>
  <si>
    <t>3.- Costo del kilogramo de Sello Organico.</t>
  </si>
  <si>
    <t>4.- Costo del kilogramo de gas Lp.</t>
  </si>
  <si>
    <t>5.- Rendimiento en M2 po Kg de pintura.</t>
  </si>
  <si>
    <t>6.- Area en M2 por pieza a pintar.</t>
  </si>
  <si>
    <t>7.- Numero de piezas a pintar.</t>
  </si>
  <si>
    <t>8.- Total de M2 a pintar.</t>
  </si>
  <si>
    <t>9.- Consumo Pintura en Kg. Por pieza.</t>
  </si>
  <si>
    <t>10.- Costo de pintura por pieza.</t>
  </si>
  <si>
    <t>11.- Consumo total de pintura en Kg en el total de las piezas.</t>
  </si>
  <si>
    <t xml:space="preserve">12.- Costo por el total de pintura utilizada </t>
  </si>
  <si>
    <t xml:space="preserve">13.- Consumo en Lts. de quimicos por M2 </t>
  </si>
  <si>
    <t>14.- Costo por ciclo de horneado</t>
  </si>
  <si>
    <t>15.- Costo total por 1 pieza, no importa tamaño</t>
  </si>
  <si>
    <t>16.- Costo total asumiendo que la cantidad de piezas a pintas (7) quepan en una sola horneada</t>
  </si>
  <si>
    <t>17.- Duracion del ciclo completo de horneado</t>
  </si>
  <si>
    <t>Descripción</t>
  </si>
  <si>
    <t>Area a
 pintar</t>
  </si>
  <si>
    <t>Pintura</t>
  </si>
  <si>
    <t>P.F. 
COMISION  VENTA 7%</t>
  </si>
  <si>
    <t>VENTA 
TOTAL</t>
  </si>
  <si>
    <t>11-A-9423-01</t>
  </si>
  <si>
    <t>11-A-9423-02</t>
  </si>
  <si>
    <t>11-A-9424-01</t>
  </si>
  <si>
    <t>11-A-9424-02</t>
  </si>
  <si>
    <t>11-A-9499-01</t>
  </si>
  <si>
    <t>11-A-9524-01</t>
  </si>
  <si>
    <t>11-A-9524-02</t>
  </si>
  <si>
    <t>11-A-9556-01</t>
  </si>
  <si>
    <t>11-A-9559-01</t>
  </si>
  <si>
    <t>11-A-9890-01</t>
  </si>
  <si>
    <t>11-A-9934-01</t>
  </si>
  <si>
    <t>11-A-9934-02</t>
  </si>
  <si>
    <t>11-A-9934-03</t>
  </si>
  <si>
    <t>11-A-9934-04</t>
  </si>
  <si>
    <t>11-A-9934-05</t>
  </si>
  <si>
    <t>11-A-9934-06</t>
  </si>
  <si>
    <t>11-A-9951-01</t>
  </si>
  <si>
    <t>11-A-9990-01</t>
  </si>
  <si>
    <t>11-B-9015-01</t>
  </si>
  <si>
    <t>11-B-9016-01</t>
  </si>
  <si>
    <t>11-B-9034-01</t>
  </si>
  <si>
    <t>11-B-9034-02</t>
  </si>
  <si>
    <t>11-B-9035-01</t>
  </si>
  <si>
    <t>11-B-9035-02</t>
  </si>
  <si>
    <t>11-B-9160-01</t>
  </si>
  <si>
    <t>11-B-9258-01</t>
  </si>
  <si>
    <t>11-B-9822-01</t>
  </si>
  <si>
    <t>11-B-9822-02</t>
  </si>
  <si>
    <t>11-C-9297-01</t>
  </si>
  <si>
    <t>11-C-9298-01</t>
  </si>
  <si>
    <t>11-C-9299-01</t>
  </si>
  <si>
    <t>11-C-9352-01</t>
  </si>
  <si>
    <t>11-C-9611-01</t>
  </si>
  <si>
    <t>11-C-9611-02</t>
  </si>
  <si>
    <t>11-C-9612-01</t>
  </si>
  <si>
    <t>11-C-9612-02</t>
  </si>
  <si>
    <t>11-C-9760-01</t>
  </si>
  <si>
    <t>11-C-9761-01</t>
  </si>
  <si>
    <t>11-C-9762-01</t>
  </si>
  <si>
    <t>11-C-9763-01</t>
  </si>
  <si>
    <t>11-C-9765-01</t>
  </si>
  <si>
    <t>11-C-9778-01</t>
  </si>
  <si>
    <t>11-C-9779-01</t>
  </si>
  <si>
    <t>11-C-9747-01</t>
  </si>
  <si>
    <t>11-D-9297-01</t>
  </si>
  <si>
    <t>11-D-9298-01</t>
  </si>
  <si>
    <t>11-D-9583-01</t>
  </si>
  <si>
    <t>11-D-9584-01</t>
  </si>
  <si>
    <t>11-D-9597-01</t>
  </si>
  <si>
    <t>11-D-9597-02</t>
  </si>
  <si>
    <t>11-D-9597-03</t>
  </si>
  <si>
    <t>11-D-9597-04</t>
  </si>
  <si>
    <t>11-D-9597-05</t>
  </si>
  <si>
    <t>11-D-9597-06</t>
  </si>
  <si>
    <t>11-D-9979-202</t>
  </si>
  <si>
    <t>11-E-9422-01L</t>
  </si>
  <si>
    <t>11-E-9422-01R</t>
  </si>
  <si>
    <t>11-E-9423-01</t>
  </si>
  <si>
    <t>11-E-9426-01</t>
  </si>
  <si>
    <t>11-E-9427-01</t>
  </si>
  <si>
    <t>11-E-9428-01</t>
  </si>
  <si>
    <t>11-E-9429-01</t>
  </si>
  <si>
    <t>11-E-9430-01</t>
  </si>
  <si>
    <t>11-E-9431-01</t>
  </si>
  <si>
    <t>11-E-9432-01</t>
  </si>
  <si>
    <t>11-E-9433-01</t>
  </si>
  <si>
    <t>11-E-9434-01</t>
  </si>
  <si>
    <t>11-E-9436-01</t>
  </si>
  <si>
    <t>11-E-9437-01</t>
  </si>
  <si>
    <t>11-E-9438-01</t>
  </si>
  <si>
    <t>11-E-9439-01</t>
  </si>
  <si>
    <t>11-E-9440-01</t>
  </si>
  <si>
    <t>11-E-9440-02</t>
  </si>
  <si>
    <t>11-E-9442-01</t>
  </si>
  <si>
    <t>11-E-9443-01</t>
  </si>
  <si>
    <t>11-E-9444-01</t>
  </si>
  <si>
    <t>11-E-9445-01</t>
  </si>
  <si>
    <t>11-E-9445-02</t>
  </si>
  <si>
    <t>11-E-9446-01</t>
  </si>
  <si>
    <t>11-E-9446-02</t>
  </si>
  <si>
    <t>11-E-9447-01</t>
  </si>
  <si>
    <t>11-E-9447-02</t>
  </si>
  <si>
    <t>11-E-9448-01</t>
  </si>
  <si>
    <t>11-E-9448-02</t>
  </si>
  <si>
    <t>11-E-9449-01</t>
  </si>
  <si>
    <t>11-E-9449-02</t>
  </si>
  <si>
    <t>11-E-9450-01</t>
  </si>
  <si>
    <t>11-E-9454-01</t>
  </si>
  <si>
    <t>11-E-9455-01</t>
  </si>
  <si>
    <t>11-E-9456-01</t>
  </si>
  <si>
    <t>11-E-9457-01</t>
  </si>
  <si>
    <t>11-E-9458-01</t>
  </si>
  <si>
    <t>11-E-9460-01</t>
  </si>
  <si>
    <t>11-E-9461-01</t>
  </si>
  <si>
    <t>11-E-9462-01</t>
  </si>
  <si>
    <t>11-E-9463-01</t>
  </si>
  <si>
    <t>11-E-9466-01</t>
  </si>
  <si>
    <t>11-E-9467-01</t>
  </si>
  <si>
    <t>11-E-9467-02</t>
  </si>
  <si>
    <t>11-E-9468-01</t>
  </si>
  <si>
    <t>11-E-9469-01</t>
  </si>
  <si>
    <t>11-E-9470-01</t>
  </si>
  <si>
    <t>11-E-9471-01</t>
  </si>
  <si>
    <t>11-E-9483-01</t>
  </si>
  <si>
    <t>11-E-9484-01</t>
  </si>
  <si>
    <t>11-E-9484-02</t>
  </si>
  <si>
    <t>11-E-9485-01</t>
  </si>
  <si>
    <t>11-E-9486-01</t>
  </si>
  <si>
    <t>11-E-9487-01</t>
  </si>
  <si>
    <t>11-E-9488-01</t>
  </si>
  <si>
    <t>11-E-9489-01</t>
  </si>
  <si>
    <t>11-E-9492-01</t>
  </si>
  <si>
    <t>11-E-9492-02</t>
  </si>
  <si>
    <t>11-E-9493-01</t>
  </si>
  <si>
    <t>11-E-9494-01</t>
  </si>
  <si>
    <t>11-E-9495-01</t>
  </si>
  <si>
    <t>11-E-9495-02</t>
  </si>
  <si>
    <t>11-E-9496-01</t>
  </si>
  <si>
    <t>11-E-9498-01</t>
  </si>
  <si>
    <t>11-E-9499-01</t>
  </si>
  <si>
    <t>11-E-9500-01</t>
  </si>
  <si>
    <t>11-E-9501-01</t>
  </si>
  <si>
    <t>11-E-9503-01</t>
  </si>
  <si>
    <t>11-E-9503-02</t>
  </si>
  <si>
    <t>11-E-9503-03</t>
  </si>
  <si>
    <t>11-E-9503-04</t>
  </si>
  <si>
    <t>11-E-9506-01</t>
  </si>
  <si>
    <t>11-E-9506-02</t>
  </si>
  <si>
    <t>11-E-9506-03</t>
  </si>
  <si>
    <t>11-E-9506-04</t>
  </si>
  <si>
    <t>11-E-9507-01</t>
  </si>
  <si>
    <t>11-E-9507-02</t>
  </si>
  <si>
    <t>11-E-9508-01</t>
  </si>
  <si>
    <t>11-E-9508-02</t>
  </si>
  <si>
    <t>11-E-9509-01</t>
  </si>
  <si>
    <t>11-E-9509-02</t>
  </si>
  <si>
    <t>11-E-9509-03</t>
  </si>
  <si>
    <t>11-E-9509-04</t>
  </si>
  <si>
    <t>11-E-9515-01</t>
  </si>
  <si>
    <t>11-E-9516-01</t>
  </si>
  <si>
    <t>11-E-9517-01</t>
  </si>
  <si>
    <t>11-E-9518-01</t>
  </si>
  <si>
    <t>11-E-9538-01</t>
  </si>
  <si>
    <t>11-E-9539-01</t>
  </si>
  <si>
    <t>11-E-9543-01</t>
  </si>
  <si>
    <t>11-E-9544-01</t>
  </si>
  <si>
    <t>11-E-9545-01</t>
  </si>
  <si>
    <t>11-E-9546-01</t>
  </si>
  <si>
    <t>11-E-9548-01</t>
  </si>
  <si>
    <t>11-E-9549-01</t>
  </si>
  <si>
    <t>11-E-9550-01</t>
  </si>
  <si>
    <t>11-E-9550-02</t>
  </si>
  <si>
    <t>11-E-9551-01</t>
  </si>
  <si>
    <t>11-E-9551-02</t>
  </si>
  <si>
    <t>11-E-9552-01</t>
  </si>
  <si>
    <t>11-E-9553-01</t>
  </si>
  <si>
    <t>11-E-9554-01</t>
  </si>
  <si>
    <t>11-E-9556-01</t>
  </si>
  <si>
    <t>11-E-9557-01</t>
  </si>
  <si>
    <t>11-E-9557-02</t>
  </si>
  <si>
    <t>11-E-9559-01</t>
  </si>
  <si>
    <t>11-E-9560-01</t>
  </si>
  <si>
    <t>11-E-9563-01</t>
  </si>
  <si>
    <t>11-E-9563-02</t>
  </si>
  <si>
    <t>11-E-9568-01</t>
  </si>
  <si>
    <t>11-E-9586-01</t>
  </si>
  <si>
    <t>11-E-9587-01</t>
  </si>
  <si>
    <t>11-E-9591-01</t>
  </si>
  <si>
    <t>11-E-9594-01</t>
  </si>
  <si>
    <t>11-E-9594-02</t>
  </si>
  <si>
    <t>11-E-9673-01</t>
  </si>
  <si>
    <t>11-F-9276-01</t>
  </si>
  <si>
    <t>PP4997-031</t>
  </si>
  <si>
    <t>PP4997-032</t>
  </si>
  <si>
    <t>PP4997-01</t>
  </si>
  <si>
    <t>PP4997-02</t>
  </si>
  <si>
    <t>11-E-9674-01</t>
  </si>
  <si>
    <t>11-E-9589-01</t>
  </si>
  <si>
    <t>PP8878-063</t>
  </si>
  <si>
    <t>11-E-9526-01</t>
  </si>
  <si>
    <t>11-E-9526-02</t>
  </si>
  <si>
    <t>11-E-9526-03</t>
  </si>
  <si>
    <t>11-E-9526-04</t>
  </si>
  <si>
    <t>11-E-9525-01</t>
  </si>
  <si>
    <t>11-E-9525-02</t>
  </si>
  <si>
    <t>11-E-9575-01</t>
  </si>
  <si>
    <t>11-E-9575-02</t>
  </si>
  <si>
    <t>11-E-9575-03</t>
  </si>
  <si>
    <t>11-E-9527-01</t>
  </si>
  <si>
    <t>11-E-9527-02</t>
  </si>
  <si>
    <t>11-E-9569-01</t>
  </si>
  <si>
    <t>11-E-9529-01</t>
  </si>
  <si>
    <t>11-E-9534-01</t>
  </si>
  <si>
    <t>11-E-9565-01</t>
  </si>
  <si>
    <t>11-E-9564-01</t>
  </si>
  <si>
    <t>11-E-9585-01</t>
  </si>
  <si>
    <t>11-E-9584-01</t>
  </si>
  <si>
    <t>11-E-9533-01</t>
  </si>
  <si>
    <t>11-E-9579-01</t>
  </si>
  <si>
    <t>12-D-9149-01</t>
  </si>
  <si>
    <t>11-E-9472-01</t>
  </si>
  <si>
    <t>11-E-9473-01</t>
  </si>
  <si>
    <t>11-E-9474-01</t>
  </si>
  <si>
    <t>11-E-9475-01</t>
  </si>
  <si>
    <t>11-E-9479-01</t>
  </si>
  <si>
    <t>11-E-9480-01</t>
  </si>
  <si>
    <t>11-E-9482-01</t>
  </si>
  <si>
    <t>11-C-9778-01-MO1</t>
  </si>
  <si>
    <t>11-C-9778-01-MO2</t>
  </si>
  <si>
    <t>PP11120-17-MO1</t>
  </si>
  <si>
    <t>PP11120-17-MO2</t>
  </si>
  <si>
    <t>11-D-9146-01</t>
  </si>
  <si>
    <t>11-D-9146-02</t>
  </si>
  <si>
    <t>11-D-9146-03</t>
  </si>
  <si>
    <t>11-D-9146-04</t>
  </si>
  <si>
    <t>11-D-9146-05</t>
  </si>
  <si>
    <t>11-D-9146-06</t>
  </si>
  <si>
    <t>11-A-9549-01</t>
  </si>
  <si>
    <t>11-A-9553-01</t>
  </si>
  <si>
    <t>11-A-9555-01</t>
  </si>
  <si>
    <t>11-A-9843-01</t>
  </si>
  <si>
    <t>11-A-9845-01</t>
  </si>
  <si>
    <t>11-A-9847-01</t>
  </si>
  <si>
    <t>11-A-9849-01</t>
  </si>
  <si>
    <t>11-A-9851-01</t>
  </si>
  <si>
    <t>11-A-9875-01</t>
  </si>
  <si>
    <t>11-A-9875-02</t>
  </si>
  <si>
    <t>11-A-9875-03</t>
  </si>
  <si>
    <t>11-A-9875-04</t>
  </si>
  <si>
    <t>11-A-9875-05</t>
  </si>
  <si>
    <t>11-A-9875-06</t>
  </si>
  <si>
    <t>11-A-9875-07</t>
  </si>
  <si>
    <t>11-B-9193-01</t>
  </si>
  <si>
    <t>11-B-9194-01</t>
  </si>
  <si>
    <t>11-B-9194-02</t>
  </si>
  <si>
    <t>11-B-9194-03</t>
  </si>
  <si>
    <t>11-B-9194-04</t>
  </si>
  <si>
    <t>11-B-9194-05</t>
  </si>
  <si>
    <t>11-B-9195-01</t>
  </si>
  <si>
    <t>11-B-9208-01</t>
  </si>
  <si>
    <t>11-B-9208-02</t>
  </si>
  <si>
    <t>11-B-9211-01</t>
  </si>
  <si>
    <t>11-B-9743-01</t>
  </si>
  <si>
    <t>11-B-9743-02</t>
  </si>
  <si>
    <t>11-C-9281-01</t>
  </si>
  <si>
    <t>11-D-9820-01</t>
  </si>
  <si>
    <t>11-D-9821-01</t>
  </si>
  <si>
    <t>11-D-9824-01</t>
  </si>
  <si>
    <t>11-D-9825-01</t>
  </si>
  <si>
    <t>11-D-9828-01</t>
  </si>
  <si>
    <t>11-D-9829-01</t>
  </si>
  <si>
    <t>11-A-9821-01</t>
  </si>
  <si>
    <t>11-B-9781-01</t>
  </si>
  <si>
    <t>11-B-9781-02</t>
  </si>
  <si>
    <t>11-C-9102-01</t>
  </si>
  <si>
    <t>11-C-9102-02</t>
  </si>
  <si>
    <t>11-C-9106-01</t>
  </si>
  <si>
    <t>11-C-9106-02</t>
  </si>
  <si>
    <t>11-C-9115-01</t>
  </si>
  <si>
    <t>11-C-9115-02</t>
  </si>
  <si>
    <t>11-C-9229-01</t>
  </si>
  <si>
    <t>11-C-9230-01</t>
  </si>
  <si>
    <t>11-C-9231-01</t>
  </si>
  <si>
    <t>11-C-9232-01</t>
  </si>
  <si>
    <t>11-C-9233-01</t>
  </si>
  <si>
    <t>11-C-9233-02</t>
  </si>
  <si>
    <t>11-C-9234-01</t>
  </si>
  <si>
    <t>11-C-9234-02</t>
  </si>
  <si>
    <t>11-C-9234-03</t>
  </si>
  <si>
    <t>11-C-9236-01</t>
  </si>
  <si>
    <t>11-C-9241-01</t>
  </si>
  <si>
    <t>11-C-9241-02</t>
  </si>
  <si>
    <t>11-C-9242-01</t>
  </si>
  <si>
    <t>11-C-9242-02</t>
  </si>
  <si>
    <t>11-C-9243-01</t>
  </si>
  <si>
    <t>11-C-9244-01</t>
  </si>
  <si>
    <t>11-C-9245-01</t>
  </si>
  <si>
    <t>11-C-9246-01</t>
  </si>
  <si>
    <t>11-C-9247-01</t>
  </si>
  <si>
    <t>11-C-9248-01</t>
  </si>
  <si>
    <t>11-C-9249-01</t>
  </si>
  <si>
    <t>11-C-9250-01</t>
  </si>
  <si>
    <t>11-C-9265-01</t>
  </si>
  <si>
    <t>11-C-9266-01</t>
  </si>
  <si>
    <t>11-C-9267-01</t>
  </si>
  <si>
    <t>11-C-9268-01</t>
  </si>
  <si>
    <t>11-C-9269-01</t>
  </si>
  <si>
    <t>11-C-9270-01</t>
  </si>
  <si>
    <t>11-C-9271-01</t>
  </si>
  <si>
    <t>11-C-9271-02</t>
  </si>
  <si>
    <t>11-C-9272-01</t>
  </si>
  <si>
    <t>11-C-9274-01</t>
  </si>
  <si>
    <t>11-C-9277-01</t>
  </si>
  <si>
    <t>11-C-9277-02</t>
  </si>
  <si>
    <t>11-C-9277-03</t>
  </si>
  <si>
    <t>11-C-9277-04</t>
  </si>
  <si>
    <t>11-C-9278-01</t>
  </si>
  <si>
    <t>11-C-9279-01</t>
  </si>
  <si>
    <t>11-C-9280-01</t>
  </si>
  <si>
    <t>11-C-9282-01</t>
  </si>
  <si>
    <t>11-C-9283-01</t>
  </si>
  <si>
    <t>11-C-9284-01</t>
  </si>
  <si>
    <t>11-C-9285-01</t>
  </si>
  <si>
    <t>11-C-9295-01</t>
  </si>
  <si>
    <t>11-C-9295-02</t>
  </si>
  <si>
    <t>11-C-9530-01</t>
  </si>
  <si>
    <t>11-C-9768-01</t>
  </si>
  <si>
    <t>11-C-9769-01</t>
  </si>
  <si>
    <t>11-C-9770-01</t>
  </si>
  <si>
    <t>11-C-9771-01</t>
  </si>
  <si>
    <t>11-C-9772-01</t>
  </si>
  <si>
    <t>11-C-9773-01</t>
  </si>
  <si>
    <t>11-D-9536-01</t>
  </si>
  <si>
    <t>11-D-9537-01</t>
  </si>
  <si>
    <t>11-A-9831-01</t>
  </si>
  <si>
    <t>11-A-9831-02</t>
  </si>
  <si>
    <t>11-A-9831-03</t>
  </si>
  <si>
    <t>11-A-9836-01</t>
  </si>
  <si>
    <t>11-A-9837-01</t>
  </si>
  <si>
    <t>11-A-9958-01</t>
  </si>
  <si>
    <t>11-A-9959-01</t>
  </si>
  <si>
    <t>11-B-9083-01</t>
  </si>
  <si>
    <t>11-B-9745-01</t>
  </si>
  <si>
    <t>11-B-9745-02</t>
  </si>
  <si>
    <t>11-B-9746-01</t>
  </si>
  <si>
    <t>11-B-9746-02</t>
  </si>
  <si>
    <t>11-B-9753-01</t>
  </si>
  <si>
    <t>11-B-9754-01</t>
  </si>
  <si>
    <t>11-B-9754-02</t>
  </si>
  <si>
    <t>11-C-9617-01</t>
  </si>
  <si>
    <t>11-C-9618-01</t>
  </si>
  <si>
    <t>11-C-9620-01</t>
  </si>
  <si>
    <t>11-C-9621-01</t>
  </si>
  <si>
    <t>11-C-9582-01</t>
  </si>
  <si>
    <t>11-D-9538-01</t>
  </si>
  <si>
    <t>11-F-9971-01</t>
  </si>
  <si>
    <t>11-F-9972-01</t>
  </si>
  <si>
    <t>PP8910-041</t>
  </si>
  <si>
    <t>11-D-9977-221</t>
  </si>
  <si>
    <t>11-E-9580-01</t>
  </si>
  <si>
    <t>11-B-9626-01</t>
  </si>
  <si>
    <t>11-B-9635-01</t>
  </si>
  <si>
    <t>11-B-9636-01</t>
  </si>
  <si>
    <t>11-B-9641-01</t>
  </si>
  <si>
    <t>11-B-9633-01</t>
  </si>
  <si>
    <t>11-D-9148-01</t>
  </si>
  <si>
    <t>11-D-9148-02</t>
  </si>
  <si>
    <t>11-D-9148-03</t>
  </si>
  <si>
    <t>11-D-9148-04</t>
  </si>
  <si>
    <t>11-A-9553-01-VF</t>
  </si>
  <si>
    <t>11-D-9984-321</t>
  </si>
  <si>
    <t>PP14745-12</t>
  </si>
  <si>
    <t xml:space="preserve">11-A-9990-01   </t>
  </si>
  <si>
    <t>P6986-013</t>
  </si>
  <si>
    <t>PP7975-171</t>
  </si>
  <si>
    <t>PP13456-711</t>
  </si>
  <si>
    <t>PP13456-712</t>
  </si>
  <si>
    <t>PP13456-713</t>
  </si>
  <si>
    <t>PP13456-714</t>
  </si>
  <si>
    <t>PP13456-715</t>
  </si>
  <si>
    <t>PP13456-716</t>
  </si>
  <si>
    <t>PP13456-602</t>
  </si>
  <si>
    <t>PP7975-231</t>
  </si>
  <si>
    <t>PP7975-151</t>
  </si>
  <si>
    <t>PFQ-PP8655</t>
  </si>
  <si>
    <t>P9711-081</t>
  </si>
  <si>
    <t>11-E-9459-01</t>
  </si>
  <si>
    <t>PP4997-041</t>
  </si>
  <si>
    <t>11-E-9582-01</t>
  </si>
  <si>
    <t>11-D-9898-01</t>
  </si>
  <si>
    <t>11-D-9898-02</t>
  </si>
  <si>
    <t>11-D-9898-03</t>
  </si>
  <si>
    <t>11-D-9898-04</t>
  </si>
  <si>
    <t>11-D-9898-05</t>
  </si>
  <si>
    <t>11-D-9898-06</t>
  </si>
  <si>
    <t>P8656-301</t>
  </si>
  <si>
    <t>P9817-591</t>
  </si>
  <si>
    <t>P9817-53A</t>
  </si>
  <si>
    <t>11-D-9750-01</t>
  </si>
  <si>
    <t>PP9703-553</t>
  </si>
  <si>
    <t>11-D-9898-01-TRT</t>
  </si>
  <si>
    <t>P11987-231</t>
  </si>
  <si>
    <t>PP8656-012-AFO</t>
  </si>
  <si>
    <t>P14955-601</t>
  </si>
  <si>
    <t>11-D-9979-422</t>
  </si>
  <si>
    <t>11-D-9638-01</t>
  </si>
  <si>
    <t>11-D-9638-02</t>
  </si>
  <si>
    <t>P9817-641</t>
  </si>
  <si>
    <t>P9817-651</t>
  </si>
  <si>
    <t>P8629-82</t>
  </si>
  <si>
    <t>P8629-84</t>
  </si>
  <si>
    <t>P8629-86</t>
  </si>
  <si>
    <t>11-D-9639-01</t>
  </si>
  <si>
    <t>11-D-9822-01</t>
  </si>
  <si>
    <t>11-D-9830-01</t>
  </si>
  <si>
    <t>11-D-9826-01</t>
  </si>
  <si>
    <t>P8629-912</t>
  </si>
  <si>
    <t>P8629-75</t>
  </si>
  <si>
    <t>P8629-76</t>
  </si>
  <si>
    <t>P8629-77</t>
  </si>
  <si>
    <t>PP8516-121</t>
  </si>
  <si>
    <t>PP8656-012-AF0</t>
  </si>
  <si>
    <t>P8656-16</t>
  </si>
  <si>
    <t>11-D-9147-01</t>
  </si>
  <si>
    <t>11-D-9147-02</t>
  </si>
  <si>
    <t>11-D-9147-03</t>
  </si>
  <si>
    <t>11-D-9147-04</t>
  </si>
  <si>
    <t>11-D-9147-05</t>
  </si>
  <si>
    <t>11-D-9147-06</t>
  </si>
  <si>
    <t>P10991-08</t>
  </si>
  <si>
    <t>11-C-9830-01</t>
  </si>
  <si>
    <t>PP10357-22</t>
  </si>
  <si>
    <t>PP7542-27</t>
  </si>
  <si>
    <t>11-B-9310-01</t>
  </si>
  <si>
    <t>11-D-9775-01</t>
  </si>
  <si>
    <t>11-D-9776-01</t>
  </si>
  <si>
    <t>11-D-9903-01</t>
  </si>
  <si>
    <t>11-D-9903-02</t>
  </si>
  <si>
    <t>11-D-9903-03</t>
  </si>
  <si>
    <t>11-D-9903-04</t>
  </si>
  <si>
    <t>11-D-9903-05</t>
  </si>
  <si>
    <t>11-D-9903-06</t>
  </si>
  <si>
    <t>P9153-29</t>
  </si>
  <si>
    <t>P8656-14</t>
  </si>
  <si>
    <t>P8656-15</t>
  </si>
  <si>
    <t>11-A-9400-01</t>
  </si>
  <si>
    <t>11-A-9400-02</t>
  </si>
  <si>
    <t>11-A-9404-01</t>
  </si>
  <si>
    <t>11-A-9404-02</t>
  </si>
  <si>
    <t>11-A-9405-01</t>
  </si>
  <si>
    <t>11-A-9406-01</t>
  </si>
  <si>
    <t>11-A-9406-02</t>
  </si>
  <si>
    <t>11-A-9406-03</t>
  </si>
  <si>
    <t>11-A-9406-04</t>
  </si>
  <si>
    <t>11-A-9408-01</t>
  </si>
  <si>
    <t>11-A-9408-02</t>
  </si>
  <si>
    <t>11-A-9408-03</t>
  </si>
  <si>
    <t>11-A-9408-04</t>
  </si>
  <si>
    <t>11-A-9414-01</t>
  </si>
  <si>
    <t>11-A-9414-02</t>
  </si>
  <si>
    <t>11-A-9415-01</t>
  </si>
  <si>
    <t>11-A-9415-02</t>
  </si>
  <si>
    <t>11-A-9415-03</t>
  </si>
  <si>
    <t>11-A-9415-04</t>
  </si>
  <si>
    <t>11-A-9416-01</t>
  </si>
  <si>
    <t>11-A-9416-02</t>
  </si>
  <si>
    <t>11-A-9418-01</t>
  </si>
  <si>
    <t>11-A-9418-02</t>
  </si>
  <si>
    <t>11-A-9419-01</t>
  </si>
  <si>
    <t>11-A-9419-02</t>
  </si>
  <si>
    <t>11-A-9420-01</t>
  </si>
  <si>
    <t>11-A-9420-02</t>
  </si>
  <si>
    <t>11-A-9426-01</t>
  </si>
  <si>
    <t>11-A-9426-02</t>
  </si>
  <si>
    <t>11-A-9433-01</t>
  </si>
  <si>
    <t>11-A-9433-02</t>
  </si>
  <si>
    <t>11-A-9433-03</t>
  </si>
  <si>
    <t>11-A-9433-04</t>
  </si>
  <si>
    <t>11-A-9434-01</t>
  </si>
  <si>
    <t>11-A-9434-02</t>
  </si>
  <si>
    <t>11-A-9434-03</t>
  </si>
  <si>
    <t>11-A-9434-04</t>
  </si>
  <si>
    <t>11-A-9435-01</t>
  </si>
  <si>
    <t>11-A-9437-01</t>
  </si>
  <si>
    <t>11-A-9455-01</t>
  </si>
  <si>
    <t>11-A-9455-02</t>
  </si>
  <si>
    <t>11-A-9496-01</t>
  </si>
  <si>
    <t>11-A-9497-01</t>
  </si>
  <si>
    <t>11-A-9498-01</t>
  </si>
  <si>
    <t>11-A-9504-01</t>
  </si>
  <si>
    <t>11-A-9505-01</t>
  </si>
  <si>
    <t>11-A-9512-01</t>
  </si>
  <si>
    <t>11-A-9512-02</t>
  </si>
  <si>
    <t>11-A-9520-01</t>
  </si>
  <si>
    <t>11-A-9520-02</t>
  </si>
  <si>
    <t>11-A-9521-01</t>
  </si>
  <si>
    <t>11-B-9086-01</t>
  </si>
  <si>
    <t>11-B-9086-02</t>
  </si>
  <si>
    <t>11-B-9307-01</t>
  </si>
  <si>
    <t>11-B-9624-01</t>
  </si>
  <si>
    <t>11-B-9624-02</t>
  </si>
  <si>
    <t>11-B-9624-03</t>
  </si>
  <si>
    <t>11-B-9624-04</t>
  </si>
  <si>
    <t>11-B-9627-01</t>
  </si>
  <si>
    <t>11-B-9629-01</t>
  </si>
  <si>
    <t>11-B-9631-01</t>
  </si>
  <si>
    <t>11-B-9632-01</t>
  </si>
  <si>
    <t>11-B-9634-01</t>
  </si>
  <si>
    <t>11-B-9637-01</t>
  </si>
  <si>
    <t>11-B-9638-01</t>
  </si>
  <si>
    <t>11-B-9639-01</t>
  </si>
  <si>
    <t>11-B-9640-01</t>
  </si>
  <si>
    <t>11-B-9642-01</t>
  </si>
  <si>
    <t>11-B-9643-01</t>
  </si>
  <si>
    <t>11-B-9644-01</t>
  </si>
  <si>
    <t>11-B-9645-01</t>
  </si>
  <si>
    <t>11-B-9645-02</t>
  </si>
  <si>
    <t>11-B-9646-01</t>
  </si>
  <si>
    <t>11-B-9646-02</t>
  </si>
  <si>
    <t>11-B-9701-01</t>
  </si>
  <si>
    <t>11-B-9701-02</t>
  </si>
  <si>
    <t>11-B-9701-03</t>
  </si>
  <si>
    <t>11-B-9702-01</t>
  </si>
  <si>
    <t>11-B-9703-01</t>
  </si>
  <si>
    <t>11-B-9705-01</t>
  </si>
  <si>
    <t>11-B-9706-01</t>
  </si>
  <si>
    <t>11-B-9708-01</t>
  </si>
  <si>
    <t>11-B-9710-01</t>
  </si>
  <si>
    <t>11-B-9711-01</t>
  </si>
  <si>
    <t>OUTDOOR LIFTING PLATE</t>
  </si>
  <si>
    <t>11-B-9714-01</t>
  </si>
  <si>
    <t>11-B-9714-02</t>
  </si>
  <si>
    <t>11-B-9715-01</t>
  </si>
  <si>
    <t>11-B-9715-02</t>
  </si>
  <si>
    <t>11-B-9715-03</t>
  </si>
  <si>
    <t>11-B-9715-04</t>
  </si>
  <si>
    <t>11-B-9715-05</t>
  </si>
  <si>
    <t>11-B-9715-06</t>
  </si>
  <si>
    <t>11-B-9715-07</t>
  </si>
  <si>
    <t>11-B-9716-01</t>
  </si>
  <si>
    <t>11-B-9716-02</t>
  </si>
  <si>
    <t>11-B-9716-03</t>
  </si>
  <si>
    <t>11-B-9716-04</t>
  </si>
  <si>
    <t>11-B-9720-01</t>
  </si>
  <si>
    <t>11-B-9727-01</t>
  </si>
  <si>
    <t>11-B-9728-01</t>
  </si>
  <si>
    <t>11-B-9729-01</t>
  </si>
  <si>
    <t>11-B-9730-01</t>
  </si>
  <si>
    <t>11-B-9731-01</t>
  </si>
  <si>
    <t>11-B-9734-01</t>
  </si>
  <si>
    <t>11-B-9734-02</t>
  </si>
  <si>
    <t>11-B-9737-01</t>
  </si>
  <si>
    <t>11-B-9738-01</t>
  </si>
  <si>
    <t>11-B-9739-01</t>
  </si>
  <si>
    <t>11-B-9740-01</t>
  </si>
  <si>
    <t>11-B-9741-01</t>
  </si>
  <si>
    <t>11-B-9874-01</t>
  </si>
  <si>
    <t>11-B-9877-01</t>
  </si>
  <si>
    <t>11-B-9878-01</t>
  </si>
  <si>
    <t>11-B-9878-02</t>
  </si>
  <si>
    <t>11-C-9296-01</t>
  </si>
  <si>
    <t>11-C-9417-01</t>
  </si>
  <si>
    <t>11-C-9417-02</t>
  </si>
  <si>
    <t>11-C-9417-03</t>
  </si>
  <si>
    <t>11-C-9419-01</t>
  </si>
  <si>
    <t>11-C-9419-02</t>
  </si>
  <si>
    <t>11-C-9419-03</t>
  </si>
  <si>
    <t>11-C-9446-01</t>
  </si>
  <si>
    <t>11-C-9488-01</t>
  </si>
  <si>
    <t>11-D-9229-01</t>
  </si>
  <si>
    <t>11-D-9322-01</t>
  </si>
  <si>
    <t>11-D-9322-02</t>
  </si>
  <si>
    <t>11-D-9323-01</t>
  </si>
  <si>
    <t>11-D-9323-02</t>
  </si>
  <si>
    <t>11-D-9324-01</t>
  </si>
  <si>
    <t>11-D-9325-01</t>
  </si>
  <si>
    <t>11-D-9327-01</t>
  </si>
  <si>
    <t>11-D-9328-01</t>
  </si>
  <si>
    <t>11-D-9328-02</t>
  </si>
  <si>
    <t>PP4997-04</t>
  </si>
  <si>
    <t>PP8655</t>
  </si>
  <si>
    <t>11-D-9733-01</t>
  </si>
  <si>
    <t>P10991-031</t>
  </si>
  <si>
    <t>11-D-9736-01</t>
  </si>
  <si>
    <t>11-D-9736-02</t>
  </si>
  <si>
    <t>11-D-9736-03</t>
  </si>
  <si>
    <t>11-D-9736-04</t>
  </si>
  <si>
    <t>PP13456-66</t>
  </si>
  <si>
    <t>11-D-9741-01</t>
  </si>
  <si>
    <t>PP13456-612</t>
  </si>
  <si>
    <t>11-A-9251-01</t>
  </si>
  <si>
    <t>11-A-9251-02</t>
  </si>
  <si>
    <t>11-A-9251-03</t>
  </si>
  <si>
    <t>11-A-9251-04</t>
  </si>
  <si>
    <t>11-A-9251-05</t>
  </si>
  <si>
    <t>11-A-9251-06</t>
  </si>
  <si>
    <t>11-A-9251-07</t>
  </si>
  <si>
    <t>11-A-9251-08</t>
  </si>
  <si>
    <t>11-A-9251-09</t>
  </si>
  <si>
    <t>11-A-9251-10</t>
  </si>
  <si>
    <t>11-A-9251-11</t>
  </si>
  <si>
    <t>11-A-9251-12</t>
  </si>
  <si>
    <t>11-A-9251-13</t>
  </si>
  <si>
    <t>11-A-9251-14</t>
  </si>
  <si>
    <t>11-A-9251-15</t>
  </si>
  <si>
    <t>11-A-9251-16</t>
  </si>
  <si>
    <t>11-A-9251-17</t>
  </si>
  <si>
    <t>11-A-9251-18</t>
  </si>
  <si>
    <t>11-A-9251-19</t>
  </si>
  <si>
    <t>11-A-9251-20</t>
  </si>
  <si>
    <t>11-A-9251-21</t>
  </si>
  <si>
    <t>11-A-9251-22</t>
  </si>
  <si>
    <t>11-A-9251-23</t>
  </si>
  <si>
    <t>11-A-9251-24</t>
  </si>
  <si>
    <t>11-A-9251-25</t>
  </si>
  <si>
    <t>P14955-599</t>
  </si>
  <si>
    <t>P17634B-141</t>
  </si>
  <si>
    <t>PP8203-02</t>
  </si>
  <si>
    <t>PP13456-61</t>
  </si>
  <si>
    <t>PP13456-611</t>
  </si>
  <si>
    <t>P14955-596</t>
  </si>
  <si>
    <t>P8629-87</t>
  </si>
  <si>
    <t>P8629-88</t>
  </si>
  <si>
    <t>PP9703-545</t>
  </si>
  <si>
    <t>11-6294-01</t>
  </si>
  <si>
    <t>P9817-58</t>
  </si>
  <si>
    <t>11-B-9311-02</t>
  </si>
  <si>
    <t>11-D-9732-01</t>
  </si>
  <si>
    <t>PP13456-601</t>
  </si>
  <si>
    <t>P12365-312</t>
  </si>
  <si>
    <t>P10991-033</t>
  </si>
  <si>
    <t>11-A-9846-01</t>
  </si>
  <si>
    <t>11-D-9742-01</t>
  </si>
  <si>
    <t>PP13456-64</t>
  </si>
  <si>
    <t>PP13456-65</t>
  </si>
  <si>
    <t>PP4997-05A</t>
  </si>
  <si>
    <t>PP4557-46</t>
  </si>
  <si>
    <t>PD047-A593-01</t>
  </si>
  <si>
    <t>11-C-9779-01-WD1</t>
  </si>
  <si>
    <t>11-C-9779-01-WD2</t>
  </si>
  <si>
    <t>PP14745-012</t>
  </si>
  <si>
    <t>PP14745-011</t>
  </si>
  <si>
    <t>PP10521-01</t>
  </si>
  <si>
    <t>PP18044-25-WD</t>
  </si>
  <si>
    <t>11-D-9326-01</t>
  </si>
  <si>
    <t>11-D-9326-02</t>
  </si>
  <si>
    <t>11-C-9853-01</t>
  </si>
  <si>
    <t>11-C-9853-02</t>
  </si>
  <si>
    <t>11-C-9858-01</t>
  </si>
  <si>
    <t>11-C-9858-02</t>
  </si>
  <si>
    <t>11-C-9875-01</t>
  </si>
  <si>
    <t>11-C-9904-01</t>
  </si>
  <si>
    <t>11-C-9906-01</t>
  </si>
  <si>
    <t>11-E-9025-01</t>
  </si>
  <si>
    <t>11-E-9025-02</t>
  </si>
  <si>
    <t>11-A-9551-01</t>
  </si>
  <si>
    <t>11-A-9830-01</t>
  </si>
  <si>
    <t>11-A-9830-02</t>
  </si>
  <si>
    <t>11-A-9830-03</t>
  </si>
  <si>
    <t>11-C-9694-01</t>
  </si>
  <si>
    <t>11-C-9694-02</t>
  </si>
  <si>
    <t>11-C-9694-03</t>
  </si>
  <si>
    <t>11-C-9694-04</t>
  </si>
  <si>
    <t>11-C-9694-05</t>
  </si>
  <si>
    <t>11-C-9694-06</t>
  </si>
  <si>
    <t>11-C-9702-01</t>
  </si>
  <si>
    <t>11-C-9702-02</t>
  </si>
  <si>
    <t>11-C-9702-03</t>
  </si>
  <si>
    <t>11-C-9702-04</t>
  </si>
  <si>
    <t>11-C-9702-05</t>
  </si>
  <si>
    <t>11-C-9702-06</t>
  </si>
  <si>
    <t>11-C-9702-07</t>
  </si>
  <si>
    <t>11-C-9702-08</t>
  </si>
  <si>
    <t>11-C-9706-01</t>
  </si>
  <si>
    <t>11-C-9706-02</t>
  </si>
  <si>
    <t>11-C-9706-03</t>
  </si>
  <si>
    <t>11-C-9706-04</t>
  </si>
  <si>
    <t>11-C-9706-05</t>
  </si>
  <si>
    <t>11-C-9706-06</t>
  </si>
  <si>
    <t>11-C-9708-01</t>
  </si>
  <si>
    <t>11-C-9745-01</t>
  </si>
  <si>
    <t>11-C-9745-02</t>
  </si>
  <si>
    <t>11-C-9833-01</t>
  </si>
  <si>
    <t>11-C-9849-01</t>
  </si>
  <si>
    <t>11-C-9851-01</t>
  </si>
  <si>
    <t>11-C-9854-01</t>
  </si>
  <si>
    <t>11-C-9878-01</t>
  </si>
  <si>
    <t>11-C-9878-02</t>
  </si>
  <si>
    <t>11-C-9902-01</t>
  </si>
  <si>
    <t>PP10487-761</t>
  </si>
  <si>
    <t>PP10487-771</t>
  </si>
  <si>
    <t>12-D-6091-01</t>
  </si>
  <si>
    <t>12-D-6091-02</t>
  </si>
  <si>
    <t>12-D-6091-03</t>
  </si>
  <si>
    <t>12-D-6091-04</t>
  </si>
  <si>
    <t>12-D-6091-05</t>
  </si>
  <si>
    <t>12-D-6091-06</t>
  </si>
  <si>
    <t>12-D-6091-07</t>
  </si>
  <si>
    <t>12-D-6091-08</t>
  </si>
  <si>
    <t>12-D-6091-09</t>
  </si>
  <si>
    <t>11-A-6014-01</t>
  </si>
  <si>
    <t>11-A-6014-02</t>
  </si>
  <si>
    <t>11-A-6014-03</t>
  </si>
  <si>
    <t>11-A-6014-04</t>
  </si>
  <si>
    <t>11-A-6014-05</t>
  </si>
  <si>
    <t>11-A-6014-06</t>
  </si>
  <si>
    <t>11-A-6014-07</t>
  </si>
  <si>
    <t>11-A-9412-01</t>
  </si>
  <si>
    <t>11-A-9412-02</t>
  </si>
  <si>
    <t>11-A-9412-03</t>
  </si>
  <si>
    <t>11-A-9412-04</t>
  </si>
  <si>
    <t>11-A-9412-05</t>
  </si>
  <si>
    <t>11-A-9412-07</t>
  </si>
  <si>
    <t>11-A-9412-08</t>
  </si>
  <si>
    <t>11-D-9539-01</t>
  </si>
  <si>
    <t>11-D-9979-221</t>
  </si>
  <si>
    <t>11-C-9528-01</t>
  </si>
  <si>
    <t>11-E-9873-02</t>
  </si>
  <si>
    <t xml:space="preserve">11-C-9694-01  </t>
  </si>
  <si>
    <t>11-A-9850-01</t>
  </si>
  <si>
    <t>11-A-9994-01</t>
  </si>
  <si>
    <t>11-B-9025-01</t>
  </si>
  <si>
    <t>11-C-9747-022</t>
  </si>
  <si>
    <t>11-C-9779-01 KIO1</t>
  </si>
  <si>
    <t>11-C-9779-01 KIO2</t>
  </si>
  <si>
    <t>11-C-9819-01</t>
  </si>
  <si>
    <t>11-C-9819-02</t>
  </si>
  <si>
    <t>11-C-9819-03</t>
  </si>
  <si>
    <t>11-C-9819-04</t>
  </si>
  <si>
    <t>11-C-9819-05</t>
  </si>
  <si>
    <t>11-C-9819-06</t>
  </si>
  <si>
    <t>11-C-9820-01</t>
  </si>
  <si>
    <t>11-C-9820-02</t>
  </si>
  <si>
    <t>11-C-9820-03</t>
  </si>
  <si>
    <t>11-C-9820-04</t>
  </si>
  <si>
    <t>11-C-9820-05</t>
  </si>
  <si>
    <t>11-C-9820-06</t>
  </si>
  <si>
    <t>11-C-9829-01</t>
  </si>
  <si>
    <t>11-E-9740-01</t>
  </si>
  <si>
    <t>11-E-9740-02</t>
  </si>
  <si>
    <t>11-E-9740-03</t>
  </si>
  <si>
    <t>11-E-9740-04</t>
  </si>
  <si>
    <t>11-E-9740-05</t>
  </si>
  <si>
    <t>11-E-9740-06</t>
  </si>
  <si>
    <t>11-E-9740-07</t>
  </si>
  <si>
    <t>11-E-9740-08</t>
  </si>
  <si>
    <t>11-E-9740-09</t>
  </si>
  <si>
    <t>11-E-9745-01</t>
  </si>
  <si>
    <t>11-E-9745-02</t>
  </si>
  <si>
    <t>11-E-9745-03</t>
  </si>
  <si>
    <t>11-E-9745-04</t>
  </si>
  <si>
    <t>11-E-9745-05</t>
  </si>
  <si>
    <t>11-E-9745-06</t>
  </si>
  <si>
    <t>11-E-9745-07</t>
  </si>
  <si>
    <t>11-E-9745-08</t>
  </si>
  <si>
    <t>11-E-9745-09</t>
  </si>
  <si>
    <t>11-E-9746-01</t>
  </si>
  <si>
    <t>11-E-9749-01</t>
  </si>
  <si>
    <t>11-E-9768-01</t>
  </si>
  <si>
    <t>11-E-9769-01</t>
  </si>
  <si>
    <t>11-E-9772-01</t>
  </si>
  <si>
    <t>11-E-9773-01</t>
  </si>
  <si>
    <t>11-E-9774-01</t>
  </si>
  <si>
    <t>11-E-9774-02</t>
  </si>
  <si>
    <t>11-E-9830-01</t>
  </si>
  <si>
    <t>11-E-9833-01</t>
  </si>
  <si>
    <t>11-E-9840-04</t>
  </si>
  <si>
    <t>11-E-9846-01</t>
  </si>
  <si>
    <t>PP8655-KIO1</t>
  </si>
  <si>
    <t>11-9840-01</t>
  </si>
  <si>
    <t>PP10218-13-TBC3</t>
  </si>
  <si>
    <t>11-D-3385-01</t>
  </si>
  <si>
    <t>11-D-3411-01</t>
  </si>
  <si>
    <t>11-D-3411-02</t>
  </si>
  <si>
    <t>11-D-6192-01</t>
  </si>
  <si>
    <t>11-D-6192-02</t>
  </si>
  <si>
    <t>12-6010 -01</t>
  </si>
  <si>
    <t>12-6010 -02</t>
  </si>
  <si>
    <t>12-6010 -03</t>
  </si>
  <si>
    <t>12-6010 -04</t>
  </si>
  <si>
    <t>12-6010 -05</t>
  </si>
  <si>
    <t>12-6010 -06</t>
  </si>
  <si>
    <t>12-6010 -07</t>
  </si>
  <si>
    <t>12-6010 -08</t>
  </si>
  <si>
    <t>12-6010 -09</t>
  </si>
  <si>
    <t>12-6010 -10</t>
  </si>
  <si>
    <t>12-6010 -11</t>
  </si>
  <si>
    <t>12-6010 -12</t>
  </si>
  <si>
    <t>12-6010 -13</t>
  </si>
  <si>
    <t>12-6010 -14</t>
  </si>
  <si>
    <t>12-6010 -15</t>
  </si>
  <si>
    <t>12-6010 -16</t>
  </si>
  <si>
    <t>12-6355 -01</t>
  </si>
  <si>
    <t>12-6355 -02</t>
  </si>
  <si>
    <t>12-6355 -03</t>
  </si>
  <si>
    <t>12-6355 -04</t>
  </si>
  <si>
    <t>12-6355 -05</t>
  </si>
  <si>
    <t>12-6355 -06</t>
  </si>
  <si>
    <t>12-6355 -07</t>
  </si>
  <si>
    <t>12-6355 -08</t>
  </si>
  <si>
    <t>12-6355 -09</t>
  </si>
  <si>
    <t>12-6355 -10</t>
  </si>
  <si>
    <t>12-6355 -11</t>
  </si>
  <si>
    <t>12-6355 -12</t>
  </si>
  <si>
    <t>12-6355 -13</t>
  </si>
  <si>
    <t>12-6355 -14</t>
  </si>
  <si>
    <t>12-6355 -15</t>
  </si>
  <si>
    <t>12-6355 -16</t>
  </si>
  <si>
    <t>12-6355 -17</t>
  </si>
  <si>
    <t>12-6355 -18</t>
  </si>
  <si>
    <t>12-6355 -19</t>
  </si>
  <si>
    <t>12-6355 -20</t>
  </si>
  <si>
    <t>12-6355 -21</t>
  </si>
  <si>
    <t>12-6355 -22</t>
  </si>
  <si>
    <t>12-6355 -23</t>
  </si>
  <si>
    <t>12-6355 -24</t>
  </si>
  <si>
    <t>12-6355 -25</t>
  </si>
  <si>
    <t>12-6355 -26</t>
  </si>
  <si>
    <t>12-6355 -27</t>
  </si>
  <si>
    <t>12-6355 -28</t>
  </si>
  <si>
    <t>12-6355 -29</t>
  </si>
  <si>
    <t>12-6355 -30</t>
  </si>
  <si>
    <t>12-6355 -31</t>
  </si>
  <si>
    <t>12-6355 -32</t>
  </si>
  <si>
    <t>12-6355 -33</t>
  </si>
  <si>
    <t>12-6355 -34</t>
  </si>
  <si>
    <t>12-6355 -35</t>
  </si>
  <si>
    <t>12-6355 -36</t>
  </si>
  <si>
    <t>12-6355 -37</t>
  </si>
  <si>
    <t>12-6355 -38</t>
  </si>
  <si>
    <t>12-A-6353-01</t>
  </si>
  <si>
    <t>12-A-6353-02</t>
  </si>
  <si>
    <t>12-A-6353-03</t>
  </si>
  <si>
    <t>12-A-6353-04</t>
  </si>
  <si>
    <t>12-A-6353-05</t>
  </si>
  <si>
    <t>12-A-6353-06</t>
  </si>
  <si>
    <t>12-A-6353-07</t>
  </si>
  <si>
    <t>12-A-6353-08</t>
  </si>
  <si>
    <t>12-A-6353-09</t>
  </si>
  <si>
    <t>12-A-6353-10</t>
  </si>
  <si>
    <t>12-A-6362-01</t>
  </si>
  <si>
    <t>12-A-6362-02</t>
  </si>
  <si>
    <t>12-A-6362-03</t>
  </si>
  <si>
    <t>12-A-6362-04</t>
  </si>
  <si>
    <t>12-A-6362-05</t>
  </si>
  <si>
    <t>12-A-6362-06</t>
  </si>
  <si>
    <t>12-A-6362-07</t>
  </si>
  <si>
    <t>12-A-6362-08</t>
  </si>
  <si>
    <t>12-A-6362-09</t>
  </si>
  <si>
    <t>12-A-6362-10</t>
  </si>
  <si>
    <t>12-D-6033-01</t>
  </si>
  <si>
    <t>12-D-6033-02</t>
  </si>
  <si>
    <t>12-D-6033-03</t>
  </si>
  <si>
    <t>12-D-6033-04</t>
  </si>
  <si>
    <t>12-D-6033-05</t>
  </si>
  <si>
    <t>12-D-6033-06</t>
  </si>
  <si>
    <t>12-D-6074-01</t>
  </si>
  <si>
    <t>12-D-6074-02</t>
  </si>
  <si>
    <t>12-D-6074-03</t>
  </si>
  <si>
    <t>12-D-6074-04</t>
  </si>
  <si>
    <t>12-D-6080-01</t>
  </si>
  <si>
    <t>12-D-6080-02</t>
  </si>
  <si>
    <t>12-D-6080-03</t>
  </si>
  <si>
    <t>12-D-6080-04</t>
  </si>
  <si>
    <t>12-D-6080-05</t>
  </si>
  <si>
    <t>12-D-6080-06</t>
  </si>
  <si>
    <t>12-D-6080-07</t>
  </si>
  <si>
    <t>12-D-6080-08</t>
  </si>
  <si>
    <t>12-D-6080-09</t>
  </si>
  <si>
    <t>12-D-6080-10</t>
  </si>
  <si>
    <t>12-D-6080-11</t>
  </si>
  <si>
    <t>12-D-6106-01</t>
  </si>
  <si>
    <t>12-D-6106-02</t>
  </si>
  <si>
    <t>12-D-6106-03</t>
  </si>
  <si>
    <t>12-D-6106-04</t>
  </si>
  <si>
    <t>12-D-6106-05</t>
  </si>
  <si>
    <t>12-D-6106-06</t>
  </si>
  <si>
    <t>12-D-6106-07</t>
  </si>
  <si>
    <t>12-D-6106-08</t>
  </si>
  <si>
    <t>12-D-6106-09</t>
  </si>
  <si>
    <t>12-D-6106-10</t>
  </si>
  <si>
    <t>12-D-6106-11</t>
  </si>
  <si>
    <t>12-D-6106-12</t>
  </si>
  <si>
    <t>12-D-6106-13</t>
  </si>
  <si>
    <t>12-D-6106-14</t>
  </si>
  <si>
    <t>12-D-6106-15</t>
  </si>
  <si>
    <t>12-D-6106-16</t>
  </si>
  <si>
    <t>12-D-6106-17</t>
  </si>
  <si>
    <t>12-D-6106-18</t>
  </si>
  <si>
    <t>12-D-6106-19</t>
  </si>
  <si>
    <t>12-D-6348-01</t>
  </si>
  <si>
    <t>12-D-6348-02</t>
  </si>
  <si>
    <t>12-D-6348-03</t>
  </si>
  <si>
    <t>12-D-6348-04</t>
  </si>
  <si>
    <t>12-D-6348-05</t>
  </si>
  <si>
    <t>12-D-6348-06</t>
  </si>
  <si>
    <t>12-D-6348-07</t>
  </si>
  <si>
    <t>12-D-6348-08</t>
  </si>
  <si>
    <t>12-D-6348-09</t>
  </si>
  <si>
    <t>12-D-6348-10</t>
  </si>
  <si>
    <t>12-D-6348-11</t>
  </si>
  <si>
    <t>12-D-6348-12</t>
  </si>
  <si>
    <t>12-D-6348-13</t>
  </si>
  <si>
    <t>12-D-6348-14</t>
  </si>
  <si>
    <t>12-D-6348-15</t>
  </si>
  <si>
    <t>12-D-6348-16</t>
  </si>
  <si>
    <t>12-D-6348-17</t>
  </si>
  <si>
    <t>12-D-6348-18</t>
  </si>
  <si>
    <t>12-D-6348-19</t>
  </si>
  <si>
    <t>P18056-10-01</t>
  </si>
  <si>
    <t>P18060-20-01</t>
  </si>
  <si>
    <t>P18588-12-01</t>
  </si>
  <si>
    <t>P18588-13-01</t>
  </si>
  <si>
    <t>PP10326-04-01</t>
  </si>
  <si>
    <t>PP14265-01-01</t>
  </si>
  <si>
    <t>11-C-6611-01</t>
  </si>
  <si>
    <t>11-C-6611-02</t>
  </si>
  <si>
    <t>12-C-6210-01</t>
  </si>
  <si>
    <t>12-C-6210-02</t>
  </si>
  <si>
    <t>12-C-6210-03</t>
  </si>
  <si>
    <t>12-C-6210-04</t>
  </si>
  <si>
    <t>12-C-6210-05</t>
  </si>
  <si>
    <t>12-C-6210-06</t>
  </si>
  <si>
    <t>12-C-6210-07</t>
  </si>
  <si>
    <t>12-C-6210-08</t>
  </si>
  <si>
    <t>12-C-6210-09</t>
  </si>
  <si>
    <t>12-C-6210-10</t>
  </si>
  <si>
    <t>12-C-6210-11</t>
  </si>
  <si>
    <t>12-C-6211-01</t>
  </si>
  <si>
    <t>12-C-6211-02</t>
  </si>
  <si>
    <t>12-C-6211-03</t>
  </si>
  <si>
    <t>12-C-6211-04</t>
  </si>
  <si>
    <t>12-C-6211-05</t>
  </si>
  <si>
    <t>12-C-6211-06</t>
  </si>
  <si>
    <t>12-C-6211-07</t>
  </si>
  <si>
    <t>12-C-6211-08</t>
  </si>
  <si>
    <t>12-C-6211-09</t>
  </si>
  <si>
    <t>12-D-6082-01</t>
  </si>
  <si>
    <t>12-D-6082-02</t>
  </si>
  <si>
    <t>12-D-6082-03</t>
  </si>
  <si>
    <t>12-D-6082-04</t>
  </si>
  <si>
    <t>12-D-6082-05</t>
  </si>
  <si>
    <t>12-D-6082-06</t>
  </si>
  <si>
    <t>12-D-6082-07</t>
  </si>
  <si>
    <t>12-D-6082-08</t>
  </si>
  <si>
    <t>12-D-6082-09</t>
  </si>
  <si>
    <t>12-D-6083-01</t>
  </si>
  <si>
    <t>12-D-6083-02</t>
  </si>
  <si>
    <t>12-D-6083-03</t>
  </si>
  <si>
    <t>12-D-6083-04</t>
  </si>
  <si>
    <t>12-D-6083-05</t>
  </si>
  <si>
    <t>12-D-6083-06</t>
  </si>
  <si>
    <t>12-D-6083-07</t>
  </si>
  <si>
    <t>12-D-6083-08</t>
  </si>
  <si>
    <t>12-D-6083-09</t>
  </si>
  <si>
    <t>12-D-6083-10</t>
  </si>
  <si>
    <t>12-D-6083-11</t>
  </si>
  <si>
    <t>12-D-6083-12</t>
  </si>
  <si>
    <t>12-D-6086-01</t>
  </si>
  <si>
    <t>12-D-6086-02</t>
  </si>
  <si>
    <t>12-D-6086-03</t>
  </si>
  <si>
    <t>12-D-6086-04</t>
  </si>
  <si>
    <t>12-D-6086-05</t>
  </si>
  <si>
    <t>12-D-6086-06</t>
  </si>
  <si>
    <t>12-D-6086-07</t>
  </si>
  <si>
    <t>12-D-6086-08</t>
  </si>
  <si>
    <t>12-D-6086-09</t>
  </si>
  <si>
    <t>12-D-6086-10</t>
  </si>
  <si>
    <t>12-D-6086-11</t>
  </si>
  <si>
    <t>12-D-6087-01</t>
  </si>
  <si>
    <t>12-D-6087-02</t>
  </si>
  <si>
    <t>12-D-6087-03</t>
  </si>
  <si>
    <t>12-D-6087-04</t>
  </si>
  <si>
    <t>12-D-6087-05</t>
  </si>
  <si>
    <t>12-D-6087-06</t>
  </si>
  <si>
    <t>12-D-6087-07</t>
  </si>
  <si>
    <t>12-D-6087-08</t>
  </si>
  <si>
    <t>12-D-6087-09</t>
  </si>
  <si>
    <t>12-D-6088-01</t>
  </si>
  <si>
    <t>12-D-6088-02</t>
  </si>
  <si>
    <t>12-D-6088-03</t>
  </si>
  <si>
    <t>12-D-6088-04</t>
  </si>
  <si>
    <t>12-D-6088-05</t>
  </si>
  <si>
    <t>12-D-6088-06</t>
  </si>
  <si>
    <t>12-D-6088-07</t>
  </si>
  <si>
    <t>12-D-6088-08</t>
  </si>
  <si>
    <t>12-D-6088-09</t>
  </si>
  <si>
    <t>12-D-6088-10</t>
  </si>
  <si>
    <t>12-D-6088-11</t>
  </si>
  <si>
    <t>12-D-6088-12</t>
  </si>
  <si>
    <t>12-D-6088-13</t>
  </si>
  <si>
    <t>12-D-6286-01</t>
  </si>
  <si>
    <t>12-D-6286-02</t>
  </si>
  <si>
    <t>12-D-6286-03</t>
  </si>
  <si>
    <t>12-D-6286-04</t>
  </si>
  <si>
    <t>12-D-6286-05</t>
  </si>
  <si>
    <t>12-D-6286-06</t>
  </si>
  <si>
    <t>12-D-6286-07</t>
  </si>
  <si>
    <t>12-D-6286-08</t>
  </si>
  <si>
    <t>12-D-6286-09</t>
  </si>
  <si>
    <t>12-D-6286-10</t>
  </si>
  <si>
    <t>12-D-6286-11</t>
  </si>
  <si>
    <t>12-D-6286-12</t>
  </si>
  <si>
    <t>12-D-6286-13</t>
  </si>
  <si>
    <t>12-D-6286-14</t>
  </si>
  <si>
    <t>12-D-6286-15</t>
  </si>
  <si>
    <t>12-D-6286-16</t>
  </si>
  <si>
    <t>12-D-6286-17</t>
  </si>
  <si>
    <t>12-D-6286-18</t>
  </si>
  <si>
    <t>12-D-6287-01</t>
  </si>
  <si>
    <t>12-D-6287-02</t>
  </si>
  <si>
    <t>12-D-6288-01</t>
  </si>
  <si>
    <t>12-D-6288-02</t>
  </si>
  <si>
    <t>15-C-6000-01</t>
  </si>
  <si>
    <t>15-C-6000-02</t>
  </si>
  <si>
    <t>22-6167-01</t>
  </si>
  <si>
    <t>22-6167-02</t>
  </si>
  <si>
    <t>22-6167-03</t>
  </si>
  <si>
    <t>22-6167-04</t>
  </si>
  <si>
    <t>22-6167-05</t>
  </si>
  <si>
    <t>22-6167-06</t>
  </si>
  <si>
    <t>22-6167-07</t>
  </si>
  <si>
    <t>22-6167-08</t>
  </si>
  <si>
    <t>22-6167-09</t>
  </si>
  <si>
    <t>22-6167-10</t>
  </si>
  <si>
    <t>22-6167-11</t>
  </si>
  <si>
    <t>22-6167-12</t>
  </si>
  <si>
    <t>22-6167-13</t>
  </si>
  <si>
    <t>22-6167-14</t>
  </si>
  <si>
    <t>22-6167-15</t>
  </si>
  <si>
    <t>22-6167-16</t>
  </si>
  <si>
    <t>22-6167-17</t>
  </si>
  <si>
    <t>22-6167-18</t>
  </si>
  <si>
    <t>22-6167-19</t>
  </si>
  <si>
    <t>22-6167-20</t>
  </si>
  <si>
    <t>22-6167-21</t>
  </si>
  <si>
    <t>96-6025-01</t>
  </si>
  <si>
    <t>96-6025-02</t>
  </si>
  <si>
    <t>96-6025-03</t>
  </si>
  <si>
    <t>96-6025-04</t>
  </si>
  <si>
    <t>96-6025-05</t>
  </si>
  <si>
    <t>96-6025-06</t>
  </si>
  <si>
    <t>96-6025-07</t>
  </si>
  <si>
    <t>96-6025-08</t>
  </si>
  <si>
    <t>96-6025-09</t>
  </si>
  <si>
    <t>96-6025-10</t>
  </si>
  <si>
    <t>96-6025-11</t>
  </si>
  <si>
    <t>96-6025-12</t>
  </si>
  <si>
    <t>96-6025-13</t>
  </si>
  <si>
    <t>96-6025-14</t>
  </si>
  <si>
    <t>96-6025-15</t>
  </si>
  <si>
    <t>96-6026-01</t>
  </si>
  <si>
    <t>96-6026-02</t>
  </si>
  <si>
    <t>96-6026-03</t>
  </si>
  <si>
    <t>96-6026-04</t>
  </si>
  <si>
    <t>96-6026-05</t>
  </si>
  <si>
    <t>96-6026-06</t>
  </si>
  <si>
    <t>96-6026-07</t>
  </si>
  <si>
    <t>96-6026-08</t>
  </si>
  <si>
    <t>96-6026-09</t>
  </si>
  <si>
    <t>96-6026-10</t>
  </si>
  <si>
    <t>96-6026-11</t>
  </si>
  <si>
    <t>96-6026-12</t>
  </si>
  <si>
    <t>96-6026-13</t>
  </si>
  <si>
    <t>96-6026-14</t>
  </si>
  <si>
    <t>96-6026-15</t>
  </si>
  <si>
    <t>96-6028-01</t>
  </si>
  <si>
    <t>96-6028-02</t>
  </si>
  <si>
    <t>96-6028-03</t>
  </si>
  <si>
    <t>96-6028-04</t>
  </si>
  <si>
    <t>96-6028-05</t>
  </si>
  <si>
    <t>96-6028-06</t>
  </si>
  <si>
    <t>96-6028-07</t>
  </si>
  <si>
    <t>96-6028-08</t>
  </si>
  <si>
    <t>96-6028-09</t>
  </si>
  <si>
    <t>96-6028-10</t>
  </si>
  <si>
    <t>96-6028-11</t>
  </si>
  <si>
    <t>96-6028-12</t>
  </si>
  <si>
    <t>96-6169-01</t>
  </si>
  <si>
    <t>96-6169-02</t>
  </si>
  <si>
    <t>96-6169-03</t>
  </si>
  <si>
    <t>96-6169-04</t>
  </si>
  <si>
    <t>96-6169-05</t>
  </si>
  <si>
    <t>96-6169-06</t>
  </si>
  <si>
    <t>96-6169-07</t>
  </si>
  <si>
    <t>96-6169-08</t>
  </si>
  <si>
    <t>96-6169-09</t>
  </si>
  <si>
    <t>96-6169-10</t>
  </si>
  <si>
    <t>96-6169-11</t>
  </si>
  <si>
    <t>96-6169-12</t>
  </si>
  <si>
    <t>96-6169-13</t>
  </si>
  <si>
    <t>96-6169-14</t>
  </si>
  <si>
    <t>96-6169-15</t>
  </si>
  <si>
    <t>96-6169-16</t>
  </si>
  <si>
    <t>96-6169-17</t>
  </si>
  <si>
    <t>96-6177-01</t>
  </si>
  <si>
    <t>96-6177-02</t>
  </si>
  <si>
    <t>96-6177-03</t>
  </si>
  <si>
    <t>96-6177-04</t>
  </si>
  <si>
    <t>96-6177-05</t>
  </si>
  <si>
    <t>96-6177-06</t>
  </si>
  <si>
    <t>96-6177-07</t>
  </si>
  <si>
    <t>96-6177-08</t>
  </si>
  <si>
    <t>96-6177-09</t>
  </si>
  <si>
    <t>96-6177-10</t>
  </si>
  <si>
    <t>96-6177-11</t>
  </si>
  <si>
    <t>96-6179-01</t>
  </si>
  <si>
    <t>P13754-78</t>
  </si>
  <si>
    <t>P8467-38</t>
  </si>
  <si>
    <t>P8467-39</t>
  </si>
  <si>
    <t>P8467-43</t>
  </si>
  <si>
    <t>P8467-44</t>
  </si>
  <si>
    <t>P8467-45</t>
  </si>
  <si>
    <t>PP9608-071</t>
  </si>
  <si>
    <t>PP9608-20</t>
  </si>
  <si>
    <t>11-C-6119-01</t>
  </si>
  <si>
    <t>12-D-6107-01</t>
  </si>
  <si>
    <t>12-D-6090-06</t>
  </si>
  <si>
    <t>12-D-6412-01</t>
  </si>
  <si>
    <t>12-D-6085-06</t>
  </si>
  <si>
    <t>12-D-6108-02</t>
  </si>
  <si>
    <t>12-D-6101-03</t>
  </si>
  <si>
    <t>11-D-6252-06</t>
  </si>
  <si>
    <t>13-D-6407-02</t>
  </si>
  <si>
    <t>12-D-6412-04</t>
  </si>
  <si>
    <t>11-D-6246-03</t>
  </si>
  <si>
    <t>12-A-6200-03</t>
  </si>
  <si>
    <t>12-D-6099-15</t>
  </si>
  <si>
    <t>17-D-6004-01</t>
  </si>
  <si>
    <t>17-D-6004-02</t>
  </si>
  <si>
    <t>17-D-6007-01</t>
  </si>
  <si>
    <t>17-D-6007-02</t>
  </si>
  <si>
    <t>17-D-6025-04</t>
  </si>
  <si>
    <t>11-D-6245-02</t>
  </si>
  <si>
    <t>12-D-6101-06</t>
  </si>
  <si>
    <t>12-D-6114-02</t>
  </si>
  <si>
    <t>13-D-6070-03</t>
  </si>
  <si>
    <t>13-D-6407-11</t>
  </si>
  <si>
    <t>PINTURA</t>
  </si>
  <si>
    <t>galvanizado</t>
  </si>
  <si>
    <t>pintuta</t>
  </si>
  <si>
    <t>11-A-6004-01</t>
  </si>
  <si>
    <t>11-D-6193-01</t>
  </si>
  <si>
    <t>12-6010-03</t>
  </si>
  <si>
    <t>12-D-6047-02</t>
  </si>
  <si>
    <t>COSTO UNITARIO</t>
  </si>
  <si>
    <t>HOJAS</t>
  </si>
  <si>
    <t>COSTO PIEZA</t>
  </si>
  <si>
    <t>P.U.</t>
  </si>
  <si>
    <t>TOTAL (venta)</t>
  </si>
  <si>
    <t>Pronest</t>
  </si>
  <si>
    <t>PPAP</t>
  </si>
  <si>
    <t>Venta</t>
  </si>
  <si>
    <t>tipo de cambio</t>
  </si>
  <si>
    <t>TC</t>
  </si>
  <si>
    <t>MXN</t>
  </si>
  <si>
    <t>USD</t>
  </si>
  <si>
    <t>BAJA MATERIA PRIMA</t>
  </si>
  <si>
    <t>12-A-6359-02</t>
  </si>
  <si>
    <t>P17690-17</t>
  </si>
  <si>
    <t>P19500-16</t>
  </si>
  <si>
    <t>P19500-19</t>
  </si>
  <si>
    <t>P19500-20</t>
  </si>
  <si>
    <t>PP15509</t>
  </si>
  <si>
    <t>PP19152-021</t>
  </si>
  <si>
    <t>PP19152-031</t>
  </si>
  <si>
    <t>11-6463-01</t>
  </si>
  <si>
    <t>11-8232-01</t>
  </si>
  <si>
    <t>12-6113-05</t>
  </si>
  <si>
    <t>12-A-6199-02</t>
  </si>
  <si>
    <t>12-A-6200-02</t>
  </si>
  <si>
    <t>12-C-6017-01</t>
  </si>
  <si>
    <t>12-D-6047-03</t>
  </si>
  <si>
    <t>12-D-6063-06</t>
  </si>
  <si>
    <t>12-D-6078-05</t>
  </si>
  <si>
    <t>12-D-6081-06</t>
  </si>
  <si>
    <t>12-D-6089-06</t>
  </si>
  <si>
    <t>16-6047-01</t>
  </si>
  <si>
    <t>P13549-16</t>
  </si>
  <si>
    <t>P13704-091</t>
  </si>
  <si>
    <t>P13704-101</t>
  </si>
  <si>
    <t>P13704-151</t>
  </si>
  <si>
    <t>P13704-152</t>
  </si>
  <si>
    <t>P19495-01</t>
  </si>
  <si>
    <t>P19500-25</t>
  </si>
  <si>
    <t>P19500-26</t>
  </si>
  <si>
    <t>P19504-09</t>
  </si>
  <si>
    <t>P6298-051</t>
  </si>
  <si>
    <t>PP12535-01</t>
  </si>
  <si>
    <t>PP14805-04</t>
  </si>
  <si>
    <t>PP1510-02</t>
  </si>
  <si>
    <t>PP17250-06</t>
  </si>
  <si>
    <t>PP7533-05</t>
  </si>
  <si>
    <t>PP9247</t>
  </si>
  <si>
    <t>12-D-6101-01</t>
  </si>
  <si>
    <t>12-D-6101-02</t>
  </si>
  <si>
    <t>12-D-6101-05</t>
  </si>
  <si>
    <t>12-D-7930-01</t>
  </si>
  <si>
    <t>12-D-7930-02</t>
  </si>
  <si>
    <t>11-C-6007-01</t>
  </si>
  <si>
    <t>12-A-6001-03</t>
  </si>
  <si>
    <t>12-A-6359-01</t>
  </si>
  <si>
    <t>12-A-6359-03</t>
  </si>
  <si>
    <t>12-A-6359-04</t>
  </si>
  <si>
    <t>12-A-6359-05</t>
  </si>
  <si>
    <t>12-A-6359-06</t>
  </si>
  <si>
    <t>12-A-6359-07</t>
  </si>
  <si>
    <t>12-A-6359-08</t>
  </si>
  <si>
    <t>12-A-6359-09</t>
  </si>
  <si>
    <t>12-A-6199-01</t>
  </si>
  <si>
    <t>12-A-6199-03</t>
  </si>
  <si>
    <t>12-A-6200-01</t>
  </si>
  <si>
    <t>12-A-6200-04</t>
  </si>
  <si>
    <t>12-C-6017-02</t>
  </si>
  <si>
    <t>12-C-6017-03</t>
  </si>
  <si>
    <t>12-C-6017-04</t>
  </si>
  <si>
    <t>12-C-6017-05</t>
  </si>
  <si>
    <t>12-D-6047-01</t>
  </si>
  <si>
    <t>12-D-6047-04</t>
  </si>
  <si>
    <t>12-D-6047-05</t>
  </si>
  <si>
    <t>12-D-6047-06</t>
  </si>
  <si>
    <t>12-D-6047-07</t>
  </si>
  <si>
    <t>12-D-6047-08</t>
  </si>
  <si>
    <t>12-D-6047-09</t>
  </si>
  <si>
    <t>12-D-6047-10</t>
  </si>
  <si>
    <t>12-D-6047-11</t>
  </si>
  <si>
    <t>12-D-6047-12</t>
  </si>
  <si>
    <t>12-D-6047-13</t>
  </si>
  <si>
    <t>12-D-6047-14</t>
  </si>
  <si>
    <t>12-D-6047-15</t>
  </si>
  <si>
    <t>12-D-6047-16</t>
  </si>
  <si>
    <t>12-D-6047-17</t>
  </si>
  <si>
    <t>12-D-6047-18</t>
  </si>
  <si>
    <t>12-D-6047-19</t>
  </si>
  <si>
    <t>12-D-6047-20</t>
  </si>
  <si>
    <t>12-D-6047-21</t>
  </si>
  <si>
    <t>12-D-6047-22</t>
  </si>
  <si>
    <t>12-D-6063-01</t>
  </si>
  <si>
    <t>12-D-6063-02</t>
  </si>
  <si>
    <t>12-D-6063-03</t>
  </si>
  <si>
    <t>12-D-6063-04</t>
  </si>
  <si>
    <t>12-D-6063-05</t>
  </si>
  <si>
    <t>12-D-6063-07</t>
  </si>
  <si>
    <t>12-D-6063-08</t>
  </si>
  <si>
    <t>12-D-6063-09</t>
  </si>
  <si>
    <t>12-D-6063-10</t>
  </si>
  <si>
    <t>12-D-6078-01</t>
  </si>
  <si>
    <t>12-D-6078-02</t>
  </si>
  <si>
    <t>12-D-6078-03</t>
  </si>
  <si>
    <t>12-D-6078-04</t>
  </si>
  <si>
    <t>12-D-6078-06</t>
  </si>
  <si>
    <t>12-D-6078-07</t>
  </si>
  <si>
    <t>12-D-6078-08</t>
  </si>
  <si>
    <t>12-D-6078-09</t>
  </si>
  <si>
    <t>12-D-6081-01</t>
  </si>
  <si>
    <t>12-D-6081-02</t>
  </si>
  <si>
    <t>12-D-6081-03</t>
  </si>
  <si>
    <t>12-D-6081-04</t>
  </si>
  <si>
    <t>12-D-6081-05</t>
  </si>
  <si>
    <t>12-D-6081-07</t>
  </si>
  <si>
    <t>12-D-6081-08</t>
  </si>
  <si>
    <t>12-D-6081-09</t>
  </si>
  <si>
    <t>12-D-6081-10</t>
  </si>
  <si>
    <t>12-D-6089-01</t>
  </si>
  <si>
    <t>12-D-6089-02</t>
  </si>
  <si>
    <t>12-D-6089-03</t>
  </si>
  <si>
    <t>12-D-6089-04</t>
  </si>
  <si>
    <t>12-D-6089-05</t>
  </si>
  <si>
    <t>12-D-6089-07</t>
  </si>
  <si>
    <t>12-D-6089-08</t>
  </si>
  <si>
    <t>12-D-6089-09</t>
  </si>
  <si>
    <t>16-6047-02</t>
  </si>
  <si>
    <t>16-6047-03</t>
  </si>
  <si>
    <t>16-6047-04</t>
  </si>
  <si>
    <t>16-6047-05</t>
  </si>
  <si>
    <t>PP1510-01</t>
  </si>
  <si>
    <t>PP1510-03</t>
  </si>
  <si>
    <t>PP1510-04</t>
  </si>
  <si>
    <t>PP1510-05</t>
  </si>
  <si>
    <t>PP1510-06</t>
  </si>
  <si>
    <t>PP1510-07</t>
  </si>
  <si>
    <t>PP1510-08</t>
  </si>
  <si>
    <t>PP1510-09</t>
  </si>
  <si>
    <t>PP1510-10</t>
  </si>
  <si>
    <t>PP1510-11</t>
  </si>
  <si>
    <t>PP1510-12</t>
  </si>
  <si>
    <t>PP1510-13</t>
  </si>
  <si>
    <t>PP1510-14</t>
  </si>
  <si>
    <t>11-C-6007-02</t>
  </si>
  <si>
    <t>11-C-6007-03</t>
  </si>
  <si>
    <t>12-A-6001-01</t>
  </si>
  <si>
    <t>12-A-6001-02</t>
  </si>
  <si>
    <t>12-A-6001-04</t>
  </si>
  <si>
    <t>12-A-6001-05</t>
  </si>
  <si>
    <t>12-A-6001-06</t>
  </si>
  <si>
    <t>12-A-6001-07</t>
  </si>
  <si>
    <t>12-A-6001-08</t>
  </si>
  <si>
    <t>12-A-6001-09</t>
  </si>
  <si>
    <t>12-D-6101-04</t>
  </si>
  <si>
    <t>12-D-7930-03</t>
  </si>
  <si>
    <t>12-D-7930-04</t>
  </si>
  <si>
    <t>COTIZACIÓN PLANTA METALES SIGRAMA:</t>
  </si>
  <si>
    <t>PROYECTO:</t>
  </si>
  <si>
    <t>ATENCIÓN:</t>
  </si>
  <si>
    <t>ING. JOSUE MESTA</t>
  </si>
  <si>
    <t>ELABORADO POR:</t>
  </si>
  <si>
    <t>ING. JESÚS A. MORALES L.</t>
  </si>
  <si>
    <t>PRESENTAMOS A SU AMABLE CONSIDERACIÓN:</t>
  </si>
  <si>
    <t>PARTIDA</t>
  </si>
  <si>
    <t>UNIDAD</t>
  </si>
  <si>
    <t>CANT.</t>
  </si>
  <si>
    <t>PZA</t>
  </si>
  <si>
    <t>SUB-TOTAL</t>
  </si>
  <si>
    <t>I.V.A.</t>
  </si>
  <si>
    <t>TIEMPO DE ENTREGA:</t>
  </si>
  <si>
    <t>PRIMER PARCIALIDAD:</t>
  </si>
  <si>
    <t>ENTREGA FINAL:</t>
  </si>
  <si>
    <t>jesus.morales@sigrama.com.mx</t>
  </si>
  <si>
    <t>cel: 871.7954493</t>
  </si>
  <si>
    <t>DIR. PLANTA METALES</t>
  </si>
  <si>
    <t xml:space="preserve">Entrega </t>
  </si>
  <si>
    <t>Fecha Cot.:</t>
  </si>
  <si>
    <t>No. Cot:</t>
  </si>
  <si>
    <t>Piezas:</t>
  </si>
  <si>
    <t>Real</t>
  </si>
  <si>
    <t>Requerido</t>
  </si>
  <si>
    <t>AJUSTES AL PROGRAMA…!!!</t>
  </si>
  <si>
    <t>12-6113-01</t>
  </si>
  <si>
    <t>12-6113-02</t>
  </si>
  <si>
    <t>12-6113-03</t>
  </si>
  <si>
    <t>12-6113-04</t>
  </si>
  <si>
    <t>12-6113-06</t>
  </si>
  <si>
    <t>12-6113-07</t>
  </si>
  <si>
    <t>12-6010-01</t>
  </si>
  <si>
    <t>11-D-3402-01</t>
  </si>
  <si>
    <t>17-D-6043-02</t>
  </si>
  <si>
    <t>17-D-6047-01</t>
  </si>
  <si>
    <t>12-6355-03</t>
  </si>
  <si>
    <t>PP21340-01</t>
  </si>
  <si>
    <t>PP22121-01</t>
  </si>
  <si>
    <t>11-D-3408-01</t>
  </si>
  <si>
    <t>PP21341-12</t>
  </si>
  <si>
    <t>12-6010-09</t>
  </si>
  <si>
    <t>PP22124-01</t>
  </si>
  <si>
    <t>11-D-3409-02</t>
  </si>
  <si>
    <t>12-6010-02</t>
  </si>
  <si>
    <t>12-6010-04</t>
  </si>
  <si>
    <t>12-6010-05</t>
  </si>
  <si>
    <t>12-6010-06</t>
  </si>
  <si>
    <t>12-6010-07</t>
  </si>
  <si>
    <t>12-6010-08</t>
  </si>
  <si>
    <t>12-6010-10</t>
  </si>
  <si>
    <t>12-6010-11</t>
  </si>
  <si>
    <t>12-6010-12</t>
  </si>
  <si>
    <t>12-6010-13</t>
  </si>
  <si>
    <t>12-6010-14</t>
  </si>
  <si>
    <t>12-6010-15</t>
  </si>
  <si>
    <t>12-6010-16</t>
  </si>
  <si>
    <t>11-D-3402-02</t>
  </si>
  <si>
    <t>17-D-6043-01</t>
  </si>
  <si>
    <t>12-6355-01</t>
  </si>
  <si>
    <t>12-6355-02</t>
  </si>
  <si>
    <t>12-6355-04</t>
  </si>
  <si>
    <t>12-6355-05</t>
  </si>
  <si>
    <t>12-6355-06</t>
  </si>
  <si>
    <t>12-6355-07</t>
  </si>
  <si>
    <t>12-6355-08</t>
  </si>
  <si>
    <t>12-6355-09</t>
  </si>
  <si>
    <t>12-6355-10</t>
  </si>
  <si>
    <t>12-6355-11</t>
  </si>
  <si>
    <t>12-6355-12</t>
  </si>
  <si>
    <t>12-6355-13</t>
  </si>
  <si>
    <t>12-6355-14</t>
  </si>
  <si>
    <t>12-6355-15</t>
  </si>
  <si>
    <t>12-6355-16</t>
  </si>
  <si>
    <t>12-6355-17</t>
  </si>
  <si>
    <t>12-6355-18</t>
  </si>
  <si>
    <t>12-6355-19</t>
  </si>
  <si>
    <t>12-6355-20</t>
  </si>
  <si>
    <t>12-6355-21</t>
  </si>
  <si>
    <t>12-6355-22</t>
  </si>
  <si>
    <t>12-6355-23</t>
  </si>
  <si>
    <t>12-6355-24</t>
  </si>
  <si>
    <t>12-6355-25</t>
  </si>
  <si>
    <t>12-6355-26</t>
  </si>
  <si>
    <t>12-6355-27</t>
  </si>
  <si>
    <t>12-6355-28</t>
  </si>
  <si>
    <t>12-6355-29</t>
  </si>
  <si>
    <t>12-6355-30</t>
  </si>
  <si>
    <t>12-6355-31</t>
  </si>
  <si>
    <t>12-6355-32</t>
  </si>
  <si>
    <t>12-6355-33</t>
  </si>
  <si>
    <t>12-6355-34</t>
  </si>
  <si>
    <t>12-6355-35</t>
  </si>
  <si>
    <t>12-6355-36</t>
  </si>
  <si>
    <t>12-6355-37</t>
  </si>
  <si>
    <t>12-6355-38</t>
  </si>
  <si>
    <t>PP21341-05</t>
  </si>
  <si>
    <t>PP21341-06</t>
  </si>
  <si>
    <t>PP21341-07</t>
  </si>
  <si>
    <t>PP21341-11</t>
  </si>
  <si>
    <t>PP21341-04</t>
  </si>
  <si>
    <t>PP21341-03</t>
  </si>
  <si>
    <t>PP21341-09</t>
  </si>
  <si>
    <t>PP21341-10</t>
  </si>
  <si>
    <t>11-D-3409-01</t>
  </si>
  <si>
    <t>005</t>
  </si>
  <si>
    <t>Piezas</t>
  </si>
  <si>
    <t>FECHA REQ.:</t>
  </si>
  <si>
    <t>COTIZAZION SIGRAMA 20837 - 20961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</si>
</sst>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* #,##0_-;\-&quot;$&quot;* #,##0_-;_-&quot;$&quot;* &quot;-&quot;??_-;_-@_-"/>
    <numFmt numFmtId="165" formatCode="_-&quot;$&quot;* #,##0.0_-;\-&quot;$&quot;* #,##0.0_-;_-&quot;$&quot;* &quot;-&quot;??_-;_-@_-"/>
    <numFmt numFmtId="166" formatCode="_(&quot;$&quot;* #,##0.00_);_(&quot;$&quot;* \(#,##0.00\);_(&quot;$&quot;* &quot;-&quot;??_);_(@_)"/>
    <numFmt numFmtId="167" formatCode="_-* #,##0_-;\-* #,##0_-;_-* &quot;-&quot;??_-;_-@_-"/>
    <numFmt numFmtId="168" formatCode="0.000\ &quot;in&quot;"/>
    <numFmt numFmtId="169" formatCode="0.000\ &quot;lb&quot;"/>
    <numFmt numFmtId="170" formatCode="_-&quot;$&quot;* #,##0.0000_-;\-&quot;$&quot;* #,##0.0000_-;_-&quot;$&quot;* &quot;-&quot;??_-;_-@_-"/>
    <numFmt numFmtId="171" formatCode="0\ &quot;seg&quot;"/>
    <numFmt numFmtId="172" formatCode="_-* #,##0.00000000000000_-;\-* #,##0.00000000000000_-;_-* &quot;-&quot;??_-;_-@_-"/>
    <numFmt numFmtId="173" formatCode="_-* #,##0.0000000000_-;\-* #,##0.0000000000_-;_-* &quot;-&quot;??_-;_-@_-"/>
    <numFmt numFmtId="174" formatCode="0.0000"/>
    <numFmt numFmtId="175" formatCode="_-* #,##0.0_-;\-* #,##0.0_-;_-* &quot;-&quot;??_-;_-@_-"/>
    <numFmt numFmtId="176" formatCode="0\ &quot;Laminas&quot;"/>
    <numFmt numFmtId="177" formatCode="0.00000%"/>
    <numFmt numFmtId="178" formatCode="0.000"/>
    <numFmt numFmtId="179" formatCode="0.0\ &quot;m2&quot;"/>
  </numFmts>
  <fonts count="10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3"/>
      <name val="Calibri Light"/>
      <family val="2"/>
    </font>
    <font>
      <b/>
      <u val="singleAccounting"/>
      <sz val="11"/>
      <name val="Calibri Light"/>
      <family val="2"/>
    </font>
    <font>
      <b/>
      <sz val="11"/>
      <color theme="0"/>
      <name val="Calibri Light"/>
      <family val="2"/>
    </font>
    <font>
      <b/>
      <sz val="11"/>
      <color theme="1"/>
      <name val="Calibri Light"/>
      <family val="2"/>
    </font>
    <font>
      <sz val="11"/>
      <color theme="1"/>
      <name val="Calibri Light"/>
      <family val="2"/>
    </font>
    <font>
      <b/>
      <sz val="14"/>
      <color theme="0"/>
      <name val="Calibri Light"/>
      <family val="2"/>
    </font>
    <font>
      <b/>
      <sz val="16"/>
      <color theme="0"/>
      <name val="Calibri Light"/>
      <family val="2"/>
    </font>
    <font>
      <b/>
      <sz val="11"/>
      <name val="Calibri Light"/>
      <family val="2"/>
    </font>
    <font>
      <b/>
      <sz val="11"/>
      <color theme="3"/>
      <name val="Calibri Light"/>
      <family val="2"/>
    </font>
    <font>
      <sz val="11"/>
      <color theme="1"/>
      <name val="Lucida Sans"/>
      <family val="2"/>
    </font>
    <font>
      <b/>
      <sz val="14"/>
      <color theme="1"/>
      <name val="Lucida Sans"/>
      <family val="2"/>
    </font>
    <font>
      <sz val="9"/>
      <color theme="1"/>
      <name val="Lucida Sans"/>
      <family val="2"/>
    </font>
    <font>
      <i/>
      <sz val="9"/>
      <color theme="1"/>
      <name val="Lucida Sans"/>
      <family val="2"/>
    </font>
    <font>
      <b/>
      <sz val="11"/>
      <color theme="1"/>
      <name val="Lucida Sans"/>
      <family val="2"/>
    </font>
    <font>
      <b/>
      <sz val="9"/>
      <color theme="1"/>
      <name val="Lucida Sans"/>
      <family val="2"/>
    </font>
    <font>
      <b/>
      <sz val="11"/>
      <color rgb="FFFF0000"/>
      <name val="Calibri Light"/>
      <family val="2"/>
    </font>
    <font>
      <b/>
      <sz val="11"/>
      <color rgb="FF0070C0"/>
      <name val="Calibri Light"/>
      <family val="2"/>
    </font>
    <font>
      <sz val="11"/>
      <color rgb="FF0070C0"/>
      <name val="Calibri Light"/>
      <family val="2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 Light"/>
      <family val="2"/>
    </font>
    <font>
      <sz val="11"/>
      <color rgb="FF0070C0"/>
      <name val="Calibri"/>
      <family val="2"/>
      <scheme val="minor"/>
    </font>
    <font>
      <b/>
      <i/>
      <sz val="11"/>
      <color rgb="FFFF0909"/>
      <name val="Calibri Light"/>
      <family val="2"/>
    </font>
    <font>
      <i/>
      <sz val="11"/>
      <color rgb="FFFF0909"/>
      <name val="Calibri Light"/>
      <family val="2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4"/>
      <color theme="0"/>
      <name val="Lucida Sans"/>
      <family val="2"/>
    </font>
    <font>
      <sz val="11"/>
      <color rgb="FF0061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12"/>
      <color theme="0"/>
      <name val="Comic Sans MS"/>
      <family val="4"/>
    </font>
    <font>
      <sz val="12"/>
      <color theme="1"/>
      <name val="Comic Sans MS"/>
      <family val="4"/>
    </font>
    <font>
      <b/>
      <sz val="12"/>
      <color theme="0"/>
      <name val="Comic Sans MS"/>
      <family val="4"/>
    </font>
    <font>
      <b/>
      <sz val="12"/>
      <color theme="1"/>
      <name val="Comic Sans MS"/>
      <family val="4"/>
    </font>
    <font>
      <b/>
      <sz val="11"/>
      <color theme="0"/>
      <name val="Comic Sans MS"/>
      <family val="4"/>
    </font>
    <font>
      <i/>
      <sz val="12"/>
      <name val="Comic Sans MS"/>
      <family val="4"/>
    </font>
    <font>
      <i/>
      <sz val="12"/>
      <color theme="1"/>
      <name val="Comic Sans MS"/>
      <family val="4"/>
    </font>
    <font>
      <sz val="12"/>
      <name val="Comic Sans MS"/>
      <family val="4"/>
    </font>
    <font>
      <sz val="11"/>
      <name val="Comic Sans MS"/>
      <family val="4"/>
    </font>
    <font>
      <sz val="12"/>
      <color rgb="FF0070C0"/>
      <name val="Comic Sans MS"/>
      <family val="4"/>
    </font>
    <font>
      <sz val="11"/>
      <color theme="1"/>
      <name val="Comic Sans MS"/>
      <family val="4"/>
    </font>
    <font>
      <sz val="12"/>
      <color theme="3"/>
      <name val="Comic Sans MS"/>
      <family val="4"/>
    </font>
    <font>
      <b/>
      <sz val="11"/>
      <color theme="1"/>
      <name val="Comic Sans MS"/>
      <family val="4"/>
    </font>
    <font>
      <sz val="11"/>
      <color theme="0"/>
      <name val="Comic Sans MS"/>
      <family val="4"/>
    </font>
    <font>
      <b/>
      <i/>
      <sz val="12"/>
      <color theme="1"/>
      <name val="Comic Sans MS"/>
      <family val="4"/>
    </font>
    <font>
      <sz val="11"/>
      <color rgb="FF006100"/>
      <name val="Comic Sans MS"/>
      <family val="4"/>
    </font>
    <font>
      <sz val="12"/>
      <color rgb="FF006100"/>
      <name val="Comic Sans MS"/>
      <family val="4"/>
    </font>
    <font>
      <b/>
      <sz val="12"/>
      <color rgb="FF006100"/>
      <name val="Comic Sans MS"/>
      <family val="4"/>
    </font>
    <font>
      <b/>
      <sz val="2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vertAlign val="superscript"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1"/>
      <color theme="0"/>
      <name val="Calibri Light"/>
      <family val="2"/>
    </font>
    <font>
      <b/>
      <u val="singleAccounting"/>
      <sz val="11"/>
      <color theme="0"/>
      <name val="Calibri Light"/>
      <family val="2"/>
    </font>
    <font>
      <b/>
      <sz val="16"/>
      <name val="Calibri Light"/>
      <family val="2"/>
    </font>
    <font>
      <sz val="11"/>
      <name val="Calibri Light"/>
      <family val="2"/>
    </font>
    <font>
      <b/>
      <i/>
      <sz val="11"/>
      <color rgb="FFFF0000"/>
      <name val="Calibri Light"/>
      <family val="2"/>
    </font>
    <font>
      <sz val="11"/>
      <color theme="4"/>
      <name val="Calibri"/>
      <family val="2"/>
      <scheme val="minor"/>
    </font>
    <font>
      <i/>
      <sz val="11"/>
      <color rgb="FFFF0000"/>
      <name val="Calibri Light"/>
      <family val="2"/>
    </font>
    <font>
      <b/>
      <i/>
      <sz val="11"/>
      <color theme="0"/>
      <name val="Lucida Sans"/>
      <family val="2"/>
    </font>
    <font>
      <b/>
      <sz val="18"/>
      <color theme="0"/>
      <name val="Lucida Sans"/>
      <family val="2"/>
    </font>
    <font>
      <b/>
      <i/>
      <sz val="12"/>
      <color theme="0"/>
      <name val="Lucida Sans"/>
      <family val="2"/>
    </font>
    <font>
      <b/>
      <sz val="16"/>
      <color rgb="FFFF0000"/>
      <name val="Lucida Sans"/>
      <family val="2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2F2F2F"/>
      <name val="Arial"/>
      <family val="2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4"/>
      <color theme="3"/>
      <name val="Century Gothic"/>
      <family val="2"/>
    </font>
    <font>
      <b/>
      <sz val="20"/>
      <color theme="1"/>
      <name val="Century Gothic"/>
      <family val="2"/>
    </font>
    <font>
      <sz val="20"/>
      <color theme="1"/>
      <name val="Century Gothic"/>
      <family val="2"/>
    </font>
    <font>
      <sz val="11"/>
      <color rgb="FFFF0000"/>
      <name val="Century Gothic"/>
      <family val="2"/>
    </font>
    <font>
      <sz val="11"/>
      <color theme="1"/>
      <name val="Century Gothic"/>
      <family val="2"/>
    </font>
    <font>
      <sz val="10"/>
      <color theme="1"/>
      <name val="Century Gothic"/>
      <family val="2"/>
    </font>
    <font>
      <b/>
      <sz val="11"/>
      <color theme="1"/>
      <name val="Century Gothic"/>
      <family val="2"/>
    </font>
    <font>
      <sz val="9"/>
      <color theme="1"/>
      <name val="Century Gothic"/>
      <family val="2"/>
    </font>
    <font>
      <b/>
      <sz val="12"/>
      <color theme="0"/>
      <name val="Century Gothic"/>
      <family val="2"/>
    </font>
    <font>
      <b/>
      <sz val="12"/>
      <color rgb="FFFF0000"/>
      <name val="Century Gothic"/>
      <family val="2"/>
    </font>
    <font>
      <b/>
      <sz val="12"/>
      <color theme="1"/>
      <name val="Century Gothic"/>
      <family val="2"/>
    </font>
    <font>
      <b/>
      <sz val="11"/>
      <color theme="0"/>
      <name val="Century Gothic"/>
      <family val="2"/>
    </font>
    <font>
      <b/>
      <sz val="14"/>
      <color theme="1"/>
      <name val="Century Gothic"/>
      <family val="2"/>
    </font>
    <font>
      <sz val="11"/>
      <name val="Century Gothic"/>
      <family val="2"/>
    </font>
    <font>
      <b/>
      <sz val="18"/>
      <color theme="1"/>
      <name val="Century Gothic"/>
      <family val="2"/>
    </font>
    <font>
      <b/>
      <sz val="11"/>
      <color rgb="FFFF0000"/>
      <name val="Century Gothic"/>
      <family val="2"/>
    </font>
  </fonts>
  <fills count="4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theme="5"/>
      </patternFill>
    </fill>
    <fill>
      <patternFill patternType="solid">
        <fgColor theme="9"/>
      </patternFill>
    </fill>
    <fill>
      <patternFill patternType="solid">
        <fgColor rgb="FFFF0909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2060"/>
        <bgColor indexed="64"/>
      </patternFill>
    </fill>
  </fills>
  <borders count="2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2" fillId="0" borderId="0"/>
    <xf numFmtId="44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44" fillId="23" borderId="0" applyNumberFormat="0" applyBorder="0" applyAlignment="0" applyProtection="0"/>
    <xf numFmtId="0" fontId="37" fillId="24" borderId="0" applyNumberFormat="0" applyBorder="0" applyAlignment="0" applyProtection="0"/>
    <xf numFmtId="0" fontId="37" fillId="25" borderId="0" applyNumberFormat="0" applyBorder="0" applyAlignment="0" applyProtection="0"/>
    <xf numFmtId="0" fontId="84" fillId="0" borderId="0" applyNumberFormat="0" applyFill="0" applyBorder="0" applyAlignment="0" applyProtection="0"/>
  </cellStyleXfs>
  <cellXfs count="498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167" fontId="7" fillId="0" borderId="0" xfId="4" applyNumberFormat="1" applyFont="1" applyFill="1" applyBorder="1" applyAlignment="1">
      <alignment horizontal="center" vertical="center"/>
    </xf>
    <xf numFmtId="167" fontId="6" fillId="0" borderId="0" xfId="4" applyNumberFormat="1" applyFont="1" applyFill="1" applyBorder="1" applyAlignment="1">
      <alignment horizontal="center" vertical="center" wrapText="1"/>
    </xf>
    <xf numFmtId="173" fontId="6" fillId="0" borderId="0" xfId="4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67" fontId="2" fillId="8" borderId="0" xfId="4" applyNumberFormat="1" applyFont="1" applyFill="1" applyBorder="1"/>
    <xf numFmtId="167" fontId="0" fillId="0" borderId="0" xfId="4" applyNumberFormat="1" applyFont="1" applyFill="1" applyBorder="1"/>
    <xf numFmtId="173" fontId="0" fillId="0" borderId="0" xfId="4" applyNumberFormat="1" applyFont="1" applyFill="1" applyBorder="1"/>
    <xf numFmtId="167" fontId="2" fillId="0" borderId="0" xfId="4" applyNumberFormat="1" applyFont="1" applyFill="1" applyBorder="1"/>
    <xf numFmtId="44" fontId="4" fillId="0" borderId="0" xfId="1" applyFont="1" applyAlignment="1">
      <alignment vertical="center"/>
    </xf>
    <xf numFmtId="164" fontId="0" fillId="0" borderId="0" xfId="1" applyNumberFormat="1" applyFont="1" applyAlignment="1">
      <alignment horizontal="right" vertical="center"/>
    </xf>
    <xf numFmtId="44" fontId="0" fillId="0" borderId="0" xfId="0" applyNumberFormat="1" applyAlignment="1">
      <alignment vertical="center"/>
    </xf>
    <xf numFmtId="0" fontId="0" fillId="0" borderId="14" xfId="0" applyBorder="1" applyAlignment="1">
      <alignment horizontal="center" vertical="center"/>
    </xf>
    <xf numFmtId="164" fontId="0" fillId="0" borderId="15" xfId="1" applyNumberFormat="1" applyFont="1" applyBorder="1" applyAlignment="1">
      <alignment vertical="center"/>
    </xf>
    <xf numFmtId="0" fontId="0" fillId="9" borderId="16" xfId="0" applyFill="1" applyBorder="1" applyAlignment="1">
      <alignment horizontal="center" vertical="center"/>
    </xf>
    <xf numFmtId="164" fontId="0" fillId="9" borderId="7" xfId="1" applyNumberFormat="1" applyFont="1" applyFill="1" applyBorder="1" applyAlignment="1">
      <alignment vertical="center"/>
    </xf>
    <xf numFmtId="164" fontId="0" fillId="0" borderId="0" xfId="1" applyNumberFormat="1" applyFont="1" applyAlignment="1">
      <alignment vertical="center"/>
    </xf>
    <xf numFmtId="9" fontId="8" fillId="3" borderId="0" xfId="2" applyFont="1" applyFill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4" fontId="0" fillId="0" borderId="7" xfId="1" applyNumberFormat="1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164" fontId="0" fillId="0" borderId="13" xfId="1" applyNumberFormat="1" applyFont="1" applyBorder="1" applyAlignment="1">
      <alignment vertical="center"/>
    </xf>
    <xf numFmtId="165" fontId="13" fillId="4" borderId="0" xfId="1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6" fillId="0" borderId="0" xfId="0" applyFont="1"/>
    <xf numFmtId="168" fontId="16" fillId="0" borderId="0" xfId="4" applyNumberFormat="1" applyFont="1" applyFill="1" applyBorder="1" applyAlignment="1">
      <alignment vertical="center"/>
    </xf>
    <xf numFmtId="169" fontId="16" fillId="0" borderId="0" xfId="4" applyNumberFormat="1" applyFont="1" applyFill="1" applyBorder="1" applyAlignment="1">
      <alignment vertical="center"/>
    </xf>
    <xf numFmtId="167" fontId="16" fillId="0" borderId="0" xfId="4" applyNumberFormat="1" applyFont="1" applyBorder="1" applyAlignment="1">
      <alignment horizontal="center" vertical="center"/>
    </xf>
    <xf numFmtId="44" fontId="12" fillId="0" borderId="0" xfId="1" applyFont="1" applyBorder="1"/>
    <xf numFmtId="170" fontId="16" fillId="0" borderId="0" xfId="1" applyNumberFormat="1" applyFont="1" applyBorder="1" applyAlignment="1">
      <alignment horizontal="center"/>
    </xf>
    <xf numFmtId="171" fontId="16" fillId="0" borderId="0" xfId="4" applyNumberFormat="1" applyFont="1" applyBorder="1" applyAlignment="1">
      <alignment horizontal="center"/>
    </xf>
    <xf numFmtId="43" fontId="16" fillId="0" borderId="0" xfId="4" applyFont="1" applyBorder="1" applyAlignment="1">
      <alignment horizontal="center"/>
    </xf>
    <xf numFmtId="168" fontId="16" fillId="0" borderId="0" xfId="4" applyNumberFormat="1" applyFont="1" applyBorder="1"/>
    <xf numFmtId="169" fontId="16" fillId="0" borderId="0" xfId="4" applyNumberFormat="1" applyFont="1" applyBorder="1"/>
    <xf numFmtId="164" fontId="16" fillId="0" borderId="0" xfId="1" applyNumberFormat="1" applyFont="1"/>
    <xf numFmtId="164" fontId="15" fillId="0" borderId="0" xfId="1" applyNumberFormat="1" applyFont="1" applyBorder="1"/>
    <xf numFmtId="0" fontId="19" fillId="3" borderId="0" xfId="0" applyFont="1" applyFill="1" applyAlignment="1">
      <alignment horizontal="center" vertical="center" wrapText="1"/>
    </xf>
    <xf numFmtId="167" fontId="19" fillId="3" borderId="0" xfId="4" applyNumberFormat="1" applyFont="1" applyFill="1" applyBorder="1" applyAlignment="1">
      <alignment horizontal="center" vertical="center" wrapText="1"/>
    </xf>
    <xf numFmtId="168" fontId="19" fillId="3" borderId="0" xfId="4" applyNumberFormat="1" applyFont="1" applyFill="1" applyBorder="1" applyAlignment="1">
      <alignment horizontal="center" vertical="center" wrapText="1"/>
    </xf>
    <xf numFmtId="169" fontId="19" fillId="3" borderId="0" xfId="4" applyNumberFormat="1" applyFont="1" applyFill="1" applyBorder="1" applyAlignment="1">
      <alignment horizontal="center" vertical="center" wrapText="1"/>
    </xf>
    <xf numFmtId="44" fontId="20" fillId="3" borderId="0" xfId="1" applyFont="1" applyFill="1" applyBorder="1" applyAlignment="1">
      <alignment horizontal="center" vertical="center" wrapText="1"/>
    </xf>
    <xf numFmtId="174" fontId="0" fillId="0" borderId="0" xfId="0" applyNumberFormat="1"/>
    <xf numFmtId="0" fontId="10" fillId="0" borderId="0" xfId="0" applyFont="1"/>
    <xf numFmtId="16" fontId="10" fillId="0" borderId="0" xfId="0" applyNumberFormat="1" applyFont="1" applyAlignment="1">
      <alignment horizontal="center" vertical="center"/>
    </xf>
    <xf numFmtId="167" fontId="11" fillId="0" borderId="0" xfId="4" applyNumberFormat="1" applyFont="1" applyFill="1" applyBorder="1"/>
    <xf numFmtId="167" fontId="10" fillId="0" borderId="0" xfId="4" applyNumberFormat="1" applyFont="1" applyFill="1" applyBorder="1"/>
    <xf numFmtId="173" fontId="10" fillId="0" borderId="0" xfId="4" applyNumberFormat="1" applyFont="1" applyFill="1" applyBorder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164" fontId="13" fillId="4" borderId="0" xfId="1" applyNumberFormat="1" applyFont="1" applyFill="1" applyBorder="1" applyAlignment="1">
      <alignment horizontal="center" vertical="center" wrapText="1"/>
    </xf>
    <xf numFmtId="164" fontId="14" fillId="12" borderId="0" xfId="1" applyNumberFormat="1" applyFont="1" applyFill="1" applyBorder="1"/>
    <xf numFmtId="164" fontId="16" fillId="0" borderId="0" xfId="1" applyNumberFormat="1" applyFont="1" applyBorder="1" applyAlignment="1">
      <alignment horizontal="center"/>
    </xf>
    <xf numFmtId="164" fontId="15" fillId="0" borderId="0" xfId="1" applyNumberFormat="1" applyFont="1" applyFill="1" applyBorder="1" applyAlignment="1">
      <alignment vertical="center"/>
    </xf>
    <xf numFmtId="164" fontId="15" fillId="11" borderId="0" xfId="1" applyNumberFormat="1" applyFont="1" applyFill="1" applyBorder="1"/>
    <xf numFmtId="0" fontId="21" fillId="0" borderId="0" xfId="0" applyFont="1" applyAlignment="1">
      <alignment vertical="center"/>
    </xf>
    <xf numFmtId="0" fontId="21" fillId="0" borderId="7" xfId="0" applyFont="1" applyBorder="1" applyAlignment="1">
      <alignment vertical="center"/>
    </xf>
    <xf numFmtId="164" fontId="21" fillId="0" borderId="7" xfId="1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164" fontId="21" fillId="0" borderId="0" xfId="1" applyNumberFormat="1" applyFont="1" applyAlignment="1">
      <alignment vertical="center"/>
    </xf>
    <xf numFmtId="9" fontId="23" fillId="0" borderId="0" xfId="2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9" fillId="5" borderId="0" xfId="0" applyFont="1" applyFill="1" applyAlignment="1">
      <alignment horizontal="center" vertical="center" wrapText="1"/>
    </xf>
    <xf numFmtId="170" fontId="19" fillId="5" borderId="0" xfId="1" applyNumberFormat="1" applyFont="1" applyFill="1" applyBorder="1" applyAlignment="1">
      <alignment horizontal="center" vertical="center" wrapText="1"/>
    </xf>
    <xf numFmtId="171" fontId="19" fillId="3" borderId="0" xfId="4" applyNumberFormat="1" applyFont="1" applyFill="1" applyBorder="1" applyAlignment="1">
      <alignment horizontal="center" vertical="center" wrapText="1"/>
    </xf>
    <xf numFmtId="43" fontId="19" fillId="3" borderId="0" xfId="4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0" xfId="0" applyFont="1"/>
    <xf numFmtId="43" fontId="15" fillId="0" borderId="0" xfId="4" applyFont="1" applyBorder="1" applyAlignment="1">
      <alignment horizontal="center" vertical="center"/>
    </xf>
    <xf numFmtId="167" fontId="15" fillId="0" borderId="0" xfId="4" applyNumberFormat="1" applyFont="1" applyFill="1" applyBorder="1" applyAlignment="1">
      <alignment horizontal="center" vertical="center"/>
    </xf>
    <xf numFmtId="168" fontId="15" fillId="0" borderId="0" xfId="4" applyNumberFormat="1" applyFont="1" applyFill="1" applyBorder="1" applyAlignment="1">
      <alignment vertical="center"/>
    </xf>
    <xf numFmtId="169" fontId="15" fillId="0" borderId="0" xfId="4" applyNumberFormat="1" applyFont="1" applyFill="1" applyBorder="1" applyAlignment="1">
      <alignment vertical="center"/>
    </xf>
    <xf numFmtId="44" fontId="20" fillId="0" borderId="0" xfId="1" applyFont="1" applyFill="1" applyBorder="1" applyAlignment="1">
      <alignment vertical="center"/>
    </xf>
    <xf numFmtId="0" fontId="19" fillId="0" borderId="0" xfId="0" applyFont="1" applyAlignment="1" applyProtection="1">
      <alignment horizontal="center"/>
      <protection locked="0"/>
    </xf>
    <xf numFmtId="164" fontId="19" fillId="0" borderId="0" xfId="1" applyNumberFormat="1" applyFont="1" applyFill="1" applyBorder="1" applyAlignment="1" applyProtection="1">
      <alignment horizontal="center"/>
      <protection locked="0"/>
    </xf>
    <xf numFmtId="172" fontId="19" fillId="0" borderId="0" xfId="4" applyNumberFormat="1" applyFont="1" applyFill="1" applyBorder="1" applyAlignment="1" applyProtection="1">
      <alignment horizontal="center"/>
      <protection locked="0"/>
    </xf>
    <xf numFmtId="170" fontId="19" fillId="0" borderId="0" xfId="1" applyNumberFormat="1" applyFont="1" applyFill="1" applyBorder="1" applyAlignment="1" applyProtection="1">
      <alignment horizontal="center"/>
      <protection locked="0"/>
    </xf>
    <xf numFmtId="171" fontId="19" fillId="0" borderId="0" xfId="4" applyNumberFormat="1" applyFont="1" applyFill="1" applyBorder="1" applyAlignment="1" applyProtection="1">
      <alignment horizontal="center"/>
      <protection locked="0"/>
    </xf>
    <xf numFmtId="43" fontId="19" fillId="0" borderId="0" xfId="4" applyFont="1" applyFill="1" applyBorder="1" applyAlignment="1" applyProtection="1">
      <alignment horizontal="center"/>
      <protection locked="0"/>
    </xf>
    <xf numFmtId="0" fontId="15" fillId="0" borderId="0" xfId="0" applyFont="1" applyAlignment="1">
      <alignment horizontal="center"/>
    </xf>
    <xf numFmtId="164" fontId="15" fillId="0" borderId="0" xfId="1" applyNumberFormat="1" applyFont="1"/>
    <xf numFmtId="0" fontId="27" fillId="14" borderId="0" xfId="0" applyFont="1" applyFill="1" applyAlignment="1">
      <alignment horizontal="center"/>
    </xf>
    <xf numFmtId="44" fontId="4" fillId="0" borderId="0" xfId="1" applyFont="1" applyAlignment="1">
      <alignment horizontal="center" vertical="center"/>
    </xf>
    <xf numFmtId="168" fontId="28" fillId="3" borderId="0" xfId="4" applyNumberFormat="1" applyFont="1" applyFill="1" applyBorder="1" applyAlignment="1">
      <alignment horizontal="center" vertical="center" wrapText="1"/>
    </xf>
    <xf numFmtId="168" fontId="28" fillId="0" borderId="0" xfId="4" applyNumberFormat="1" applyFont="1" applyFill="1" applyBorder="1" applyAlignment="1">
      <alignment vertical="center"/>
    </xf>
    <xf numFmtId="168" fontId="29" fillId="0" borderId="0" xfId="4" applyNumberFormat="1" applyFont="1" applyFill="1" applyBorder="1" applyAlignment="1">
      <alignment vertical="center"/>
    </xf>
    <xf numFmtId="168" fontId="29" fillId="0" borderId="0" xfId="4" applyNumberFormat="1" applyFont="1" applyBorder="1" applyAlignment="1">
      <alignment vertical="center"/>
    </xf>
    <xf numFmtId="168" fontId="29" fillId="0" borderId="0" xfId="4" applyNumberFormat="1" applyFont="1" applyBorder="1"/>
    <xf numFmtId="164" fontId="4" fillId="0" borderId="0" xfId="1" applyNumberFormat="1" applyFont="1" applyFill="1" applyAlignment="1">
      <alignment vertical="center"/>
    </xf>
    <xf numFmtId="0" fontId="30" fillId="0" borderId="0" xfId="0" applyFont="1" applyAlignment="1">
      <alignment vertical="center"/>
    </xf>
    <xf numFmtId="44" fontId="30" fillId="0" borderId="0" xfId="0" applyNumberFormat="1" applyFont="1" applyAlignment="1">
      <alignment vertical="center"/>
    </xf>
    <xf numFmtId="164" fontId="14" fillId="16" borderId="0" xfId="1" applyNumberFormat="1" applyFont="1" applyFill="1" applyBorder="1"/>
    <xf numFmtId="0" fontId="27" fillId="0" borderId="0" xfId="4" applyNumberFormat="1" applyFont="1" applyFill="1" applyBorder="1" applyAlignment="1" applyProtection="1">
      <alignment horizontal="center" vertical="center"/>
      <protection locked="0"/>
    </xf>
    <xf numFmtId="0" fontId="33" fillId="0" borderId="0" xfId="4" applyNumberFormat="1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3" fillId="0" borderId="0" xfId="0" applyFont="1"/>
    <xf numFmtId="0" fontId="34" fillId="0" borderId="0" xfId="0" applyFont="1" applyAlignment="1">
      <alignment horizontal="center" vertical="center"/>
    </xf>
    <xf numFmtId="44" fontId="0" fillId="0" borderId="0" xfId="1" applyFont="1"/>
    <xf numFmtId="0" fontId="27" fillId="2" borderId="0" xfId="0" applyFont="1" applyFill="1" applyAlignment="1">
      <alignment horizontal="center"/>
    </xf>
    <xf numFmtId="0" fontId="27" fillId="11" borderId="0" xfId="0" applyFont="1" applyFill="1" applyAlignment="1">
      <alignment horizontal="center"/>
    </xf>
    <xf numFmtId="0" fontId="27" fillId="19" borderId="0" xfId="0" applyFont="1" applyFill="1" applyAlignment="1">
      <alignment horizontal="center"/>
    </xf>
    <xf numFmtId="0" fontId="0" fillId="2" borderId="0" xfId="0" applyFill="1"/>
    <xf numFmtId="175" fontId="27" fillId="6" borderId="0" xfId="0" applyNumberFormat="1" applyFont="1" applyFill="1" applyAlignment="1">
      <alignment horizontal="center" vertical="center" wrapText="1"/>
    </xf>
    <xf numFmtId="175" fontId="27" fillId="0" borderId="0" xfId="4" applyNumberFormat="1" applyFont="1" applyFill="1" applyBorder="1" applyAlignment="1" applyProtection="1">
      <alignment horizontal="center"/>
      <protection locked="0"/>
    </xf>
    <xf numFmtId="175" fontId="33" fillId="0" borderId="0" xfId="0" applyNumberFormat="1" applyFont="1" applyAlignment="1">
      <alignment horizontal="center"/>
    </xf>
    <xf numFmtId="0" fontId="27" fillId="6" borderId="0" xfId="4" applyNumberFormat="1" applyFont="1" applyFill="1" applyBorder="1" applyAlignment="1">
      <alignment horizontal="center" vertical="center" wrapText="1"/>
    </xf>
    <xf numFmtId="0" fontId="27" fillId="6" borderId="0" xfId="0" applyFont="1" applyFill="1" applyAlignment="1">
      <alignment horizontal="center" vertical="center" wrapText="1"/>
    </xf>
    <xf numFmtId="0" fontId="0" fillId="18" borderId="0" xfId="0" applyFill="1"/>
    <xf numFmtId="164" fontId="35" fillId="3" borderId="0" xfId="1" applyNumberFormat="1" applyFont="1" applyFill="1" applyBorder="1" applyAlignment="1">
      <alignment horizontal="center" vertical="center" wrapText="1"/>
    </xf>
    <xf numFmtId="164" fontId="35" fillId="0" borderId="0" xfId="1" applyNumberFormat="1" applyFont="1" applyFill="1" applyBorder="1" applyAlignment="1">
      <alignment vertical="center"/>
    </xf>
    <xf numFmtId="164" fontId="36" fillId="0" borderId="0" xfId="1" applyNumberFormat="1" applyFont="1" applyBorder="1" applyAlignment="1">
      <alignment vertical="center"/>
    </xf>
    <xf numFmtId="0" fontId="0" fillId="18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6" borderId="0" xfId="0" applyFill="1"/>
    <xf numFmtId="0" fontId="8" fillId="0" borderId="0" xfId="0" applyFont="1" applyAlignment="1">
      <alignment horizontal="center" vertical="center" wrapText="1"/>
    </xf>
    <xf numFmtId="44" fontId="42" fillId="20" borderId="7" xfId="1" applyFont="1" applyFill="1" applyBorder="1" applyAlignment="1">
      <alignment horizontal="center" vertical="center" wrapText="1"/>
    </xf>
    <xf numFmtId="0" fontId="0" fillId="15" borderId="0" xfId="0" applyFill="1"/>
    <xf numFmtId="44" fontId="17" fillId="13" borderId="0" xfId="1" applyFont="1" applyFill="1" applyBorder="1" applyAlignment="1">
      <alignment horizontal="center" vertical="center" wrapText="1"/>
    </xf>
    <xf numFmtId="44" fontId="18" fillId="7" borderId="0" xfId="1" applyFont="1" applyFill="1" applyBorder="1" applyAlignment="1">
      <alignment horizontal="center" vertical="center" wrapText="1"/>
    </xf>
    <xf numFmtId="44" fontId="15" fillId="0" borderId="0" xfId="1" applyFont="1"/>
    <xf numFmtId="44" fontId="16" fillId="0" borderId="0" xfId="1" applyFont="1"/>
    <xf numFmtId="43" fontId="15" fillId="0" borderId="0" xfId="0" applyNumberFormat="1" applyFont="1"/>
    <xf numFmtId="0" fontId="37" fillId="7" borderId="7" xfId="0" applyFont="1" applyFill="1" applyBorder="1" applyAlignment="1">
      <alignment horizontal="center" vertical="center"/>
    </xf>
    <xf numFmtId="1" fontId="37" fillId="7" borderId="7" xfId="0" applyNumberFormat="1" applyFont="1" applyFill="1" applyBorder="1" applyAlignment="1">
      <alignment horizontal="right" vertical="center"/>
    </xf>
    <xf numFmtId="164" fontId="3" fillId="7" borderId="7" xfId="0" applyNumberFormat="1" applyFont="1" applyFill="1" applyBorder="1" applyAlignment="1">
      <alignment horizontal="center" vertical="center"/>
    </xf>
    <xf numFmtId="44" fontId="37" fillId="7" borderId="7" xfId="1" applyFont="1" applyFill="1" applyBorder="1" applyAlignment="1">
      <alignment horizontal="center" vertical="center"/>
    </xf>
    <xf numFmtId="1" fontId="0" fillId="0" borderId="0" xfId="0" applyNumberFormat="1" applyAlignment="1">
      <alignment horizontal="right" vertical="center"/>
    </xf>
    <xf numFmtId="44" fontId="0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4" fontId="17" fillId="7" borderId="0" xfId="1" applyFont="1" applyFill="1" applyBorder="1" applyAlignment="1">
      <alignment horizontal="center" vertical="center" wrapText="1"/>
    </xf>
    <xf numFmtId="1" fontId="19" fillId="3" borderId="0" xfId="4" applyNumberFormat="1" applyFont="1" applyFill="1" applyBorder="1" applyAlignment="1">
      <alignment horizontal="center" vertical="center" wrapText="1"/>
    </xf>
    <xf numFmtId="1" fontId="15" fillId="0" borderId="0" xfId="4" applyNumberFormat="1" applyFont="1" applyBorder="1" applyAlignment="1">
      <alignment horizontal="center" vertical="center"/>
    </xf>
    <xf numFmtId="1" fontId="16" fillId="0" borderId="0" xfId="4" applyNumberFormat="1" applyFont="1" applyBorder="1" applyAlignment="1">
      <alignment horizontal="center" vertical="center"/>
    </xf>
    <xf numFmtId="0" fontId="34" fillId="21" borderId="0" xfId="0" applyFont="1" applyFill="1" applyAlignment="1">
      <alignment horizontal="center" vertical="center"/>
    </xf>
    <xf numFmtId="164" fontId="29" fillId="21" borderId="0" xfId="1" applyNumberFormat="1" applyFont="1" applyFill="1" applyBorder="1" applyAlignment="1">
      <alignment vertical="center"/>
    </xf>
    <xf numFmtId="176" fontId="29" fillId="21" borderId="0" xfId="4" applyNumberFormat="1" applyFont="1" applyFill="1" applyBorder="1"/>
    <xf numFmtId="0" fontId="21" fillId="0" borderId="6" xfId="0" applyFont="1" applyBorder="1" applyAlignment="1">
      <alignment vertical="center"/>
    </xf>
    <xf numFmtId="0" fontId="21" fillId="0" borderId="5" xfId="0" applyFont="1" applyBorder="1" applyAlignment="1">
      <alignment horizontal="center" vertical="center"/>
    </xf>
    <xf numFmtId="0" fontId="21" fillId="0" borderId="5" xfId="0" applyFont="1" applyBorder="1" applyAlignment="1">
      <alignment vertical="center"/>
    </xf>
    <xf numFmtId="164" fontId="21" fillId="0" borderId="5" xfId="1" applyNumberFormat="1" applyFont="1" applyBorder="1" applyAlignment="1">
      <alignment vertical="center"/>
    </xf>
    <xf numFmtId="9" fontId="23" fillId="0" borderId="5" xfId="2" applyFont="1" applyBorder="1" applyAlignment="1">
      <alignment horizontal="center" vertical="center"/>
    </xf>
    <xf numFmtId="0" fontId="23" fillId="0" borderId="5" xfId="0" applyFont="1" applyBorder="1" applyAlignment="1">
      <alignment vertical="center"/>
    </xf>
    <xf numFmtId="0" fontId="24" fillId="0" borderId="5" xfId="0" applyFont="1" applyBorder="1" applyAlignment="1">
      <alignment horizontal="center" vertical="center"/>
    </xf>
    <xf numFmtId="0" fontId="21" fillId="0" borderId="4" xfId="0" applyFont="1" applyBorder="1" applyAlignment="1">
      <alignment vertical="center"/>
    </xf>
    <xf numFmtId="0" fontId="21" fillId="0" borderId="9" xfId="0" applyFont="1" applyBorder="1" applyAlignment="1">
      <alignment vertical="center"/>
    </xf>
    <xf numFmtId="0" fontId="21" fillId="0" borderId="8" xfId="0" applyFont="1" applyBorder="1" applyAlignment="1">
      <alignment vertical="center"/>
    </xf>
    <xf numFmtId="0" fontId="21" fillId="0" borderId="0" xfId="0" applyFont="1" applyAlignment="1">
      <alignment horizontal="right" vertical="center"/>
    </xf>
    <xf numFmtId="164" fontId="21" fillId="0" borderId="0" xfId="1" applyNumberFormat="1" applyFont="1" applyBorder="1" applyAlignment="1">
      <alignment vertical="center"/>
    </xf>
    <xf numFmtId="9" fontId="23" fillId="0" borderId="0" xfId="2" applyFont="1" applyBorder="1" applyAlignment="1">
      <alignment horizontal="center" vertical="center"/>
    </xf>
    <xf numFmtId="0" fontId="25" fillId="8" borderId="0" xfId="0" applyFont="1" applyFill="1" applyAlignment="1">
      <alignment horizontal="right" vertical="center"/>
    </xf>
    <xf numFmtId="164" fontId="25" fillId="8" borderId="0" xfId="1" applyNumberFormat="1" applyFont="1" applyFill="1" applyBorder="1" applyAlignment="1">
      <alignment vertical="center"/>
    </xf>
    <xf numFmtId="9" fontId="26" fillId="0" borderId="0" xfId="2" applyFont="1" applyBorder="1" applyAlignment="1">
      <alignment horizontal="center" vertical="center"/>
    </xf>
    <xf numFmtId="0" fontId="21" fillId="0" borderId="3" xfId="0" applyFont="1" applyBorder="1" applyAlignment="1">
      <alignment vertical="center"/>
    </xf>
    <xf numFmtId="0" fontId="21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vertical="center"/>
    </xf>
    <xf numFmtId="164" fontId="21" fillId="0" borderId="2" xfId="1" applyNumberFormat="1" applyFont="1" applyBorder="1" applyAlignment="1">
      <alignment vertical="center"/>
    </xf>
    <xf numFmtId="9" fontId="23" fillId="0" borderId="2" xfId="2" applyFont="1" applyBorder="1" applyAlignment="1">
      <alignment horizontal="center" vertical="center"/>
    </xf>
    <xf numFmtId="0" fontId="23" fillId="0" borderId="2" xfId="0" applyFont="1" applyBorder="1" applyAlignment="1">
      <alignment vertical="center"/>
    </xf>
    <xf numFmtId="0" fontId="24" fillId="0" borderId="2" xfId="0" applyFont="1" applyBorder="1" applyAlignment="1">
      <alignment horizontal="center" vertical="center"/>
    </xf>
    <xf numFmtId="0" fontId="21" fillId="0" borderId="1" xfId="0" applyFont="1" applyBorder="1" applyAlignment="1">
      <alignment vertical="center"/>
    </xf>
    <xf numFmtId="0" fontId="21" fillId="0" borderId="16" xfId="0" applyFont="1" applyBorder="1" applyAlignment="1">
      <alignment horizontal="center" vertical="center"/>
    </xf>
    <xf numFmtId="9" fontId="23" fillId="0" borderId="21" xfId="2" applyFont="1" applyBorder="1" applyAlignment="1">
      <alignment horizontal="center" vertical="center"/>
    </xf>
    <xf numFmtId="0" fontId="22" fillId="2" borderId="2" xfId="0" applyFont="1" applyFill="1" applyBorder="1" applyAlignment="1">
      <alignment horizontal="right" vertical="center"/>
    </xf>
    <xf numFmtId="164" fontId="25" fillId="2" borderId="2" xfId="1" applyNumberFormat="1" applyFont="1" applyFill="1" applyBorder="1" applyAlignment="1">
      <alignment vertical="center"/>
    </xf>
    <xf numFmtId="9" fontId="26" fillId="2" borderId="1" xfId="2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164" fontId="31" fillId="21" borderId="0" xfId="1" applyNumberFormat="1" applyFont="1" applyFill="1" applyAlignment="1">
      <alignment vertical="center"/>
    </xf>
    <xf numFmtId="164" fontId="11" fillId="2" borderId="0" xfId="1" applyNumberFormat="1" applyFont="1" applyFill="1" applyAlignment="1">
      <alignment vertical="center"/>
    </xf>
    <xf numFmtId="0" fontId="11" fillId="0" borderId="7" xfId="0" applyFont="1" applyBorder="1" applyAlignment="1">
      <alignment horizontal="center" vertical="center"/>
    </xf>
    <xf numFmtId="1" fontId="11" fillId="0" borderId="7" xfId="0" applyNumberFormat="1" applyFont="1" applyBorder="1" applyAlignment="1">
      <alignment horizontal="right" vertical="center"/>
    </xf>
    <xf numFmtId="44" fontId="0" fillId="22" borderId="7" xfId="1" applyFont="1" applyFill="1" applyBorder="1" applyAlignment="1">
      <alignment horizontal="center" vertical="center"/>
    </xf>
    <xf numFmtId="44" fontId="4" fillId="22" borderId="7" xfId="1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164" fontId="0" fillId="0" borderId="0" xfId="1" applyNumberFormat="1" applyFont="1"/>
    <xf numFmtId="0" fontId="37" fillId="10" borderId="0" xfId="0" applyFont="1" applyFill="1" applyAlignment="1">
      <alignment horizontal="center"/>
    </xf>
    <xf numFmtId="44" fontId="37" fillId="10" borderId="0" xfId="0" applyNumberFormat="1" applyFont="1" applyFill="1"/>
    <xf numFmtId="164" fontId="37" fillId="10" borderId="0" xfId="1" applyNumberFormat="1" applyFont="1" applyFill="1"/>
    <xf numFmtId="0" fontId="37" fillId="10" borderId="0" xfId="0" applyFont="1" applyFill="1"/>
    <xf numFmtId="0" fontId="0" fillId="0" borderId="0" xfId="0" applyAlignment="1">
      <alignment horizontal="right"/>
    </xf>
    <xf numFmtId="0" fontId="10" fillId="14" borderId="0" xfId="0" applyFont="1" applyFill="1" applyAlignment="1">
      <alignment horizontal="center"/>
    </xf>
    <xf numFmtId="44" fontId="10" fillId="14" borderId="0" xfId="0" applyNumberFormat="1" applyFont="1" applyFill="1"/>
    <xf numFmtId="164" fontId="10" fillId="14" borderId="0" xfId="1" applyNumberFormat="1" applyFont="1" applyFill="1"/>
    <xf numFmtId="0" fontId="10" fillId="14" borderId="0" xfId="0" applyFont="1" applyFill="1"/>
    <xf numFmtId="44" fontId="0" fillId="0" borderId="0" xfId="0" applyNumberFormat="1" applyAlignment="1">
      <alignment horizontal="right"/>
    </xf>
    <xf numFmtId="44" fontId="8" fillId="14" borderId="0" xfId="0" applyNumberFormat="1" applyFont="1" applyFill="1" applyAlignment="1">
      <alignment horizontal="right"/>
    </xf>
    <xf numFmtId="0" fontId="8" fillId="0" borderId="0" xfId="0" applyFont="1" applyAlignment="1">
      <alignment horizontal="center" vertical="center"/>
    </xf>
    <xf numFmtId="43" fontId="0" fillId="0" borderId="0" xfId="4" applyFont="1"/>
    <xf numFmtId="0" fontId="37" fillId="26" borderId="0" xfId="0" applyFont="1" applyFill="1" applyAlignment="1">
      <alignment horizontal="center"/>
    </xf>
    <xf numFmtId="44" fontId="37" fillId="26" borderId="0" xfId="0" applyNumberFormat="1" applyFont="1" applyFill="1"/>
    <xf numFmtId="164" fontId="37" fillId="26" borderId="0" xfId="1" applyNumberFormat="1" applyFont="1" applyFill="1"/>
    <xf numFmtId="0" fontId="37" fillId="26" borderId="0" xfId="0" applyFont="1" applyFill="1"/>
    <xf numFmtId="44" fontId="41" fillId="26" borderId="0" xfId="1" applyFont="1" applyFill="1" applyAlignment="1">
      <alignment horizontal="center" vertical="center"/>
    </xf>
    <xf numFmtId="44" fontId="8" fillId="0" borderId="0" xfId="1" applyFont="1" applyAlignment="1">
      <alignment horizontal="center" vertical="center"/>
    </xf>
    <xf numFmtId="44" fontId="8" fillId="14" borderId="0" xfId="1" applyFont="1" applyFill="1" applyAlignment="1">
      <alignment horizontal="center" vertical="center"/>
    </xf>
    <xf numFmtId="0" fontId="47" fillId="0" borderId="0" xfId="0" applyFont="1" applyAlignment="1">
      <alignment horizontal="center" vertical="center"/>
    </xf>
    <xf numFmtId="164" fontId="46" fillId="3" borderId="13" xfId="1" applyNumberFormat="1" applyFont="1" applyFill="1" applyBorder="1" applyAlignment="1">
      <alignment horizontal="center" vertical="center" wrapText="1"/>
    </xf>
    <xf numFmtId="0" fontId="46" fillId="3" borderId="13" xfId="0" applyFont="1" applyFill="1" applyBorder="1" applyAlignment="1">
      <alignment horizontal="center" vertical="center" wrapText="1"/>
    </xf>
    <xf numFmtId="0" fontId="50" fillId="3" borderId="13" xfId="0" applyFont="1" applyFill="1" applyBorder="1" applyAlignment="1">
      <alignment horizontal="center" vertical="center" wrapText="1"/>
    </xf>
    <xf numFmtId="49" fontId="51" fillId="28" borderId="13" xfId="1" applyNumberFormat="1" applyFont="1" applyFill="1" applyBorder="1" applyAlignment="1">
      <alignment horizontal="center" vertical="center" wrapText="1"/>
    </xf>
    <xf numFmtId="49" fontId="52" fillId="28" borderId="13" xfId="1" applyNumberFormat="1" applyFont="1" applyFill="1" applyBorder="1" applyAlignment="1">
      <alignment horizontal="center" vertical="center" wrapText="1"/>
    </xf>
    <xf numFmtId="49" fontId="46" fillId="29" borderId="13" xfId="1" applyNumberFormat="1" applyFont="1" applyFill="1" applyBorder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47" fillId="30" borderId="7" xfId="0" applyFont="1" applyFill="1" applyBorder="1" applyAlignment="1">
      <alignment horizontal="center" vertical="center"/>
    </xf>
    <xf numFmtId="0" fontId="47" fillId="30" borderId="15" xfId="0" applyFont="1" applyFill="1" applyBorder="1" applyAlignment="1" applyProtection="1">
      <alignment horizontal="center" vertical="center"/>
      <protection locked="0"/>
    </xf>
    <xf numFmtId="0" fontId="47" fillId="30" borderId="15" xfId="0" applyFont="1" applyFill="1" applyBorder="1" applyAlignment="1" applyProtection="1">
      <alignment horizontal="left" vertical="center"/>
      <protection locked="0"/>
    </xf>
    <xf numFmtId="164" fontId="53" fillId="30" borderId="15" xfId="1" applyNumberFormat="1" applyFont="1" applyFill="1" applyBorder="1" applyAlignment="1" applyProtection="1">
      <alignment horizontal="center" vertical="center" wrapText="1"/>
      <protection locked="0"/>
    </xf>
    <xf numFmtId="164" fontId="53" fillId="30" borderId="7" xfId="1" applyNumberFormat="1" applyFont="1" applyFill="1" applyBorder="1" applyAlignment="1" applyProtection="1">
      <alignment horizontal="center" vertical="center"/>
      <protection locked="0"/>
    </xf>
    <xf numFmtId="0" fontId="54" fillId="30" borderId="7" xfId="0" applyFont="1" applyFill="1" applyBorder="1" applyAlignment="1" applyProtection="1">
      <alignment horizontal="left" vertical="center" wrapText="1"/>
      <protection locked="0"/>
    </xf>
    <xf numFmtId="164" fontId="46" fillId="31" borderId="7" xfId="0" applyNumberFormat="1" applyFont="1" applyFill="1" applyBorder="1" applyAlignment="1">
      <alignment horizontal="center" vertical="center"/>
    </xf>
    <xf numFmtId="0" fontId="47" fillId="30" borderId="7" xfId="0" applyFont="1" applyFill="1" applyBorder="1" applyAlignment="1" applyProtection="1">
      <alignment horizontal="center" vertical="center"/>
      <protection locked="0"/>
    </xf>
    <xf numFmtId="164" fontId="47" fillId="30" borderId="7" xfId="1" applyNumberFormat="1" applyFont="1" applyFill="1" applyBorder="1" applyAlignment="1" applyProtection="1">
      <alignment horizontal="center" vertical="center"/>
      <protection locked="0"/>
    </xf>
    <xf numFmtId="9" fontId="47" fillId="30" borderId="15" xfId="0" applyNumberFormat="1" applyFont="1" applyFill="1" applyBorder="1" applyAlignment="1" applyProtection="1">
      <alignment horizontal="center" vertical="center"/>
      <protection locked="0"/>
    </xf>
    <xf numFmtId="164" fontId="47" fillId="0" borderId="15" xfId="1" applyNumberFormat="1" applyFont="1" applyBorder="1" applyAlignment="1">
      <alignment horizontal="center" vertical="center"/>
    </xf>
    <xf numFmtId="44" fontId="49" fillId="0" borderId="15" xfId="0" applyNumberFormat="1" applyFont="1" applyBorder="1" applyAlignment="1">
      <alignment horizontal="center" vertical="center"/>
    </xf>
    <xf numFmtId="165" fontId="49" fillId="0" borderId="15" xfId="1" applyNumberFormat="1" applyFont="1" applyBorder="1" applyAlignment="1">
      <alignment horizontal="center" vertical="center"/>
    </xf>
    <xf numFmtId="9" fontId="49" fillId="0" borderId="26" xfId="2" applyFont="1" applyBorder="1" applyAlignment="1">
      <alignment horizontal="center" vertical="center"/>
    </xf>
    <xf numFmtId="0" fontId="47" fillId="0" borderId="7" xfId="0" applyFont="1" applyBorder="1" applyAlignment="1" applyProtection="1">
      <alignment horizontal="center" vertical="center"/>
      <protection locked="0"/>
    </xf>
    <xf numFmtId="44" fontId="47" fillId="0" borderId="7" xfId="0" applyNumberFormat="1" applyFont="1" applyBorder="1" applyAlignment="1">
      <alignment horizontal="center" vertical="center"/>
    </xf>
    <xf numFmtId="0" fontId="47" fillId="0" borderId="0" xfId="0" applyFont="1" applyAlignment="1">
      <alignment horizontal="left" vertical="center"/>
    </xf>
    <xf numFmtId="164" fontId="55" fillId="0" borderId="0" xfId="1" applyNumberFormat="1" applyFont="1" applyAlignment="1">
      <alignment horizontal="center" vertical="center" wrapText="1"/>
    </xf>
    <xf numFmtId="0" fontId="56" fillId="0" borderId="0" xfId="0" applyFont="1" applyAlignment="1">
      <alignment horizontal="left" vertical="center" wrapText="1"/>
    </xf>
    <xf numFmtId="0" fontId="57" fillId="0" borderId="0" xfId="0" applyFont="1" applyAlignment="1">
      <alignment horizontal="center" vertical="center"/>
    </xf>
    <xf numFmtId="164" fontId="47" fillId="0" borderId="0" xfId="1" applyNumberFormat="1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165" fontId="49" fillId="0" borderId="0" xfId="1" applyNumberFormat="1" applyFont="1" applyAlignment="1">
      <alignment horizontal="center" vertical="center"/>
    </xf>
    <xf numFmtId="0" fontId="58" fillId="0" borderId="0" xfId="0" applyFont="1"/>
    <xf numFmtId="164" fontId="58" fillId="0" borderId="0" xfId="1" applyNumberFormat="1" applyFont="1"/>
    <xf numFmtId="0" fontId="56" fillId="0" borderId="0" xfId="0" applyFont="1"/>
    <xf numFmtId="164" fontId="56" fillId="0" borderId="0" xfId="1" applyNumberFormat="1" applyFont="1"/>
    <xf numFmtId="9" fontId="56" fillId="0" borderId="0" xfId="2" applyFont="1"/>
    <xf numFmtId="9" fontId="56" fillId="0" borderId="0" xfId="0" applyNumberFormat="1" applyFont="1"/>
    <xf numFmtId="177" fontId="56" fillId="0" borderId="0" xfId="2" applyNumberFormat="1" applyFont="1"/>
    <xf numFmtId="0" fontId="60" fillId="0" borderId="7" xfId="0" applyFont="1" applyBorder="1"/>
    <xf numFmtId="0" fontId="56" fillId="0" borderId="7" xfId="0" applyFont="1" applyBorder="1"/>
    <xf numFmtId="44" fontId="56" fillId="2" borderId="7" xfId="1" applyFont="1" applyFill="1" applyBorder="1"/>
    <xf numFmtId="44" fontId="61" fillId="23" borderId="7" xfId="9" applyNumberFormat="1" applyFont="1" applyBorder="1"/>
    <xf numFmtId="0" fontId="59" fillId="24" borderId="20" xfId="10" applyFont="1" applyBorder="1" applyAlignment="1">
      <alignment horizontal="center"/>
    </xf>
    <xf numFmtId="0" fontId="56" fillId="2" borderId="7" xfId="0" applyFont="1" applyFill="1" applyBorder="1"/>
    <xf numFmtId="43" fontId="56" fillId="2" borderId="7" xfId="4" applyFont="1" applyFill="1" applyBorder="1"/>
    <xf numFmtId="43" fontId="62" fillId="23" borderId="7" xfId="4" applyFont="1" applyFill="1" applyBorder="1"/>
    <xf numFmtId="0" fontId="59" fillId="24" borderId="0" xfId="10" applyFont="1" applyAlignment="1">
      <alignment horizontal="center"/>
    </xf>
    <xf numFmtId="0" fontId="56" fillId="2" borderId="7" xfId="0" applyFont="1" applyFill="1" applyBorder="1" applyAlignment="1">
      <alignment horizontal="center"/>
    </xf>
    <xf numFmtId="0" fontId="59" fillId="25" borderId="17" xfId="11" applyFont="1" applyBorder="1" applyAlignment="1">
      <alignment horizontal="center"/>
    </xf>
    <xf numFmtId="0" fontId="59" fillId="25" borderId="18" xfId="11" applyFont="1" applyBorder="1" applyAlignment="1">
      <alignment horizontal="center"/>
    </xf>
    <xf numFmtId="0" fontId="59" fillId="25" borderId="19" xfId="11" applyFont="1" applyBorder="1" applyAlignment="1">
      <alignment horizontal="center"/>
    </xf>
    <xf numFmtId="0" fontId="61" fillId="23" borderId="7" xfId="9" applyFont="1" applyBorder="1"/>
    <xf numFmtId="0" fontId="59" fillId="24" borderId="7" xfId="10" applyFont="1" applyBorder="1"/>
    <xf numFmtId="44" fontId="56" fillId="0" borderId="7" xfId="0" applyNumberFormat="1" applyFont="1" applyBorder="1"/>
    <xf numFmtId="44" fontId="56" fillId="0" borderId="7" xfId="1" applyFont="1" applyBorder="1"/>
    <xf numFmtId="44" fontId="63" fillId="23" borderId="7" xfId="9" applyNumberFormat="1" applyFont="1" applyBorder="1"/>
    <xf numFmtId="0" fontId="64" fillId="0" borderId="0" xfId="0" applyFont="1"/>
    <xf numFmtId="0" fontId="11" fillId="0" borderId="0" xfId="0" applyFont="1" applyAlignment="1">
      <alignment horizontal="center"/>
    </xf>
    <xf numFmtId="0" fontId="65" fillId="32" borderId="7" xfId="0" applyFont="1" applyFill="1" applyBorder="1" applyAlignment="1">
      <alignment horizontal="center" vertical="center" wrapText="1"/>
    </xf>
    <xf numFmtId="0" fontId="65" fillId="33" borderId="7" xfId="0" applyFont="1" applyFill="1" applyBorder="1" applyAlignment="1">
      <alignment horizontal="center" vertical="center" wrapText="1"/>
    </xf>
    <xf numFmtId="44" fontId="65" fillId="10" borderId="7" xfId="1" applyFont="1" applyFill="1" applyBorder="1" applyAlignment="1">
      <alignment vertical="center"/>
    </xf>
    <xf numFmtId="44" fontId="67" fillId="0" borderId="7" xfId="1" applyFont="1" applyBorder="1" applyAlignment="1">
      <alignment vertical="center"/>
    </xf>
    <xf numFmtId="0" fontId="67" fillId="0" borderId="7" xfId="0" applyFont="1" applyBorder="1" applyAlignment="1">
      <alignment horizontal="center" vertical="center"/>
    </xf>
    <xf numFmtId="0" fontId="67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178" fontId="67" fillId="0" borderId="7" xfId="0" applyNumberFormat="1" applyFont="1" applyBorder="1" applyAlignment="1">
      <alignment horizontal="center" vertical="center"/>
    </xf>
    <xf numFmtId="178" fontId="0" fillId="0" borderId="7" xfId="0" applyNumberFormat="1" applyBorder="1"/>
    <xf numFmtId="44" fontId="0" fillId="0" borderId="7" xfId="1" applyFont="1" applyBorder="1"/>
    <xf numFmtId="43" fontId="0" fillId="0" borderId="7" xfId="4" applyFont="1" applyBorder="1"/>
    <xf numFmtId="2" fontId="67" fillId="0" borderId="7" xfId="1" applyNumberFormat="1" applyFont="1" applyBorder="1" applyAlignment="1">
      <alignment vertical="center"/>
    </xf>
    <xf numFmtId="44" fontId="0" fillId="0" borderId="7" xfId="0" applyNumberFormat="1" applyBorder="1"/>
    <xf numFmtId="0" fontId="68" fillId="2" borderId="0" xfId="0" applyFont="1" applyFill="1" applyAlignment="1">
      <alignment horizontal="center"/>
    </xf>
    <xf numFmtId="0" fontId="67" fillId="0" borderId="0" xfId="0" applyFont="1"/>
    <xf numFmtId="44" fontId="67" fillId="0" borderId="0" xfId="0" applyNumberFormat="1" applyFont="1"/>
    <xf numFmtId="0" fontId="4" fillId="0" borderId="0" xfId="0" applyFont="1" applyAlignment="1">
      <alignment horizontal="right"/>
    </xf>
    <xf numFmtId="9" fontId="4" fillId="0" borderId="0" xfId="0" applyNumberFormat="1" applyFont="1"/>
    <xf numFmtId="44" fontId="67" fillId="0" borderId="0" xfId="1" applyFont="1" applyBorder="1" applyAlignment="1">
      <alignment vertical="center"/>
    </xf>
    <xf numFmtId="44" fontId="0" fillId="0" borderId="0" xfId="0" applyNumberFormat="1"/>
    <xf numFmtId="0" fontId="14" fillId="3" borderId="0" xfId="0" applyFont="1" applyFill="1" applyAlignment="1">
      <alignment horizontal="center" vertical="center" wrapText="1"/>
    </xf>
    <xf numFmtId="167" fontId="14" fillId="3" borderId="0" xfId="4" applyNumberFormat="1" applyFont="1" applyFill="1" applyBorder="1" applyAlignment="1">
      <alignment horizontal="center" vertical="center" wrapText="1"/>
    </xf>
    <xf numFmtId="164" fontId="69" fillId="3" borderId="0" xfId="1" applyNumberFormat="1" applyFont="1" applyFill="1" applyBorder="1" applyAlignment="1">
      <alignment horizontal="center" vertical="center" wrapText="1"/>
    </xf>
    <xf numFmtId="168" fontId="14" fillId="3" borderId="0" xfId="4" applyNumberFormat="1" applyFont="1" applyFill="1" applyBorder="1" applyAlignment="1">
      <alignment horizontal="center" vertical="center" wrapText="1"/>
    </xf>
    <xf numFmtId="169" fontId="28" fillId="3" borderId="0" xfId="4" applyNumberFormat="1" applyFont="1" applyFill="1" applyBorder="1" applyAlignment="1">
      <alignment horizontal="center" vertical="center" wrapText="1"/>
    </xf>
    <xf numFmtId="164" fontId="70" fillId="11" borderId="0" xfId="1" applyNumberFormat="1" applyFont="1" applyFill="1" applyBorder="1" applyAlignment="1">
      <alignment horizontal="center" vertical="center" wrapText="1"/>
    </xf>
    <xf numFmtId="0" fontId="19" fillId="34" borderId="0" xfId="0" applyFont="1" applyFill="1" applyAlignment="1">
      <alignment horizontal="center" vertical="center" wrapText="1"/>
    </xf>
    <xf numFmtId="170" fontId="19" fillId="34" borderId="0" xfId="1" applyNumberFormat="1" applyFont="1" applyFill="1" applyBorder="1" applyAlignment="1">
      <alignment horizontal="center" vertical="center" wrapText="1"/>
    </xf>
    <xf numFmtId="171" fontId="19" fillId="34" borderId="0" xfId="4" applyNumberFormat="1" applyFont="1" applyFill="1" applyBorder="1" applyAlignment="1">
      <alignment horizontal="center" vertical="center" wrapText="1"/>
    </xf>
    <xf numFmtId="175" fontId="19" fillId="34" borderId="0" xfId="0" applyNumberFormat="1" applyFont="1" applyFill="1" applyAlignment="1">
      <alignment horizontal="center" vertical="center" wrapText="1"/>
    </xf>
    <xf numFmtId="164" fontId="70" fillId="12" borderId="0" xfId="1" applyNumberFormat="1" applyFont="1" applyFill="1" applyBorder="1" applyAlignment="1">
      <alignment horizontal="center" vertical="center" wrapText="1"/>
    </xf>
    <xf numFmtId="0" fontId="27" fillId="35" borderId="0" xfId="4" applyNumberFormat="1" applyFont="1" applyFill="1" applyBorder="1" applyAlignment="1">
      <alignment horizontal="center" vertical="center" wrapText="1"/>
    </xf>
    <xf numFmtId="43" fontId="19" fillId="35" borderId="0" xfId="4" applyFont="1" applyFill="1" applyBorder="1" applyAlignment="1">
      <alignment horizontal="center" vertical="center" wrapText="1"/>
    </xf>
    <xf numFmtId="0" fontId="27" fillId="35" borderId="0" xfId="0" applyFont="1" applyFill="1" applyAlignment="1">
      <alignment horizontal="center" vertical="center" wrapText="1"/>
    </xf>
    <xf numFmtId="164" fontId="70" fillId="16" borderId="0" xfId="1" applyNumberFormat="1" applyFont="1" applyFill="1" applyBorder="1" applyAlignment="1">
      <alignment horizontal="center" vertical="center" wrapText="1"/>
    </xf>
    <xf numFmtId="0" fontId="19" fillId="35" borderId="0" xfId="0" applyFont="1" applyFill="1" applyAlignment="1">
      <alignment horizontal="center" vertical="center" wrapText="1"/>
    </xf>
    <xf numFmtId="165" fontId="70" fillId="16" borderId="0" xfId="1" applyNumberFormat="1" applyFont="1" applyFill="1" applyBorder="1" applyAlignment="1">
      <alignment horizontal="center" vertical="center" wrapText="1"/>
    </xf>
    <xf numFmtId="179" fontId="19" fillId="35" borderId="0" xfId="0" applyNumberFormat="1" applyFont="1" applyFill="1" applyAlignment="1">
      <alignment horizontal="center" vertical="center" wrapText="1"/>
    </xf>
    <xf numFmtId="164" fontId="70" fillId="36" borderId="0" xfId="1" applyNumberFormat="1" applyFont="1" applyFill="1" applyBorder="1" applyAlignment="1">
      <alignment horizontal="center" vertical="center" wrapText="1"/>
    </xf>
    <xf numFmtId="164" fontId="17" fillId="37" borderId="0" xfId="1" applyNumberFormat="1" applyFont="1" applyFill="1" applyBorder="1" applyAlignment="1">
      <alignment horizontal="center" vertical="center" wrapText="1"/>
    </xf>
    <xf numFmtId="164" fontId="71" fillId="35" borderId="0" xfId="1" applyNumberFormat="1" applyFont="1" applyFill="1" applyBorder="1" applyAlignment="1">
      <alignment horizontal="center" vertical="center" wrapText="1"/>
    </xf>
    <xf numFmtId="164" fontId="19" fillId="35" borderId="0" xfId="1" applyNumberFormat="1" applyFont="1" applyFill="1" applyAlignment="1">
      <alignment horizontal="center" vertical="center" wrapText="1"/>
    </xf>
    <xf numFmtId="164" fontId="18" fillId="3" borderId="0" xfId="1" applyNumberFormat="1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72" fillId="14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164" fontId="73" fillId="0" borderId="0" xfId="1" applyNumberFormat="1" applyFont="1" applyFill="1" applyBorder="1" applyAlignment="1">
      <alignment vertical="center"/>
    </xf>
    <xf numFmtId="169" fontId="28" fillId="0" borderId="0" xfId="4" applyNumberFormat="1" applyFont="1" applyFill="1" applyBorder="1" applyAlignment="1">
      <alignment vertical="center"/>
    </xf>
    <xf numFmtId="175" fontId="19" fillId="0" borderId="0" xfId="4" applyNumberFormat="1" applyFont="1" applyFill="1" applyBorder="1" applyAlignment="1" applyProtection="1">
      <alignment horizontal="center"/>
      <protection locked="0"/>
    </xf>
    <xf numFmtId="179" fontId="15" fillId="0" borderId="0" xfId="0" applyNumberFormat="1" applyFont="1" applyAlignment="1">
      <alignment horizontal="center"/>
    </xf>
    <xf numFmtId="164" fontId="14" fillId="12" borderId="0" xfId="1" applyNumberFormat="1" applyFont="1" applyFill="1"/>
    <xf numFmtId="0" fontId="15" fillId="2" borderId="0" xfId="0" applyFont="1" applyFill="1"/>
    <xf numFmtId="164" fontId="15" fillId="0" borderId="0" xfId="0" applyNumberFormat="1" applyFont="1"/>
    <xf numFmtId="9" fontId="0" fillId="0" borderId="0" xfId="2" applyFont="1" applyAlignment="1">
      <alignment horizontal="center"/>
    </xf>
    <xf numFmtId="0" fontId="7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72" fillId="0" borderId="0" xfId="0" applyFont="1" applyAlignment="1">
      <alignment horizontal="center"/>
    </xf>
    <xf numFmtId="0" fontId="72" fillId="35" borderId="0" xfId="0" applyFont="1" applyFill="1" applyAlignment="1">
      <alignment horizontal="center"/>
    </xf>
    <xf numFmtId="0" fontId="0" fillId="35" borderId="0" xfId="0" applyFill="1" applyAlignment="1">
      <alignment horizontal="center"/>
    </xf>
    <xf numFmtId="0" fontId="72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72" fillId="38" borderId="0" xfId="0" applyFont="1" applyFill="1" applyAlignment="1">
      <alignment horizontal="center"/>
    </xf>
    <xf numFmtId="0" fontId="74" fillId="38" borderId="0" xfId="0" applyFont="1" applyFill="1" applyAlignment="1">
      <alignment horizontal="center"/>
    </xf>
    <xf numFmtId="0" fontId="72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72" fillId="18" borderId="0" xfId="0" applyFont="1" applyFill="1" applyAlignment="1">
      <alignment horizontal="center"/>
    </xf>
    <xf numFmtId="0" fontId="0" fillId="2" borderId="0" xfId="0" applyFill="1" applyAlignment="1">
      <alignment vertical="center"/>
    </xf>
    <xf numFmtId="0" fontId="72" fillId="30" borderId="0" xfId="0" applyFont="1" applyFill="1" applyAlignment="1">
      <alignment horizontal="center"/>
    </xf>
    <xf numFmtId="0" fontId="0" fillId="30" borderId="0" xfId="0" applyFill="1" applyAlignment="1">
      <alignment horizontal="center"/>
    </xf>
    <xf numFmtId="0" fontId="0" fillId="39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37" fillId="12" borderId="0" xfId="0" applyFont="1" applyFill="1" applyAlignment="1">
      <alignment horizontal="center"/>
    </xf>
    <xf numFmtId="164" fontId="73" fillId="0" borderId="0" xfId="1" applyNumberFormat="1" applyFont="1" applyBorder="1" applyAlignment="1">
      <alignment vertical="center"/>
    </xf>
    <xf numFmtId="167" fontId="29" fillId="0" borderId="0" xfId="4" applyNumberFormat="1" applyFont="1" applyBorder="1" applyAlignment="1">
      <alignment horizontal="center" vertical="center"/>
    </xf>
    <xf numFmtId="169" fontId="29" fillId="0" borderId="0" xfId="4" applyNumberFormat="1" applyFont="1" applyFill="1" applyBorder="1" applyAlignment="1">
      <alignment vertical="center"/>
    </xf>
    <xf numFmtId="164" fontId="14" fillId="11" borderId="0" xfId="1" applyNumberFormat="1" applyFont="1" applyFill="1" applyBorder="1"/>
    <xf numFmtId="175" fontId="16" fillId="0" borderId="0" xfId="0" applyNumberFormat="1" applyFont="1" applyAlignment="1">
      <alignment horizontal="center"/>
    </xf>
    <xf numFmtId="44" fontId="14" fillId="16" borderId="0" xfId="1" applyFont="1" applyFill="1" applyBorder="1"/>
    <xf numFmtId="179" fontId="16" fillId="0" borderId="0" xfId="0" applyNumberFormat="1" applyFont="1"/>
    <xf numFmtId="164" fontId="14" fillId="37" borderId="0" xfId="1" applyNumberFormat="1" applyFont="1" applyFill="1"/>
    <xf numFmtId="164" fontId="14" fillId="3" borderId="0" xfId="1" applyNumberFormat="1" applyFont="1" applyFill="1" applyBorder="1"/>
    <xf numFmtId="0" fontId="16" fillId="2" borderId="0" xfId="0" applyFont="1" applyFill="1"/>
    <xf numFmtId="164" fontId="75" fillId="0" borderId="0" xfId="1" applyNumberFormat="1" applyFont="1" applyBorder="1" applyAlignment="1">
      <alignment vertical="center"/>
    </xf>
    <xf numFmtId="169" fontId="29" fillId="0" borderId="0" xfId="4" applyNumberFormat="1" applyFont="1" applyBorder="1"/>
    <xf numFmtId="0" fontId="21" fillId="0" borderId="14" xfId="0" applyFont="1" applyBorder="1" applyAlignment="1">
      <alignment horizontal="center" vertical="center"/>
    </xf>
    <xf numFmtId="0" fontId="21" fillId="0" borderId="15" xfId="0" applyFont="1" applyBorder="1" applyAlignment="1">
      <alignment vertical="center"/>
    </xf>
    <xf numFmtId="164" fontId="21" fillId="0" borderId="15" xfId="1" applyNumberFormat="1" applyFont="1" applyBorder="1" applyAlignment="1">
      <alignment vertical="center"/>
    </xf>
    <xf numFmtId="9" fontId="23" fillId="0" borderId="23" xfId="2" applyFont="1" applyBorder="1" applyAlignment="1">
      <alignment horizontal="center" vertical="center"/>
    </xf>
    <xf numFmtId="0" fontId="43" fillId="17" borderId="0" xfId="0" applyFont="1" applyFill="1" applyAlignment="1">
      <alignment horizontal="center" vertical="center"/>
    </xf>
    <xf numFmtId="0" fontId="43" fillId="17" borderId="9" xfId="0" applyFont="1" applyFill="1" applyBorder="1" applyAlignment="1">
      <alignment horizontal="center" vertical="center"/>
    </xf>
    <xf numFmtId="167" fontId="15" fillId="0" borderId="0" xfId="4" applyNumberFormat="1" applyFont="1" applyBorder="1" applyAlignment="1">
      <alignment horizontal="center" vertical="center"/>
    </xf>
    <xf numFmtId="0" fontId="78" fillId="26" borderId="14" xfId="0" applyFont="1" applyFill="1" applyBorder="1" applyAlignment="1">
      <alignment horizontal="right" vertical="center"/>
    </xf>
    <xf numFmtId="9" fontId="76" fillId="26" borderId="23" xfId="0" applyNumberFormat="1" applyFont="1" applyFill="1" applyBorder="1" applyAlignment="1">
      <alignment horizontal="right" vertical="center"/>
    </xf>
    <xf numFmtId="0" fontId="78" fillId="26" borderId="16" xfId="0" applyFont="1" applyFill="1" applyBorder="1" applyAlignment="1">
      <alignment horizontal="right" vertical="center"/>
    </xf>
    <xf numFmtId="0" fontId="76" fillId="26" borderId="21" xfId="0" applyFont="1" applyFill="1" applyBorder="1" applyAlignment="1" applyProtection="1">
      <alignment horizontal="right" vertical="center"/>
      <protection locked="0"/>
    </xf>
    <xf numFmtId="164" fontId="76" fillId="26" borderId="21" xfId="1" applyNumberFormat="1" applyFont="1" applyFill="1" applyBorder="1" applyAlignment="1">
      <alignment horizontal="right" vertical="center"/>
    </xf>
    <xf numFmtId="0" fontId="78" fillId="26" borderId="12" xfId="0" applyFont="1" applyFill="1" applyBorder="1" applyAlignment="1">
      <alignment horizontal="right" vertical="center"/>
    </xf>
    <xf numFmtId="164" fontId="76" fillId="26" borderId="22" xfId="1" applyNumberFormat="1" applyFont="1" applyFill="1" applyBorder="1" applyAlignment="1">
      <alignment horizontal="right" vertical="center"/>
    </xf>
    <xf numFmtId="0" fontId="72" fillId="41" borderId="0" xfId="0" applyFont="1" applyFill="1" applyAlignment="1">
      <alignment horizontal="center"/>
    </xf>
    <xf numFmtId="0" fontId="0" fillId="41" borderId="0" xfId="0" applyFill="1" applyAlignment="1">
      <alignment horizontal="center"/>
    </xf>
    <xf numFmtId="9" fontId="79" fillId="0" borderId="0" xfId="2" applyFont="1" applyBorder="1" applyAlignment="1">
      <alignment horizontal="center" vertical="center"/>
    </xf>
    <xf numFmtId="1" fontId="11" fillId="0" borderId="7" xfId="0" applyNumberFormat="1" applyFont="1" applyBorder="1" applyAlignment="1">
      <alignment horizontal="center" vertical="center"/>
    </xf>
    <xf numFmtId="1" fontId="37" fillId="7" borderId="7" xfId="0" applyNumberFormat="1" applyFont="1" applyFill="1" applyBorder="1" applyAlignment="1">
      <alignment horizontal="center" vertical="center"/>
    </xf>
    <xf numFmtId="164" fontId="3" fillId="42" borderId="7" xfId="0" applyNumberFormat="1" applyFont="1" applyFill="1" applyBorder="1" applyAlignment="1">
      <alignment horizontal="center" vertical="center"/>
    </xf>
    <xf numFmtId="167" fontId="0" fillId="0" borderId="0" xfId="4" applyNumberFormat="1" applyFont="1" applyBorder="1" applyAlignment="1">
      <alignment horizontal="left" vertical="center"/>
    </xf>
    <xf numFmtId="167" fontId="30" fillId="0" borderId="0" xfId="4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44" fontId="42" fillId="43" borderId="7" xfId="1" applyFont="1" applyFill="1" applyBorder="1" applyAlignment="1">
      <alignment horizontal="center" vertical="center" wrapText="1"/>
    </xf>
    <xf numFmtId="44" fontId="65" fillId="20" borderId="20" xfId="1" applyFont="1" applyFill="1" applyBorder="1" applyAlignment="1">
      <alignment horizontal="center" vertical="center"/>
    </xf>
    <xf numFmtId="164" fontId="37" fillId="7" borderId="7" xfId="0" applyNumberFormat="1" applyFont="1" applyFill="1" applyBorder="1" applyAlignment="1">
      <alignment horizontal="center" vertical="center"/>
    </xf>
    <xf numFmtId="44" fontId="1" fillId="0" borderId="0" xfId="1" applyFont="1" applyAlignment="1">
      <alignment horizontal="center" vertical="center"/>
    </xf>
    <xf numFmtId="44" fontId="37" fillId="43" borderId="0" xfId="1" applyFont="1" applyFill="1" applyAlignment="1">
      <alignment horizontal="center" vertical="center"/>
    </xf>
    <xf numFmtId="44" fontId="37" fillId="43" borderId="0" xfId="1" applyFont="1" applyFill="1" applyBorder="1" applyAlignment="1">
      <alignment horizontal="center" vertical="center"/>
    </xf>
    <xf numFmtId="1" fontId="11" fillId="14" borderId="7" xfId="0" applyNumberFormat="1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167" fontId="4" fillId="0" borderId="0" xfId="4" applyNumberFormat="1" applyFont="1" applyAlignment="1">
      <alignment horizontal="center" vertical="center"/>
    </xf>
    <xf numFmtId="44" fontId="3" fillId="10" borderId="0" xfId="1" applyFont="1" applyFill="1" applyAlignment="1">
      <alignment horizontal="center" vertical="center"/>
    </xf>
    <xf numFmtId="0" fontId="34" fillId="0" borderId="7" xfId="0" applyFont="1" applyBorder="1" applyAlignment="1">
      <alignment horizontal="center" vertical="center"/>
    </xf>
    <xf numFmtId="44" fontId="0" fillId="0" borderId="7" xfId="1" applyFont="1" applyBorder="1" applyAlignment="1">
      <alignment horizontal="center" vertical="center"/>
    </xf>
    <xf numFmtId="167" fontId="0" fillId="0" borderId="7" xfId="4" applyNumberFormat="1" applyFont="1" applyBorder="1" applyAlignment="1">
      <alignment horizontal="center" vertical="center"/>
    </xf>
    <xf numFmtId="43" fontId="4" fillId="0" borderId="7" xfId="4" applyFont="1" applyBorder="1" applyAlignment="1">
      <alignment horizontal="center" vertical="center"/>
    </xf>
    <xf numFmtId="43" fontId="4" fillId="0" borderId="7" xfId="0" applyNumberFormat="1" applyFont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44" fontId="80" fillId="20" borderId="7" xfId="1" applyFont="1" applyFill="1" applyBorder="1" applyAlignment="1">
      <alignment horizontal="center" vertical="center" wrapText="1"/>
    </xf>
    <xf numFmtId="44" fontId="81" fillId="22" borderId="7" xfId="1" applyFont="1" applyFill="1" applyBorder="1" applyAlignment="1">
      <alignment horizontal="center" vertical="center"/>
    </xf>
    <xf numFmtId="0" fontId="3" fillId="17" borderId="0" xfId="0" applyFont="1" applyFill="1" applyAlignment="1">
      <alignment horizontal="center" vertical="center"/>
    </xf>
    <xf numFmtId="9" fontId="8" fillId="0" borderId="0" xfId="2" applyFont="1" applyAlignment="1">
      <alignment horizontal="center" vertical="center"/>
    </xf>
    <xf numFmtId="9" fontId="4" fillId="0" borderId="0" xfId="2" applyFont="1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44" fontId="0" fillId="0" borderId="0" xfId="1" applyFont="1" applyAlignment="1">
      <alignment vertical="center"/>
    </xf>
    <xf numFmtId="0" fontId="82" fillId="0" borderId="0" xfId="0" applyFont="1"/>
    <xf numFmtId="164" fontId="34" fillId="2" borderId="7" xfId="1" applyNumberFormat="1" applyFont="1" applyFill="1" applyBorder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0" fontId="83" fillId="0" borderId="0" xfId="0" applyFont="1" applyAlignment="1">
      <alignment horizontal="left" vertical="center"/>
    </xf>
    <xf numFmtId="0" fontId="72" fillId="44" borderId="0" xfId="0" applyFont="1" applyFill="1" applyAlignment="1">
      <alignment horizontal="center"/>
    </xf>
    <xf numFmtId="0" fontId="34" fillId="14" borderId="0" xfId="0" applyFont="1" applyFill="1" applyAlignment="1">
      <alignment horizontal="center" vertical="center"/>
    </xf>
    <xf numFmtId="164" fontId="0" fillId="0" borderId="7" xfId="1" applyNumberFormat="1" applyFont="1" applyBorder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164" fontId="4" fillId="0" borderId="0" xfId="2" applyNumberFormat="1" applyFont="1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0" fontId="85" fillId="0" borderId="0" xfId="0" applyFont="1" applyAlignment="1">
      <alignment horizontal="centerContinuous"/>
    </xf>
    <xf numFmtId="44" fontId="85" fillId="0" borderId="0" xfId="0" applyNumberFormat="1" applyFont="1" applyAlignment="1">
      <alignment horizontal="centerContinuous"/>
    </xf>
    <xf numFmtId="0" fontId="85" fillId="0" borderId="0" xfId="0" applyFont="1"/>
    <xf numFmtId="0" fontId="86" fillId="0" borderId="0" xfId="0" applyFont="1" applyAlignment="1">
      <alignment horizontal="centerContinuous"/>
    </xf>
    <xf numFmtId="0" fontId="87" fillId="0" borderId="0" xfId="0" applyFont="1" applyAlignment="1">
      <alignment horizontal="centerContinuous"/>
    </xf>
    <xf numFmtId="0" fontId="88" fillId="0" borderId="0" xfId="0" applyFont="1"/>
    <xf numFmtId="0" fontId="89" fillId="0" borderId="0" xfId="0" applyFont="1"/>
    <xf numFmtId="0" fontId="90" fillId="0" borderId="0" xfId="0" applyFont="1"/>
    <xf numFmtId="0" fontId="91" fillId="0" borderId="0" xfId="0" applyFont="1" applyAlignment="1">
      <alignment horizontal="left"/>
    </xf>
    <xf numFmtId="0" fontId="89" fillId="0" borderId="0" xfId="0" applyFont="1" applyAlignment="1">
      <alignment horizontal="left"/>
    </xf>
    <xf numFmtId="0" fontId="91" fillId="0" borderId="0" xfId="0" applyFont="1" applyAlignment="1">
      <alignment horizontal="centerContinuous"/>
    </xf>
    <xf numFmtId="0" fontId="89" fillId="0" borderId="0" xfId="0" applyFont="1" applyAlignment="1">
      <alignment horizontal="centerContinuous"/>
    </xf>
    <xf numFmtId="0" fontId="92" fillId="0" borderId="0" xfId="0" applyFont="1"/>
    <xf numFmtId="44" fontId="89" fillId="0" borderId="0" xfId="0" applyNumberFormat="1" applyFont="1"/>
    <xf numFmtId="0" fontId="94" fillId="0" borderId="0" xfId="0" applyFont="1"/>
    <xf numFmtId="0" fontId="95" fillId="0" borderId="0" xfId="0" applyFont="1"/>
    <xf numFmtId="44" fontId="89" fillId="0" borderId="0" xfId="1" applyFont="1" applyFill="1" applyBorder="1" applyAlignment="1">
      <alignment horizontal="left" vertical="center" wrapText="1" indent="1"/>
    </xf>
    <xf numFmtId="44" fontId="89" fillId="0" borderId="0" xfId="1" applyFont="1" applyBorder="1"/>
    <xf numFmtId="0" fontId="89" fillId="0" borderId="7" xfId="0" applyFont="1" applyBorder="1" applyAlignment="1">
      <alignment horizontal="center" vertical="center"/>
    </xf>
    <xf numFmtId="167" fontId="89" fillId="0" borderId="7" xfId="0" applyNumberFormat="1" applyFont="1" applyBorder="1" applyAlignment="1">
      <alignment horizontal="center" vertical="center"/>
    </xf>
    <xf numFmtId="44" fontId="89" fillId="0" borderId="7" xfId="1" applyFont="1" applyBorder="1" applyAlignment="1">
      <alignment vertical="center"/>
    </xf>
    <xf numFmtId="0" fontId="89" fillId="0" borderId="0" xfId="0" applyFont="1" applyAlignment="1">
      <alignment horizontal="center" vertical="center"/>
    </xf>
    <xf numFmtId="0" fontId="91" fillId="0" borderId="0" xfId="0" applyFont="1" applyAlignment="1">
      <alignment horizontal="right"/>
    </xf>
    <xf numFmtId="44" fontId="93" fillId="7" borderId="27" xfId="1" applyFont="1" applyFill="1" applyBorder="1"/>
    <xf numFmtId="44" fontId="95" fillId="0" borderId="0" xfId="1" applyFont="1" applyBorder="1"/>
    <xf numFmtId="0" fontId="91" fillId="0" borderId="0" xfId="0" applyFont="1"/>
    <xf numFmtId="0" fontId="89" fillId="0" borderId="0" xfId="0" applyFont="1" applyAlignment="1">
      <alignment horizontal="center"/>
    </xf>
    <xf numFmtId="15" fontId="89" fillId="0" borderId="0" xfId="0" applyNumberFormat="1" applyFont="1" applyAlignment="1">
      <alignment horizontal="center"/>
    </xf>
    <xf numFmtId="0" fontId="84" fillId="0" borderId="0" xfId="12"/>
    <xf numFmtId="15" fontId="91" fillId="0" borderId="0" xfId="0" applyNumberFormat="1" applyFont="1" applyAlignment="1">
      <alignment horizontal="left"/>
    </xf>
    <xf numFmtId="0" fontId="93" fillId="45" borderId="7" xfId="0" applyFont="1" applyFill="1" applyBorder="1" applyAlignment="1">
      <alignment horizontal="center" vertical="center"/>
    </xf>
    <xf numFmtId="44" fontId="93" fillId="45" borderId="7" xfId="0" applyNumberFormat="1" applyFont="1" applyFill="1" applyBorder="1" applyAlignment="1">
      <alignment horizontal="center" vertical="center"/>
    </xf>
    <xf numFmtId="44" fontId="89" fillId="0" borderId="7" xfId="0" applyNumberFormat="1" applyFont="1" applyBorder="1"/>
    <xf numFmtId="0" fontId="89" fillId="0" borderId="0" xfId="0" applyFont="1" applyAlignment="1">
      <alignment horizontal="right"/>
    </xf>
    <xf numFmtId="16" fontId="89" fillId="0" borderId="0" xfId="0" applyNumberFormat="1" applyFont="1" applyAlignment="1">
      <alignment horizontal="center"/>
    </xf>
    <xf numFmtId="167" fontId="89" fillId="0" borderId="0" xfId="4" applyNumberFormat="1" applyFont="1" applyAlignment="1">
      <alignment horizontal="center"/>
    </xf>
    <xf numFmtId="14" fontId="89" fillId="0" borderId="0" xfId="0" applyNumberFormat="1" applyFont="1" applyAlignment="1">
      <alignment horizontal="center"/>
    </xf>
    <xf numFmtId="0" fontId="91" fillId="0" borderId="0" xfId="0" applyFont="1" applyAlignment="1">
      <alignment horizontal="center"/>
    </xf>
    <xf numFmtId="49" fontId="91" fillId="0" borderId="0" xfId="0" applyNumberFormat="1" applyFont="1" applyAlignment="1">
      <alignment horizontal="center"/>
    </xf>
    <xf numFmtId="44" fontId="91" fillId="0" borderId="0" xfId="0" applyNumberFormat="1" applyFont="1" applyAlignment="1">
      <alignment horizontal="center"/>
    </xf>
    <xf numFmtId="167" fontId="97" fillId="0" borderId="0" xfId="4" applyNumberFormat="1" applyFont="1" applyAlignment="1">
      <alignment horizontal="center"/>
    </xf>
    <xf numFmtId="16" fontId="94" fillId="0" borderId="0" xfId="0" applyNumberFormat="1" applyFont="1" applyAlignment="1">
      <alignment horizontal="center"/>
    </xf>
    <xf numFmtId="0" fontId="94" fillId="0" borderId="0" xfId="0" applyFont="1" applyAlignment="1">
      <alignment horizontal="right"/>
    </xf>
    <xf numFmtId="0" fontId="98" fillId="0" borderId="7" xfId="0" applyFont="1" applyBorder="1" applyAlignment="1">
      <alignment horizontal="center" vertical="center"/>
    </xf>
    <xf numFmtId="167" fontId="98" fillId="0" borderId="7" xfId="0" applyNumberFormat="1" applyFont="1" applyBorder="1" applyAlignment="1">
      <alignment horizontal="center" vertical="center"/>
    </xf>
    <xf numFmtId="44" fontId="98" fillId="0" borderId="7" xfId="0" applyNumberFormat="1" applyFont="1" applyBorder="1"/>
    <xf numFmtId="44" fontId="98" fillId="0" borderId="7" xfId="1" applyFont="1" applyBorder="1" applyAlignment="1">
      <alignment vertical="center"/>
    </xf>
    <xf numFmtId="44" fontId="96" fillId="45" borderId="0" xfId="1" applyFont="1" applyFill="1" applyAlignment="1">
      <alignment horizontal="right"/>
    </xf>
    <xf numFmtId="0" fontId="89" fillId="0" borderId="7" xfId="0" applyFont="1" applyBorder="1" applyAlignment="1">
      <alignment horizontal="left" vertical="center" wrapText="1"/>
    </xf>
    <xf numFmtId="0" fontId="96" fillId="45" borderId="0" xfId="0" applyFont="1" applyFill="1" applyAlignment="1">
      <alignment horizontal="right"/>
    </xf>
    <xf numFmtId="0" fontId="96" fillId="7" borderId="0" xfId="0" applyFont="1" applyFill="1" applyAlignment="1">
      <alignment horizontal="right"/>
    </xf>
    <xf numFmtId="0" fontId="98" fillId="0" borderId="7" xfId="0" applyFont="1" applyBorder="1" applyAlignment="1">
      <alignment horizontal="left" vertical="center" wrapText="1"/>
    </xf>
    <xf numFmtId="0" fontId="93" fillId="45" borderId="7" xfId="0" applyFont="1" applyFill="1" applyBorder="1" applyAlignment="1">
      <alignment horizontal="center" vertical="center" wrapText="1"/>
    </xf>
    <xf numFmtId="0" fontId="43" fillId="17" borderId="5" xfId="0" applyFont="1" applyFill="1" applyBorder="1" applyAlignment="1">
      <alignment horizontal="center" vertical="center"/>
    </xf>
    <xf numFmtId="0" fontId="43" fillId="17" borderId="4" xfId="0" applyFont="1" applyFill="1" applyBorder="1" applyAlignment="1">
      <alignment horizontal="center" vertical="center"/>
    </xf>
    <xf numFmtId="0" fontId="43" fillId="17" borderId="3" xfId="0" applyFont="1" applyFill="1" applyBorder="1" applyAlignment="1">
      <alignment horizontal="center" vertical="center"/>
    </xf>
    <xf numFmtId="0" fontId="43" fillId="17" borderId="2" xfId="0" applyFont="1" applyFill="1" applyBorder="1" applyAlignment="1">
      <alignment horizontal="center" vertical="center"/>
    </xf>
    <xf numFmtId="0" fontId="77" fillId="11" borderId="6" xfId="0" applyFont="1" applyFill="1" applyBorder="1" applyAlignment="1">
      <alignment horizontal="center" vertical="center"/>
    </xf>
    <xf numFmtId="0" fontId="77" fillId="11" borderId="4" xfId="0" applyFont="1" applyFill="1" applyBorder="1" applyAlignment="1">
      <alignment horizontal="center" vertical="center"/>
    </xf>
    <xf numFmtId="0" fontId="77" fillId="11" borderId="3" xfId="0" applyFont="1" applyFill="1" applyBorder="1" applyAlignment="1">
      <alignment horizontal="center" vertical="center"/>
    </xf>
    <xf numFmtId="0" fontId="77" fillId="11" borderId="1" xfId="0" applyFont="1" applyFill="1" applyBorder="1" applyAlignment="1">
      <alignment horizontal="center" vertical="center"/>
    </xf>
    <xf numFmtId="0" fontId="41" fillId="7" borderId="0" xfId="0" applyFont="1" applyFill="1" applyAlignment="1">
      <alignment horizontal="center" vertical="center" wrapText="1"/>
    </xf>
    <xf numFmtId="0" fontId="41" fillId="7" borderId="20" xfId="0" applyFont="1" applyFill="1" applyBorder="1" applyAlignment="1">
      <alignment horizontal="center" vertical="center" wrapText="1"/>
    </xf>
    <xf numFmtId="44" fontId="40" fillId="20" borderId="20" xfId="1" applyFont="1" applyFill="1" applyBorder="1" applyAlignment="1">
      <alignment horizontal="center" vertical="center"/>
    </xf>
    <xf numFmtId="0" fontId="41" fillId="17" borderId="0" xfId="0" applyFont="1" applyFill="1" applyAlignment="1">
      <alignment horizontal="center" vertical="center" wrapText="1"/>
    </xf>
    <xf numFmtId="0" fontId="41" fillId="17" borderId="20" xfId="0" applyFont="1" applyFill="1" applyBorder="1" applyAlignment="1">
      <alignment horizontal="center" vertical="center" wrapText="1"/>
    </xf>
    <xf numFmtId="1" fontId="3" fillId="17" borderId="0" xfId="0" applyNumberFormat="1" applyFont="1" applyFill="1" applyAlignment="1">
      <alignment horizontal="right" vertical="center" wrapText="1"/>
    </xf>
    <xf numFmtId="1" fontId="3" fillId="17" borderId="20" xfId="0" applyNumberFormat="1" applyFont="1" applyFill="1" applyBorder="1" applyAlignment="1">
      <alignment horizontal="right" vertical="center" wrapText="1"/>
    </xf>
    <xf numFmtId="44" fontId="41" fillId="17" borderId="0" xfId="1" applyFont="1" applyFill="1" applyBorder="1" applyAlignment="1">
      <alignment horizontal="center" vertical="center" wrapText="1"/>
    </xf>
    <xf numFmtId="44" fontId="41" fillId="17" borderId="20" xfId="1" applyFont="1" applyFill="1" applyBorder="1" applyAlignment="1">
      <alignment horizontal="center" vertical="center" wrapText="1"/>
    </xf>
    <xf numFmtId="44" fontId="40" fillId="43" borderId="20" xfId="1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164" fontId="3" fillId="6" borderId="11" xfId="1" applyNumberFormat="1" applyFont="1" applyFill="1" applyBorder="1" applyAlignment="1">
      <alignment horizontal="center" vertical="center"/>
    </xf>
    <xf numFmtId="164" fontId="3" fillId="6" borderId="13" xfId="1" applyNumberFormat="1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48" fillId="7" borderId="11" xfId="0" applyFont="1" applyFill="1" applyBorder="1" applyAlignment="1">
      <alignment horizontal="center" vertical="center" wrapText="1"/>
    </xf>
    <xf numFmtId="0" fontId="48" fillId="7" borderId="13" xfId="0" applyFont="1" applyFill="1" applyBorder="1" applyAlignment="1">
      <alignment horizontal="center" vertical="center" wrapText="1"/>
    </xf>
    <xf numFmtId="0" fontId="46" fillId="27" borderId="10" xfId="0" applyFont="1" applyFill="1" applyBorder="1" applyAlignment="1">
      <alignment horizontal="center" vertical="center" wrapText="1"/>
    </xf>
    <xf numFmtId="0" fontId="46" fillId="27" borderId="12" xfId="0" applyFont="1" applyFill="1" applyBorder="1" applyAlignment="1">
      <alignment horizontal="center" vertical="center" wrapText="1"/>
    </xf>
    <xf numFmtId="0" fontId="46" fillId="27" borderId="11" xfId="0" applyFont="1" applyFill="1" applyBorder="1" applyAlignment="1">
      <alignment horizontal="center" vertical="center" wrapText="1"/>
    </xf>
    <xf numFmtId="0" fontId="46" fillId="27" borderId="13" xfId="0" applyFont="1" applyFill="1" applyBorder="1" applyAlignment="1">
      <alignment horizontal="center" vertical="center" wrapText="1"/>
    </xf>
    <xf numFmtId="164" fontId="46" fillId="27" borderId="11" xfId="1" applyNumberFormat="1" applyFont="1" applyFill="1" applyBorder="1" applyAlignment="1">
      <alignment horizontal="center" vertical="center" wrapText="1"/>
    </xf>
    <xf numFmtId="49" fontId="47" fillId="28" borderId="11" xfId="1" applyNumberFormat="1" applyFont="1" applyFill="1" applyBorder="1" applyAlignment="1">
      <alignment horizontal="center" vertical="center"/>
    </xf>
    <xf numFmtId="0" fontId="48" fillId="29" borderId="11" xfId="0" applyFont="1" applyFill="1" applyBorder="1" applyAlignment="1">
      <alignment horizontal="center" vertical="center"/>
    </xf>
    <xf numFmtId="165" fontId="48" fillId="7" borderId="11" xfId="1" applyNumberFormat="1" applyFont="1" applyFill="1" applyBorder="1" applyAlignment="1">
      <alignment horizontal="center" vertical="center" wrapText="1"/>
    </xf>
    <xf numFmtId="165" fontId="48" fillId="7" borderId="13" xfId="1" applyNumberFormat="1" applyFont="1" applyFill="1" applyBorder="1" applyAlignment="1">
      <alignment horizontal="center" vertical="center" wrapText="1"/>
    </xf>
    <xf numFmtId="9" fontId="48" fillId="7" borderId="24" xfId="2" applyFont="1" applyFill="1" applyBorder="1" applyAlignment="1">
      <alignment horizontal="center" vertical="center" wrapText="1"/>
    </xf>
    <xf numFmtId="9" fontId="48" fillId="7" borderId="25" xfId="2" applyFont="1" applyFill="1" applyBorder="1" applyAlignment="1">
      <alignment horizontal="center" vertical="center" wrapText="1"/>
    </xf>
    <xf numFmtId="0" fontId="49" fillId="19" borderId="7" xfId="0" applyFont="1" applyFill="1" applyBorder="1" applyAlignment="1">
      <alignment horizontal="center" vertical="center" wrapText="1"/>
    </xf>
    <xf numFmtId="0" fontId="59" fillId="24" borderId="17" xfId="10" applyFont="1" applyBorder="1" applyAlignment="1">
      <alignment horizontal="center"/>
    </xf>
    <xf numFmtId="0" fontId="59" fillId="24" borderId="19" xfId="10" applyFont="1" applyBorder="1" applyAlignment="1">
      <alignment horizontal="center"/>
    </xf>
    <xf numFmtId="0" fontId="59" fillId="24" borderId="7" xfId="10" applyFont="1" applyBorder="1" applyAlignment="1">
      <alignment horizontal="center"/>
    </xf>
    <xf numFmtId="167" fontId="89" fillId="0" borderId="0" xfId="4" applyNumberFormat="1" applyFont="1" applyAlignment="1">
      <alignment horizontal="center" vertical="center"/>
    </xf>
    <xf numFmtId="49" fontId="99" fillId="0" borderId="0" xfId="0" applyNumberFormat="1" applyFont="1" applyAlignment="1">
      <alignment horizontal="center"/>
    </xf>
    <xf numFmtId="0" fontId="100" fillId="0" borderId="0" xfId="0" applyFont="1" applyAlignment="1">
      <alignment horizontal="left"/>
    </xf>
  </cellXfs>
  <cellStyles count="13">
    <cellStyle name="Bueno" xfId="9" builtinId="26"/>
    <cellStyle name="Énfasis2" xfId="10" builtinId="33"/>
    <cellStyle name="Énfasis6" xfId="11" builtinId="49"/>
    <cellStyle name="Hipervínculo" xfId="12" builtinId="8"/>
    <cellStyle name="Millares" xfId="4" builtinId="3"/>
    <cellStyle name="Millares 2" xfId="8" xr:uid="{AD5C7641-0577-4996-8FD3-6C30EB12E077}"/>
    <cellStyle name="Moneda" xfId="1" builtinId="4"/>
    <cellStyle name="Moneda 2" xfId="3" xr:uid="{98B9F414-79C5-4133-8D01-EC0676F1EAC9}"/>
    <cellStyle name="Moneda 2 2" xfId="5" xr:uid="{34F8668D-A90C-4DB8-BC07-18CEA257D069}"/>
    <cellStyle name="Moneda 3" xfId="7" xr:uid="{FBCA903A-5095-4D97-89C0-EA39ACA43D34}"/>
    <cellStyle name="Normal" xfId="0" builtinId="0"/>
    <cellStyle name="Normal 2" xfId="6" xr:uid="{4D51B637-F5EA-4A00-A5F7-F3245F557A92}"/>
    <cellStyle name="Porcentaje" xfId="2" builtinId="5"/>
  </cellStyles>
  <dxfs count="1">
    <dxf>
      <fill>
        <patternFill>
          <bgColor rgb="FF00FF00"/>
        </patternFill>
      </fill>
    </dxf>
  </dxfs>
  <tableStyles count="0" defaultTableStyle="TableStyleMedium2" defaultPivotStyle="PivotStyleLight16"/>
  <colors>
    <mruColors>
      <color rgb="FF00FF00"/>
      <color rgb="FFFF66FF"/>
      <color rgb="FFFF090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emf"/><Relationship Id="rId6" Type="http://schemas.openxmlformats.org/officeDocument/2006/relationships/image" Target="../media/image12.emf"/><Relationship Id="rId5" Type="http://schemas.openxmlformats.org/officeDocument/2006/relationships/image" Target="../media/image11.emf"/><Relationship Id="rId4" Type="http://schemas.openxmlformats.org/officeDocument/2006/relationships/image" Target="../media/image10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5.png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15.emf"/><Relationship Id="rId2" Type="http://schemas.openxmlformats.org/officeDocument/2006/relationships/image" Target="../media/image14.emf"/><Relationship Id="rId1" Type="http://schemas.openxmlformats.org/officeDocument/2006/relationships/image" Target="../media/image13.png"/><Relationship Id="rId4" Type="http://schemas.openxmlformats.org/officeDocument/2006/relationships/image" Target="../media/image16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21</xdr:row>
      <xdr:rowOff>0</xdr:rowOff>
    </xdr:from>
    <xdr:ext cx="184731" cy="937629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595D4F16-3FF6-4319-ACCA-7F49DE18FD60}"/>
            </a:ext>
          </a:extLst>
        </xdr:cNvPr>
        <xdr:cNvSpPr/>
      </xdr:nvSpPr>
      <xdr:spPr>
        <a:xfrm>
          <a:off x="8296275" y="49625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937629"/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A023D87-DB04-4D68-A17D-2964E6503015}"/>
            </a:ext>
          </a:extLst>
        </xdr:cNvPr>
        <xdr:cNvSpPr/>
      </xdr:nvSpPr>
      <xdr:spPr>
        <a:xfrm>
          <a:off x="8296275" y="49625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342900</xdr:colOff>
      <xdr:row>30</xdr:row>
      <xdr:rowOff>44610</xdr:rowOff>
    </xdr:from>
    <xdr:to>
      <xdr:col>0</xdr:col>
      <xdr:colOff>1209675</xdr:colOff>
      <xdr:row>35</xdr:row>
      <xdr:rowOff>144944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0B8A483-D1B1-4932-8B21-5279F310C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6483510"/>
          <a:ext cx="866775" cy="11480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82768</xdr:colOff>
          <xdr:row>0</xdr:row>
          <xdr:rowOff>14452</xdr:rowOff>
        </xdr:from>
        <xdr:to>
          <xdr:col>11</xdr:col>
          <xdr:colOff>407938</xdr:colOff>
          <xdr:row>2</xdr:row>
          <xdr:rowOff>16565</xdr:rowOff>
        </xdr:to>
        <xdr:pic>
          <xdr:nvPicPr>
            <xdr:cNvPr id="2" name="Imagen 1">
              <a:extLst>
                <a:ext uri="{FF2B5EF4-FFF2-40B4-BE49-F238E27FC236}">
                  <a16:creationId xmlns:a16="http://schemas.microsoft.com/office/drawing/2014/main" id="{17E4BD06-FDF5-4E9A-5861-BBA97732717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H$136" spid="_x0000_s772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7719333" y="14452"/>
              <a:ext cx="2611170" cy="548765"/>
            </a:xfrm>
            <a:prstGeom prst="roundRect">
              <a:avLst>
                <a:gd name="adj" fmla="val 8594"/>
              </a:avLst>
            </a:prstGeom>
            <a:solidFill>
              <a:srgbClr val="FFFFFF">
                <a:shade val="85000"/>
              </a:srgbClr>
            </a:solidFill>
            <a:ln>
              <a:noFill/>
            </a:ln>
            <a:effectLst>
              <a:reflection blurRad="12700" stA="38000" endPos="28000" dist="5000" dir="5400000" sy="-100000" algn="bl" rotWithShape="0"/>
            </a:effec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470802</xdr:colOff>
          <xdr:row>0</xdr:row>
          <xdr:rowOff>0</xdr:rowOff>
        </xdr:from>
        <xdr:to>
          <xdr:col>14</xdr:col>
          <xdr:colOff>455544</xdr:colOff>
          <xdr:row>2</xdr:row>
          <xdr:rowOff>124379</xdr:rowOff>
        </xdr:to>
        <xdr:pic>
          <xdr:nvPicPr>
            <xdr:cNvPr id="4" name="Imagen 3">
              <a:extLst>
                <a:ext uri="{FF2B5EF4-FFF2-40B4-BE49-F238E27FC236}">
                  <a16:creationId xmlns:a16="http://schemas.microsoft.com/office/drawing/2014/main" id="{30891522-F5DD-62AC-F7E0-0CC70DB731E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COT. GAL'!$F$516:$H$520" spid="_x0000_s7722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0393367" y="0"/>
              <a:ext cx="2270742" cy="67103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457143</xdr:colOff>
          <xdr:row>0</xdr:row>
          <xdr:rowOff>134470</xdr:rowOff>
        </xdr:from>
        <xdr:to>
          <xdr:col>18</xdr:col>
          <xdr:colOff>44657</xdr:colOff>
          <xdr:row>0</xdr:row>
          <xdr:rowOff>581602</xdr:rowOff>
        </xdr:to>
        <xdr:pic>
          <xdr:nvPicPr>
            <xdr:cNvPr id="2" name="Imagen 1">
              <a:extLst>
                <a:ext uri="{FF2B5EF4-FFF2-40B4-BE49-F238E27FC236}">
                  <a16:creationId xmlns:a16="http://schemas.microsoft.com/office/drawing/2014/main" id="{E49D1B75-0A78-454B-A324-BA67F1B2A04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P$15" spid="_x0000_s2309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3780937" y="134470"/>
              <a:ext cx="2265720" cy="447132"/>
            </a:xfrm>
            <a:prstGeom prst="roundRect">
              <a:avLst>
                <a:gd name="adj" fmla="val 8594"/>
              </a:avLst>
            </a:prstGeom>
            <a:solidFill>
              <a:srgbClr val="FFFFFF">
                <a:shade val="85000"/>
              </a:srgbClr>
            </a:solidFill>
            <a:ln>
              <a:noFill/>
            </a:ln>
            <a:effectLst>
              <a:reflection blurRad="12700" stA="38000" endPos="28000" dist="5000" dir="5400000" sy="-100000" algn="bl" rotWithShape="0"/>
            </a:effectLst>
          </xdr:spPr>
        </xdr:pic>
        <xdr:clientData/>
      </xdr:twoCellAnchor>
    </mc:Choice>
    <mc:Fallback/>
  </mc:AlternateContent>
  <xdr:twoCellAnchor editAs="oneCell">
    <xdr:from>
      <xdr:col>3</xdr:col>
      <xdr:colOff>414617</xdr:colOff>
      <xdr:row>23</xdr:row>
      <xdr:rowOff>89647</xdr:rowOff>
    </xdr:from>
    <xdr:to>
      <xdr:col>11</xdr:col>
      <xdr:colOff>505825</xdr:colOff>
      <xdr:row>33</xdr:row>
      <xdr:rowOff>175650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EFC49C-FE33-13AA-984C-EC3E17DF9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81617" y="4403912"/>
          <a:ext cx="7173326" cy="1991003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15</xdr:col>
      <xdr:colOff>551489</xdr:colOff>
      <xdr:row>24</xdr:row>
      <xdr:rowOff>40822</xdr:rowOff>
    </xdr:from>
    <xdr:to>
      <xdr:col>21</xdr:col>
      <xdr:colOff>389518</xdr:colOff>
      <xdr:row>39</xdr:row>
      <xdr:rowOff>52324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4860D30-41ED-7842-FA2A-7201240A9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45668" y="4544786"/>
          <a:ext cx="4892682" cy="2869002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373718</xdr:colOff>
          <xdr:row>0</xdr:row>
          <xdr:rowOff>22412</xdr:rowOff>
        </xdr:from>
        <xdr:to>
          <xdr:col>19</xdr:col>
          <xdr:colOff>429748</xdr:colOff>
          <xdr:row>1</xdr:row>
          <xdr:rowOff>190500</xdr:rowOff>
        </xdr:to>
        <xdr:pic>
          <xdr:nvPicPr>
            <xdr:cNvPr id="7" name="Imagen 6">
              <a:extLst>
                <a:ext uri="{FF2B5EF4-FFF2-40B4-BE49-F238E27FC236}">
                  <a16:creationId xmlns:a16="http://schemas.microsoft.com/office/drawing/2014/main" id="{594CF3AA-4FB5-9B89-D400-76BB80CD57D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H$18:$H$22" spid="_x0000_s23093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16465365" y="22412"/>
              <a:ext cx="896471" cy="952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299198</xdr:colOff>
          <xdr:row>3</xdr:row>
          <xdr:rowOff>97491</xdr:rowOff>
        </xdr:from>
        <xdr:to>
          <xdr:col>20</xdr:col>
          <xdr:colOff>377639</xdr:colOff>
          <xdr:row>8</xdr:row>
          <xdr:rowOff>97491</xdr:rowOff>
        </xdr:to>
        <xdr:pic>
          <xdr:nvPicPr>
            <xdr:cNvPr id="10" name="Imagen 9">
              <a:extLst>
                <a:ext uri="{FF2B5EF4-FFF2-40B4-BE49-F238E27FC236}">
                  <a16:creationId xmlns:a16="http://schemas.microsoft.com/office/drawing/2014/main" id="{8AC854D1-6014-C1FF-5E80-A778990FF3E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S$18:$S$22" spid="_x0000_s23094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7231286" y="1318932"/>
              <a:ext cx="840441" cy="952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438710</xdr:colOff>
          <xdr:row>0</xdr:row>
          <xdr:rowOff>11206</xdr:rowOff>
        </xdr:from>
        <xdr:to>
          <xdr:col>20</xdr:col>
          <xdr:colOff>573181</xdr:colOff>
          <xdr:row>1</xdr:row>
          <xdr:rowOff>179294</xdr:rowOff>
        </xdr:to>
        <xdr:pic>
          <xdr:nvPicPr>
            <xdr:cNvPr id="5" name="Imagen 4">
              <a:extLst>
                <a:ext uri="{FF2B5EF4-FFF2-40B4-BE49-F238E27FC236}">
                  <a16:creationId xmlns:a16="http://schemas.microsoft.com/office/drawing/2014/main" id="{18079157-EB1C-268D-92EA-C5845D781BD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M$18:$M$22" spid="_x0000_s23095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17370798" y="11206"/>
              <a:ext cx="896471" cy="952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504264</xdr:colOff>
      <xdr:row>15</xdr:row>
      <xdr:rowOff>0</xdr:rowOff>
    </xdr:from>
    <xdr:to>
      <xdr:col>7</xdr:col>
      <xdr:colOff>702614</xdr:colOff>
      <xdr:row>19</xdr:row>
      <xdr:rowOff>179294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6CE345-7ABB-4EA0-9620-8F6060BEB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80814" y="4686300"/>
          <a:ext cx="2503400" cy="941294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381002</xdr:colOff>
      <xdr:row>20</xdr:row>
      <xdr:rowOff>78441</xdr:rowOff>
    </xdr:from>
    <xdr:to>
      <xdr:col>10</xdr:col>
      <xdr:colOff>453602</xdr:colOff>
      <xdr:row>33</xdr:row>
      <xdr:rowOff>39660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E08FF6-BDF4-42DF-984F-C3A326DEC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76977" y="5717241"/>
          <a:ext cx="1501350" cy="2437719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11</xdr:col>
      <xdr:colOff>224118</xdr:colOff>
      <xdr:row>19</xdr:row>
      <xdr:rowOff>48679</xdr:rowOff>
    </xdr:from>
    <xdr:to>
      <xdr:col>19</xdr:col>
      <xdr:colOff>435160</xdr:colOff>
      <xdr:row>34</xdr:row>
      <xdr:rowOff>48270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C651873-430D-41BD-9DF8-154F6A0AF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63218" y="5496979"/>
          <a:ext cx="6592792" cy="285709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recision\JD%20AUTOMATION%20Dropbox\RED%20-%20JD%20AUTOMATION\02%20-%20VENTAS\01%20-%20COTIZACIONES\P02-PE&#209;OLES%20BERMEJILLO\COT-J&amp;D-MIN-001-EC%20-CAMBIO%20DE%20REFACCIONES%20ROBOT%20ABB.xlsx" TargetMode="External"/><Relationship Id="rId1" Type="http://schemas.openxmlformats.org/officeDocument/2006/relationships/externalLinkPath" Target="file:///C:\Users\Precision\JD%20AUTOMATION%20Dropbox\RED%20-%20JD%20AUTOMATION\02%20-%20VENTAS\01%20-%20COTIZACIONES\P02-PE&#209;OLES%20BERMEJILLO\COT-J&amp;D-MIN-001-EC%20-CAMBIO%20DE%20REFACCIONES%20ROBOT%20ABB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robox\07%20-%20ciroautomation\Users\RL-37-LAP\Documents\CloudStation\____________________ETC\____Proyectos\FIVES\501472%20-%20FIVES%20FCB%20Cruz%20Azul%20HID%20Erection%20HID1\Open%20Issues\501472%20-%20Open%20Issues%2019121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recision\JD%20AUTOMATION%20Dropbox\ALBERTO%20MORALES\PROYECTO%20SIGRAMA%20PLANTA%20METALES\0067%20-%20Ananlisis%20de%20Costos%20Operativos\Analisis%20Tipo%20Sigrama%20Pintado%20Corte%20Doblez%20Pintura.xlsx" TargetMode="External"/><Relationship Id="rId1" Type="http://schemas.openxmlformats.org/officeDocument/2006/relationships/externalLinkPath" Target="file:///C:\Users\Precision\JD%20AUTOMATION%20Dropbox\ALBERTO%20MORALES\PROYECTO%20SIGRAMA%20PLANTA%20METALES\0067%20-%20Ananlisis%20de%20Costos%20Operativos\Analisis%20Tipo%20Sigrama%20Pintado%20Corte%20Doblez%20Pintura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00%20-%20CIROTEC%20COTIZACIONES\S12-SIGRAMA\COT-CT-SIGRAMA-303-DO-PIEZAS%2012-D-6091-01%20Y%2011-A-6014-01%20(ANSI%2061).xlsx" TargetMode="External"/><Relationship Id="rId1" Type="http://schemas.openxmlformats.org/officeDocument/2006/relationships/externalLinkPath" Target="file:///J:\00%20-%20CIROTEC%20COTIZACIONES\S12-SIGRAMA\COT-CT-SIGRAMA-303-DO-PIEZAS%2012-D-6091-01%20Y%2011-A-6014-01%20(ANSI%206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ALISIS"/>
      <sheetName val="Material "/>
      <sheetName val="M. O."/>
      <sheetName val="Subcontratos "/>
      <sheetName val="Maquinaria"/>
      <sheetName val="Gastos"/>
      <sheetName val="Hoja2"/>
      <sheetName val="Hoja1"/>
      <sheetName val="TPU"/>
    </sheetNames>
    <sheetDataSet>
      <sheetData sheetId="0">
        <row r="2">
          <cell r="H2">
            <v>20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01472"/>
      <sheetName val="PERSONAL"/>
      <sheetName val="Bitacora"/>
      <sheetName val="Datos"/>
    </sheetNames>
    <sheetDataSet>
      <sheetData sheetId="0" refreshError="1"/>
      <sheetData sheetId="1" refreshError="1"/>
      <sheetData sheetId="2" refreshError="1"/>
      <sheetData sheetId="3">
        <row r="2">
          <cell r="C2">
            <v>110</v>
          </cell>
        </row>
        <row r="3">
          <cell r="C3" t="str">
            <v>120-1</v>
          </cell>
        </row>
        <row r="4">
          <cell r="C4" t="str">
            <v>120-2</v>
          </cell>
        </row>
        <row r="5">
          <cell r="C5">
            <v>140</v>
          </cell>
        </row>
        <row r="6">
          <cell r="C6">
            <v>150</v>
          </cell>
        </row>
        <row r="7">
          <cell r="C7">
            <v>170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q"/>
      <sheetName val="Analisis"/>
      <sheetName val="COT. PITADO"/>
      <sheetName val="Tiempo Objeto"/>
      <sheetName val="Velocidades Std 1500 w"/>
      <sheetName val="Material"/>
      <sheetName val="M. O."/>
      <sheetName val="TARIFA LASER"/>
      <sheetName val="TARIFA DOBLEZ"/>
      <sheetName val="TARIFA PINTURA"/>
      <sheetName val="Cotizador"/>
      <sheetName val="Dep. Maquina"/>
      <sheetName val="BD"/>
      <sheetName val="MO"/>
      <sheetName val="Analisis Coatek"/>
    </sheetNames>
    <sheetDataSet>
      <sheetData sheetId="0"/>
      <sheetData sheetId="1">
        <row r="2">
          <cell r="G2">
            <v>0.25</v>
          </cell>
        </row>
      </sheetData>
      <sheetData sheetId="2"/>
      <sheetData sheetId="3">
        <row r="2">
          <cell r="B2" t="str">
            <v>3/8´´</v>
          </cell>
          <cell r="C2">
            <v>2.7833333333333332</v>
          </cell>
        </row>
        <row r="3">
          <cell r="B3" t="str">
            <v>5/16´´</v>
          </cell>
          <cell r="C3">
            <v>1.47</v>
          </cell>
        </row>
        <row r="4">
          <cell r="B4" t="str">
            <v>1/4´´</v>
          </cell>
          <cell r="C4">
            <v>1.04</v>
          </cell>
        </row>
        <row r="5">
          <cell r="B5" t="str">
            <v>3/16´´</v>
          </cell>
          <cell r="C5">
            <v>0.82</v>
          </cell>
        </row>
        <row r="6">
          <cell r="B6" t="str">
            <v>Cal 10</v>
          </cell>
          <cell r="C6">
            <v>0.71333333333333337</v>
          </cell>
        </row>
        <row r="7">
          <cell r="B7" t="str">
            <v>1/8"</v>
          </cell>
          <cell r="C7">
            <v>0.67333333333333334</v>
          </cell>
        </row>
        <row r="8">
          <cell r="B8" t="str">
            <v>Cal 12</v>
          </cell>
          <cell r="C8">
            <v>0.6133333333333334</v>
          </cell>
        </row>
        <row r="9">
          <cell r="B9" t="str">
            <v>Cal 14</v>
          </cell>
          <cell r="C9">
            <v>0.3133333333333333</v>
          </cell>
        </row>
        <row r="10">
          <cell r="B10" t="str">
            <v>Cal 16</v>
          </cell>
          <cell r="C10">
            <v>0.24666666666666667</v>
          </cell>
        </row>
        <row r="11">
          <cell r="B11" t="str">
            <v>Cal 18</v>
          </cell>
          <cell r="C11">
            <v>0.11666666666666665</v>
          </cell>
        </row>
        <row r="12">
          <cell r="B12" t="str">
            <v>Cal 20</v>
          </cell>
          <cell r="C12">
            <v>8.3333333333333329E-2</v>
          </cell>
        </row>
        <row r="14">
          <cell r="B14" t="str">
            <v>1/4´´</v>
          </cell>
          <cell r="C14">
            <v>0.86</v>
          </cell>
        </row>
        <row r="15">
          <cell r="B15" t="str">
            <v>3/16´´</v>
          </cell>
          <cell r="C15">
            <v>0.82666666666666666</v>
          </cell>
        </row>
        <row r="16">
          <cell r="B16" t="str">
            <v>Cal 10</v>
          </cell>
          <cell r="C16">
            <v>0.78333333333333333</v>
          </cell>
        </row>
        <row r="17">
          <cell r="B17" t="str">
            <v>1/8"</v>
          </cell>
          <cell r="C17">
            <v>0.75</v>
          </cell>
        </row>
        <row r="18">
          <cell r="B18" t="str">
            <v>Cal 12</v>
          </cell>
          <cell r="C18">
            <v>0.54666666666666663</v>
          </cell>
        </row>
        <row r="19">
          <cell r="B19" t="str">
            <v>Cal 14</v>
          </cell>
          <cell r="C19">
            <v>0.49</v>
          </cell>
        </row>
        <row r="20">
          <cell r="B20" t="str">
            <v>Cal 16</v>
          </cell>
          <cell r="C20">
            <v>0.46666666666666662</v>
          </cell>
        </row>
        <row r="21">
          <cell r="B21" t="str">
            <v>Cal 18</v>
          </cell>
          <cell r="C21">
            <v>0.46333333333333332</v>
          </cell>
        </row>
        <row r="22">
          <cell r="B22" t="str">
            <v>Cal 20</v>
          </cell>
          <cell r="C22">
            <v>0.34333333333333332</v>
          </cell>
        </row>
        <row r="24">
          <cell r="B24" t="str">
            <v>1/8"</v>
          </cell>
          <cell r="C24">
            <v>0.35333333333333333</v>
          </cell>
        </row>
        <row r="25">
          <cell r="B25" t="str">
            <v>3/16´´</v>
          </cell>
          <cell r="C25">
            <v>0.35333333333333333</v>
          </cell>
        </row>
        <row r="26">
          <cell r="B26" t="str">
            <v>1/4´´</v>
          </cell>
          <cell r="C26">
            <v>0.35333333333333333</v>
          </cell>
        </row>
        <row r="27">
          <cell r="C27">
            <v>0.35333333333333333</v>
          </cell>
        </row>
        <row r="28">
          <cell r="B28" t="str">
            <v>Cal 12</v>
          </cell>
          <cell r="C28">
            <v>0.35333333333333333</v>
          </cell>
        </row>
        <row r="29">
          <cell r="B29" t="str">
            <v>Cal 14</v>
          </cell>
          <cell r="C29">
            <v>0.35333333333333333</v>
          </cell>
        </row>
        <row r="30">
          <cell r="B30" t="str">
            <v>Cal 16</v>
          </cell>
        </row>
        <row r="31">
          <cell r="B31" t="str">
            <v>Cal 18</v>
          </cell>
        </row>
        <row r="32">
          <cell r="B32" t="str">
            <v>Cal 20</v>
          </cell>
        </row>
      </sheetData>
      <sheetData sheetId="4">
        <row r="2">
          <cell r="B2" t="str">
            <v>3/4"</v>
          </cell>
          <cell r="C2">
            <v>19.05</v>
          </cell>
          <cell r="D2">
            <v>533.33333333333337</v>
          </cell>
          <cell r="E2">
            <v>32000</v>
          </cell>
          <cell r="F2">
            <v>3.1250000000000001E-5</v>
          </cell>
        </row>
        <row r="3">
          <cell r="B3" t="str">
            <v>5/8"</v>
          </cell>
          <cell r="C3">
            <v>15.875</v>
          </cell>
          <cell r="D3">
            <v>580</v>
          </cell>
          <cell r="E3">
            <v>34800</v>
          </cell>
          <cell r="F3">
            <v>2.8735632183908045E-5</v>
          </cell>
        </row>
        <row r="4">
          <cell r="B4" t="str">
            <v>1/2"</v>
          </cell>
          <cell r="C4">
            <v>12.7</v>
          </cell>
          <cell r="D4">
            <v>800</v>
          </cell>
          <cell r="E4">
            <v>48000</v>
          </cell>
          <cell r="F4">
            <v>2.0833333333333333E-5</v>
          </cell>
        </row>
        <row r="5">
          <cell r="B5" t="str">
            <v>3/8´´</v>
          </cell>
          <cell r="C5">
            <v>9.5249999999999986</v>
          </cell>
          <cell r="D5">
            <v>900</v>
          </cell>
          <cell r="E5">
            <v>54000</v>
          </cell>
          <cell r="F5">
            <v>1.8518518518518518E-5</v>
          </cell>
        </row>
        <row r="6">
          <cell r="B6" t="str">
            <v>5/16´´</v>
          </cell>
          <cell r="C6">
            <v>7.9375</v>
          </cell>
          <cell r="D6">
            <v>1100</v>
          </cell>
          <cell r="E6">
            <v>66000</v>
          </cell>
          <cell r="F6">
            <v>1.5151515151515151E-5</v>
          </cell>
        </row>
        <row r="7">
          <cell r="B7" t="str">
            <v>1/4´´</v>
          </cell>
          <cell r="C7">
            <v>6.35</v>
          </cell>
          <cell r="D7">
            <v>1600</v>
          </cell>
          <cell r="E7">
            <v>96000</v>
          </cell>
          <cell r="F7">
            <v>1.0416666666666666E-5</v>
          </cell>
        </row>
        <row r="8">
          <cell r="B8" t="str">
            <v>3/16´´</v>
          </cell>
          <cell r="C8">
            <v>4.7624999999999993</v>
          </cell>
          <cell r="D8">
            <v>1800</v>
          </cell>
          <cell r="E8">
            <v>108000</v>
          </cell>
          <cell r="F8">
            <v>9.2592592592592591E-6</v>
          </cell>
        </row>
        <row r="9">
          <cell r="B9" t="str">
            <v>Cal 10</v>
          </cell>
          <cell r="C9">
            <v>3.4289999999999998</v>
          </cell>
          <cell r="D9">
            <v>2700</v>
          </cell>
          <cell r="E9">
            <v>162000</v>
          </cell>
          <cell r="F9">
            <v>6.1728395061728391E-6</v>
          </cell>
        </row>
        <row r="10">
          <cell r="B10" t="str">
            <v>1/8"</v>
          </cell>
          <cell r="C10">
            <v>3.1749999999999998</v>
          </cell>
          <cell r="D10">
            <v>2900</v>
          </cell>
          <cell r="E10">
            <v>174000</v>
          </cell>
          <cell r="F10">
            <v>5.7471264367816091E-6</v>
          </cell>
        </row>
        <row r="11">
          <cell r="B11" t="str">
            <v>Cal 12</v>
          </cell>
          <cell r="C11">
            <v>2.6669999999999998</v>
          </cell>
          <cell r="D11">
            <v>3800</v>
          </cell>
          <cell r="E11">
            <v>228000</v>
          </cell>
          <cell r="F11">
            <v>4.3859649122807014E-6</v>
          </cell>
        </row>
        <row r="12">
          <cell r="B12" t="str">
            <v>Cal 14</v>
          </cell>
          <cell r="C12">
            <v>1.905</v>
          </cell>
          <cell r="D12">
            <v>8300</v>
          </cell>
          <cell r="E12">
            <v>498000</v>
          </cell>
          <cell r="F12">
            <v>2.0080321285140564E-6</v>
          </cell>
        </row>
        <row r="13">
          <cell r="B13" t="str">
            <v>Cal 16</v>
          </cell>
          <cell r="C13">
            <v>1.524</v>
          </cell>
          <cell r="D13">
            <v>18200</v>
          </cell>
          <cell r="E13">
            <v>1092000</v>
          </cell>
          <cell r="F13">
            <v>9.1575091575091579E-7</v>
          </cell>
        </row>
        <row r="14">
          <cell r="B14" t="str">
            <v>Cal 18</v>
          </cell>
          <cell r="C14">
            <v>1.2190000000000001</v>
          </cell>
          <cell r="D14">
            <v>25600</v>
          </cell>
          <cell r="E14">
            <v>1536000</v>
          </cell>
          <cell r="F14">
            <v>6.5104166666666664E-7</v>
          </cell>
        </row>
        <row r="15">
          <cell r="B15" t="str">
            <v>Cal 20</v>
          </cell>
          <cell r="C15">
            <v>0.95299999999999996</v>
          </cell>
          <cell r="D15">
            <v>32000</v>
          </cell>
          <cell r="E15">
            <v>1920000</v>
          </cell>
          <cell r="F15">
            <v>5.2083333333333336E-7</v>
          </cell>
        </row>
        <row r="17">
          <cell r="B17" t="str">
            <v>1/2"</v>
          </cell>
          <cell r="C17">
            <v>12.7</v>
          </cell>
          <cell r="D17">
            <v>500</v>
          </cell>
          <cell r="E17">
            <v>30000</v>
          </cell>
          <cell r="F17">
            <v>3.3333333333333335E-5</v>
          </cell>
        </row>
        <row r="18">
          <cell r="B18" t="str">
            <v>3/8´´</v>
          </cell>
          <cell r="C18">
            <v>9.5249999999999986</v>
          </cell>
          <cell r="D18">
            <v>833.33333333333348</v>
          </cell>
          <cell r="E18">
            <v>50000.000000000007</v>
          </cell>
          <cell r="F18">
            <v>1.9999999999999998E-5</v>
          </cell>
        </row>
        <row r="19">
          <cell r="B19" t="str">
            <v>5/16´´</v>
          </cell>
          <cell r="C19">
            <v>7.9375</v>
          </cell>
          <cell r="D19">
            <v>875</v>
          </cell>
          <cell r="E19">
            <v>52500</v>
          </cell>
          <cell r="F19">
            <v>1.9047619047619046E-5</v>
          </cell>
        </row>
        <row r="20">
          <cell r="B20" t="str">
            <v>1/4´´</v>
          </cell>
          <cell r="C20">
            <v>6.35</v>
          </cell>
          <cell r="D20">
            <v>1000</v>
          </cell>
          <cell r="E20">
            <v>60000</v>
          </cell>
          <cell r="F20">
            <v>1.6666666666666667E-5</v>
          </cell>
        </row>
        <row r="21">
          <cell r="B21" t="str">
            <v>3/16´´</v>
          </cell>
          <cell r="C21">
            <v>4.7624999999999993</v>
          </cell>
          <cell r="D21">
            <v>1600</v>
          </cell>
          <cell r="E21">
            <v>96000</v>
          </cell>
          <cell r="F21">
            <v>1.0416666666666666E-5</v>
          </cell>
        </row>
        <row r="22">
          <cell r="B22" t="str">
            <v>Cal 10</v>
          </cell>
          <cell r="C22">
            <v>3.4289999999999998</v>
          </cell>
          <cell r="D22">
            <v>3300</v>
          </cell>
          <cell r="E22">
            <v>198000</v>
          </cell>
          <cell r="F22">
            <v>5.0505050505050507E-6</v>
          </cell>
        </row>
        <row r="23">
          <cell r="B23" t="str">
            <v>1/8"</v>
          </cell>
          <cell r="C23">
            <v>3.1749999999999998</v>
          </cell>
          <cell r="D23">
            <v>4700</v>
          </cell>
          <cell r="E23">
            <v>282000</v>
          </cell>
          <cell r="F23">
            <v>3.5460992907801419E-6</v>
          </cell>
        </row>
        <row r="24">
          <cell r="B24" t="str">
            <v>Cal 12</v>
          </cell>
          <cell r="C24">
            <v>2.6669999999999998</v>
          </cell>
          <cell r="D24">
            <v>6120</v>
          </cell>
          <cell r="E24">
            <v>367200</v>
          </cell>
          <cell r="F24">
            <v>2.7233115468409584E-6</v>
          </cell>
        </row>
        <row r="25">
          <cell r="B25" t="str">
            <v>Cal 14</v>
          </cell>
          <cell r="C25">
            <v>1.905</v>
          </cell>
          <cell r="D25">
            <v>9000</v>
          </cell>
          <cell r="E25">
            <v>540000</v>
          </cell>
          <cell r="F25">
            <v>1.8518518518518519E-6</v>
          </cell>
        </row>
        <row r="26">
          <cell r="B26" t="str">
            <v>Cal 16</v>
          </cell>
          <cell r="C26">
            <v>1.524</v>
          </cell>
          <cell r="D26">
            <v>18204.831932773108</v>
          </cell>
          <cell r="E26">
            <v>1092289.9159663864</v>
          </cell>
          <cell r="F26">
            <v>9.1550785682688063E-7</v>
          </cell>
        </row>
        <row r="27">
          <cell r="B27" t="str">
            <v>Cal 18</v>
          </cell>
          <cell r="C27">
            <v>1.2190000000000001</v>
          </cell>
          <cell r="D27">
            <v>25573.529411764703</v>
          </cell>
          <cell r="E27">
            <v>1534411.7647058822</v>
          </cell>
          <cell r="F27">
            <v>6.5171554533256674E-7</v>
          </cell>
        </row>
        <row r="28">
          <cell r="B28" t="str">
            <v>Cal 20</v>
          </cell>
          <cell r="C28">
            <v>0.95299999999999996</v>
          </cell>
          <cell r="D28">
            <v>32000</v>
          </cell>
          <cell r="E28">
            <v>1920000</v>
          </cell>
          <cell r="F28">
            <v>5.2083333333333336E-7</v>
          </cell>
        </row>
        <row r="30">
          <cell r="B30" t="str">
            <v>3/16´´</v>
          </cell>
          <cell r="C30">
            <v>4.7624999999999993</v>
          </cell>
          <cell r="D30">
            <v>2533.3333333333335</v>
          </cell>
          <cell r="E30">
            <v>152000</v>
          </cell>
          <cell r="F30">
            <v>6.578947368421053E-6</v>
          </cell>
        </row>
        <row r="31">
          <cell r="B31" t="str">
            <v>Cal 10</v>
          </cell>
          <cell r="C31">
            <v>3.4289999999999998</v>
          </cell>
          <cell r="D31">
            <v>3023.8095238095239</v>
          </cell>
          <cell r="E31">
            <v>181428.57142857142</v>
          </cell>
          <cell r="F31">
            <v>5.5118110236220476E-6</v>
          </cell>
        </row>
        <row r="32">
          <cell r="B32" t="str">
            <v>1/4´´</v>
          </cell>
          <cell r="C32">
            <v>6.35</v>
          </cell>
          <cell r="D32">
            <v>9102.4159663865539</v>
          </cell>
          <cell r="E32">
            <v>546144.95798319322</v>
          </cell>
          <cell r="F32">
            <v>1.8310157136537613E-6</v>
          </cell>
        </row>
        <row r="33">
          <cell r="B33" t="str">
            <v>1/8"</v>
          </cell>
          <cell r="C33">
            <v>3.1749999999999998</v>
          </cell>
          <cell r="D33">
            <v>3800</v>
          </cell>
          <cell r="E33">
            <v>228000</v>
          </cell>
          <cell r="F33">
            <v>4.3859649122807014E-6</v>
          </cell>
        </row>
        <row r="34">
          <cell r="B34" t="str">
            <v>Cal 12</v>
          </cell>
          <cell r="C34">
            <v>2.6669999999999998</v>
          </cell>
          <cell r="D34">
            <v>6542.2222222222226</v>
          </cell>
          <cell r="E34">
            <v>392533.33333333337</v>
          </cell>
          <cell r="F34">
            <v>2.5475543478260867E-6</v>
          </cell>
        </row>
        <row r="35">
          <cell r="B35" t="str">
            <v>Cal 14</v>
          </cell>
          <cell r="C35">
            <v>1.905</v>
          </cell>
          <cell r="D35">
            <v>8000</v>
          </cell>
          <cell r="E35">
            <v>480000</v>
          </cell>
          <cell r="F35">
            <v>2.0833333333333334E-6</v>
          </cell>
        </row>
        <row r="36">
          <cell r="B36" t="str">
            <v>Cal 16</v>
          </cell>
          <cell r="C36">
            <v>1.524</v>
          </cell>
          <cell r="D36">
            <v>6803.5714285714284</v>
          </cell>
          <cell r="E36">
            <v>408214.28571428568</v>
          </cell>
          <cell r="F36">
            <v>2.4496937882764656E-6</v>
          </cell>
        </row>
        <row r="37">
          <cell r="B37" t="str">
            <v>Cal 18</v>
          </cell>
          <cell r="C37">
            <v>1.2190000000000001</v>
          </cell>
          <cell r="D37">
            <v>12249.999999999998</v>
          </cell>
          <cell r="E37">
            <v>734999.99999999988</v>
          </cell>
          <cell r="F37">
            <v>1.3605442176870751E-6</v>
          </cell>
        </row>
        <row r="38">
          <cell r="B38" t="str">
            <v>Cal 20</v>
          </cell>
          <cell r="C38">
            <v>0.95299999999999996</v>
          </cell>
          <cell r="D38">
            <v>25000</v>
          </cell>
          <cell r="E38">
            <v>1500000</v>
          </cell>
          <cell r="F38">
            <v>6.6666666666666671E-7</v>
          </cell>
        </row>
      </sheetData>
      <sheetData sheetId="5">
        <row r="2">
          <cell r="C2" t="str">
            <v>14ga</v>
          </cell>
          <cell r="D2" t="str">
            <v>Cal 14</v>
          </cell>
          <cell r="E2" t="str">
            <v>MATERIAL 1ga 4x10</v>
          </cell>
        </row>
        <row r="3">
          <cell r="A3" t="str">
            <v>T1.0</v>
          </cell>
          <cell r="B3">
            <v>1000</v>
          </cell>
          <cell r="C3" t="str">
            <v>14gacr</v>
          </cell>
          <cell r="D3" t="str">
            <v>Cal 14</v>
          </cell>
          <cell r="E3" t="str">
            <v>MATERIAL 1ga 4x10</v>
          </cell>
        </row>
        <row r="4">
          <cell r="A4" t="str">
            <v>T2.0</v>
          </cell>
          <cell r="B4">
            <v>2000</v>
          </cell>
          <cell r="C4" t="str">
            <v>12ga</v>
          </cell>
          <cell r="D4" t="str">
            <v>Cal 12</v>
          </cell>
          <cell r="E4" t="str">
            <v>MATERIAL 12ga 4x10</v>
          </cell>
        </row>
        <row r="5">
          <cell r="A5" t="str">
            <v>T2.75</v>
          </cell>
          <cell r="B5">
            <v>2750</v>
          </cell>
          <cell r="C5" t="str">
            <v>12gacr</v>
          </cell>
          <cell r="D5" t="str">
            <v>Cal 12</v>
          </cell>
          <cell r="E5" t="str">
            <v>MATERIAL 12ga 4x10</v>
          </cell>
        </row>
        <row r="6">
          <cell r="A6" t="str">
            <v>T3.0</v>
          </cell>
          <cell r="B6">
            <v>3000</v>
          </cell>
          <cell r="C6" t="str">
            <v>16ga</v>
          </cell>
          <cell r="D6" t="str">
            <v>Cal 16</v>
          </cell>
          <cell r="E6" t="str">
            <v>MATERIAL 12ga 4x10</v>
          </cell>
        </row>
        <row r="7">
          <cell r="A7" t="str">
            <v>T3.5</v>
          </cell>
          <cell r="B7">
            <v>3500</v>
          </cell>
          <cell r="C7" t="str">
            <v>16gacr</v>
          </cell>
          <cell r="D7" t="str">
            <v>Cal 16</v>
          </cell>
          <cell r="E7" t="str">
            <v>MATERIAL 12ga 4x10</v>
          </cell>
        </row>
        <row r="8">
          <cell r="A8" t="str">
            <v>T4.0</v>
          </cell>
          <cell r="B8">
            <v>4000</v>
          </cell>
          <cell r="C8" t="str">
            <v>10ga</v>
          </cell>
          <cell r="D8" t="str">
            <v>Cal 10</v>
          </cell>
          <cell r="E8" t="str">
            <v>MATERIAL 10ga 4x10</v>
          </cell>
        </row>
        <row r="9">
          <cell r="A9" t="str">
            <v>T4.5</v>
          </cell>
          <cell r="B9">
            <v>4500</v>
          </cell>
          <cell r="C9" t="str">
            <v>10gacr</v>
          </cell>
          <cell r="D9" t="str">
            <v>Cal 10</v>
          </cell>
          <cell r="E9" t="str">
            <v>MATERIAL 10ga 4x10</v>
          </cell>
        </row>
        <row r="10">
          <cell r="A10" t="str">
            <v>T5.0</v>
          </cell>
          <cell r="B10">
            <v>5000</v>
          </cell>
          <cell r="C10" t="str">
            <v>1/4AL</v>
          </cell>
          <cell r="D10" t="str">
            <v>1/4´´</v>
          </cell>
          <cell r="E10" t="str">
            <v>Aluminio 6061 4x10</v>
          </cell>
        </row>
        <row r="11">
          <cell r="A11" t="str">
            <v>T5.5</v>
          </cell>
          <cell r="B11">
            <v>5500</v>
          </cell>
          <cell r="C11" t="str">
            <v>125al</v>
          </cell>
          <cell r="D11" t="str">
            <v>1/8"</v>
          </cell>
          <cell r="E11" t="str">
            <v>Aluminio 6061 4x10</v>
          </cell>
        </row>
        <row r="12">
          <cell r="A12" t="str">
            <v>T6.0</v>
          </cell>
          <cell r="B12">
            <v>6000</v>
          </cell>
          <cell r="C12" t="str">
            <v>188al</v>
          </cell>
          <cell r="D12" t="str">
            <v>3/16´´</v>
          </cell>
          <cell r="E12" t="str">
            <v>Aluminio 6061 4x10</v>
          </cell>
        </row>
        <row r="13">
          <cell r="A13" t="str">
            <v>T7</v>
          </cell>
          <cell r="B13">
            <v>7000</v>
          </cell>
        </row>
        <row r="14">
          <cell r="A14" t="str">
            <v>T8</v>
          </cell>
          <cell r="B14">
            <v>8000</v>
          </cell>
        </row>
        <row r="15">
          <cell r="A15" t="str">
            <v>T9</v>
          </cell>
          <cell r="B15">
            <v>9000</v>
          </cell>
        </row>
        <row r="16">
          <cell r="A16" t="str">
            <v>T10</v>
          </cell>
          <cell r="B16">
            <v>10000</v>
          </cell>
        </row>
        <row r="17">
          <cell r="A17" t="str">
            <v>T11</v>
          </cell>
          <cell r="B17">
            <v>11000</v>
          </cell>
        </row>
        <row r="18">
          <cell r="A18" t="str">
            <v>T12</v>
          </cell>
          <cell r="B18">
            <v>12000</v>
          </cell>
        </row>
        <row r="19">
          <cell r="A19" t="str">
            <v>T13</v>
          </cell>
          <cell r="B19">
            <v>13000</v>
          </cell>
        </row>
        <row r="20">
          <cell r="A20" t="str">
            <v>T14</v>
          </cell>
          <cell r="B20">
            <v>14000</v>
          </cell>
        </row>
        <row r="21">
          <cell r="A21" t="str">
            <v>T15</v>
          </cell>
          <cell r="B21">
            <v>15000</v>
          </cell>
        </row>
        <row r="22">
          <cell r="A22" t="str">
            <v>T16</v>
          </cell>
          <cell r="B22">
            <v>16000</v>
          </cell>
        </row>
        <row r="23">
          <cell r="A23" t="str">
            <v>T17</v>
          </cell>
          <cell r="B23">
            <v>17000</v>
          </cell>
        </row>
        <row r="24">
          <cell r="A24" t="str">
            <v>T18</v>
          </cell>
          <cell r="B24">
            <v>18000</v>
          </cell>
        </row>
        <row r="25">
          <cell r="A25" t="str">
            <v>T19</v>
          </cell>
          <cell r="B25">
            <v>19000</v>
          </cell>
        </row>
        <row r="26">
          <cell r="A26" t="str">
            <v>T20</v>
          </cell>
          <cell r="B26">
            <v>20000</v>
          </cell>
        </row>
        <row r="27">
          <cell r="A27" t="str">
            <v>T21</v>
          </cell>
          <cell r="B27">
            <v>21000</v>
          </cell>
        </row>
        <row r="28">
          <cell r="A28" t="str">
            <v>T22</v>
          </cell>
          <cell r="B28">
            <v>22000</v>
          </cell>
        </row>
        <row r="29">
          <cell r="A29" t="str">
            <v>T23</v>
          </cell>
          <cell r="B29">
            <v>23000</v>
          </cell>
        </row>
        <row r="30">
          <cell r="A30" t="str">
            <v>T24</v>
          </cell>
          <cell r="B30">
            <v>24000</v>
          </cell>
        </row>
        <row r="31">
          <cell r="A31" t="str">
            <v>T25</v>
          </cell>
          <cell r="B31">
            <v>25000</v>
          </cell>
        </row>
        <row r="32">
          <cell r="A32" t="str">
            <v>T26</v>
          </cell>
          <cell r="B32">
            <v>26000</v>
          </cell>
        </row>
        <row r="33">
          <cell r="A33" t="str">
            <v>T27</v>
          </cell>
          <cell r="B33">
            <v>27000</v>
          </cell>
        </row>
        <row r="34">
          <cell r="A34" t="str">
            <v>T28</v>
          </cell>
          <cell r="B34">
            <v>28000</v>
          </cell>
        </row>
        <row r="35">
          <cell r="A35" t="str">
            <v>T29</v>
          </cell>
          <cell r="B35">
            <v>29000</v>
          </cell>
        </row>
        <row r="36">
          <cell r="A36" t="str">
            <v>T30</v>
          </cell>
          <cell r="B36">
            <v>30000</v>
          </cell>
        </row>
        <row r="37">
          <cell r="A37" t="str">
            <v>T31</v>
          </cell>
          <cell r="B37">
            <v>31000</v>
          </cell>
        </row>
        <row r="38">
          <cell r="A38" t="str">
            <v>T32</v>
          </cell>
          <cell r="B38">
            <v>32000</v>
          </cell>
        </row>
        <row r="39">
          <cell r="A39" t="str">
            <v>T33</v>
          </cell>
          <cell r="B39">
            <v>33000</v>
          </cell>
        </row>
        <row r="40">
          <cell r="A40" t="str">
            <v>T34</v>
          </cell>
          <cell r="B40">
            <v>34000</v>
          </cell>
        </row>
        <row r="41">
          <cell r="A41" t="str">
            <v>T35</v>
          </cell>
          <cell r="B41">
            <v>35000</v>
          </cell>
        </row>
        <row r="42">
          <cell r="A42" t="str">
            <v>T36</v>
          </cell>
          <cell r="B42">
            <v>36000</v>
          </cell>
        </row>
        <row r="43">
          <cell r="A43" t="str">
            <v>T37</v>
          </cell>
          <cell r="B43">
            <v>37000</v>
          </cell>
        </row>
        <row r="44">
          <cell r="A44" t="str">
            <v>T38</v>
          </cell>
          <cell r="B44">
            <v>38000</v>
          </cell>
        </row>
        <row r="45">
          <cell r="A45" t="str">
            <v>T39</v>
          </cell>
          <cell r="B45">
            <v>39000</v>
          </cell>
        </row>
        <row r="46">
          <cell r="A46" t="str">
            <v>T40</v>
          </cell>
          <cell r="B46">
            <v>40000</v>
          </cell>
        </row>
        <row r="47">
          <cell r="A47" t="str">
            <v>T41</v>
          </cell>
          <cell r="B47">
            <v>41000</v>
          </cell>
        </row>
        <row r="48">
          <cell r="A48" t="str">
            <v>T42</v>
          </cell>
          <cell r="B48">
            <v>42000</v>
          </cell>
        </row>
        <row r="49">
          <cell r="A49" t="str">
            <v>T43</v>
          </cell>
          <cell r="B49">
            <v>43000</v>
          </cell>
        </row>
        <row r="50">
          <cell r="A50" t="str">
            <v>T44</v>
          </cell>
          <cell r="B50">
            <v>44000</v>
          </cell>
        </row>
        <row r="51">
          <cell r="A51" t="str">
            <v>T45</v>
          </cell>
          <cell r="B51">
            <v>45000</v>
          </cell>
        </row>
        <row r="52">
          <cell r="A52" t="str">
            <v>T46</v>
          </cell>
          <cell r="B52">
            <v>46000</v>
          </cell>
        </row>
        <row r="53">
          <cell r="A53" t="str">
            <v>T47</v>
          </cell>
          <cell r="B53">
            <v>47000</v>
          </cell>
        </row>
        <row r="54">
          <cell r="A54" t="str">
            <v>T48</v>
          </cell>
          <cell r="B54">
            <v>48000</v>
          </cell>
        </row>
        <row r="55">
          <cell r="A55" t="str">
            <v>T49</v>
          </cell>
          <cell r="B55">
            <v>49000</v>
          </cell>
        </row>
        <row r="56">
          <cell r="A56" t="str">
            <v>T50</v>
          </cell>
          <cell r="B56">
            <v>50000</v>
          </cell>
        </row>
        <row r="57">
          <cell r="A57" t="str">
            <v>T51</v>
          </cell>
          <cell r="B57">
            <v>51000</v>
          </cell>
        </row>
        <row r="58">
          <cell r="A58" t="str">
            <v>T52</v>
          </cell>
          <cell r="B58">
            <v>52000</v>
          </cell>
        </row>
      </sheetData>
      <sheetData sheetId="6">
        <row r="11">
          <cell r="M11">
            <v>405.62500000000006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tregable"/>
      <sheetName val="req"/>
      <sheetName val="Analisis"/>
      <sheetName val="COT. GAL"/>
      <sheetName val="COT. COBRE"/>
      <sheetName val="COT. PITADO"/>
      <sheetName val="Tiempo Objeto"/>
      <sheetName val="Velocidades Std 1500 w"/>
      <sheetName val="ANSI 61"/>
      <sheetName val="coating"/>
      <sheetName val="Material"/>
      <sheetName val="BD-GA"/>
      <sheetName val="BD-CU"/>
      <sheetName val="BD-PIN"/>
      <sheetName val="ref"/>
    </sheetNames>
    <sheetDataSet>
      <sheetData sheetId="0"/>
      <sheetData sheetId="1"/>
      <sheetData sheetId="2">
        <row r="2">
          <cell r="G2">
            <v>0.35</v>
          </cell>
        </row>
      </sheetData>
      <sheetData sheetId="3"/>
      <sheetData sheetId="4"/>
      <sheetData sheetId="5"/>
      <sheetData sheetId="6">
        <row r="2">
          <cell r="B2" t="str">
            <v>3/8´´</v>
          </cell>
          <cell r="C2">
            <v>2.7833333333333332</v>
          </cell>
        </row>
        <row r="3">
          <cell r="B3" t="str">
            <v>5/16´´</v>
          </cell>
          <cell r="C3">
            <v>1.47</v>
          </cell>
        </row>
        <row r="4">
          <cell r="B4" t="str">
            <v>1/4´´</v>
          </cell>
          <cell r="C4">
            <v>1.04</v>
          </cell>
        </row>
        <row r="5">
          <cell r="B5" t="str">
            <v>3/16´´</v>
          </cell>
          <cell r="C5">
            <v>0.82</v>
          </cell>
        </row>
        <row r="6">
          <cell r="B6" t="str">
            <v>Cal 10</v>
          </cell>
          <cell r="C6">
            <v>0.71333333333333337</v>
          </cell>
        </row>
        <row r="7">
          <cell r="B7" t="str">
            <v>1/8"</v>
          </cell>
          <cell r="C7">
            <v>0.67333333333333334</v>
          </cell>
        </row>
        <row r="8">
          <cell r="B8" t="str">
            <v>Cal 12</v>
          </cell>
          <cell r="C8">
            <v>0.6133333333333334</v>
          </cell>
        </row>
        <row r="9">
          <cell r="B9" t="str">
            <v>Cal 14</v>
          </cell>
          <cell r="C9">
            <v>0.3133333333333333</v>
          </cell>
        </row>
        <row r="10">
          <cell r="B10" t="str">
            <v>Cal 16</v>
          </cell>
          <cell r="C10">
            <v>0.24666666666666667</v>
          </cell>
        </row>
        <row r="11">
          <cell r="B11" t="str">
            <v>Cal 18</v>
          </cell>
          <cell r="C11">
            <v>0.11666666666666665</v>
          </cell>
        </row>
        <row r="12">
          <cell r="B12" t="str">
            <v>Cal 20</v>
          </cell>
          <cell r="C12">
            <v>8.3333333333333329E-2</v>
          </cell>
        </row>
        <row r="14">
          <cell r="B14" t="str">
            <v>1/4´´</v>
          </cell>
          <cell r="C14">
            <v>0.86</v>
          </cell>
        </row>
        <row r="15">
          <cell r="B15" t="str">
            <v>3/16´´</v>
          </cell>
          <cell r="C15">
            <v>0.82666666666666666</v>
          </cell>
        </row>
        <row r="16">
          <cell r="B16" t="str">
            <v>Cal 10</v>
          </cell>
          <cell r="C16">
            <v>0.78333333333333333</v>
          </cell>
        </row>
        <row r="17">
          <cell r="B17" t="str">
            <v>1/8"</v>
          </cell>
          <cell r="C17">
            <v>0.75</v>
          </cell>
        </row>
        <row r="18">
          <cell r="B18" t="str">
            <v>Cal 12</v>
          </cell>
          <cell r="C18">
            <v>0.54666666666666663</v>
          </cell>
        </row>
        <row r="19">
          <cell r="B19" t="str">
            <v>Cal 14</v>
          </cell>
          <cell r="C19">
            <v>0.49</v>
          </cell>
        </row>
        <row r="20">
          <cell r="B20" t="str">
            <v>Cal 16</v>
          </cell>
          <cell r="C20">
            <v>0.46666666666666662</v>
          </cell>
        </row>
        <row r="21">
          <cell r="B21" t="str">
            <v>Cal 18</v>
          </cell>
          <cell r="C21">
            <v>0.46333333333333332</v>
          </cell>
        </row>
        <row r="22">
          <cell r="B22" t="str">
            <v>Cal 20</v>
          </cell>
          <cell r="C22">
            <v>0.34333333333333332</v>
          </cell>
        </row>
        <row r="24">
          <cell r="B24" t="str">
            <v>1/8"</v>
          </cell>
          <cell r="C24">
            <v>0.35333333333333333</v>
          </cell>
        </row>
        <row r="25">
          <cell r="B25" t="str">
            <v>3/16´´</v>
          </cell>
          <cell r="C25">
            <v>0.35333333333333333</v>
          </cell>
        </row>
        <row r="26">
          <cell r="B26" t="str">
            <v>1/4´´</v>
          </cell>
          <cell r="C26">
            <v>0.35333333333333333</v>
          </cell>
        </row>
        <row r="27">
          <cell r="C27">
            <v>0.35333333333333333</v>
          </cell>
        </row>
        <row r="28">
          <cell r="B28" t="str">
            <v>Cal 12</v>
          </cell>
          <cell r="C28">
            <v>0.35333333333333333</v>
          </cell>
        </row>
        <row r="29">
          <cell r="B29" t="str">
            <v>Cal 14</v>
          </cell>
          <cell r="C29">
            <v>0.35333333333333333</v>
          </cell>
        </row>
        <row r="30">
          <cell r="B30" t="str">
            <v>Cal 16</v>
          </cell>
        </row>
        <row r="31">
          <cell r="B31" t="str">
            <v>Cal 18</v>
          </cell>
        </row>
        <row r="32">
          <cell r="B32" t="str">
            <v>Cal 20</v>
          </cell>
        </row>
      </sheetData>
      <sheetData sheetId="7">
        <row r="2">
          <cell r="B2" t="str">
            <v>3/4"</v>
          </cell>
          <cell r="C2">
            <v>19.05</v>
          </cell>
          <cell r="D2">
            <v>533.33333333333337</v>
          </cell>
          <cell r="E2">
            <v>32000</v>
          </cell>
          <cell r="F2">
            <v>3.1250000000000001E-5</v>
          </cell>
        </row>
        <row r="3">
          <cell r="B3" t="str">
            <v>5/8"</v>
          </cell>
          <cell r="C3">
            <v>15.875</v>
          </cell>
          <cell r="D3">
            <v>580</v>
          </cell>
          <cell r="E3">
            <v>34800</v>
          </cell>
          <cell r="F3">
            <v>2.8735632183908045E-5</v>
          </cell>
        </row>
        <row r="4">
          <cell r="B4" t="str">
            <v>1/2"</v>
          </cell>
          <cell r="C4">
            <v>12.7</v>
          </cell>
          <cell r="D4">
            <v>800</v>
          </cell>
          <cell r="E4">
            <v>48000</v>
          </cell>
          <cell r="F4">
            <v>2.0833333333333333E-5</v>
          </cell>
        </row>
        <row r="5">
          <cell r="B5" t="str">
            <v>3/8´´</v>
          </cell>
          <cell r="C5">
            <v>9.5249999999999986</v>
          </cell>
          <cell r="D5">
            <v>900</v>
          </cell>
          <cell r="E5">
            <v>54000</v>
          </cell>
          <cell r="F5">
            <v>1.8518518518518518E-5</v>
          </cell>
        </row>
        <row r="6">
          <cell r="B6" t="str">
            <v>5/16´´</v>
          </cell>
          <cell r="C6">
            <v>7.9375</v>
          </cell>
          <cell r="D6">
            <v>1100</v>
          </cell>
          <cell r="E6">
            <v>66000</v>
          </cell>
          <cell r="F6">
            <v>1.5151515151515151E-5</v>
          </cell>
        </row>
        <row r="7">
          <cell r="B7" t="str">
            <v>1/4´´</v>
          </cell>
          <cell r="C7">
            <v>6.35</v>
          </cell>
          <cell r="D7">
            <v>1600</v>
          </cell>
          <cell r="E7">
            <v>96000</v>
          </cell>
          <cell r="F7">
            <v>1.0416666666666666E-5</v>
          </cell>
        </row>
        <row r="8">
          <cell r="B8" t="str">
            <v>3/16´´</v>
          </cell>
          <cell r="C8">
            <v>4.7624999999999993</v>
          </cell>
          <cell r="D8">
            <v>1800</v>
          </cell>
          <cell r="E8">
            <v>108000</v>
          </cell>
          <cell r="F8">
            <v>9.2592592592592591E-6</v>
          </cell>
        </row>
        <row r="9">
          <cell r="B9" t="str">
            <v>Cal 10</v>
          </cell>
          <cell r="C9">
            <v>3.4289999999999998</v>
          </cell>
          <cell r="D9">
            <v>2700</v>
          </cell>
          <cell r="E9">
            <v>162000</v>
          </cell>
          <cell r="F9">
            <v>6.1728395061728391E-6</v>
          </cell>
        </row>
        <row r="10">
          <cell r="B10" t="str">
            <v>1/8"</v>
          </cell>
          <cell r="C10">
            <v>3.1749999999999998</v>
          </cell>
          <cell r="D10">
            <v>2900</v>
          </cell>
          <cell r="E10">
            <v>174000</v>
          </cell>
          <cell r="F10">
            <v>5.7471264367816091E-6</v>
          </cell>
        </row>
        <row r="11">
          <cell r="B11" t="str">
            <v>Cal 12</v>
          </cell>
          <cell r="C11">
            <v>2.6669999999999998</v>
          </cell>
          <cell r="D11">
            <v>3800</v>
          </cell>
          <cell r="E11">
            <v>228000</v>
          </cell>
          <cell r="F11">
            <v>4.3859649122807014E-6</v>
          </cell>
        </row>
        <row r="12">
          <cell r="B12" t="str">
            <v>Cal 14</v>
          </cell>
          <cell r="C12">
            <v>1.905</v>
          </cell>
          <cell r="D12">
            <v>8300</v>
          </cell>
          <cell r="E12">
            <v>498000</v>
          </cell>
          <cell r="F12">
            <v>2.0080321285140564E-6</v>
          </cell>
        </row>
        <row r="13">
          <cell r="B13" t="str">
            <v>Cal 16</v>
          </cell>
          <cell r="C13">
            <v>1.524</v>
          </cell>
          <cell r="D13">
            <v>18200</v>
          </cell>
          <cell r="E13">
            <v>1092000</v>
          </cell>
          <cell r="F13">
            <v>9.1575091575091579E-7</v>
          </cell>
        </row>
        <row r="14">
          <cell r="B14" t="str">
            <v>Cal 18</v>
          </cell>
          <cell r="C14">
            <v>1.2190000000000001</v>
          </cell>
          <cell r="D14">
            <v>25600</v>
          </cell>
          <cell r="E14">
            <v>1536000</v>
          </cell>
          <cell r="F14">
            <v>6.5104166666666664E-7</v>
          </cell>
        </row>
        <row r="15">
          <cell r="B15" t="str">
            <v>Cal 20</v>
          </cell>
          <cell r="C15">
            <v>0.95299999999999996</v>
          </cell>
          <cell r="D15">
            <v>32000</v>
          </cell>
          <cell r="E15">
            <v>1920000</v>
          </cell>
          <cell r="F15">
            <v>5.2083333333333336E-7</v>
          </cell>
        </row>
        <row r="17">
          <cell r="B17" t="str">
            <v>1/2"</v>
          </cell>
          <cell r="C17">
            <v>12.7</v>
          </cell>
          <cell r="D17">
            <v>500</v>
          </cell>
          <cell r="E17">
            <v>30000</v>
          </cell>
          <cell r="F17">
            <v>3.3333333333333335E-5</v>
          </cell>
        </row>
        <row r="18">
          <cell r="B18" t="str">
            <v>3/8´´</v>
          </cell>
          <cell r="C18">
            <v>9.5249999999999986</v>
          </cell>
          <cell r="D18">
            <v>833.33333333333348</v>
          </cell>
          <cell r="E18">
            <v>50000.000000000007</v>
          </cell>
          <cell r="F18">
            <v>1.9999999999999998E-5</v>
          </cell>
        </row>
        <row r="19">
          <cell r="B19" t="str">
            <v>5/16´´</v>
          </cell>
          <cell r="C19">
            <v>7.9375</v>
          </cell>
          <cell r="D19">
            <v>875</v>
          </cell>
          <cell r="E19">
            <v>52500</v>
          </cell>
          <cell r="F19">
            <v>1.9047619047619046E-5</v>
          </cell>
        </row>
        <row r="20">
          <cell r="B20" t="str">
            <v>1/4´´</v>
          </cell>
          <cell r="C20">
            <v>6.35</v>
          </cell>
          <cell r="D20">
            <v>1000</v>
          </cell>
          <cell r="E20">
            <v>60000</v>
          </cell>
          <cell r="F20">
            <v>1.6666666666666667E-5</v>
          </cell>
        </row>
        <row r="21">
          <cell r="B21" t="str">
            <v>3/16´´</v>
          </cell>
          <cell r="C21">
            <v>4.7624999999999993</v>
          </cell>
          <cell r="D21">
            <v>1600</v>
          </cell>
          <cell r="E21">
            <v>96000</v>
          </cell>
          <cell r="F21">
            <v>1.0416666666666666E-5</v>
          </cell>
        </row>
        <row r="22">
          <cell r="B22" t="str">
            <v>Cal 10</v>
          </cell>
          <cell r="C22">
            <v>3.4289999999999998</v>
          </cell>
          <cell r="D22">
            <v>3300</v>
          </cell>
          <cell r="E22">
            <v>198000</v>
          </cell>
          <cell r="F22">
            <v>5.0505050505050507E-6</v>
          </cell>
        </row>
        <row r="23">
          <cell r="B23" t="str">
            <v>1/8"</v>
          </cell>
          <cell r="C23">
            <v>3.1749999999999998</v>
          </cell>
          <cell r="D23">
            <v>4700</v>
          </cell>
          <cell r="E23">
            <v>282000</v>
          </cell>
          <cell r="F23">
            <v>3.5460992907801419E-6</v>
          </cell>
        </row>
        <row r="24">
          <cell r="B24" t="str">
            <v>Cal 12</v>
          </cell>
          <cell r="C24">
            <v>2.6669999999999998</v>
          </cell>
          <cell r="D24">
            <v>6120</v>
          </cell>
          <cell r="E24">
            <v>367200</v>
          </cell>
          <cell r="F24">
            <v>2.7233115468409584E-6</v>
          </cell>
        </row>
        <row r="25">
          <cell r="B25" t="str">
            <v>Cal 14</v>
          </cell>
          <cell r="C25">
            <v>1.905</v>
          </cell>
          <cell r="D25">
            <v>9000</v>
          </cell>
          <cell r="E25">
            <v>540000</v>
          </cell>
          <cell r="F25">
            <v>1.8518518518518519E-6</v>
          </cell>
        </row>
        <row r="26">
          <cell r="B26" t="str">
            <v>Cal 16</v>
          </cell>
          <cell r="C26">
            <v>1.524</v>
          </cell>
          <cell r="D26">
            <v>18204.831932773108</v>
          </cell>
          <cell r="E26">
            <v>1092289.9159663864</v>
          </cell>
          <cell r="F26">
            <v>9.1550785682688063E-7</v>
          </cell>
        </row>
        <row r="27">
          <cell r="B27" t="str">
            <v>Cal 18</v>
          </cell>
          <cell r="C27">
            <v>1.2190000000000001</v>
          </cell>
          <cell r="D27">
            <v>25573.529411764703</v>
          </cell>
          <cell r="E27">
            <v>1534411.7647058822</v>
          </cell>
          <cell r="F27">
            <v>6.5171554533256674E-7</v>
          </cell>
        </row>
        <row r="28">
          <cell r="B28" t="str">
            <v>Cal 20</v>
          </cell>
          <cell r="C28">
            <v>0.95299999999999996</v>
          </cell>
          <cell r="D28">
            <v>32000</v>
          </cell>
          <cell r="E28">
            <v>1920000</v>
          </cell>
          <cell r="F28">
            <v>5.2083333333333336E-7</v>
          </cell>
        </row>
        <row r="30">
          <cell r="B30" t="str">
            <v>3/16´´</v>
          </cell>
          <cell r="C30">
            <v>4.7624999999999993</v>
          </cell>
          <cell r="D30">
            <v>2533.3333333333335</v>
          </cell>
          <cell r="E30">
            <v>152000</v>
          </cell>
          <cell r="F30">
            <v>6.578947368421053E-6</v>
          </cell>
        </row>
        <row r="31">
          <cell r="B31" t="str">
            <v>Cal 10</v>
          </cell>
          <cell r="C31">
            <v>3.4289999999999998</v>
          </cell>
          <cell r="D31">
            <v>3023.8095238095239</v>
          </cell>
          <cell r="E31">
            <v>181428.57142857142</v>
          </cell>
          <cell r="F31">
            <v>5.5118110236220476E-6</v>
          </cell>
        </row>
        <row r="32">
          <cell r="B32" t="str">
            <v>1/4´´</v>
          </cell>
          <cell r="C32">
            <v>6.35</v>
          </cell>
          <cell r="D32">
            <v>9102.4159663865539</v>
          </cell>
          <cell r="E32">
            <v>546144.95798319322</v>
          </cell>
          <cell r="F32">
            <v>1.8310157136537613E-6</v>
          </cell>
        </row>
        <row r="33">
          <cell r="B33" t="str">
            <v>1/8"</v>
          </cell>
          <cell r="C33">
            <v>3.1749999999999998</v>
          </cell>
          <cell r="D33">
            <v>3800</v>
          </cell>
          <cell r="E33">
            <v>228000</v>
          </cell>
          <cell r="F33">
            <v>4.3859649122807014E-6</v>
          </cell>
        </row>
        <row r="34">
          <cell r="B34" t="str">
            <v>Cal 12</v>
          </cell>
          <cell r="C34">
            <v>2.6669999999999998</v>
          </cell>
          <cell r="D34">
            <v>6542.2222222222226</v>
          </cell>
          <cell r="E34">
            <v>392533.33333333337</v>
          </cell>
          <cell r="F34">
            <v>2.5475543478260867E-6</v>
          </cell>
        </row>
        <row r="35">
          <cell r="B35" t="str">
            <v>Cal 14</v>
          </cell>
          <cell r="C35">
            <v>1.905</v>
          </cell>
          <cell r="D35">
            <v>8000</v>
          </cell>
          <cell r="E35">
            <v>480000</v>
          </cell>
          <cell r="F35">
            <v>2.0833333333333334E-6</v>
          </cell>
        </row>
        <row r="36">
          <cell r="B36" t="str">
            <v>Cal 16</v>
          </cell>
          <cell r="C36">
            <v>1.524</v>
          </cell>
          <cell r="D36">
            <v>6803.5714285714284</v>
          </cell>
          <cell r="E36">
            <v>408214.28571428568</v>
          </cell>
          <cell r="F36">
            <v>2.4496937882764656E-6</v>
          </cell>
        </row>
        <row r="37">
          <cell r="B37" t="str">
            <v>Cal 18</v>
          </cell>
          <cell r="C37">
            <v>1.2190000000000001</v>
          </cell>
          <cell r="D37">
            <v>12249.999999999998</v>
          </cell>
          <cell r="E37">
            <v>734999.99999999988</v>
          </cell>
          <cell r="F37">
            <v>1.3605442176870751E-6</v>
          </cell>
        </row>
        <row r="38">
          <cell r="B38" t="str">
            <v>Cal 20</v>
          </cell>
          <cell r="C38">
            <v>0.95299999999999996</v>
          </cell>
          <cell r="D38">
            <v>25000</v>
          </cell>
          <cell r="E38">
            <v>1500000</v>
          </cell>
          <cell r="F38">
            <v>6.6666666666666671E-7</v>
          </cell>
        </row>
      </sheetData>
      <sheetData sheetId="8"/>
      <sheetData sheetId="9"/>
      <sheetData sheetId="10">
        <row r="2">
          <cell r="H2" t="str">
            <v>14ga</v>
          </cell>
          <cell r="I2" t="str">
            <v>Cal 14</v>
          </cell>
          <cell r="J2" t="str">
            <v>MATERIAL 1ga 4x10</v>
          </cell>
        </row>
        <row r="3">
          <cell r="A3" t="str">
            <v>T1.0</v>
          </cell>
          <cell r="B3">
            <v>1000</v>
          </cell>
          <cell r="H3" t="str">
            <v>14gacr</v>
          </cell>
          <cell r="I3" t="str">
            <v>Cal 14</v>
          </cell>
          <cell r="J3" t="str">
            <v>MATERIAL 1ga 4x10</v>
          </cell>
        </row>
        <row r="4">
          <cell r="A4" t="str">
            <v>T2.0</v>
          </cell>
          <cell r="B4">
            <v>2000</v>
          </cell>
          <cell r="H4" t="str">
            <v>12ga</v>
          </cell>
          <cell r="I4" t="str">
            <v>Cal 12</v>
          </cell>
          <cell r="J4" t="str">
            <v>MATERIAL 12ga 4x10</v>
          </cell>
        </row>
        <row r="5">
          <cell r="A5" t="str">
            <v>T2.75</v>
          </cell>
          <cell r="B5">
            <v>2750</v>
          </cell>
          <cell r="H5" t="str">
            <v>12gacr</v>
          </cell>
          <cell r="I5" t="str">
            <v>Cal 12</v>
          </cell>
          <cell r="J5" t="str">
            <v>MATERIAL 12ga 4x10</v>
          </cell>
        </row>
        <row r="6">
          <cell r="A6" t="str">
            <v>T3.0</v>
          </cell>
          <cell r="B6">
            <v>3000</v>
          </cell>
          <cell r="H6" t="str">
            <v>16ga</v>
          </cell>
          <cell r="I6" t="str">
            <v>Cal 16</v>
          </cell>
          <cell r="J6" t="str">
            <v>MATERIAL 12ga 4x10</v>
          </cell>
        </row>
        <row r="7">
          <cell r="A7" t="str">
            <v>T3.5</v>
          </cell>
          <cell r="B7">
            <v>3500</v>
          </cell>
          <cell r="H7" t="str">
            <v>16gacr</v>
          </cell>
          <cell r="I7" t="str">
            <v>Cal 16</v>
          </cell>
          <cell r="J7" t="str">
            <v>MATERIAL 12ga 4x10</v>
          </cell>
        </row>
        <row r="8">
          <cell r="A8" t="str">
            <v>T4.0</v>
          </cell>
          <cell r="B8">
            <v>4000</v>
          </cell>
          <cell r="H8" t="str">
            <v>10ga</v>
          </cell>
          <cell r="I8" t="str">
            <v>Cal 10</v>
          </cell>
          <cell r="J8" t="str">
            <v>MATERIAL 10ga 4x10</v>
          </cell>
        </row>
        <row r="9">
          <cell r="A9" t="str">
            <v>T4.5</v>
          </cell>
          <cell r="B9">
            <v>4500</v>
          </cell>
          <cell r="H9" t="str">
            <v>10gacr</v>
          </cell>
          <cell r="I9" t="str">
            <v>Cal 10</v>
          </cell>
          <cell r="J9" t="str">
            <v>MATERIAL 10ga 4x10</v>
          </cell>
        </row>
        <row r="10">
          <cell r="A10" t="str">
            <v>T5.0</v>
          </cell>
          <cell r="B10">
            <v>5000</v>
          </cell>
          <cell r="H10" t="str">
            <v>1/4AL</v>
          </cell>
          <cell r="I10" t="str">
            <v>1/4´´</v>
          </cell>
          <cell r="J10" t="str">
            <v>Aluminio 6061 4x10</v>
          </cell>
        </row>
        <row r="11">
          <cell r="A11" t="str">
            <v>T5.5</v>
          </cell>
          <cell r="B11">
            <v>5500</v>
          </cell>
          <cell r="H11" t="str">
            <v>125al</v>
          </cell>
          <cell r="I11" t="str">
            <v>1/8"</v>
          </cell>
          <cell r="J11" t="str">
            <v>Aluminio 6061 4x10</v>
          </cell>
        </row>
        <row r="12">
          <cell r="A12" t="str">
            <v>T6.0</v>
          </cell>
          <cell r="B12">
            <v>6000</v>
          </cell>
          <cell r="H12" t="str">
            <v>188al</v>
          </cell>
          <cell r="I12" t="str">
            <v>3/16´´</v>
          </cell>
          <cell r="J12" t="str">
            <v>Aluminio 6061 4x10</v>
          </cell>
        </row>
        <row r="13">
          <cell r="A13" t="str">
            <v>T7</v>
          </cell>
          <cell r="B13">
            <v>7000</v>
          </cell>
        </row>
        <row r="14">
          <cell r="A14" t="str">
            <v>T8</v>
          </cell>
          <cell r="B14">
            <v>8000</v>
          </cell>
        </row>
        <row r="15">
          <cell r="A15" t="str">
            <v>T9</v>
          </cell>
          <cell r="B15">
            <v>9000</v>
          </cell>
        </row>
        <row r="16">
          <cell r="A16" t="str">
            <v>T10</v>
          </cell>
          <cell r="B16">
            <v>10000</v>
          </cell>
        </row>
        <row r="17">
          <cell r="A17" t="str">
            <v>T11</v>
          </cell>
          <cell r="B17">
            <v>11000</v>
          </cell>
        </row>
        <row r="18">
          <cell r="A18" t="str">
            <v>T12</v>
          </cell>
          <cell r="B18">
            <v>12000</v>
          </cell>
        </row>
        <row r="19">
          <cell r="A19" t="str">
            <v>T13</v>
          </cell>
          <cell r="B19">
            <v>13000</v>
          </cell>
        </row>
        <row r="20">
          <cell r="A20" t="str">
            <v>T14</v>
          </cell>
          <cell r="B20">
            <v>14000</v>
          </cell>
        </row>
        <row r="21">
          <cell r="A21" t="str">
            <v>T15</v>
          </cell>
          <cell r="B21">
            <v>15000</v>
          </cell>
        </row>
        <row r="22">
          <cell r="A22" t="str">
            <v>T16</v>
          </cell>
          <cell r="B22">
            <v>16000</v>
          </cell>
        </row>
        <row r="23">
          <cell r="A23" t="str">
            <v>T17</v>
          </cell>
          <cell r="B23">
            <v>17000</v>
          </cell>
        </row>
        <row r="24">
          <cell r="A24" t="str">
            <v>T18</v>
          </cell>
          <cell r="B24">
            <v>18000</v>
          </cell>
        </row>
        <row r="25">
          <cell r="A25" t="str">
            <v>T19</v>
          </cell>
          <cell r="B25">
            <v>19000</v>
          </cell>
        </row>
        <row r="26">
          <cell r="A26" t="str">
            <v>T20</v>
          </cell>
          <cell r="B26">
            <v>20000</v>
          </cell>
        </row>
        <row r="27">
          <cell r="A27" t="str">
            <v>T21</v>
          </cell>
          <cell r="B27">
            <v>21000</v>
          </cell>
        </row>
        <row r="28">
          <cell r="A28" t="str">
            <v>T22</v>
          </cell>
          <cell r="B28">
            <v>22000</v>
          </cell>
        </row>
        <row r="29">
          <cell r="A29" t="str">
            <v>T23</v>
          </cell>
          <cell r="B29">
            <v>23000</v>
          </cell>
        </row>
        <row r="30">
          <cell r="A30" t="str">
            <v>T24</v>
          </cell>
          <cell r="B30">
            <v>24000</v>
          </cell>
        </row>
        <row r="31">
          <cell r="A31" t="str">
            <v>T25</v>
          </cell>
          <cell r="B31">
            <v>25000</v>
          </cell>
        </row>
        <row r="32">
          <cell r="A32" t="str">
            <v>T26</v>
          </cell>
          <cell r="B32">
            <v>26000</v>
          </cell>
        </row>
        <row r="33">
          <cell r="A33" t="str">
            <v>T27</v>
          </cell>
          <cell r="B33">
            <v>27000</v>
          </cell>
        </row>
        <row r="34">
          <cell r="A34" t="str">
            <v>T28</v>
          </cell>
          <cell r="B34">
            <v>28000</v>
          </cell>
        </row>
        <row r="35">
          <cell r="A35" t="str">
            <v>T29</v>
          </cell>
          <cell r="B35">
            <v>29000</v>
          </cell>
        </row>
        <row r="36">
          <cell r="A36" t="str">
            <v>T30</v>
          </cell>
          <cell r="B36">
            <v>30000</v>
          </cell>
        </row>
        <row r="37">
          <cell r="A37" t="str">
            <v>T31</v>
          </cell>
          <cell r="B37">
            <v>31000</v>
          </cell>
        </row>
        <row r="38">
          <cell r="A38" t="str">
            <v>T32</v>
          </cell>
          <cell r="B38">
            <v>32000</v>
          </cell>
        </row>
        <row r="39">
          <cell r="A39" t="str">
            <v>T33</v>
          </cell>
          <cell r="B39">
            <v>33000</v>
          </cell>
        </row>
        <row r="40">
          <cell r="A40" t="str">
            <v>T34</v>
          </cell>
          <cell r="B40">
            <v>34000</v>
          </cell>
        </row>
        <row r="41">
          <cell r="A41" t="str">
            <v>T35</v>
          </cell>
          <cell r="B41">
            <v>35000</v>
          </cell>
        </row>
        <row r="42">
          <cell r="A42" t="str">
            <v>T36</v>
          </cell>
          <cell r="B42">
            <v>36000</v>
          </cell>
        </row>
        <row r="43">
          <cell r="A43" t="str">
            <v>T37</v>
          </cell>
          <cell r="B43">
            <v>37000</v>
          </cell>
        </row>
        <row r="44">
          <cell r="A44" t="str">
            <v>T38</v>
          </cell>
          <cell r="B44">
            <v>38000</v>
          </cell>
        </row>
        <row r="45">
          <cell r="A45" t="str">
            <v>T39</v>
          </cell>
          <cell r="B45">
            <v>39000</v>
          </cell>
        </row>
        <row r="46">
          <cell r="A46" t="str">
            <v>T40</v>
          </cell>
          <cell r="B46">
            <v>40000</v>
          </cell>
        </row>
        <row r="47">
          <cell r="A47" t="str">
            <v>T41</v>
          </cell>
          <cell r="B47">
            <v>41000</v>
          </cell>
        </row>
        <row r="48">
          <cell r="A48" t="str">
            <v>T42</v>
          </cell>
          <cell r="B48">
            <v>42000</v>
          </cell>
        </row>
        <row r="49">
          <cell r="A49" t="str">
            <v>T43</v>
          </cell>
          <cell r="B49">
            <v>43000</v>
          </cell>
        </row>
        <row r="50">
          <cell r="A50" t="str">
            <v>T44</v>
          </cell>
          <cell r="B50">
            <v>44000</v>
          </cell>
        </row>
        <row r="51">
          <cell r="A51" t="str">
            <v>T45</v>
          </cell>
          <cell r="B51">
            <v>45000</v>
          </cell>
        </row>
        <row r="52">
          <cell r="A52" t="str">
            <v>T46</v>
          </cell>
          <cell r="B52">
            <v>46000</v>
          </cell>
        </row>
        <row r="53">
          <cell r="A53" t="str">
            <v>T47</v>
          </cell>
          <cell r="B53">
            <v>47000</v>
          </cell>
        </row>
        <row r="54">
          <cell r="A54" t="str">
            <v>T48</v>
          </cell>
          <cell r="B54">
            <v>48000</v>
          </cell>
        </row>
        <row r="55">
          <cell r="A55" t="str">
            <v>T49</v>
          </cell>
          <cell r="B55">
            <v>49000</v>
          </cell>
        </row>
        <row r="56">
          <cell r="A56" t="str">
            <v>T50</v>
          </cell>
          <cell r="B56">
            <v>50000</v>
          </cell>
        </row>
        <row r="57">
          <cell r="A57" t="str">
            <v>T51</v>
          </cell>
          <cell r="B57">
            <v>51000</v>
          </cell>
        </row>
        <row r="58">
          <cell r="A58" t="str">
            <v>T52</v>
          </cell>
          <cell r="B58">
            <v>52000</v>
          </cell>
        </row>
      </sheetData>
      <sheetData sheetId="11"/>
      <sheetData sheetId="12"/>
      <sheetData sheetId="13"/>
      <sheetData sheetId="14">
        <row r="1">
          <cell r="A1"/>
          <cell r="B1" t="str">
            <v>PROVEDOR 1</v>
          </cell>
        </row>
        <row r="2">
          <cell r="A2" t="str">
            <v>11-a-9423-01</v>
          </cell>
          <cell r="B2">
            <v>999.14</v>
          </cell>
        </row>
        <row r="3">
          <cell r="A3" t="str">
            <v>11-A-9423-02</v>
          </cell>
          <cell r="B3">
            <v>999.14</v>
          </cell>
        </row>
        <row r="4">
          <cell r="A4" t="str">
            <v>11-A-9424-01</v>
          </cell>
          <cell r="B4">
            <v>1133.8599999999999</v>
          </cell>
        </row>
        <row r="5">
          <cell r="A5" t="str">
            <v>11-A-9424-02</v>
          </cell>
          <cell r="B5">
            <v>1133.8599999999999</v>
          </cell>
        </row>
        <row r="6">
          <cell r="A6" t="str">
            <v>11-A-9499-01</v>
          </cell>
          <cell r="B6">
            <v>1133.8599999999999</v>
          </cell>
        </row>
        <row r="7">
          <cell r="A7" t="str">
            <v>11-A-9524-01</v>
          </cell>
          <cell r="B7">
            <v>727.27</v>
          </cell>
        </row>
        <row r="8">
          <cell r="A8" t="str">
            <v>11-A-9524-01</v>
          </cell>
          <cell r="B8">
            <v>667.67</v>
          </cell>
        </row>
        <row r="9">
          <cell r="A9" t="str">
            <v>11-A-9524-02</v>
          </cell>
          <cell r="B9">
            <v>727.27</v>
          </cell>
        </row>
        <row r="10">
          <cell r="A10" t="str">
            <v>11-A-9524-02</v>
          </cell>
          <cell r="B10">
            <v>667.67</v>
          </cell>
        </row>
        <row r="11">
          <cell r="A11" t="str">
            <v>11-A-9556-01</v>
          </cell>
          <cell r="B11">
            <v>396.23</v>
          </cell>
        </row>
        <row r="12">
          <cell r="A12" t="str">
            <v>11-A-9559-01</v>
          </cell>
          <cell r="B12">
            <v>3075.16</v>
          </cell>
        </row>
        <row r="13">
          <cell r="A13" t="str">
            <v>11-A-9934-01</v>
          </cell>
          <cell r="B13">
            <v>564.28</v>
          </cell>
        </row>
        <row r="14">
          <cell r="A14" t="str">
            <v>11-A-9934-02</v>
          </cell>
          <cell r="B14">
            <v>751.88</v>
          </cell>
        </row>
        <row r="15">
          <cell r="A15" t="str">
            <v>11-A-9951-01</v>
          </cell>
          <cell r="B15">
            <v>550.28</v>
          </cell>
        </row>
        <row r="16">
          <cell r="A16" t="str">
            <v>11-A-9960-01</v>
          </cell>
          <cell r="B16">
            <v>1073.6099999999999</v>
          </cell>
        </row>
        <row r="17">
          <cell r="A17" t="str">
            <v>11-A-9961-01</v>
          </cell>
          <cell r="B17">
            <v>1164.4100000000001</v>
          </cell>
        </row>
        <row r="18">
          <cell r="A18" t="str">
            <v>11-A-9990-01</v>
          </cell>
          <cell r="B18">
            <v>867.11</v>
          </cell>
        </row>
        <row r="19">
          <cell r="A19" t="str">
            <v>11-B-9015-01</v>
          </cell>
          <cell r="B19">
            <v>308.87</v>
          </cell>
        </row>
        <row r="20">
          <cell r="A20" t="str">
            <v>11-B-9016-01</v>
          </cell>
          <cell r="B20">
            <v>200.98</v>
          </cell>
        </row>
        <row r="21">
          <cell r="A21" t="str">
            <v>11-B-9034-01</v>
          </cell>
          <cell r="B21">
            <v>1686.94</v>
          </cell>
        </row>
        <row r="22">
          <cell r="A22" t="str">
            <v>11-B-9035-01</v>
          </cell>
          <cell r="B22">
            <v>1465.01</v>
          </cell>
        </row>
        <row r="23">
          <cell r="A23" t="str">
            <v>11-B-9160-01</v>
          </cell>
          <cell r="B23">
            <v>626.02</v>
          </cell>
        </row>
        <row r="24">
          <cell r="A24" t="str">
            <v>11-B-9193-01</v>
          </cell>
          <cell r="B24">
            <v>932.35</v>
          </cell>
        </row>
        <row r="25">
          <cell r="A25" t="str">
            <v>11-B-9194-03</v>
          </cell>
          <cell r="B25">
            <v>887.6</v>
          </cell>
        </row>
        <row r="26">
          <cell r="A26" t="str">
            <v>11-B-9194-04</v>
          </cell>
          <cell r="B26">
            <v>887.6</v>
          </cell>
        </row>
        <row r="27">
          <cell r="A27" t="str">
            <v>11-B-9258-01</v>
          </cell>
          <cell r="B27">
            <v>2866.74</v>
          </cell>
        </row>
        <row r="28">
          <cell r="A28" t="str">
            <v>11-B-9607-01 GSD</v>
          </cell>
          <cell r="B28">
            <v>1332.15</v>
          </cell>
        </row>
        <row r="29">
          <cell r="A29" t="str">
            <v>11-B-9607-02 GSD</v>
          </cell>
          <cell r="B29">
            <v>7115.01</v>
          </cell>
        </row>
        <row r="30">
          <cell r="A30" t="str">
            <v>11-B-9610-01</v>
          </cell>
          <cell r="B30">
            <v>2325.87</v>
          </cell>
        </row>
        <row r="31">
          <cell r="A31" t="str">
            <v>11-B-9610-01 GSD</v>
          </cell>
          <cell r="B31">
            <v>1617.25</v>
          </cell>
        </row>
        <row r="32">
          <cell r="A32" t="str">
            <v>11-B-9626-01</v>
          </cell>
          <cell r="B32">
            <v>803.38</v>
          </cell>
        </row>
        <row r="33">
          <cell r="A33" t="str">
            <v>11-B-9627-01</v>
          </cell>
          <cell r="B33">
            <v>793.45</v>
          </cell>
        </row>
        <row r="34">
          <cell r="A34" t="str">
            <v>11-B-9631-01</v>
          </cell>
          <cell r="B34">
            <v>1066.3699999999999</v>
          </cell>
        </row>
        <row r="35">
          <cell r="A35" t="str">
            <v>11-B-9632-01</v>
          </cell>
          <cell r="B35">
            <v>722.35</v>
          </cell>
        </row>
        <row r="36">
          <cell r="A36" t="str">
            <v>11-B-9633-01</v>
          </cell>
          <cell r="B36">
            <v>694.02</v>
          </cell>
        </row>
        <row r="37">
          <cell r="A37" t="str">
            <v>11-B-9634-01</v>
          </cell>
          <cell r="B37">
            <v>1571.32</v>
          </cell>
        </row>
        <row r="38">
          <cell r="A38" t="str">
            <v>11-B-9635-01</v>
          </cell>
          <cell r="B38">
            <v>2169.25</v>
          </cell>
        </row>
        <row r="39">
          <cell r="A39" t="str">
            <v>11-B-9636-01</v>
          </cell>
          <cell r="B39">
            <v>604.53</v>
          </cell>
        </row>
        <row r="40">
          <cell r="A40" t="str">
            <v>11-B-9637-01</v>
          </cell>
          <cell r="B40">
            <v>1168.21</v>
          </cell>
        </row>
        <row r="41">
          <cell r="A41" t="str">
            <v>11-B-9638-01</v>
          </cell>
          <cell r="B41">
            <v>694.02</v>
          </cell>
        </row>
        <row r="42">
          <cell r="A42" t="str">
            <v>11-B-9639-01</v>
          </cell>
          <cell r="B42">
            <v>793.45</v>
          </cell>
        </row>
        <row r="43">
          <cell r="A43" t="str">
            <v>11-B-9640-01</v>
          </cell>
          <cell r="B43">
            <v>495.29</v>
          </cell>
        </row>
        <row r="44">
          <cell r="A44" t="str">
            <v>11-B-9641-01</v>
          </cell>
          <cell r="B44">
            <v>625.29</v>
          </cell>
        </row>
        <row r="45">
          <cell r="A45" t="str">
            <v>11-B-9642-01</v>
          </cell>
          <cell r="B45">
            <v>2217.48</v>
          </cell>
        </row>
        <row r="46">
          <cell r="A46" t="str">
            <v>11-B-9643-01</v>
          </cell>
          <cell r="B46">
            <v>1211.74</v>
          </cell>
        </row>
        <row r="47">
          <cell r="A47" t="str">
            <v>11-B-9753-01</v>
          </cell>
          <cell r="B47">
            <v>609.11</v>
          </cell>
        </row>
        <row r="48">
          <cell r="A48" t="str">
            <v>11-B-9754-01</v>
          </cell>
          <cell r="B48">
            <v>337.69</v>
          </cell>
        </row>
        <row r="49">
          <cell r="A49" t="str">
            <v>11-B-9754-02</v>
          </cell>
          <cell r="B49">
            <v>445.68</v>
          </cell>
        </row>
        <row r="50">
          <cell r="A50" t="str">
            <v>11-B-9822-01</v>
          </cell>
          <cell r="B50">
            <v>5647.24</v>
          </cell>
        </row>
        <row r="51">
          <cell r="A51" t="str">
            <v>11-B-9822-02</v>
          </cell>
          <cell r="B51">
            <v>5647.24</v>
          </cell>
        </row>
        <row r="52">
          <cell r="A52" t="str">
            <v>11-C-9297-01</v>
          </cell>
          <cell r="B52">
            <v>390.26</v>
          </cell>
        </row>
        <row r="53">
          <cell r="A53" t="str">
            <v>11-C-9298-01</v>
          </cell>
          <cell r="B53">
            <v>359.39</v>
          </cell>
        </row>
        <row r="54">
          <cell r="A54" t="str">
            <v>11-C-9298-01</v>
          </cell>
          <cell r="B54">
            <v>391.75</v>
          </cell>
        </row>
        <row r="55">
          <cell r="A55" t="str">
            <v>11-C-9299-01</v>
          </cell>
          <cell r="B55">
            <v>390.76</v>
          </cell>
        </row>
        <row r="56">
          <cell r="A56" t="str">
            <v>11-C-9299-01</v>
          </cell>
          <cell r="B56">
            <v>390.76</v>
          </cell>
        </row>
        <row r="57">
          <cell r="A57" t="str">
            <v>11-C-9352-01</v>
          </cell>
          <cell r="B57">
            <v>320.8</v>
          </cell>
        </row>
        <row r="58">
          <cell r="A58" t="str">
            <v>11-C-9611-01</v>
          </cell>
          <cell r="B58">
            <v>1526.62</v>
          </cell>
        </row>
        <row r="59">
          <cell r="A59" t="str">
            <v>11-C-9612-01</v>
          </cell>
          <cell r="B59">
            <v>1807.76</v>
          </cell>
        </row>
        <row r="60">
          <cell r="A60" t="str">
            <v>11-C-9747-01</v>
          </cell>
          <cell r="B60">
            <v>633.12</v>
          </cell>
        </row>
        <row r="61">
          <cell r="A61" t="str">
            <v>11-C-9760-01</v>
          </cell>
          <cell r="B61">
            <v>953.1</v>
          </cell>
        </row>
        <row r="62">
          <cell r="A62" t="str">
            <v>11-C-9761-01</v>
          </cell>
          <cell r="B62">
            <v>1263.53</v>
          </cell>
        </row>
        <row r="63">
          <cell r="A63" t="str">
            <v>11-C-9762-01</v>
          </cell>
          <cell r="B63">
            <v>332.59</v>
          </cell>
        </row>
        <row r="64">
          <cell r="A64" t="str">
            <v>11-C-9763-01</v>
          </cell>
          <cell r="B64">
            <v>762.53</v>
          </cell>
        </row>
        <row r="65">
          <cell r="A65" t="str">
            <v>11-C-9765-01</v>
          </cell>
          <cell r="B65">
            <v>1004.6</v>
          </cell>
        </row>
        <row r="66">
          <cell r="A66" t="str">
            <v>11-C-9778-01</v>
          </cell>
          <cell r="B66">
            <v>2413.6799999999998</v>
          </cell>
        </row>
        <row r="67">
          <cell r="A67" t="str">
            <v>11-C-9778-01 GSD</v>
          </cell>
          <cell r="B67">
            <v>2434.0500000000002</v>
          </cell>
        </row>
        <row r="68">
          <cell r="A68" t="str">
            <v>11-C-9779-01</v>
          </cell>
          <cell r="B68">
            <v>3145.51</v>
          </cell>
        </row>
        <row r="69">
          <cell r="A69" t="str">
            <v>11-C-9779-01 GSD</v>
          </cell>
          <cell r="B69">
            <v>3275.05</v>
          </cell>
        </row>
        <row r="70">
          <cell r="A70" t="str">
            <v>11-C-9779-01-MO</v>
          </cell>
          <cell r="B70">
            <v>3223.13</v>
          </cell>
        </row>
        <row r="71">
          <cell r="A71" t="str">
            <v>11-C-9779-02 GSD</v>
          </cell>
          <cell r="B71">
            <v>3248.46</v>
          </cell>
        </row>
        <row r="72">
          <cell r="A72" t="str">
            <v>11-D-9156-01</v>
          </cell>
          <cell r="B72">
            <v>1374.1</v>
          </cell>
        </row>
        <row r="73">
          <cell r="A73" t="str">
            <v>11-D-9157-01</v>
          </cell>
          <cell r="B73">
            <v>1743.97</v>
          </cell>
        </row>
        <row r="74">
          <cell r="A74" t="str">
            <v>11-D-9297-01</v>
          </cell>
          <cell r="B74">
            <v>291.44</v>
          </cell>
        </row>
        <row r="75">
          <cell r="A75" t="str">
            <v>11-D-9298-01</v>
          </cell>
          <cell r="B75">
            <v>291.44</v>
          </cell>
        </row>
        <row r="76">
          <cell r="A76" t="str">
            <v>11-D-9492-01</v>
          </cell>
          <cell r="B76">
            <v>236.28</v>
          </cell>
        </row>
        <row r="77">
          <cell r="A77" t="str">
            <v>11-D-9493-01</v>
          </cell>
          <cell r="B77">
            <v>622.25</v>
          </cell>
        </row>
        <row r="78">
          <cell r="A78" t="str">
            <v>11-D-9497-01</v>
          </cell>
          <cell r="B78">
            <v>305.88</v>
          </cell>
        </row>
        <row r="79">
          <cell r="A79" t="str">
            <v>11-D-9583-01</v>
          </cell>
          <cell r="B79">
            <v>1001.85</v>
          </cell>
        </row>
        <row r="80">
          <cell r="A80" t="str">
            <v>11-D-9584-01</v>
          </cell>
          <cell r="B80">
            <v>1001.85</v>
          </cell>
        </row>
        <row r="81">
          <cell r="A81" t="str">
            <v>11-D-9588-01 DB</v>
          </cell>
          <cell r="B81">
            <v>511.96</v>
          </cell>
        </row>
        <row r="82">
          <cell r="A82" t="str">
            <v>11-D-9588-01 S</v>
          </cell>
          <cell r="B82">
            <v>511.96</v>
          </cell>
        </row>
        <row r="83">
          <cell r="A83" t="str">
            <v>11-D-9588-02 DB</v>
          </cell>
          <cell r="B83">
            <v>510.86</v>
          </cell>
        </row>
        <row r="84">
          <cell r="A84" t="str">
            <v>11-D-9588-02 SB</v>
          </cell>
          <cell r="B84">
            <v>510.86</v>
          </cell>
        </row>
        <row r="85">
          <cell r="A85" t="str">
            <v>11-D-9590-01 DB</v>
          </cell>
          <cell r="B85">
            <v>1950.85</v>
          </cell>
        </row>
        <row r="86">
          <cell r="A86" t="str">
            <v>11-D-9590-01 SB</v>
          </cell>
          <cell r="B86">
            <v>1950.85</v>
          </cell>
        </row>
        <row r="87">
          <cell r="A87" t="str">
            <v>11-D-9592-01 DB</v>
          </cell>
          <cell r="B87">
            <v>355.21</v>
          </cell>
        </row>
        <row r="88">
          <cell r="A88" t="str">
            <v>11-D-9592-01 SB</v>
          </cell>
          <cell r="B88">
            <v>355.21</v>
          </cell>
        </row>
        <row r="89">
          <cell r="A89" t="str">
            <v>11-D-9592-02 DB</v>
          </cell>
          <cell r="B89">
            <v>393.33</v>
          </cell>
        </row>
        <row r="90">
          <cell r="A90" t="str">
            <v>11-D-9592-02 SB</v>
          </cell>
          <cell r="B90">
            <v>393.33</v>
          </cell>
        </row>
        <row r="91">
          <cell r="A91" t="str">
            <v>11-D-9593-01 SB</v>
          </cell>
          <cell r="B91">
            <v>492.54</v>
          </cell>
        </row>
        <row r="92">
          <cell r="A92" t="str">
            <v>11-D-9593-02 DB</v>
          </cell>
          <cell r="B92">
            <v>601</v>
          </cell>
        </row>
        <row r="93">
          <cell r="A93" t="str">
            <v>11-D-9593-02 SB</v>
          </cell>
          <cell r="B93">
            <v>601</v>
          </cell>
        </row>
        <row r="94">
          <cell r="A94" t="str">
            <v>11-D-9596-01 GSD</v>
          </cell>
          <cell r="B94">
            <v>342.25</v>
          </cell>
        </row>
        <row r="95">
          <cell r="A95" t="str">
            <v>11-D-9596-02 GSD</v>
          </cell>
          <cell r="B95">
            <v>368.27</v>
          </cell>
        </row>
        <row r="96">
          <cell r="A96" t="str">
            <v>11-D-9596-02 GSD2</v>
          </cell>
          <cell r="B96">
            <v>433.68</v>
          </cell>
        </row>
        <row r="97">
          <cell r="A97" t="str">
            <v>11-D-9597-01</v>
          </cell>
          <cell r="B97">
            <v>1054.55</v>
          </cell>
        </row>
        <row r="98">
          <cell r="A98" t="str">
            <v>11-D-9597-02</v>
          </cell>
          <cell r="B98">
            <v>1469.24</v>
          </cell>
        </row>
        <row r="99">
          <cell r="A99" t="str">
            <v>11-D-9599-01 DB</v>
          </cell>
          <cell r="B99">
            <v>2660.18</v>
          </cell>
        </row>
        <row r="100">
          <cell r="A100" t="str">
            <v>11-D-9599-01 SB</v>
          </cell>
          <cell r="B100">
            <v>2660.18</v>
          </cell>
        </row>
        <row r="101">
          <cell r="A101" t="str">
            <v>11-D-9978-223</v>
          </cell>
          <cell r="B101">
            <v>629.5</v>
          </cell>
        </row>
        <row r="102">
          <cell r="A102" t="str">
            <v>11-D-9979-202</v>
          </cell>
          <cell r="B102">
            <v>370.63</v>
          </cell>
        </row>
        <row r="103">
          <cell r="A103" t="str">
            <v>11-E-9422-01L</v>
          </cell>
          <cell r="B103">
            <v>574.21</v>
          </cell>
        </row>
        <row r="104">
          <cell r="A104" t="str">
            <v>11-E-9422-01R</v>
          </cell>
          <cell r="B104">
            <v>574.21</v>
          </cell>
        </row>
        <row r="105">
          <cell r="A105" t="str">
            <v>11-E-9423-01</v>
          </cell>
          <cell r="B105">
            <v>987.7</v>
          </cell>
        </row>
        <row r="106">
          <cell r="A106" t="str">
            <v>11-E-9426-01</v>
          </cell>
          <cell r="B106">
            <v>987.7</v>
          </cell>
        </row>
        <row r="107">
          <cell r="A107" t="str">
            <v>11-E-9427-01</v>
          </cell>
          <cell r="B107">
            <v>8473</v>
          </cell>
        </row>
        <row r="108">
          <cell r="A108" t="str">
            <v>11-E-9428-01</v>
          </cell>
          <cell r="B108">
            <v>1696.47</v>
          </cell>
        </row>
        <row r="109">
          <cell r="A109" t="str">
            <v>11-E-9429-01</v>
          </cell>
          <cell r="B109">
            <v>6205.94</v>
          </cell>
        </row>
        <row r="110">
          <cell r="A110" t="str">
            <v>11-E-9430-01</v>
          </cell>
          <cell r="B110">
            <v>826.74</v>
          </cell>
        </row>
        <row r="111">
          <cell r="A111" t="str">
            <v>11-E-9431-01</v>
          </cell>
          <cell r="B111">
            <v>1367.25</v>
          </cell>
        </row>
        <row r="112">
          <cell r="A112" t="str">
            <v>11-E-9432-01</v>
          </cell>
          <cell r="B112">
            <v>8330.49</v>
          </cell>
        </row>
        <row r="113">
          <cell r="A113" t="str">
            <v>11-E-9433-01</v>
          </cell>
          <cell r="B113">
            <v>5953.93</v>
          </cell>
        </row>
        <row r="114">
          <cell r="A114" t="str">
            <v>11-E-9434-01</v>
          </cell>
          <cell r="B114">
            <v>1228.3</v>
          </cell>
        </row>
        <row r="115">
          <cell r="A115" t="str">
            <v>11-E-9436-01</v>
          </cell>
          <cell r="B115">
            <v>1268.07</v>
          </cell>
        </row>
        <row r="116">
          <cell r="A116" t="str">
            <v>11-E-9437-01</v>
          </cell>
          <cell r="B116">
            <v>663.57</v>
          </cell>
        </row>
        <row r="117">
          <cell r="A117" t="str">
            <v>11-E-9437-01</v>
          </cell>
          <cell r="B117">
            <v>663.57</v>
          </cell>
        </row>
        <row r="118">
          <cell r="A118" t="str">
            <v>11-E-9438-01</v>
          </cell>
          <cell r="B118">
            <v>1268.07</v>
          </cell>
        </row>
        <row r="119">
          <cell r="A119" t="str">
            <v>11-E-9439-01</v>
          </cell>
          <cell r="B119">
            <v>716.71</v>
          </cell>
        </row>
        <row r="120">
          <cell r="A120" t="str">
            <v>11-E-9440-01</v>
          </cell>
          <cell r="B120">
            <v>1294.29</v>
          </cell>
        </row>
        <row r="121">
          <cell r="A121" t="str">
            <v>11-E-9440-02</v>
          </cell>
          <cell r="B121">
            <v>1294.29</v>
          </cell>
        </row>
        <row r="122">
          <cell r="A122" t="str">
            <v>11-E-9442-01</v>
          </cell>
          <cell r="B122">
            <v>408.16</v>
          </cell>
        </row>
        <row r="123">
          <cell r="A123" t="str">
            <v>11-E-9443-01</v>
          </cell>
          <cell r="B123">
            <v>674.25</v>
          </cell>
        </row>
        <row r="124">
          <cell r="A124" t="str">
            <v>11-E-9444-01</v>
          </cell>
          <cell r="B124">
            <v>841.66</v>
          </cell>
        </row>
        <row r="125">
          <cell r="A125" t="str">
            <v>11-E-9445-01</v>
          </cell>
          <cell r="B125">
            <v>5863.08</v>
          </cell>
        </row>
        <row r="126">
          <cell r="A126" t="str">
            <v>11-E-9445-02</v>
          </cell>
          <cell r="B126">
            <v>5863.08</v>
          </cell>
        </row>
        <row r="127">
          <cell r="A127" t="str">
            <v>11-E-9446-01</v>
          </cell>
          <cell r="B127">
            <v>3023.69</v>
          </cell>
        </row>
        <row r="128">
          <cell r="A128" t="str">
            <v>11-E-9447-01</v>
          </cell>
          <cell r="B128">
            <v>3023.69</v>
          </cell>
        </row>
        <row r="129">
          <cell r="A129" t="str">
            <v>11-E-9448-01</v>
          </cell>
          <cell r="B129">
            <v>601.04999999999995</v>
          </cell>
        </row>
        <row r="130">
          <cell r="A130" t="str">
            <v>11-E-9448-02</v>
          </cell>
          <cell r="B130">
            <v>601.04999999999995</v>
          </cell>
        </row>
        <row r="131">
          <cell r="A131" t="str">
            <v>11-E-9449-01</v>
          </cell>
          <cell r="B131">
            <v>752.5</v>
          </cell>
        </row>
        <row r="132">
          <cell r="A132" t="str">
            <v>11-E-9449-02</v>
          </cell>
          <cell r="B132">
            <v>752.5</v>
          </cell>
        </row>
        <row r="133">
          <cell r="A133" t="str">
            <v>11-E-9450-01</v>
          </cell>
          <cell r="B133">
            <v>378.28</v>
          </cell>
        </row>
        <row r="134">
          <cell r="A134" t="str">
            <v>11-E-9451-01</v>
          </cell>
          <cell r="B134">
            <v>909.78</v>
          </cell>
        </row>
        <row r="135">
          <cell r="A135" t="str">
            <v>11-E-9452-01</v>
          </cell>
          <cell r="B135">
            <v>3910.44</v>
          </cell>
        </row>
        <row r="136">
          <cell r="A136" t="str">
            <v>11-E-9453-01</v>
          </cell>
          <cell r="B136">
            <v>719.87</v>
          </cell>
        </row>
        <row r="137">
          <cell r="A137" t="str">
            <v>11-E-9454-01</v>
          </cell>
          <cell r="B137">
            <v>595.70000000000005</v>
          </cell>
        </row>
        <row r="138">
          <cell r="A138" t="str">
            <v>11-E-9455-01</v>
          </cell>
          <cell r="B138">
            <v>379.77</v>
          </cell>
        </row>
        <row r="139">
          <cell r="A139" t="str">
            <v>11-E-9456-01</v>
          </cell>
          <cell r="B139">
            <v>429.04</v>
          </cell>
        </row>
        <row r="140">
          <cell r="A140" t="str">
            <v>11-E-9457-01</v>
          </cell>
          <cell r="B140">
            <v>596.95000000000005</v>
          </cell>
        </row>
        <row r="141">
          <cell r="A141" t="str">
            <v>11-E-9458-01</v>
          </cell>
          <cell r="B141">
            <v>801.28</v>
          </cell>
        </row>
        <row r="142">
          <cell r="A142" t="str">
            <v>11-E-9459-01</v>
          </cell>
          <cell r="B142">
            <v>380.07</v>
          </cell>
        </row>
        <row r="143">
          <cell r="A143" t="str">
            <v>11-E-9460-01</v>
          </cell>
          <cell r="B143">
            <v>937.86</v>
          </cell>
        </row>
        <row r="144">
          <cell r="A144" t="str">
            <v>11-E-9461-01</v>
          </cell>
          <cell r="B144">
            <v>3207.38</v>
          </cell>
        </row>
        <row r="145">
          <cell r="A145" t="str">
            <v>11-E-9463-01</v>
          </cell>
          <cell r="B145">
            <v>631</v>
          </cell>
        </row>
        <row r="146">
          <cell r="A146" t="str">
            <v>11-E-9466-01</v>
          </cell>
          <cell r="B146">
            <v>656.73</v>
          </cell>
        </row>
        <row r="147">
          <cell r="A147" t="str">
            <v>11-E-9467-01</v>
          </cell>
          <cell r="B147">
            <v>763.37</v>
          </cell>
        </row>
        <row r="148">
          <cell r="A148" t="str">
            <v>11-E-9467-02</v>
          </cell>
          <cell r="B148">
            <v>763.37</v>
          </cell>
        </row>
        <row r="149">
          <cell r="A149" t="str">
            <v>11-E-9468-01</v>
          </cell>
          <cell r="B149">
            <v>675.87</v>
          </cell>
        </row>
        <row r="150">
          <cell r="A150" t="str">
            <v>11-E-9469-01</v>
          </cell>
          <cell r="B150">
            <v>753.42</v>
          </cell>
        </row>
        <row r="151">
          <cell r="A151" t="str">
            <v>11-E-9470-01</v>
          </cell>
          <cell r="B151">
            <v>1714.37</v>
          </cell>
        </row>
        <row r="152">
          <cell r="A152" t="str">
            <v>11-E-9471-01</v>
          </cell>
          <cell r="B152">
            <v>505.1</v>
          </cell>
        </row>
        <row r="153">
          <cell r="A153" t="str">
            <v>11-E-9472-01</v>
          </cell>
          <cell r="B153">
            <v>4822.62</v>
          </cell>
        </row>
        <row r="154">
          <cell r="A154" t="str">
            <v>11-E-9472-01</v>
          </cell>
          <cell r="B154">
            <v>5365.55</v>
          </cell>
        </row>
        <row r="155">
          <cell r="A155" t="str">
            <v>11-E-9473-01</v>
          </cell>
          <cell r="B155">
            <v>867.52</v>
          </cell>
        </row>
        <row r="156">
          <cell r="A156" t="str">
            <v>11-E-9473-01</v>
          </cell>
          <cell r="B156">
            <v>806.64</v>
          </cell>
        </row>
        <row r="157">
          <cell r="A157" t="str">
            <v>11-E-9474-01</v>
          </cell>
          <cell r="B157">
            <v>964.08</v>
          </cell>
        </row>
        <row r="158">
          <cell r="A158" t="str">
            <v>11-E-9474-01</v>
          </cell>
          <cell r="B158">
            <v>915.42</v>
          </cell>
        </row>
        <row r="159">
          <cell r="A159" t="str">
            <v>11-E-9475-01</v>
          </cell>
          <cell r="B159">
            <v>775.11</v>
          </cell>
        </row>
        <row r="160">
          <cell r="A160" t="str">
            <v>11-E-9475-01</v>
          </cell>
          <cell r="B160">
            <v>671.35</v>
          </cell>
        </row>
        <row r="161">
          <cell r="A161" t="str">
            <v>11-E-9479-01</v>
          </cell>
          <cell r="B161">
            <v>698.11</v>
          </cell>
        </row>
        <row r="162">
          <cell r="A162" t="str">
            <v>11-E-9479-01</v>
          </cell>
          <cell r="B162">
            <v>625.01</v>
          </cell>
        </row>
        <row r="163">
          <cell r="A163" t="str">
            <v>11-E-9480-01</v>
          </cell>
          <cell r="B163">
            <v>441.97</v>
          </cell>
        </row>
        <row r="164">
          <cell r="A164" t="str">
            <v>11-E-9480-01</v>
          </cell>
          <cell r="B164">
            <v>348.5</v>
          </cell>
        </row>
        <row r="165">
          <cell r="A165" t="str">
            <v>11-E-9482-01</v>
          </cell>
          <cell r="B165">
            <v>599.62</v>
          </cell>
        </row>
        <row r="166">
          <cell r="A166" t="str">
            <v>11-E-9482-01</v>
          </cell>
          <cell r="B166">
            <v>599.62</v>
          </cell>
        </row>
        <row r="167">
          <cell r="A167" t="str">
            <v>11-E-9483-01</v>
          </cell>
          <cell r="B167">
            <v>438.49</v>
          </cell>
        </row>
        <row r="168">
          <cell r="A168" t="str">
            <v>11-E-9484-01</v>
          </cell>
          <cell r="B168">
            <v>1253.03</v>
          </cell>
        </row>
        <row r="169">
          <cell r="A169" t="str">
            <v>11-E-9484-02</v>
          </cell>
          <cell r="B169">
            <v>1253.03</v>
          </cell>
        </row>
        <row r="170">
          <cell r="A170" t="str">
            <v>11-E-9485-01</v>
          </cell>
          <cell r="B170">
            <v>768.7</v>
          </cell>
        </row>
        <row r="171">
          <cell r="A171" t="str">
            <v>11-E-9486-01</v>
          </cell>
          <cell r="B171">
            <v>503.98</v>
          </cell>
        </row>
        <row r="172">
          <cell r="A172" t="str">
            <v>11-E-9487-01</v>
          </cell>
          <cell r="B172">
            <v>730.18</v>
          </cell>
        </row>
        <row r="173">
          <cell r="A173" t="str">
            <v>11-E-9488-01</v>
          </cell>
          <cell r="B173">
            <v>547.86</v>
          </cell>
        </row>
        <row r="174">
          <cell r="A174" t="str">
            <v>11-E-9489-01</v>
          </cell>
          <cell r="B174">
            <v>445.94</v>
          </cell>
        </row>
        <row r="175">
          <cell r="A175" t="str">
            <v>11-E-9492-01</v>
          </cell>
          <cell r="B175">
            <v>1414.48</v>
          </cell>
        </row>
        <row r="176">
          <cell r="A176" t="str">
            <v>11-E-9492-02</v>
          </cell>
          <cell r="B176">
            <v>1414.48</v>
          </cell>
        </row>
        <row r="177">
          <cell r="A177" t="str">
            <v>11-E-9493-01</v>
          </cell>
          <cell r="B177">
            <v>2602.56</v>
          </cell>
        </row>
        <row r="178">
          <cell r="A178" t="str">
            <v>11-E-9494-01</v>
          </cell>
          <cell r="B178">
            <v>539.78</v>
          </cell>
        </row>
        <row r="179">
          <cell r="A179" t="str">
            <v>11-E-9495-01</v>
          </cell>
          <cell r="B179">
            <v>1253.1500000000001</v>
          </cell>
        </row>
        <row r="180">
          <cell r="A180" t="str">
            <v>11-E-9495-02</v>
          </cell>
          <cell r="B180">
            <v>1253.1500000000001</v>
          </cell>
        </row>
        <row r="181">
          <cell r="A181" t="str">
            <v>11-E-9496-01</v>
          </cell>
          <cell r="B181">
            <v>2151.35</v>
          </cell>
        </row>
        <row r="182">
          <cell r="A182" t="str">
            <v>11-E-9498-01</v>
          </cell>
          <cell r="B182">
            <v>383.25</v>
          </cell>
        </row>
        <row r="183">
          <cell r="A183" t="str">
            <v>11-E-9499-01</v>
          </cell>
          <cell r="B183">
            <v>376.79</v>
          </cell>
        </row>
        <row r="184">
          <cell r="A184" t="str">
            <v>11-E-9500-01</v>
          </cell>
          <cell r="B184">
            <v>577.69000000000005</v>
          </cell>
        </row>
        <row r="185">
          <cell r="A185" t="str">
            <v>11-E-9502-01</v>
          </cell>
          <cell r="B185">
            <v>867.77</v>
          </cell>
        </row>
        <row r="186">
          <cell r="A186" t="str">
            <v>11-E-9503-01</v>
          </cell>
          <cell r="B186">
            <v>585.88</v>
          </cell>
        </row>
        <row r="187">
          <cell r="A187" t="str">
            <v>11-E-9503-02</v>
          </cell>
          <cell r="B187">
            <v>585.88</v>
          </cell>
        </row>
        <row r="188">
          <cell r="A188" t="str">
            <v>11-E-9503-03</v>
          </cell>
          <cell r="B188">
            <v>585.88</v>
          </cell>
        </row>
        <row r="189">
          <cell r="A189" t="str">
            <v>11-E-9506-01</v>
          </cell>
          <cell r="B189">
            <v>1756.87</v>
          </cell>
        </row>
        <row r="190">
          <cell r="A190" t="str">
            <v>11-E-9506-02</v>
          </cell>
          <cell r="B190">
            <v>1756.87</v>
          </cell>
        </row>
        <row r="191">
          <cell r="A191" t="str">
            <v>11-E-9507-01</v>
          </cell>
          <cell r="B191">
            <v>1926.89</v>
          </cell>
        </row>
        <row r="192">
          <cell r="A192" t="str">
            <v>11-E-9507-02</v>
          </cell>
          <cell r="B192">
            <v>1926.89</v>
          </cell>
        </row>
        <row r="193">
          <cell r="A193" t="str">
            <v>11-E-9508-01</v>
          </cell>
          <cell r="B193">
            <v>1005.72</v>
          </cell>
        </row>
        <row r="194">
          <cell r="A194" t="str">
            <v>11-E-9508-02</v>
          </cell>
          <cell r="B194">
            <v>1005.72</v>
          </cell>
        </row>
        <row r="195">
          <cell r="A195" t="str">
            <v>11-E-9509-01</v>
          </cell>
          <cell r="B195">
            <v>985.34</v>
          </cell>
        </row>
        <row r="196">
          <cell r="A196" t="str">
            <v>11-E-9509-02</v>
          </cell>
          <cell r="B196">
            <v>985.34</v>
          </cell>
        </row>
        <row r="197">
          <cell r="A197" t="str">
            <v>11-E-9509-03</v>
          </cell>
          <cell r="B197">
            <v>985.34</v>
          </cell>
        </row>
        <row r="198">
          <cell r="A198" t="str">
            <v>11-E-9509-04</v>
          </cell>
          <cell r="B198">
            <v>985.34</v>
          </cell>
        </row>
        <row r="199">
          <cell r="A199" t="str">
            <v>11-E-9517-01</v>
          </cell>
          <cell r="B199">
            <v>6277.92</v>
          </cell>
        </row>
        <row r="200">
          <cell r="A200" t="str">
            <v>11-E-9518-01</v>
          </cell>
          <cell r="B200">
            <v>9489.69</v>
          </cell>
        </row>
        <row r="201">
          <cell r="A201" t="str">
            <v>11-E-9519-01</v>
          </cell>
          <cell r="B201">
            <v>9906.5400000000009</v>
          </cell>
        </row>
        <row r="202">
          <cell r="A202" t="str">
            <v>11-E-9525-01</v>
          </cell>
          <cell r="B202">
            <v>707.66</v>
          </cell>
        </row>
        <row r="203">
          <cell r="A203" t="str">
            <v>11-E-9525-01</v>
          </cell>
          <cell r="B203">
            <v>707.66</v>
          </cell>
        </row>
        <row r="204">
          <cell r="A204" t="str">
            <v>11-E-9525-02</v>
          </cell>
          <cell r="B204">
            <v>707.66</v>
          </cell>
        </row>
        <row r="205">
          <cell r="A205" t="str">
            <v>11-E-9525-02</v>
          </cell>
          <cell r="B205">
            <v>707.66</v>
          </cell>
        </row>
        <row r="206">
          <cell r="A206" t="str">
            <v>11-E-9526-01</v>
          </cell>
          <cell r="B206">
            <v>2549.77</v>
          </cell>
        </row>
        <row r="207">
          <cell r="A207" t="str">
            <v>11-E-9526-01</v>
          </cell>
          <cell r="B207">
            <v>2549.77</v>
          </cell>
        </row>
        <row r="208">
          <cell r="A208" t="str">
            <v>11-E-9526-02</v>
          </cell>
          <cell r="B208">
            <v>2549.77</v>
          </cell>
        </row>
        <row r="209">
          <cell r="A209" t="str">
            <v>11-E-9526-03</v>
          </cell>
          <cell r="B209">
            <v>2549.77</v>
          </cell>
        </row>
        <row r="210">
          <cell r="A210" t="str">
            <v>11-E-9526-04</v>
          </cell>
          <cell r="B210">
            <v>2549.77</v>
          </cell>
        </row>
        <row r="211">
          <cell r="A211" t="str">
            <v>11-E-9527-01</v>
          </cell>
          <cell r="B211">
            <v>233.3</v>
          </cell>
        </row>
        <row r="212">
          <cell r="A212" t="str">
            <v>11-E-9527-01</v>
          </cell>
          <cell r="B212">
            <v>233.3</v>
          </cell>
        </row>
        <row r="213">
          <cell r="A213" t="str">
            <v>11-E-9527-02</v>
          </cell>
          <cell r="B213">
            <v>444.45</v>
          </cell>
        </row>
        <row r="214">
          <cell r="A214" t="str">
            <v>11-E-9527-02</v>
          </cell>
          <cell r="B214">
            <v>444.45</v>
          </cell>
        </row>
        <row r="215">
          <cell r="A215" t="str">
            <v>11-E-9529-01</v>
          </cell>
          <cell r="B215">
            <v>493.25</v>
          </cell>
        </row>
        <row r="216">
          <cell r="A216" t="str">
            <v>11-E-9529-01</v>
          </cell>
          <cell r="B216">
            <v>493.25</v>
          </cell>
        </row>
        <row r="217">
          <cell r="A217" t="str">
            <v>11-E-9533-01</v>
          </cell>
          <cell r="B217">
            <v>276.92</v>
          </cell>
        </row>
        <row r="218">
          <cell r="A218" t="str">
            <v>11-E-9533-01</v>
          </cell>
          <cell r="B218">
            <v>276.92</v>
          </cell>
        </row>
        <row r="219">
          <cell r="A219" t="str">
            <v>11-E-9534-01</v>
          </cell>
          <cell r="B219">
            <v>319.39999999999998</v>
          </cell>
        </row>
        <row r="220">
          <cell r="A220" t="str">
            <v>11-E-9534-01</v>
          </cell>
          <cell r="B220">
            <v>319.39999999999998</v>
          </cell>
        </row>
        <row r="221">
          <cell r="A221" t="str">
            <v>11-E-9538-01</v>
          </cell>
          <cell r="B221">
            <v>398.22</v>
          </cell>
        </row>
        <row r="222">
          <cell r="A222" t="str">
            <v>11-E-9538-01</v>
          </cell>
          <cell r="B222">
            <v>398.22</v>
          </cell>
        </row>
        <row r="223">
          <cell r="A223" t="str">
            <v>11-E-9538-01</v>
          </cell>
          <cell r="B223">
            <v>398.22</v>
          </cell>
        </row>
        <row r="224">
          <cell r="A224" t="str">
            <v>11-E-9539-01</v>
          </cell>
          <cell r="B224">
            <v>288.92</v>
          </cell>
        </row>
        <row r="225">
          <cell r="A225" t="str">
            <v>11-E-9539-01</v>
          </cell>
          <cell r="B225">
            <v>288.92</v>
          </cell>
        </row>
        <row r="226">
          <cell r="A226" t="str">
            <v>11-E-9539-01</v>
          </cell>
          <cell r="B226">
            <v>288.92</v>
          </cell>
        </row>
        <row r="227">
          <cell r="A227" t="str">
            <v>11-E-9540-01</v>
          </cell>
          <cell r="B227">
            <v>2091.96</v>
          </cell>
        </row>
        <row r="228">
          <cell r="A228" t="str">
            <v>11-E-9540-01</v>
          </cell>
          <cell r="B228">
            <v>2206.9899999999998</v>
          </cell>
        </row>
        <row r="229">
          <cell r="A229" t="str">
            <v>11-E-9543-01</v>
          </cell>
          <cell r="B229">
            <v>1261.48</v>
          </cell>
        </row>
        <row r="230">
          <cell r="A230" t="str">
            <v>11-E-9544-01</v>
          </cell>
          <cell r="B230">
            <v>1499.11</v>
          </cell>
        </row>
        <row r="231">
          <cell r="A231" t="str">
            <v>11-E-9546-01</v>
          </cell>
          <cell r="B231">
            <v>713.78</v>
          </cell>
        </row>
        <row r="232">
          <cell r="A232" t="str">
            <v>11-E-9548-01</v>
          </cell>
          <cell r="B232">
            <v>2230.4</v>
          </cell>
        </row>
        <row r="233">
          <cell r="A233" t="str">
            <v>11-E-9549-01</v>
          </cell>
          <cell r="B233">
            <v>677.8</v>
          </cell>
        </row>
        <row r="234">
          <cell r="A234" t="str">
            <v>11-E-9549-01</v>
          </cell>
          <cell r="B234">
            <v>677.81</v>
          </cell>
        </row>
        <row r="235">
          <cell r="A235" t="str">
            <v>11-E-9550-01</v>
          </cell>
          <cell r="B235">
            <v>821.29</v>
          </cell>
        </row>
        <row r="236">
          <cell r="A236" t="str">
            <v>11-E-9551-01</v>
          </cell>
          <cell r="B236">
            <v>692.14</v>
          </cell>
        </row>
        <row r="237">
          <cell r="A237" t="str">
            <v>11-E-9554-01</v>
          </cell>
          <cell r="B237">
            <v>4300.75</v>
          </cell>
        </row>
        <row r="238">
          <cell r="A238" t="str">
            <v>11-E-9556-01</v>
          </cell>
          <cell r="B238">
            <v>798.9</v>
          </cell>
        </row>
        <row r="239">
          <cell r="A239" t="str">
            <v>11-E-9557-01</v>
          </cell>
          <cell r="B239">
            <v>862.42</v>
          </cell>
        </row>
        <row r="240">
          <cell r="A240" t="str">
            <v>11-E-9559-01</v>
          </cell>
          <cell r="B240">
            <v>732.67</v>
          </cell>
        </row>
        <row r="241">
          <cell r="A241" t="str">
            <v>11-E-9560-01</v>
          </cell>
          <cell r="B241">
            <v>933.39</v>
          </cell>
        </row>
        <row r="242">
          <cell r="A242" t="str">
            <v>11-E-9563-01</v>
          </cell>
          <cell r="B242">
            <v>640.70000000000005</v>
          </cell>
        </row>
        <row r="243">
          <cell r="A243" t="str">
            <v>11-E-9565-01</v>
          </cell>
          <cell r="B243">
            <v>205.46</v>
          </cell>
        </row>
        <row r="244">
          <cell r="A244" t="str">
            <v>11-E-9565-01</v>
          </cell>
          <cell r="B244">
            <v>205.46</v>
          </cell>
        </row>
        <row r="245">
          <cell r="A245" t="str">
            <v>11-E-9579-01</v>
          </cell>
          <cell r="B245">
            <v>1187.73</v>
          </cell>
        </row>
        <row r="246">
          <cell r="A246" t="str">
            <v>11-E-9580-01</v>
          </cell>
          <cell r="B246">
            <v>4169.22</v>
          </cell>
        </row>
        <row r="247">
          <cell r="A247" t="str">
            <v>11-E-9581-01</v>
          </cell>
          <cell r="B247">
            <v>1060.78</v>
          </cell>
        </row>
        <row r="248">
          <cell r="A248" t="str">
            <v>11-E-9581-01</v>
          </cell>
          <cell r="B248">
            <v>1060.78</v>
          </cell>
        </row>
        <row r="249">
          <cell r="A249" t="str">
            <v>11-E-9584-01</v>
          </cell>
          <cell r="B249">
            <v>384.53</v>
          </cell>
        </row>
        <row r="250">
          <cell r="A250" t="str">
            <v>11-E-9584-01</v>
          </cell>
          <cell r="B250">
            <v>384.53</v>
          </cell>
        </row>
        <row r="251">
          <cell r="A251" t="str">
            <v>11-E-9585-01</v>
          </cell>
          <cell r="B251">
            <v>390.1</v>
          </cell>
        </row>
        <row r="252">
          <cell r="A252" t="str">
            <v>11-E-9585-01</v>
          </cell>
          <cell r="B252">
            <v>390.1</v>
          </cell>
        </row>
        <row r="253">
          <cell r="A253" t="str">
            <v>11-E-9586-01</v>
          </cell>
          <cell r="B253">
            <v>807.19</v>
          </cell>
        </row>
        <row r="254">
          <cell r="A254" t="str">
            <v>11-E-9587-01</v>
          </cell>
          <cell r="B254">
            <v>766.55</v>
          </cell>
        </row>
        <row r="255">
          <cell r="A255" t="str">
            <v>11-E-9589-01</v>
          </cell>
          <cell r="B255">
            <v>903.43</v>
          </cell>
        </row>
        <row r="256">
          <cell r="A256" t="str">
            <v>11-E-9589-01</v>
          </cell>
          <cell r="B256">
            <v>748.55</v>
          </cell>
        </row>
        <row r="257">
          <cell r="A257" t="str">
            <v>11-E-9592-01</v>
          </cell>
          <cell r="B257">
            <v>6580.43</v>
          </cell>
        </row>
        <row r="258">
          <cell r="A258" t="str">
            <v>11-E-9594-01</v>
          </cell>
          <cell r="B258">
            <v>624.54</v>
          </cell>
        </row>
        <row r="259">
          <cell r="A259" t="str">
            <v>11-E-9594-02</v>
          </cell>
          <cell r="B259">
            <v>624.54</v>
          </cell>
        </row>
        <row r="260">
          <cell r="A260" t="str">
            <v>11-E-9673-01</v>
          </cell>
          <cell r="B260">
            <v>1745.94</v>
          </cell>
        </row>
        <row r="261">
          <cell r="A261" t="str">
            <v>11-E-9674-01</v>
          </cell>
          <cell r="B261">
            <v>2085.48</v>
          </cell>
        </row>
        <row r="262">
          <cell r="A262" t="str">
            <v>11-E-9674-01</v>
          </cell>
          <cell r="B262">
            <v>2085.48</v>
          </cell>
        </row>
        <row r="263">
          <cell r="A263" t="str">
            <v>11-F-9276-01</v>
          </cell>
          <cell r="B263">
            <v>296.26</v>
          </cell>
        </row>
        <row r="264">
          <cell r="A264" t="str">
            <v>1-C-9779-01-MO</v>
          </cell>
          <cell r="B264">
            <v>3223.13</v>
          </cell>
        </row>
        <row r="265">
          <cell r="A265" t="str">
            <v>P13432-402</v>
          </cell>
          <cell r="B265">
            <v>1730.26</v>
          </cell>
        </row>
        <row r="266">
          <cell r="A266" t="str">
            <v>P13432-402</v>
          </cell>
          <cell r="B266">
            <v>1730.26</v>
          </cell>
        </row>
        <row r="267">
          <cell r="A267" t="str">
            <v>P13432-412</v>
          </cell>
          <cell r="B267">
            <v>1539</v>
          </cell>
        </row>
        <row r="268">
          <cell r="A268" t="str">
            <v>P13432-412</v>
          </cell>
          <cell r="B268">
            <v>1539</v>
          </cell>
        </row>
        <row r="269">
          <cell r="A269" t="str">
            <v>P13432-501</v>
          </cell>
          <cell r="B269">
            <v>728.26</v>
          </cell>
        </row>
        <row r="270">
          <cell r="A270" t="str">
            <v>P13432-501</v>
          </cell>
          <cell r="B270">
            <v>728.26</v>
          </cell>
        </row>
        <row r="271">
          <cell r="A271" t="str">
            <v>P13432-521</v>
          </cell>
          <cell r="B271">
            <v>441.08</v>
          </cell>
        </row>
        <row r="272">
          <cell r="A272" t="str">
            <v>P13432-521</v>
          </cell>
          <cell r="B272">
            <v>441.08</v>
          </cell>
        </row>
        <row r="273">
          <cell r="A273" t="str">
            <v>P9711-081</v>
          </cell>
          <cell r="B273">
            <v>1606.52</v>
          </cell>
        </row>
        <row r="274">
          <cell r="A274" t="str">
            <v>PP10202-54 GSD</v>
          </cell>
          <cell r="B274">
            <v>1792.8</v>
          </cell>
        </row>
        <row r="275">
          <cell r="A275" t="str">
            <v>PP10202-54#EVL2</v>
          </cell>
          <cell r="B275">
            <v>1827.05</v>
          </cell>
        </row>
        <row r="276">
          <cell r="A276" t="str">
            <v>PP10202-55 GSD</v>
          </cell>
          <cell r="B276">
            <v>1419.3</v>
          </cell>
        </row>
        <row r="277">
          <cell r="A277" t="str">
            <v>PP10202-55#EVL2</v>
          </cell>
          <cell r="B277">
            <v>1497.01</v>
          </cell>
        </row>
        <row r="278">
          <cell r="A278" t="str">
            <v>PP11092-448</v>
          </cell>
          <cell r="B278">
            <v>2732.81</v>
          </cell>
        </row>
        <row r="279">
          <cell r="A279" t="str">
            <v>PP11092-458</v>
          </cell>
          <cell r="B279">
            <v>2926.67</v>
          </cell>
        </row>
        <row r="280">
          <cell r="A280" t="str">
            <v>PP11092-88</v>
          </cell>
          <cell r="B280">
            <v>193.97</v>
          </cell>
        </row>
        <row r="281">
          <cell r="A281" t="str">
            <v>PP11092-88</v>
          </cell>
          <cell r="B281">
            <v>193.97</v>
          </cell>
        </row>
        <row r="282">
          <cell r="A282" t="str">
            <v>PP11092-89</v>
          </cell>
          <cell r="B282">
            <v>197.75</v>
          </cell>
        </row>
        <row r="283">
          <cell r="A283" t="str">
            <v>PP11092-89</v>
          </cell>
          <cell r="B283">
            <v>197.75</v>
          </cell>
        </row>
        <row r="284">
          <cell r="A284" t="str">
            <v>PP4997-01</v>
          </cell>
          <cell r="B284">
            <v>199.44</v>
          </cell>
        </row>
        <row r="285">
          <cell r="A285" t="str">
            <v>PP4997-01</v>
          </cell>
          <cell r="B285">
            <v>199.44</v>
          </cell>
        </row>
        <row r="286">
          <cell r="A286" t="str">
            <v>PP4997-02</v>
          </cell>
          <cell r="B286">
            <v>202.28</v>
          </cell>
        </row>
        <row r="287">
          <cell r="A287" t="str">
            <v>PP4997-02</v>
          </cell>
          <cell r="B287">
            <v>202.28</v>
          </cell>
        </row>
        <row r="288">
          <cell r="A288" t="str">
            <v>PP4997-031</v>
          </cell>
          <cell r="B288">
            <v>5106.49</v>
          </cell>
        </row>
        <row r="289">
          <cell r="A289" t="str">
            <v>PP4997-031</v>
          </cell>
          <cell r="B289">
            <v>5106.49</v>
          </cell>
        </row>
        <row r="290">
          <cell r="A290" t="str">
            <v>PP4997-032</v>
          </cell>
          <cell r="B290">
            <v>5106.49</v>
          </cell>
        </row>
        <row r="291">
          <cell r="A291" t="str">
            <v>PP4997-041</v>
          </cell>
          <cell r="B291">
            <v>920.13</v>
          </cell>
        </row>
        <row r="292">
          <cell r="A292" t="str">
            <v>PP7542-27</v>
          </cell>
          <cell r="B292">
            <v>434.14</v>
          </cell>
        </row>
        <row r="293">
          <cell r="A293" t="str">
            <v>PP8655</v>
          </cell>
          <cell r="B293">
            <v>2146.4699999999998</v>
          </cell>
        </row>
        <row r="294">
          <cell r="A294" t="str">
            <v>PP8655-MO</v>
          </cell>
          <cell r="B294">
            <v>1727.81</v>
          </cell>
        </row>
        <row r="295">
          <cell r="A295" t="str">
            <v>PP8878-063</v>
          </cell>
          <cell r="B295">
            <v>682.8</v>
          </cell>
        </row>
        <row r="296">
          <cell r="A296" t="str">
            <v>PP8878-063</v>
          </cell>
          <cell r="B296">
            <v>682.85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esus.morales@sigrama.com.mx" TargetMode="Externa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3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9EF8D-3F61-4D53-8615-53EB4FE4AD95}">
  <sheetPr>
    <tabColor rgb="FFFF0000"/>
  </sheetPr>
  <dimension ref="A1:Q36"/>
  <sheetViews>
    <sheetView showGridLines="0" tabSelected="1" zoomScale="93" zoomScaleNormal="93" zoomScaleSheetLayoutView="93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C38" sqref="C38"/>
    </sheetView>
  </sheetViews>
  <sheetFormatPr baseColWidth="10" defaultRowHeight="16.5" x14ac:dyDescent="0.3"/>
  <cols>
    <col min="1" max="1" width="20.5703125" style="408" customWidth="1"/>
    <col min="2" max="5" width="12.42578125" style="408" customWidth="1"/>
    <col min="6" max="6" width="11.28515625" style="408" customWidth="1"/>
    <col min="7" max="7" width="12.7109375" style="408" customWidth="1"/>
    <col min="8" max="8" width="14.5703125" style="408" customWidth="1"/>
    <col min="9" max="9" width="18.85546875" style="415" customWidth="1"/>
    <col min="10" max="10" width="10.28515625" style="407" hidden="1" customWidth="1"/>
    <col min="11" max="11" width="17.7109375" style="408" hidden="1" customWidth="1"/>
    <col min="12" max="15" width="0" style="408" hidden="1" customWidth="1"/>
    <col min="16" max="16" width="11.42578125" style="408"/>
    <col min="17" max="17" width="16.85546875" style="408" customWidth="1"/>
    <col min="18" max="16384" width="11.42578125" style="408"/>
  </cols>
  <sheetData>
    <row r="1" spans="1:17" s="404" customFormat="1" ht="29.25" x14ac:dyDescent="0.35">
      <c r="A1" s="402" t="s">
        <v>2126</v>
      </c>
      <c r="B1" s="402"/>
      <c r="C1" s="402"/>
      <c r="D1" s="402"/>
      <c r="E1" s="402"/>
      <c r="F1" s="402"/>
      <c r="G1" s="402"/>
      <c r="H1" s="402"/>
      <c r="I1" s="403"/>
    </row>
    <row r="2" spans="1:17" ht="31.5" customHeight="1" x14ac:dyDescent="0.35">
      <c r="A2" s="405"/>
      <c r="B2" s="406"/>
      <c r="C2" s="406"/>
      <c r="D2" s="406"/>
      <c r="E2" s="406"/>
      <c r="F2" s="406"/>
      <c r="G2" s="406"/>
      <c r="H2" s="439"/>
      <c r="I2" s="440"/>
    </row>
    <row r="3" spans="1:17" ht="22.5" x14ac:dyDescent="0.3">
      <c r="A3" s="409" t="s">
        <v>2127</v>
      </c>
      <c r="B3" s="410" t="s">
        <v>2234</v>
      </c>
      <c r="C3" s="410"/>
      <c r="D3" s="410"/>
      <c r="E3" s="410"/>
      <c r="F3" s="411"/>
      <c r="G3" s="411"/>
      <c r="H3" s="424" t="s">
        <v>2147</v>
      </c>
      <c r="I3" s="496" t="s">
        <v>2231</v>
      </c>
    </row>
    <row r="4" spans="1:17" x14ac:dyDescent="0.3">
      <c r="A4" s="409" t="s">
        <v>2233</v>
      </c>
      <c r="B4" s="431">
        <v>46077</v>
      </c>
      <c r="C4" s="412"/>
      <c r="D4" s="412"/>
      <c r="E4" s="412"/>
      <c r="F4" s="413"/>
      <c r="G4" s="413"/>
      <c r="H4" s="424" t="s">
        <v>2146</v>
      </c>
      <c r="I4" s="438">
        <v>46077</v>
      </c>
    </row>
    <row r="5" spans="1:17" ht="18.75" x14ac:dyDescent="0.3">
      <c r="A5" s="409" t="s">
        <v>2128</v>
      </c>
      <c r="B5" s="410" t="s">
        <v>2129</v>
      </c>
      <c r="C5" s="410"/>
      <c r="D5" s="410"/>
      <c r="E5" s="410"/>
      <c r="F5" s="411"/>
      <c r="G5" s="411"/>
      <c r="H5" s="424" t="s">
        <v>2148</v>
      </c>
      <c r="I5" s="442">
        <f>SUM(G11:G22)</f>
        <v>720</v>
      </c>
    </row>
    <row r="6" spans="1:17" x14ac:dyDescent="0.3">
      <c r="A6" s="409" t="s">
        <v>2130</v>
      </c>
      <c r="B6" s="410" t="s">
        <v>2131</v>
      </c>
      <c r="C6" s="410"/>
      <c r="D6" s="410"/>
      <c r="E6" s="410"/>
      <c r="F6" s="411"/>
      <c r="G6" s="411"/>
      <c r="H6" s="439"/>
      <c r="I6" s="441"/>
    </row>
    <row r="7" spans="1:17" x14ac:dyDescent="0.3">
      <c r="A7" s="414" t="s">
        <v>2132</v>
      </c>
    </row>
    <row r="8" spans="1:17" x14ac:dyDescent="0.3">
      <c r="A8" s="414"/>
    </row>
    <row r="9" spans="1:17" s="417" customFormat="1" ht="15" x14ac:dyDescent="0.2">
      <c r="A9" s="432" t="s">
        <v>2133</v>
      </c>
      <c r="B9" s="454" t="s">
        <v>2133</v>
      </c>
      <c r="C9" s="454"/>
      <c r="D9" s="454"/>
      <c r="E9" s="454"/>
      <c r="F9" s="432" t="s">
        <v>2134</v>
      </c>
      <c r="G9" s="432" t="s">
        <v>2135</v>
      </c>
      <c r="H9" s="432" t="s">
        <v>1973</v>
      </c>
      <c r="I9" s="433" t="s">
        <v>1</v>
      </c>
      <c r="J9" s="416"/>
      <c r="L9" s="417">
        <v>16</v>
      </c>
    </row>
    <row r="10" spans="1:17" x14ac:dyDescent="0.3">
      <c r="A10" s="420">
        <v>1</v>
      </c>
      <c r="B10" s="450" t="str">
        <f>+'REQ. PINTADO'!B3</f>
        <v>12-6010-01</v>
      </c>
      <c r="C10" s="450"/>
      <c r="D10" s="450"/>
      <c r="E10" s="450"/>
      <c r="F10" s="420" t="s">
        <v>2136</v>
      </c>
      <c r="G10" s="421">
        <f>+'REQ. PINTADO'!C3</f>
        <v>48</v>
      </c>
      <c r="H10" s="434">
        <f>+ROUND(Q10,2)</f>
        <v>86.88</v>
      </c>
      <c r="I10" s="422">
        <f>+H10*G10</f>
        <v>4170.24</v>
      </c>
      <c r="K10" s="418"/>
      <c r="L10" s="419"/>
      <c r="Q10" s="415">
        <f>+'REQ. PINTADO'!J3</f>
        <v>86.877477522098658</v>
      </c>
    </row>
    <row r="11" spans="1:17" ht="18" customHeight="1" x14ac:dyDescent="0.3">
      <c r="A11" s="420">
        <v>2</v>
      </c>
      <c r="B11" s="450" t="str">
        <f>+'REQ. PINTADO'!B4</f>
        <v>11-D-3402-01</v>
      </c>
      <c r="C11" s="450"/>
      <c r="D11" s="450"/>
      <c r="E11" s="450"/>
      <c r="F11" s="420" t="s">
        <v>2136</v>
      </c>
      <c r="G11" s="421">
        <f>+'REQ. PINTADO'!C4</f>
        <v>48</v>
      </c>
      <c r="H11" s="434">
        <f t="shared" ref="H11:H21" si="0">+ROUND(Q11,2)</f>
        <v>134.22</v>
      </c>
      <c r="I11" s="422">
        <f t="shared" ref="I11:I21" si="1">+H11*G11</f>
        <v>6442.5599999999995</v>
      </c>
      <c r="K11" s="418"/>
      <c r="L11" s="419"/>
      <c r="Q11" s="415">
        <f>+'REQ. PINTADO'!J4</f>
        <v>134.21999803536096</v>
      </c>
    </row>
    <row r="12" spans="1:17" ht="18" customHeight="1" x14ac:dyDescent="0.3">
      <c r="A12" s="420">
        <v>3</v>
      </c>
      <c r="B12" s="450" t="str">
        <f>+'REQ. PINTADO'!B5</f>
        <v>17-D-6043-02</v>
      </c>
      <c r="C12" s="450"/>
      <c r="D12" s="450"/>
      <c r="E12" s="450"/>
      <c r="F12" s="420" t="s">
        <v>2136</v>
      </c>
      <c r="G12" s="421">
        <f>+'REQ. PINTADO'!C5</f>
        <v>96</v>
      </c>
      <c r="H12" s="434">
        <f t="shared" si="0"/>
        <v>122.83</v>
      </c>
      <c r="I12" s="422">
        <f t="shared" si="1"/>
        <v>11791.68</v>
      </c>
      <c r="K12" s="418"/>
      <c r="L12" s="419"/>
      <c r="Q12" s="415">
        <f>+'REQ. PINTADO'!J5</f>
        <v>122.83363770643672</v>
      </c>
    </row>
    <row r="13" spans="1:17" ht="18" customHeight="1" x14ac:dyDescent="0.3">
      <c r="A13" s="420">
        <v>4</v>
      </c>
      <c r="B13" s="450" t="str">
        <f>+'REQ. PINTADO'!B6</f>
        <v>17-D-6047-01</v>
      </c>
      <c r="C13" s="450"/>
      <c r="D13" s="450"/>
      <c r="E13" s="450"/>
      <c r="F13" s="420" t="s">
        <v>2136</v>
      </c>
      <c r="G13" s="421">
        <f>+'REQ. PINTADO'!C6</f>
        <v>48</v>
      </c>
      <c r="H13" s="434">
        <f t="shared" si="0"/>
        <v>80.7</v>
      </c>
      <c r="I13" s="422">
        <f t="shared" si="1"/>
        <v>3873.6000000000004</v>
      </c>
      <c r="K13" s="418"/>
      <c r="L13" s="419"/>
      <c r="Q13" s="415">
        <f>+'REQ. PINTADO'!J6</f>
        <v>80.697705862369162</v>
      </c>
    </row>
    <row r="14" spans="1:17" ht="18" customHeight="1" x14ac:dyDescent="0.3">
      <c r="A14" s="420">
        <v>5</v>
      </c>
      <c r="B14" s="450" t="str">
        <f>+'REQ. PINTADO'!B7</f>
        <v>12-6355-03</v>
      </c>
      <c r="C14" s="450"/>
      <c r="D14" s="450"/>
      <c r="E14" s="450"/>
      <c r="F14" s="420" t="s">
        <v>2136</v>
      </c>
      <c r="G14" s="421">
        <f>+'REQ. PINTADO'!C7</f>
        <v>48</v>
      </c>
      <c r="H14" s="434">
        <f t="shared" si="0"/>
        <v>198.67</v>
      </c>
      <c r="I14" s="422">
        <f t="shared" si="1"/>
        <v>9536.16</v>
      </c>
      <c r="K14" s="418"/>
      <c r="L14" s="419"/>
      <c r="Q14" s="415">
        <f>+'REQ. PINTADO'!J7</f>
        <v>198.67165087528946</v>
      </c>
    </row>
    <row r="15" spans="1:17" ht="18" customHeight="1" x14ac:dyDescent="0.3">
      <c r="A15" s="420">
        <v>6</v>
      </c>
      <c r="B15" s="450" t="str">
        <f>+'REQ. PINTADO'!B8</f>
        <v>PP21340-01</v>
      </c>
      <c r="C15" s="450"/>
      <c r="D15" s="450"/>
      <c r="E15" s="450"/>
      <c r="F15" s="420" t="s">
        <v>2136</v>
      </c>
      <c r="G15" s="421">
        <f>+'REQ. PINTADO'!C8</f>
        <v>48</v>
      </c>
      <c r="H15" s="434">
        <f t="shared" si="0"/>
        <v>172.35</v>
      </c>
      <c r="I15" s="422">
        <f t="shared" si="1"/>
        <v>8272.7999999999993</v>
      </c>
      <c r="K15" s="418"/>
      <c r="L15" s="419"/>
      <c r="Q15" s="415">
        <f>+'REQ. PINTADO'!J8</f>
        <v>172.35241025225125</v>
      </c>
    </row>
    <row r="16" spans="1:17" ht="18" customHeight="1" x14ac:dyDescent="0.3">
      <c r="A16" s="420">
        <v>7</v>
      </c>
      <c r="B16" s="450" t="str">
        <f>+'REQ. PINTADO'!B9</f>
        <v>PP22121-01</v>
      </c>
      <c r="C16" s="450"/>
      <c r="D16" s="450"/>
      <c r="E16" s="450"/>
      <c r="F16" s="420" t="s">
        <v>2136</v>
      </c>
      <c r="G16" s="421">
        <f>+'REQ. PINTADO'!C9</f>
        <v>48</v>
      </c>
      <c r="H16" s="434">
        <f t="shared" si="0"/>
        <v>233.42</v>
      </c>
      <c r="I16" s="422">
        <f t="shared" si="1"/>
        <v>11204.16</v>
      </c>
      <c r="K16" s="418"/>
      <c r="L16" s="419"/>
      <c r="Q16" s="415">
        <f>+'REQ. PINTADO'!J9</f>
        <v>233.41592709628614</v>
      </c>
    </row>
    <row r="17" spans="1:17" ht="18" customHeight="1" x14ac:dyDescent="0.3">
      <c r="A17" s="420">
        <v>8</v>
      </c>
      <c r="B17" s="450" t="str">
        <f>+'REQ. PINTADO'!B10</f>
        <v>11-D-3408-01</v>
      </c>
      <c r="C17" s="450"/>
      <c r="D17" s="450"/>
      <c r="E17" s="450"/>
      <c r="F17" s="420" t="s">
        <v>2136</v>
      </c>
      <c r="G17" s="421">
        <f>+'REQ. PINTADO'!C10</f>
        <v>96</v>
      </c>
      <c r="H17" s="434">
        <f t="shared" si="0"/>
        <v>69.08</v>
      </c>
      <c r="I17" s="422">
        <f t="shared" si="1"/>
        <v>6631.68</v>
      </c>
      <c r="K17" s="418"/>
      <c r="L17" s="419"/>
      <c r="Q17" s="415">
        <f>+'REQ. PINTADO'!J10</f>
        <v>69.0786156003917</v>
      </c>
    </row>
    <row r="18" spans="1:17" ht="18" customHeight="1" x14ac:dyDescent="0.3">
      <c r="A18" s="420">
        <v>9</v>
      </c>
      <c r="B18" s="450" t="str">
        <f>+'REQ. PINTADO'!B11</f>
        <v>PP21341-12</v>
      </c>
      <c r="C18" s="450"/>
      <c r="D18" s="450"/>
      <c r="E18" s="450"/>
      <c r="F18" s="420" t="s">
        <v>2136</v>
      </c>
      <c r="G18" s="421">
        <f>+'REQ. PINTADO'!C11</f>
        <v>48</v>
      </c>
      <c r="H18" s="434">
        <f t="shared" si="0"/>
        <v>198.9</v>
      </c>
      <c r="I18" s="422">
        <f t="shared" si="1"/>
        <v>9547.2000000000007</v>
      </c>
      <c r="K18" s="418"/>
      <c r="L18" s="419"/>
      <c r="Q18" s="415">
        <f>+'REQ. PINTADO'!J11</f>
        <v>198.90166540356179</v>
      </c>
    </row>
    <row r="19" spans="1:17" ht="18" customHeight="1" x14ac:dyDescent="0.3">
      <c r="A19" s="420">
        <v>10</v>
      </c>
      <c r="B19" s="450" t="str">
        <f>+'REQ. PINTADO'!B12</f>
        <v>12-6010-09</v>
      </c>
      <c r="C19" s="450"/>
      <c r="D19" s="450"/>
      <c r="E19" s="450"/>
      <c r="F19" s="420" t="s">
        <v>2136</v>
      </c>
      <c r="G19" s="421">
        <f>+'REQ. PINTADO'!C12</f>
        <v>48</v>
      </c>
      <c r="H19" s="434">
        <f t="shared" si="0"/>
        <v>115.32</v>
      </c>
      <c r="I19" s="422">
        <f t="shared" si="1"/>
        <v>5535.36</v>
      </c>
      <c r="K19" s="418"/>
      <c r="L19" s="419"/>
      <c r="Q19" s="415">
        <f>+'REQ. PINTADO'!J12</f>
        <v>115.31857374374496</v>
      </c>
    </row>
    <row r="20" spans="1:17" ht="18" customHeight="1" x14ac:dyDescent="0.3">
      <c r="A20" s="445">
        <v>11</v>
      </c>
      <c r="B20" s="453" t="str">
        <f>+'REQ. PINTADO'!B13</f>
        <v>PP22124-01</v>
      </c>
      <c r="C20" s="453"/>
      <c r="D20" s="453"/>
      <c r="E20" s="453"/>
      <c r="F20" s="445" t="s">
        <v>2136</v>
      </c>
      <c r="G20" s="446">
        <f>+'REQ. PINTADO'!C13</f>
        <v>48</v>
      </c>
      <c r="H20" s="447">
        <f t="shared" si="0"/>
        <v>253.35</v>
      </c>
      <c r="I20" s="448">
        <f t="shared" si="1"/>
        <v>12160.8</v>
      </c>
      <c r="K20" s="418"/>
      <c r="L20" s="419"/>
      <c r="Q20" s="415">
        <f>+'REQ. PINTADO'!J13</f>
        <v>253.34758372788679</v>
      </c>
    </row>
    <row r="21" spans="1:17" ht="18" customHeight="1" x14ac:dyDescent="0.3">
      <c r="A21" s="445">
        <v>12</v>
      </c>
      <c r="B21" s="453" t="str">
        <f>+'REQ. PINTADO'!B14</f>
        <v>11-D-3409-02</v>
      </c>
      <c r="C21" s="453"/>
      <c r="D21" s="453"/>
      <c r="E21" s="453"/>
      <c r="F21" s="445" t="s">
        <v>2136</v>
      </c>
      <c r="G21" s="446">
        <f>+'REQ. PINTADO'!C14</f>
        <v>144</v>
      </c>
      <c r="H21" s="447">
        <f t="shared" si="0"/>
        <v>129.08000000000001</v>
      </c>
      <c r="I21" s="448">
        <f t="shared" si="1"/>
        <v>18587.52</v>
      </c>
      <c r="K21" s="418"/>
      <c r="L21" s="419"/>
      <c r="Q21" s="415">
        <f>+'REQ. PINTADO'!J14</f>
        <v>129.08106719097967</v>
      </c>
    </row>
    <row r="22" spans="1:17" x14ac:dyDescent="0.3">
      <c r="A22" s="423"/>
      <c r="F22" s="451" t="s">
        <v>2137</v>
      </c>
      <c r="G22" s="451"/>
      <c r="H22" s="451"/>
      <c r="I22" s="449">
        <f>SUM(I10:I21)</f>
        <v>107753.76000000002</v>
      </c>
      <c r="J22" s="449"/>
      <c r="K22" s="449">
        <f>+I22*16</f>
        <v>1724060.1600000004</v>
      </c>
    </row>
    <row r="23" spans="1:17" x14ac:dyDescent="0.3">
      <c r="A23" s="423"/>
      <c r="F23" s="424"/>
      <c r="G23" s="424"/>
      <c r="H23" s="424" t="s">
        <v>2138</v>
      </c>
      <c r="I23" s="422">
        <f>+I22*0.16</f>
        <v>17240.601600000005</v>
      </c>
    </row>
    <row r="24" spans="1:17" s="407" customFormat="1" ht="17.25" thickBot="1" x14ac:dyDescent="0.35">
      <c r="A24" s="423"/>
      <c r="B24" s="408"/>
      <c r="C24" s="408"/>
      <c r="D24" s="408"/>
      <c r="E24" s="408"/>
      <c r="F24" s="452" t="s">
        <v>0</v>
      </c>
      <c r="G24" s="452"/>
      <c r="H24" s="452"/>
      <c r="I24" s="425">
        <f>+I23+I22</f>
        <v>124994.36160000003</v>
      </c>
      <c r="K24" s="408"/>
      <c r="L24" s="408"/>
      <c r="M24" s="408"/>
      <c r="N24" s="408"/>
      <c r="O24" s="408"/>
    </row>
    <row r="25" spans="1:17" s="407" customFormat="1" x14ac:dyDescent="0.3">
      <c r="A25" s="423"/>
      <c r="B25" s="408"/>
      <c r="C25" s="408"/>
      <c r="D25" s="408"/>
      <c r="E25" s="408"/>
      <c r="F25" s="424"/>
      <c r="G25" s="424"/>
      <c r="H25" s="424"/>
      <c r="I25" s="426"/>
      <c r="K25" s="408"/>
      <c r="L25" s="408"/>
      <c r="M25" s="408"/>
      <c r="N25" s="408"/>
      <c r="O25" s="408"/>
    </row>
    <row r="26" spans="1:17" s="407" customFormat="1" x14ac:dyDescent="0.3">
      <c r="A26" s="423"/>
      <c r="B26" s="408"/>
      <c r="C26" s="435" t="s">
        <v>2145</v>
      </c>
      <c r="D26" s="428">
        <v>1</v>
      </c>
      <c r="E26" s="428">
        <v>2</v>
      </c>
      <c r="F26" s="428">
        <v>3</v>
      </c>
      <c r="G26" s="428"/>
      <c r="H26" s="428"/>
      <c r="I26" s="428"/>
      <c r="K26" s="408"/>
      <c r="L26" s="408"/>
      <c r="M26" s="408"/>
      <c r="N26" s="408"/>
      <c r="O26" s="408"/>
    </row>
    <row r="27" spans="1:17" x14ac:dyDescent="0.3">
      <c r="C27" s="444" t="s">
        <v>2149</v>
      </c>
      <c r="D27" s="443">
        <f ca="1">+TODAY()+10</f>
        <v>46087</v>
      </c>
      <c r="E27" s="443">
        <f ca="1">+D27+10</f>
        <v>46097</v>
      </c>
      <c r="F27" s="443">
        <f>+F28</f>
        <v>46113</v>
      </c>
      <c r="G27" s="443"/>
      <c r="H27" s="443"/>
      <c r="I27" s="443"/>
    </row>
    <row r="28" spans="1:17" x14ac:dyDescent="0.3">
      <c r="C28" s="435" t="s">
        <v>2150</v>
      </c>
      <c r="D28" s="436">
        <v>46076</v>
      </c>
      <c r="E28" s="436">
        <v>46094</v>
      </c>
      <c r="F28" s="436">
        <v>46113</v>
      </c>
      <c r="G28" s="436"/>
      <c r="H28" s="436"/>
      <c r="I28" s="436"/>
    </row>
    <row r="29" spans="1:17" x14ac:dyDescent="0.3">
      <c r="C29" s="408" t="s">
        <v>2232</v>
      </c>
      <c r="D29" s="495">
        <v>288</v>
      </c>
      <c r="E29" s="495">
        <v>272</v>
      </c>
      <c r="F29" s="495">
        <v>208</v>
      </c>
      <c r="G29" s="437"/>
      <c r="H29" s="437"/>
      <c r="I29" s="437"/>
    </row>
    <row r="30" spans="1:17" x14ac:dyDescent="0.3">
      <c r="D30" s="437"/>
      <c r="E30" s="437"/>
      <c r="F30" s="437"/>
      <c r="G30" s="437"/>
      <c r="H30" s="437"/>
      <c r="I30" s="437"/>
    </row>
    <row r="31" spans="1:17" x14ac:dyDescent="0.3">
      <c r="B31" s="427" t="s">
        <v>2139</v>
      </c>
      <c r="C31" s="427"/>
      <c r="D31" s="497" t="s">
        <v>2151</v>
      </c>
    </row>
    <row r="32" spans="1:17" x14ac:dyDescent="0.3">
      <c r="B32" s="427" t="s">
        <v>2140</v>
      </c>
      <c r="C32" s="427"/>
      <c r="D32" s="429">
        <f ca="1">+D27</f>
        <v>46087</v>
      </c>
    </row>
    <row r="33" spans="2:4" x14ac:dyDescent="0.3">
      <c r="B33" s="427" t="s">
        <v>2141</v>
      </c>
      <c r="C33" s="427"/>
      <c r="D33" s="429">
        <f>+F27</f>
        <v>46113</v>
      </c>
    </row>
    <row r="34" spans="2:4" x14ac:dyDescent="0.3">
      <c r="B34" s="430" t="s">
        <v>2142</v>
      </c>
    </row>
    <row r="35" spans="2:4" x14ac:dyDescent="0.3">
      <c r="B35" s="408" t="s">
        <v>2143</v>
      </c>
    </row>
    <row r="36" spans="2:4" x14ac:dyDescent="0.3">
      <c r="B36" s="414" t="s">
        <v>2144</v>
      </c>
    </row>
  </sheetData>
  <autoFilter ref="A9:I24" xr:uid="{00000000-0001-0000-0000-000000000000}">
    <filterColumn colId="1" showButton="0"/>
    <filterColumn colId="2" showButton="0"/>
    <filterColumn colId="3" showButton="0"/>
  </autoFilter>
  <mergeCells count="16">
    <mergeCell ref="B14:E14"/>
    <mergeCell ref="B9:E9"/>
    <mergeCell ref="B10:E10"/>
    <mergeCell ref="B11:E11"/>
    <mergeCell ref="B12:E12"/>
    <mergeCell ref="B13:E13"/>
    <mergeCell ref="B15:E15"/>
    <mergeCell ref="B16:E16"/>
    <mergeCell ref="B17:E17"/>
    <mergeCell ref="B18:E18"/>
    <mergeCell ref="F24:H24"/>
    <mergeCell ref="B19:E19"/>
    <mergeCell ref="B20:E20"/>
    <mergeCell ref="B21:E21"/>
    <mergeCell ref="I22:K22"/>
    <mergeCell ref="F22:H22"/>
  </mergeCells>
  <phoneticPr fontId="9" type="noConversion"/>
  <hyperlinks>
    <hyperlink ref="B34" r:id="rId1" xr:uid="{2A2A4295-9F29-47D0-8B3A-4F8A1ADD9FF0}"/>
  </hyperlinks>
  <printOptions horizontalCentered="1"/>
  <pageMargins left="0.70866141732283472" right="0.11811023622047245" top="1.1811023622047245" bottom="1.3385826771653544" header="0.31496062992125984" footer="0.31496062992125984"/>
  <pageSetup scale="72" fitToHeight="3" orientation="portrait" r:id="rId2"/>
  <headerFooter>
    <oddHeader>&amp;R&amp;G</oddHeader>
    <oddFooter>&amp;L&amp;N&amp;CCotización&amp;RFolio: SIG-XXXX-0001
Proceso: Cotización
Revisión: 001
Vigencia: 2027-02-20
Folio interno:  S/N</oddFooter>
  </headerFooter>
  <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63A4C-A08F-4AF4-9541-2E8D366B1E38}">
  <sheetPr>
    <tabColor rgb="FFFF0909"/>
  </sheetPr>
  <dimension ref="A1:K19"/>
  <sheetViews>
    <sheetView showGridLines="0" zoomScale="115" zoomScaleNormal="115" workbookViewId="0">
      <selection activeCell="G16" sqref="G16:G17"/>
    </sheetView>
  </sheetViews>
  <sheetFormatPr baseColWidth="10" defaultRowHeight="14.25" x14ac:dyDescent="0.25"/>
  <cols>
    <col min="1" max="1" width="3.85546875" style="60" customWidth="1"/>
    <col min="2" max="2" width="4" style="63" customWidth="1"/>
    <col min="3" max="3" width="17.85546875" style="60" customWidth="1"/>
    <col min="4" max="4" width="19.85546875" style="65" customWidth="1"/>
    <col min="5" max="5" width="9.5703125" style="66" customWidth="1"/>
    <col min="6" max="6" width="19.85546875" style="65" customWidth="1"/>
    <col min="7" max="7" width="9.5703125" style="66" customWidth="1"/>
    <col min="8" max="8" width="6.140625" style="60" customWidth="1"/>
    <col min="9" max="9" width="29.42578125" style="64" customWidth="1"/>
    <col min="10" max="10" width="8.7109375" style="67" customWidth="1"/>
    <col min="11" max="11" width="4.28515625" style="60" customWidth="1"/>
    <col min="12" max="16384" width="11.42578125" style="60"/>
  </cols>
  <sheetData>
    <row r="1" spans="1:11" ht="15" thickBot="1" x14ac:dyDescent="0.3">
      <c r="A1" s="143"/>
      <c r="B1" s="144"/>
      <c r="C1" s="145"/>
      <c r="D1" s="146"/>
      <c r="E1" s="147"/>
      <c r="F1" s="146"/>
      <c r="G1" s="147"/>
      <c r="H1" s="145"/>
      <c r="I1" s="148"/>
      <c r="J1" s="149"/>
      <c r="K1" s="150"/>
    </row>
    <row r="2" spans="1:11" ht="19.5" customHeight="1" thickBot="1" x14ac:dyDescent="0.3">
      <c r="A2" s="151"/>
      <c r="B2" s="457" t="s">
        <v>2</v>
      </c>
      <c r="C2" s="458"/>
      <c r="D2" s="458"/>
      <c r="E2" s="458"/>
      <c r="F2" s="458"/>
      <c r="G2" s="458"/>
      <c r="I2" s="459" t="s">
        <v>3</v>
      </c>
      <c r="J2" s="460"/>
      <c r="K2" s="152"/>
    </row>
    <row r="3" spans="1:11" ht="19.5" customHeight="1" thickBot="1" x14ac:dyDescent="0.3">
      <c r="A3" s="151"/>
      <c r="B3" s="351"/>
      <c r="C3" s="350"/>
      <c r="D3" s="455" t="s">
        <v>1964</v>
      </c>
      <c r="E3" s="456"/>
      <c r="F3" s="455" t="s">
        <v>1965</v>
      </c>
      <c r="G3" s="456"/>
      <c r="I3" s="461"/>
      <c r="J3" s="462"/>
      <c r="K3" s="152"/>
    </row>
    <row r="4" spans="1:11" ht="15" x14ac:dyDescent="0.25">
      <c r="A4" s="151"/>
      <c r="B4" s="346">
        <v>1</v>
      </c>
      <c r="C4" s="347" t="s">
        <v>4</v>
      </c>
      <c r="D4" s="348">
        <f>+'REQ GALV'!C136</f>
        <v>2081961.380747464</v>
      </c>
      <c r="E4" s="349">
        <f>+D4/D8</f>
        <v>0.40954747787341234</v>
      </c>
      <c r="F4" s="348">
        <f>+'REQ. PINTADO'!K15</f>
        <v>26248.90388054838</v>
      </c>
      <c r="G4" s="349">
        <f>+F4/F8</f>
        <v>0.30450092515698363</v>
      </c>
      <c r="I4" s="353" t="s">
        <v>5</v>
      </c>
      <c r="J4" s="354">
        <v>0.33</v>
      </c>
      <c r="K4" s="152"/>
    </row>
    <row r="5" spans="1:11" ht="15" x14ac:dyDescent="0.25">
      <c r="A5" s="151"/>
      <c r="B5" s="167">
        <v>2</v>
      </c>
      <c r="C5" s="61" t="s">
        <v>6</v>
      </c>
      <c r="D5" s="62">
        <f>+'REQ GALV'!D136</f>
        <v>1794654.0011176902</v>
      </c>
      <c r="E5" s="168">
        <f>+D5/D8</f>
        <v>0.35303057329012533</v>
      </c>
      <c r="F5" s="62">
        <f>+'REQ. PINTADO'!L15</f>
        <v>8930.1310265407101</v>
      </c>
      <c r="G5" s="168">
        <f>+F5/F8</f>
        <v>0.10359416041634426</v>
      </c>
      <c r="I5" s="355" t="s">
        <v>7</v>
      </c>
      <c r="J5" s="356" t="s">
        <v>82</v>
      </c>
      <c r="K5" s="152"/>
    </row>
    <row r="6" spans="1:11" ht="15" x14ac:dyDescent="0.25">
      <c r="A6" s="151"/>
      <c r="B6" s="167">
        <v>3</v>
      </c>
      <c r="C6" s="61" t="s">
        <v>672</v>
      </c>
      <c r="D6" s="62">
        <f>+'REQ GALV'!E136</f>
        <v>1206950</v>
      </c>
      <c r="E6" s="168">
        <f>+D6/D8</f>
        <v>0.23742194883646239</v>
      </c>
      <c r="F6" s="62">
        <f>+'REQ. PINTADO'!M15</f>
        <v>45600</v>
      </c>
      <c r="G6" s="168">
        <f>+F6/F8</f>
        <v>0.52898369586579363</v>
      </c>
      <c r="I6" s="355" t="s">
        <v>676</v>
      </c>
      <c r="J6" s="357">
        <v>25</v>
      </c>
      <c r="K6" s="152"/>
    </row>
    <row r="7" spans="1:11" ht="15" x14ac:dyDescent="0.25">
      <c r="A7" s="151"/>
      <c r="B7" s="167">
        <v>4</v>
      </c>
      <c r="C7" s="61" t="s">
        <v>1963</v>
      </c>
      <c r="D7" s="62">
        <v>0</v>
      </c>
      <c r="E7" s="168">
        <f>+D7/D8</f>
        <v>0</v>
      </c>
      <c r="F7" s="62">
        <f>+'REQ. PINTADO'!N15</f>
        <v>5424</v>
      </c>
      <c r="G7" s="168">
        <f>+F7/F8</f>
        <v>6.2921218560878608E-2</v>
      </c>
      <c r="I7" s="355" t="s">
        <v>677</v>
      </c>
      <c r="J7" s="357">
        <v>25</v>
      </c>
      <c r="K7" s="152"/>
    </row>
    <row r="8" spans="1:11" ht="18.75" thickBot="1" x14ac:dyDescent="0.3">
      <c r="A8" s="151"/>
      <c r="B8" s="172"/>
      <c r="C8" s="169" t="s">
        <v>9</v>
      </c>
      <c r="D8" s="170">
        <f>SUM(D4:D7)</f>
        <v>5083565.381865154</v>
      </c>
      <c r="E8" s="171">
        <v>1</v>
      </c>
      <c r="F8" s="170">
        <f>SUM(F4:F7)</f>
        <v>86203.034907089081</v>
      </c>
      <c r="G8" s="171">
        <v>1</v>
      </c>
      <c r="I8" s="358" t="s">
        <v>842</v>
      </c>
      <c r="J8" s="359">
        <v>106.54761904761908</v>
      </c>
      <c r="K8" s="152"/>
    </row>
    <row r="9" spans="1:11" ht="19.5" x14ac:dyDescent="0.25">
      <c r="A9" s="151"/>
      <c r="C9" s="153" t="s">
        <v>675</v>
      </c>
      <c r="D9" s="154">
        <f>+D10-D8</f>
        <v>1270891.3454662878</v>
      </c>
      <c r="E9" s="362">
        <v>0.2</v>
      </c>
      <c r="F9" s="154">
        <f>+F10-F8</f>
        <v>21550.75872677227</v>
      </c>
      <c r="G9" s="158">
        <f>+E9</f>
        <v>0.2</v>
      </c>
      <c r="K9" s="152"/>
    </row>
    <row r="10" spans="1:11" x14ac:dyDescent="0.25">
      <c r="A10" s="151"/>
      <c r="C10" s="156" t="s">
        <v>10</v>
      </c>
      <c r="D10" s="157">
        <f>+D8/(1-E9)</f>
        <v>6354456.7273314418</v>
      </c>
      <c r="E10" s="158"/>
      <c r="F10" s="157">
        <f>+F8/(1-G9)</f>
        <v>107753.79363386135</v>
      </c>
      <c r="G10" s="158"/>
      <c r="K10" s="152"/>
    </row>
    <row r="11" spans="1:11" x14ac:dyDescent="0.25">
      <c r="A11" s="151"/>
      <c r="D11" s="154"/>
      <c r="E11" s="155"/>
      <c r="F11" s="154"/>
      <c r="G11" s="155"/>
      <c r="K11" s="152"/>
    </row>
    <row r="12" spans="1:11" x14ac:dyDescent="0.25">
      <c r="A12" s="151"/>
      <c r="D12" s="154"/>
      <c r="E12" s="155"/>
      <c r="F12" s="154"/>
      <c r="G12" s="155"/>
      <c r="K12" s="152"/>
    </row>
    <row r="13" spans="1:11" x14ac:dyDescent="0.25">
      <c r="A13" s="151"/>
      <c r="D13" s="154"/>
      <c r="E13" s="155"/>
      <c r="F13" s="154"/>
      <c r="G13" s="155"/>
      <c r="K13" s="152"/>
    </row>
    <row r="14" spans="1:11" x14ac:dyDescent="0.25">
      <c r="A14" s="151"/>
      <c r="D14" s="154"/>
      <c r="E14" s="155"/>
      <c r="F14" s="154"/>
      <c r="G14" s="155"/>
      <c r="K14" s="152"/>
    </row>
    <row r="15" spans="1:11" x14ac:dyDescent="0.25">
      <c r="A15" s="151"/>
      <c r="D15" s="154"/>
      <c r="E15" s="155"/>
      <c r="F15" s="154"/>
      <c r="G15" s="155"/>
      <c r="K15" s="152"/>
    </row>
    <row r="16" spans="1:11" x14ac:dyDescent="0.25">
      <c r="A16" s="151"/>
      <c r="D16" s="154"/>
      <c r="E16" s="155"/>
      <c r="F16" s="154"/>
      <c r="G16" s="155"/>
      <c r="K16" s="152"/>
    </row>
    <row r="17" spans="1:11" x14ac:dyDescent="0.25">
      <c r="A17" s="151"/>
      <c r="D17" s="154"/>
      <c r="E17" s="155"/>
      <c r="F17" s="154"/>
      <c r="G17" s="155"/>
      <c r="K17" s="152"/>
    </row>
    <row r="18" spans="1:11" x14ac:dyDescent="0.25">
      <c r="A18" s="151"/>
      <c r="D18" s="154"/>
      <c r="E18" s="155"/>
      <c r="F18" s="154"/>
      <c r="G18" s="155"/>
      <c r="K18" s="152"/>
    </row>
    <row r="19" spans="1:11" ht="15" thickBot="1" x14ac:dyDescent="0.3">
      <c r="A19" s="159"/>
      <c r="B19" s="160"/>
      <c r="C19" s="161"/>
      <c r="D19" s="162"/>
      <c r="E19" s="163"/>
      <c r="F19" s="162"/>
      <c r="G19" s="163"/>
      <c r="H19" s="161"/>
      <c r="I19" s="164"/>
      <c r="J19" s="165"/>
      <c r="K19" s="166"/>
    </row>
  </sheetData>
  <mergeCells count="4">
    <mergeCell ref="D3:E3"/>
    <mergeCell ref="F3:G3"/>
    <mergeCell ref="B2:G2"/>
    <mergeCell ref="I2:J3"/>
  </mergeCell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D4C943F-43ED-40C3-9148-CDE3E5DC1184}">
          <x14:formula1>
            <xm:f>Material!$A$3:$A$58</xm:f>
          </x14:formula1>
          <xm:sqref>J5</xm:sqref>
        </x14:dataValidation>
        <x14:dataValidation type="list" allowBlank="1" showInputMessage="1" showErrorMessage="1" xr:uid="{357B2CD7-B954-4C9B-B36D-7EA619AA5244}">
          <x14:formula1>
            <xm:f>'TARIFA DOBLEZ'!$N$2:$N$6</xm:f>
          </x14:formula1>
          <xm:sqref>J6 J7</xm:sqref>
        </x14:dataValidation>
        <x14:dataValidation type="list" allowBlank="1" showInputMessage="1" showErrorMessage="1" xr:uid="{74ECFCD0-01F4-4A4E-9A3F-481EFAB67A87}">
          <x14:formula1>
            <xm:f>'TARIFA PINTURA'!$B$2:$B$11</xm:f>
          </x14:formula1>
          <xm:sqref>J8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59058-51E5-47C7-8029-F74549662356}">
  <sheetPr>
    <tabColor rgb="FF00B050"/>
  </sheetPr>
  <dimension ref="A1:H136"/>
  <sheetViews>
    <sheetView showGridLines="0" zoomScaleNormal="100" workbookViewId="0">
      <pane xSplit="1" ySplit="2" topLeftCell="B3" activePane="bottomRight" state="frozen"/>
      <selection activeCell="G48" sqref="G48"/>
      <selection pane="topRight" activeCell="G48" sqref="G48"/>
      <selection pane="bottomLeft" activeCell="G48" sqref="G48"/>
      <selection pane="bottomRight" activeCell="J120" sqref="J120:J121"/>
    </sheetView>
  </sheetViews>
  <sheetFormatPr baseColWidth="10" defaultRowHeight="15" x14ac:dyDescent="0.25"/>
  <cols>
    <col min="1" max="1" width="23.7109375" style="4" customWidth="1"/>
    <col min="2" max="2" width="11.42578125" style="133"/>
    <col min="3" max="5" width="13.42578125" style="134" customWidth="1"/>
    <col min="6" max="6" width="13.28515625" style="134" customWidth="1"/>
    <col min="7" max="7" width="11.42578125" style="134"/>
    <col min="8" max="8" width="14.42578125" style="135" bestFit="1" customWidth="1"/>
    <col min="9" max="16384" width="11.42578125" style="4"/>
  </cols>
  <sheetData>
    <row r="1" spans="1:8" ht="23.25" customHeight="1" x14ac:dyDescent="0.25">
      <c r="A1" s="466" t="s">
        <v>674</v>
      </c>
      <c r="B1" s="468" t="s">
        <v>591</v>
      </c>
      <c r="C1" s="465" t="s">
        <v>132</v>
      </c>
      <c r="D1" s="465"/>
      <c r="E1" s="465"/>
      <c r="F1" s="470" t="s">
        <v>673</v>
      </c>
      <c r="G1" s="470" t="s">
        <v>39</v>
      </c>
      <c r="H1" s="463" t="s">
        <v>0</v>
      </c>
    </row>
    <row r="2" spans="1:8" s="121" customFormat="1" ht="19.5" customHeight="1" x14ac:dyDescent="0.25">
      <c r="A2" s="467"/>
      <c r="B2" s="469"/>
      <c r="C2" s="122" t="s">
        <v>670</v>
      </c>
      <c r="D2" s="122" t="s">
        <v>671</v>
      </c>
      <c r="E2" s="122" t="s">
        <v>672</v>
      </c>
      <c r="F2" s="471"/>
      <c r="G2" s="471"/>
      <c r="H2" s="464"/>
    </row>
    <row r="3" spans="1:8" x14ac:dyDescent="0.25">
      <c r="A3" s="175" t="s">
        <v>315</v>
      </c>
      <c r="B3" s="176">
        <v>210</v>
      </c>
      <c r="C3" s="177">
        <f>+VLOOKUP(A3,'COT. GAL'!B:AC,11,FALSE)</f>
        <v>17.85864888888889</v>
      </c>
      <c r="D3" s="177">
        <f>+VLOOKUP(A3,'COT. GAL'!B:AC,20,FALSE)+VLOOKUP(A3,'COT. GAL'!B:AC,24,FALSE)</f>
        <v>32.622043859649125</v>
      </c>
      <c r="E3" s="177">
        <f>+VLOOKUP(A3,'COT. GAL'!B:AE,27,FALSE)+VLOOKUP(A3,'COT. GAL'!B:AE,30,FALSE)</f>
        <v>100</v>
      </c>
      <c r="F3" s="177">
        <f t="shared" ref="F3:F34" si="0">+C3+D3+E3</f>
        <v>150.48069274853802</v>
      </c>
      <c r="G3" s="177">
        <f>+F3/(1-Analisis!$E$9)</f>
        <v>188.10086593567252</v>
      </c>
      <c r="H3" s="178">
        <f t="shared" ref="H3:H34" si="1">+G3*B3</f>
        <v>39501.181846491228</v>
      </c>
    </row>
    <row r="4" spans="1:8" x14ac:dyDescent="0.25">
      <c r="A4" s="175" t="s">
        <v>136</v>
      </c>
      <c r="B4" s="176">
        <v>1217</v>
      </c>
      <c r="C4" s="177">
        <f>+VLOOKUP(A4,'COT. GAL'!B:AC,11,FALSE)</f>
        <v>15.169093333333334</v>
      </c>
      <c r="D4" s="177">
        <f>+VLOOKUP(A4,'COT. GAL'!B:AC,20,FALSE)+VLOOKUP(A4,'COT. GAL'!B:AC,24,FALSE)</f>
        <v>34.885165204678358</v>
      </c>
      <c r="E4" s="177">
        <f>+VLOOKUP(A4,'COT. GAL'!B:AE,27,FALSE)+VLOOKUP(A4,'COT. GAL'!B:AE,30,FALSE)</f>
        <v>100</v>
      </c>
      <c r="F4" s="177">
        <f t="shared" si="0"/>
        <v>150.05425853801171</v>
      </c>
      <c r="G4" s="177">
        <f>+F4/(1-Analisis!$E$9)</f>
        <v>187.56782317251464</v>
      </c>
      <c r="H4" s="178">
        <f t="shared" si="1"/>
        <v>228270.04080095032</v>
      </c>
    </row>
    <row r="5" spans="1:8" x14ac:dyDescent="0.25">
      <c r="A5" s="175" t="s">
        <v>594</v>
      </c>
      <c r="B5" s="176">
        <v>180</v>
      </c>
      <c r="C5" s="177">
        <f>+VLOOKUP(A5,'COT. GAL'!B:AC,11,FALSE)</f>
        <v>12.3424</v>
      </c>
      <c r="D5" s="177">
        <f>+VLOOKUP(A5,'COT. GAL'!B:AC,20,FALSE)+VLOOKUP(A5,'COT. GAL'!B:AC,24,FALSE)</f>
        <v>33.668638888888886</v>
      </c>
      <c r="E5" s="177">
        <f>+VLOOKUP(A5,'COT. GAL'!B:AE,27,FALSE)+VLOOKUP(A5,'COT. GAL'!B:AE,30,FALSE)</f>
        <v>100</v>
      </c>
      <c r="F5" s="177">
        <f t="shared" si="0"/>
        <v>146.01103888888889</v>
      </c>
      <c r="G5" s="177">
        <f>+F5/(1-Analisis!$E$9)</f>
        <v>182.5137986111111</v>
      </c>
      <c r="H5" s="178">
        <f t="shared" si="1"/>
        <v>32852.483749999999</v>
      </c>
    </row>
    <row r="6" spans="1:8" x14ac:dyDescent="0.25">
      <c r="A6" s="175" t="s">
        <v>550</v>
      </c>
      <c r="B6" s="176">
        <v>120</v>
      </c>
      <c r="C6" s="177">
        <f>+VLOOKUP(A6,'COT. GAL'!B:AC,11,FALSE)</f>
        <v>29.250357500000003</v>
      </c>
      <c r="D6" s="177">
        <f>+VLOOKUP(A6,'COT. GAL'!B:AC,20,FALSE)+VLOOKUP(A6,'COT. GAL'!B:AC,24,FALSE)</f>
        <v>41.593286549707599</v>
      </c>
      <c r="E6" s="177">
        <f>+VLOOKUP(A6,'COT. GAL'!B:AE,27,FALSE)+VLOOKUP(A6,'COT. GAL'!B:AE,30,FALSE)</f>
        <v>100</v>
      </c>
      <c r="F6" s="177">
        <f t="shared" si="0"/>
        <v>170.84364404970762</v>
      </c>
      <c r="G6" s="177">
        <f>+F6/(1-Analisis!$E$9)</f>
        <v>213.55455506213451</v>
      </c>
      <c r="H6" s="178">
        <f t="shared" si="1"/>
        <v>25626.546607456141</v>
      </c>
    </row>
    <row r="7" spans="1:8" x14ac:dyDescent="0.25">
      <c r="A7" s="175" t="s">
        <v>367</v>
      </c>
      <c r="B7" s="176">
        <v>30</v>
      </c>
      <c r="C7" s="177">
        <f>+VLOOKUP(A7,'COT. GAL'!B:AC,11,FALSE)</f>
        <v>5.0983333333333336</v>
      </c>
      <c r="D7" s="177">
        <f>+VLOOKUP(A7,'COT. GAL'!B:AC,20,FALSE)+VLOOKUP(A7,'COT. GAL'!B:AC,24,FALSE)</f>
        <v>20.106498538011692</v>
      </c>
      <c r="E7" s="177">
        <f>+VLOOKUP(A7,'COT. GAL'!B:AE,27,FALSE)+VLOOKUP(A7,'COT. GAL'!B:AE,30,FALSE)</f>
        <v>0</v>
      </c>
      <c r="F7" s="177">
        <f t="shared" si="0"/>
        <v>25.204831871345025</v>
      </c>
      <c r="G7" s="177">
        <f>+F7/(1-Analisis!$E$9)</f>
        <v>31.50603983918128</v>
      </c>
      <c r="H7" s="178">
        <f t="shared" si="1"/>
        <v>945.18119517543846</v>
      </c>
    </row>
    <row r="8" spans="1:8" x14ac:dyDescent="0.25">
      <c r="A8" s="175" t="s">
        <v>318</v>
      </c>
      <c r="B8" s="176">
        <v>150</v>
      </c>
      <c r="C8" s="177">
        <f>+VLOOKUP(A8,'COT. GAL'!B:AC,11,FALSE)</f>
        <v>5.1932343749999994</v>
      </c>
      <c r="D8" s="177">
        <f>+VLOOKUP(A8,'COT. GAL'!B:AC,20,FALSE)+VLOOKUP(A8,'COT. GAL'!B:AC,24,FALSE)</f>
        <v>18.346364035087717</v>
      </c>
      <c r="E8" s="177">
        <f>+VLOOKUP(A8,'COT. GAL'!B:AE,27,FALSE)+VLOOKUP(A8,'COT. GAL'!B:AE,30,FALSE)</f>
        <v>0</v>
      </c>
      <c r="F8" s="177">
        <f t="shared" si="0"/>
        <v>23.539598410087716</v>
      </c>
      <c r="G8" s="177">
        <f>+F8/(1-Analisis!$E$9)</f>
        <v>29.424498012609643</v>
      </c>
      <c r="H8" s="178">
        <f t="shared" si="1"/>
        <v>4413.6747018914466</v>
      </c>
    </row>
    <row r="9" spans="1:8" x14ac:dyDescent="0.25">
      <c r="A9" s="175" t="s">
        <v>595</v>
      </c>
      <c r="B9" s="176">
        <v>120</v>
      </c>
      <c r="C9" s="177">
        <f>+VLOOKUP(A9,'COT. GAL'!B:AC,11,FALSE)</f>
        <v>4.0454166666666671</v>
      </c>
      <c r="D9" s="177">
        <f>+VLOOKUP(A9,'COT. GAL'!B:AC,20,FALSE)+VLOOKUP(A9,'COT. GAL'!B:AC,24,FALSE)</f>
        <v>34.048483918128653</v>
      </c>
      <c r="E9" s="177">
        <f>+VLOOKUP(A9,'COT. GAL'!B:AE,27,FALSE)+VLOOKUP(A9,'COT. GAL'!B:AE,30,FALSE)</f>
        <v>25</v>
      </c>
      <c r="F9" s="177">
        <f t="shared" si="0"/>
        <v>63.093900584795321</v>
      </c>
      <c r="G9" s="177">
        <f>+F9/(1-Analisis!$E$9)</f>
        <v>78.867375730994141</v>
      </c>
      <c r="H9" s="178">
        <f t="shared" si="1"/>
        <v>9464.085087719297</v>
      </c>
    </row>
    <row r="10" spans="1:8" x14ac:dyDescent="0.25">
      <c r="A10" s="175" t="s">
        <v>319</v>
      </c>
      <c r="B10" s="176">
        <v>4800</v>
      </c>
      <c r="C10" s="177">
        <f>+VLOOKUP(A10,'COT. GAL'!B:AC,11,FALSE)</f>
        <v>24.460667291666667</v>
      </c>
      <c r="D10" s="177">
        <f>+VLOOKUP(A10,'COT. GAL'!B:AC,20,FALSE)+VLOOKUP(A10,'COT. GAL'!B:AC,24,FALSE)</f>
        <v>47.417937134502928</v>
      </c>
      <c r="E10" s="177">
        <f>+VLOOKUP(A10,'COT. GAL'!B:AE,27,FALSE)+VLOOKUP(A10,'COT. GAL'!B:AE,30,FALSE)</f>
        <v>0</v>
      </c>
      <c r="F10" s="177">
        <f t="shared" si="0"/>
        <v>71.878604426169602</v>
      </c>
      <c r="G10" s="177">
        <f>+F10/(1-Analisis!$E$9)</f>
        <v>89.848255532712002</v>
      </c>
      <c r="H10" s="178">
        <f t="shared" si="1"/>
        <v>431271.62655701762</v>
      </c>
    </row>
    <row r="11" spans="1:8" x14ac:dyDescent="0.25">
      <c r="A11" s="175" t="s">
        <v>320</v>
      </c>
      <c r="B11" s="176">
        <v>510</v>
      </c>
      <c r="C11" s="177">
        <f>+VLOOKUP(A11,'COT. GAL'!B:AC,11,FALSE)</f>
        <v>15.793750000000001</v>
      </c>
      <c r="D11" s="177">
        <f>+VLOOKUP(A11,'COT. GAL'!B:AC,20,FALSE)+VLOOKUP(A11,'COT. GAL'!B:AC,24,FALSE)</f>
        <v>27.984356725146199</v>
      </c>
      <c r="E11" s="177">
        <f>+VLOOKUP(A11,'COT. GAL'!B:AE,27,FALSE)+VLOOKUP(A11,'COT. GAL'!B:AE,30,FALSE)</f>
        <v>0</v>
      </c>
      <c r="F11" s="177">
        <f t="shared" si="0"/>
        <v>43.778106725146202</v>
      </c>
      <c r="G11" s="177">
        <f>+F11/(1-Analisis!$E$9)</f>
        <v>54.722633406432749</v>
      </c>
      <c r="H11" s="178">
        <f t="shared" si="1"/>
        <v>27908.543037280702</v>
      </c>
    </row>
    <row r="12" spans="1:8" x14ac:dyDescent="0.25">
      <c r="A12" s="175" t="s">
        <v>321</v>
      </c>
      <c r="B12" s="176">
        <v>2400</v>
      </c>
      <c r="C12" s="177">
        <f>+VLOOKUP(A12,'COT. GAL'!B:AC,11,FALSE)</f>
        <v>32.022520833333338</v>
      </c>
      <c r="D12" s="177">
        <f>+VLOOKUP(A12,'COT. GAL'!B:AC,20,FALSE)+VLOOKUP(A12,'COT. GAL'!B:AC,24,FALSE)</f>
        <v>48.459002923976612</v>
      </c>
      <c r="E12" s="177">
        <f>+VLOOKUP(A12,'COT. GAL'!B:AE,27,FALSE)+VLOOKUP(A12,'COT. GAL'!B:AE,30,FALSE)</f>
        <v>0</v>
      </c>
      <c r="F12" s="177">
        <f t="shared" si="0"/>
        <v>80.481523757309958</v>
      </c>
      <c r="G12" s="177">
        <f>+F12/(1-Analisis!$E$9)</f>
        <v>100.60190469663745</v>
      </c>
      <c r="H12" s="178">
        <f t="shared" si="1"/>
        <v>241444.57127192986</v>
      </c>
    </row>
    <row r="13" spans="1:8" x14ac:dyDescent="0.25">
      <c r="A13" s="175" t="s">
        <v>372</v>
      </c>
      <c r="B13" s="176">
        <v>450</v>
      </c>
      <c r="C13" s="177">
        <f>+VLOOKUP(A13,'COT. GAL'!B:AC,11,FALSE)</f>
        <v>7.2928333333333324</v>
      </c>
      <c r="D13" s="177">
        <f>+VLOOKUP(A13,'COT. GAL'!B:AC,20,FALSE)+VLOOKUP(A13,'COT. GAL'!B:AC,24,FALSE)</f>
        <v>30.113916666666668</v>
      </c>
      <c r="E13" s="177">
        <f>+VLOOKUP(A13,'COT. GAL'!B:AE,27,FALSE)+VLOOKUP(A13,'COT. GAL'!B:AE,30,FALSE)</f>
        <v>0</v>
      </c>
      <c r="F13" s="177">
        <f t="shared" si="0"/>
        <v>37.406750000000002</v>
      </c>
      <c r="G13" s="177">
        <f>+F13/(1-Analisis!$E$9)</f>
        <v>46.758437499999999</v>
      </c>
      <c r="H13" s="178">
        <f t="shared" si="1"/>
        <v>21041.296875</v>
      </c>
    </row>
    <row r="14" spans="1:8" x14ac:dyDescent="0.25">
      <c r="A14" s="175" t="s">
        <v>596</v>
      </c>
      <c r="B14" s="176">
        <v>45</v>
      </c>
      <c r="C14" s="177">
        <f>+VLOOKUP(A14,'COT. GAL'!B:AC,11,FALSE)</f>
        <v>68.832819999999998</v>
      </c>
      <c r="D14" s="177">
        <f>+VLOOKUP(A14,'COT. GAL'!B:AC,20,FALSE)+VLOOKUP(A14,'COT. GAL'!B:AC,24,FALSE)</f>
        <v>56.85835233918128</v>
      </c>
      <c r="E14" s="177">
        <f>+VLOOKUP(A14,'COT. GAL'!B:AE,27,FALSE)+VLOOKUP(A14,'COT. GAL'!B:AE,30,FALSE)</f>
        <v>25</v>
      </c>
      <c r="F14" s="177">
        <f t="shared" si="0"/>
        <v>150.69117233918126</v>
      </c>
      <c r="G14" s="177">
        <f>+F14/(1-Analisis!$E$9)</f>
        <v>188.36396542397657</v>
      </c>
      <c r="H14" s="178">
        <f t="shared" si="1"/>
        <v>8476.3784440789459</v>
      </c>
    </row>
    <row r="15" spans="1:8" x14ac:dyDescent="0.25">
      <c r="A15" s="175" t="s">
        <v>597</v>
      </c>
      <c r="B15" s="176">
        <v>45</v>
      </c>
      <c r="C15" s="177">
        <f>+VLOOKUP(A15,'COT. GAL'!B:AC,11,FALSE)</f>
        <v>114.44029333333336</v>
      </c>
      <c r="D15" s="177">
        <f>+VLOOKUP(A15,'COT. GAL'!B:AC,20,FALSE)+VLOOKUP(A15,'COT. GAL'!B:AC,24,FALSE)</f>
        <v>66.55483187134503</v>
      </c>
      <c r="E15" s="177">
        <f>+VLOOKUP(A15,'COT. GAL'!B:AE,27,FALSE)+VLOOKUP(A15,'COT. GAL'!B:AE,30,FALSE)</f>
        <v>50</v>
      </c>
      <c r="F15" s="177">
        <f t="shared" si="0"/>
        <v>230.9951252046784</v>
      </c>
      <c r="G15" s="177">
        <f>+F15/(1-Analisis!$E$9)</f>
        <v>288.74390650584797</v>
      </c>
      <c r="H15" s="178">
        <f t="shared" si="1"/>
        <v>12993.475792763158</v>
      </c>
    </row>
    <row r="16" spans="1:8" x14ac:dyDescent="0.25">
      <c r="A16" s="175" t="s">
        <v>598</v>
      </c>
      <c r="B16" s="176">
        <v>45</v>
      </c>
      <c r="C16" s="177">
        <f>+VLOOKUP(A16,'COT. GAL'!B:AC,11,FALSE)</f>
        <v>84.048906666666682</v>
      </c>
      <c r="D16" s="177">
        <f>+VLOOKUP(A16,'COT. GAL'!B:AC,20,FALSE)+VLOOKUP(A16,'COT. GAL'!B:AC,24,FALSE)</f>
        <v>81.274372807017542</v>
      </c>
      <c r="E16" s="177">
        <f>+VLOOKUP(A16,'COT. GAL'!B:AE,27,FALSE)+VLOOKUP(A16,'COT. GAL'!B:AE,30,FALSE)</f>
        <v>50</v>
      </c>
      <c r="F16" s="177">
        <f t="shared" si="0"/>
        <v>215.32327947368424</v>
      </c>
      <c r="G16" s="177">
        <f>+F16/(1-Analisis!$E$9)</f>
        <v>269.15409934210527</v>
      </c>
      <c r="H16" s="178">
        <f t="shared" si="1"/>
        <v>12111.934470394737</v>
      </c>
    </row>
    <row r="17" spans="1:8" x14ac:dyDescent="0.25">
      <c r="A17" s="175" t="s">
        <v>599</v>
      </c>
      <c r="B17" s="176">
        <v>45</v>
      </c>
      <c r="C17" s="177">
        <f>+VLOOKUP(A17,'COT. GAL'!B:AC,11,FALSE)</f>
        <v>24.494166666666668</v>
      </c>
      <c r="D17" s="177">
        <f>+VLOOKUP(A17,'COT. GAL'!B:AC,20,FALSE)+VLOOKUP(A17,'COT. GAL'!B:AC,24,FALSE)</f>
        <v>79.724152046783615</v>
      </c>
      <c r="E17" s="177">
        <f>+VLOOKUP(A17,'COT. GAL'!B:AE,27,FALSE)+VLOOKUP(A17,'COT. GAL'!B:AE,30,FALSE)</f>
        <v>25</v>
      </c>
      <c r="F17" s="177">
        <f t="shared" si="0"/>
        <v>129.21831871345029</v>
      </c>
      <c r="G17" s="177">
        <f>+F17/(1-Analisis!$E$9)</f>
        <v>161.52289839181284</v>
      </c>
      <c r="H17" s="178">
        <f t="shared" si="1"/>
        <v>7268.5304276315783</v>
      </c>
    </row>
    <row r="18" spans="1:8" x14ac:dyDescent="0.25">
      <c r="A18" s="175" t="s">
        <v>600</v>
      </c>
      <c r="B18" s="176">
        <v>45</v>
      </c>
      <c r="C18" s="177">
        <f>+VLOOKUP(A18,'COT. GAL'!B:AC,11,FALSE)</f>
        <v>70.53433333333335</v>
      </c>
      <c r="D18" s="177">
        <f>+VLOOKUP(A18,'COT. GAL'!B:AC,20,FALSE)+VLOOKUP(A18,'COT. GAL'!B:AC,24,FALSE)</f>
        <v>105.86585380116958</v>
      </c>
      <c r="E18" s="177">
        <f>+VLOOKUP(A18,'COT. GAL'!B:AE,27,FALSE)+VLOOKUP(A18,'COT. GAL'!B:AE,30,FALSE)</f>
        <v>50</v>
      </c>
      <c r="F18" s="177">
        <f t="shared" si="0"/>
        <v>226.40018713450291</v>
      </c>
      <c r="G18" s="177">
        <f>+F18/(1-Analisis!$E$9)</f>
        <v>283.00023391812863</v>
      </c>
      <c r="H18" s="178">
        <f t="shared" si="1"/>
        <v>12735.010526315788</v>
      </c>
    </row>
    <row r="19" spans="1:8" x14ac:dyDescent="0.25">
      <c r="A19" s="175" t="s">
        <v>379</v>
      </c>
      <c r="B19" s="176">
        <v>30</v>
      </c>
      <c r="C19" s="177">
        <f>+VLOOKUP(A19,'COT. GAL'!B:AC,11,FALSE)</f>
        <v>346.88062500000001</v>
      </c>
      <c r="D19" s="177">
        <f>+VLOOKUP(A19,'COT. GAL'!B:AC,20,FALSE)+VLOOKUP(A19,'COT. GAL'!B:AC,24,FALSE)</f>
        <v>123.28387426900585</v>
      </c>
      <c r="E19" s="177">
        <f>+VLOOKUP(A19,'COT. GAL'!B:AE,27,FALSE)+VLOOKUP(A19,'COT. GAL'!B:AE,30,FALSE)</f>
        <v>250</v>
      </c>
      <c r="F19" s="177">
        <f t="shared" si="0"/>
        <v>720.16449926900589</v>
      </c>
      <c r="G19" s="177">
        <f>+F19/(1-Analisis!$E$9)</f>
        <v>900.20562408625733</v>
      </c>
      <c r="H19" s="178">
        <f t="shared" si="1"/>
        <v>27006.168722587721</v>
      </c>
    </row>
    <row r="20" spans="1:8" x14ac:dyDescent="0.25">
      <c r="A20" s="175" t="s">
        <v>330</v>
      </c>
      <c r="B20" s="176">
        <v>90</v>
      </c>
      <c r="C20" s="177">
        <f>+VLOOKUP(A20,'COT. GAL'!B:AC,11,FALSE)</f>
        <v>345.62153062500005</v>
      </c>
      <c r="D20" s="177">
        <f>+VLOOKUP(A20,'COT. GAL'!B:AC,20,FALSE)+VLOOKUP(A20,'COT. GAL'!B:AC,24,FALSE)</f>
        <v>140.37372953216374</v>
      </c>
      <c r="E20" s="177">
        <f>+VLOOKUP(A20,'COT. GAL'!B:AE,27,FALSE)+VLOOKUP(A20,'COT. GAL'!B:AE,30,FALSE)</f>
        <v>200</v>
      </c>
      <c r="F20" s="177">
        <f t="shared" si="0"/>
        <v>685.99526015716378</v>
      </c>
      <c r="G20" s="177">
        <f>+F20/(1-Analisis!$E$9)</f>
        <v>857.49407519645467</v>
      </c>
      <c r="H20" s="178">
        <f t="shared" si="1"/>
        <v>77174.466767680919</v>
      </c>
    </row>
    <row r="21" spans="1:8" x14ac:dyDescent="0.25">
      <c r="A21" s="175" t="s">
        <v>551</v>
      </c>
      <c r="B21" s="176">
        <v>75</v>
      </c>
      <c r="C21" s="177">
        <f>+VLOOKUP(A21,'COT. GAL'!B:AC,11,FALSE)</f>
        <v>526.66138000000001</v>
      </c>
      <c r="D21" s="177">
        <f>+VLOOKUP(A21,'COT. GAL'!B:AC,20,FALSE)+VLOOKUP(A21,'COT. GAL'!B:AC,24,FALSE)</f>
        <v>140.37372953216374</v>
      </c>
      <c r="E21" s="177">
        <f>+VLOOKUP(A21,'COT. GAL'!B:AE,27,FALSE)+VLOOKUP(A21,'COT. GAL'!B:AE,30,FALSE)</f>
        <v>100</v>
      </c>
      <c r="F21" s="177">
        <f t="shared" si="0"/>
        <v>767.03510953216369</v>
      </c>
      <c r="G21" s="177">
        <f>+F21/(1-Analisis!$E$9)</f>
        <v>958.79388691520455</v>
      </c>
      <c r="H21" s="178">
        <f t="shared" si="1"/>
        <v>71909.541518640341</v>
      </c>
    </row>
    <row r="22" spans="1:8" x14ac:dyDescent="0.25">
      <c r="A22" s="175" t="s">
        <v>552</v>
      </c>
      <c r="B22" s="176">
        <v>90</v>
      </c>
      <c r="C22" s="177">
        <f>+VLOOKUP(A22,'COT. GAL'!B:AC,11,FALSE)</f>
        <v>392.54102125000003</v>
      </c>
      <c r="D22" s="177">
        <f>+VLOOKUP(A22,'COT. GAL'!B:AC,20,FALSE)+VLOOKUP(A22,'COT. GAL'!B:AC,24,FALSE)</f>
        <v>199.15406286549705</v>
      </c>
      <c r="E22" s="177">
        <f>+VLOOKUP(A22,'COT. GAL'!B:AE,27,FALSE)+VLOOKUP(A22,'COT. GAL'!B:AE,30,FALSE)</f>
        <v>100</v>
      </c>
      <c r="F22" s="177">
        <f t="shared" si="0"/>
        <v>691.69508411549714</v>
      </c>
      <c r="G22" s="177">
        <f>+F22/(1-Analisis!$E$9)</f>
        <v>864.61885514437142</v>
      </c>
      <c r="H22" s="178">
        <f t="shared" si="1"/>
        <v>77815.696962993432</v>
      </c>
    </row>
    <row r="23" spans="1:8" x14ac:dyDescent="0.25">
      <c r="A23" s="175" t="s">
        <v>553</v>
      </c>
      <c r="B23" s="176">
        <v>90</v>
      </c>
      <c r="C23" s="177">
        <f>+VLOOKUP(A23,'COT. GAL'!B:AC,11,FALSE)</f>
        <v>298.10755770833333</v>
      </c>
      <c r="D23" s="177">
        <f>+VLOOKUP(A23,'COT. GAL'!B:AC,20,FALSE)+VLOOKUP(A23,'COT. GAL'!B:AC,24,FALSE)</f>
        <v>184.53235233918127</v>
      </c>
      <c r="E23" s="177">
        <f>+VLOOKUP(A23,'COT. GAL'!B:AE,27,FALSE)+VLOOKUP(A23,'COT. GAL'!B:AE,30,FALSE)</f>
        <v>100</v>
      </c>
      <c r="F23" s="177">
        <f t="shared" si="0"/>
        <v>582.6399100475146</v>
      </c>
      <c r="G23" s="177">
        <f>+F23/(1-Analisis!$E$9)</f>
        <v>728.29988755939326</v>
      </c>
      <c r="H23" s="178">
        <f t="shared" si="1"/>
        <v>65546.989880345398</v>
      </c>
    </row>
    <row r="24" spans="1:8" x14ac:dyDescent="0.25">
      <c r="A24" s="175" t="s">
        <v>557</v>
      </c>
      <c r="B24" s="176">
        <v>60</v>
      </c>
      <c r="C24" s="177">
        <f>+VLOOKUP(A24,'COT. GAL'!B:AC,11,FALSE)</f>
        <v>17.85864888888889</v>
      </c>
      <c r="D24" s="177">
        <f>+VLOOKUP(A24,'COT. GAL'!B:AC,20,FALSE)+VLOOKUP(A24,'COT. GAL'!B:AC,24,FALSE)</f>
        <v>32.622043859649125</v>
      </c>
      <c r="E24" s="177">
        <f>+VLOOKUP(A24,'COT. GAL'!B:AE,27,FALSE)+VLOOKUP(A24,'COT. GAL'!B:AE,30,FALSE)</f>
        <v>100</v>
      </c>
      <c r="F24" s="177">
        <f t="shared" si="0"/>
        <v>150.48069274853802</v>
      </c>
      <c r="G24" s="177">
        <f>+F24/(1-Analisis!$E$9)</f>
        <v>188.10086593567252</v>
      </c>
      <c r="H24" s="178">
        <f t="shared" si="1"/>
        <v>11286.051956140351</v>
      </c>
    </row>
    <row r="25" spans="1:8" x14ac:dyDescent="0.25">
      <c r="A25" s="175" t="s">
        <v>555</v>
      </c>
      <c r="B25" s="176">
        <v>240</v>
      </c>
      <c r="C25" s="177">
        <f>+VLOOKUP(A25,'COT. GAL'!B:AC,11,FALSE)</f>
        <v>105.55367666666669</v>
      </c>
      <c r="D25" s="177">
        <f>+VLOOKUP(A25,'COT. GAL'!B:AC,20,FALSE)+VLOOKUP(A25,'COT. GAL'!B:AC,24,FALSE)</f>
        <v>121.91528216374269</v>
      </c>
      <c r="E25" s="177">
        <f>+VLOOKUP(A25,'COT. GAL'!B:AE,27,FALSE)+VLOOKUP(A25,'COT. GAL'!B:AE,30,FALSE)</f>
        <v>100</v>
      </c>
      <c r="F25" s="177">
        <f t="shared" si="0"/>
        <v>327.46895883040941</v>
      </c>
      <c r="G25" s="177">
        <f>+F25/(1-Analisis!$E$9)</f>
        <v>409.33619853801173</v>
      </c>
      <c r="H25" s="178">
        <f t="shared" si="1"/>
        <v>98240.687649122818</v>
      </c>
    </row>
    <row r="26" spans="1:8" x14ac:dyDescent="0.25">
      <c r="A26" s="175" t="s">
        <v>601</v>
      </c>
      <c r="B26" s="176">
        <v>60</v>
      </c>
      <c r="C26" s="177">
        <f>+VLOOKUP(A26,'COT. GAL'!B:AC,11,FALSE)</f>
        <v>60.466676666666679</v>
      </c>
      <c r="D26" s="177">
        <f>+VLOOKUP(A26,'COT. GAL'!B:AC,20,FALSE)+VLOOKUP(A26,'COT. GAL'!B:AC,24,FALSE)</f>
        <v>97.427160818713446</v>
      </c>
      <c r="E26" s="177">
        <f>+VLOOKUP(A26,'COT. GAL'!B:AE,27,FALSE)+VLOOKUP(A26,'COT. GAL'!B:AE,30,FALSE)</f>
        <v>100</v>
      </c>
      <c r="F26" s="177">
        <f t="shared" si="0"/>
        <v>257.89383748538012</v>
      </c>
      <c r="G26" s="177">
        <f>+F26/(1-Analisis!$E$9)</f>
        <v>322.36729685672515</v>
      </c>
      <c r="H26" s="178">
        <f t="shared" si="1"/>
        <v>19342.037811403508</v>
      </c>
    </row>
    <row r="27" spans="1:8" x14ac:dyDescent="0.25">
      <c r="A27" s="175" t="s">
        <v>565</v>
      </c>
      <c r="B27" s="176">
        <v>90</v>
      </c>
      <c r="C27" s="177">
        <f>+VLOOKUP(A27,'COT. GAL'!B:AC,11,FALSE)</f>
        <v>72.990843333333345</v>
      </c>
      <c r="D27" s="177">
        <f>+VLOOKUP(A27,'COT. GAL'!B:AC,20,FALSE)+VLOOKUP(A27,'COT. GAL'!B:AC,24,FALSE)</f>
        <v>48.350114035087728</v>
      </c>
      <c r="E27" s="177">
        <f>+VLOOKUP(A27,'COT. GAL'!B:AE,27,FALSE)+VLOOKUP(A27,'COT. GAL'!B:AE,30,FALSE)</f>
        <v>125</v>
      </c>
      <c r="F27" s="177">
        <f t="shared" si="0"/>
        <v>246.34095736842107</v>
      </c>
      <c r="G27" s="177">
        <f>+F27/(1-Analisis!$E$9)</f>
        <v>307.92619671052631</v>
      </c>
      <c r="H27" s="178">
        <f t="shared" si="1"/>
        <v>27713.357703947368</v>
      </c>
    </row>
    <row r="28" spans="1:8" x14ac:dyDescent="0.25">
      <c r="A28" s="175" t="s">
        <v>394</v>
      </c>
      <c r="B28" s="176">
        <v>180</v>
      </c>
      <c r="C28" s="177">
        <f>+VLOOKUP(A28,'COT. GAL'!B:AC,11,FALSE)</f>
        <v>61.455309999999997</v>
      </c>
      <c r="D28" s="177">
        <f>+VLOOKUP(A28,'COT. GAL'!B:AC,20,FALSE)+VLOOKUP(A28,'COT. GAL'!B:AC,24,FALSE)</f>
        <v>165.65705116959066</v>
      </c>
      <c r="E28" s="177">
        <f>+VLOOKUP(A28,'COT. GAL'!B:AE,27,FALSE)+VLOOKUP(A28,'COT. GAL'!B:AE,30,FALSE)</f>
        <v>200</v>
      </c>
      <c r="F28" s="177">
        <f t="shared" si="0"/>
        <v>427.11236116959066</v>
      </c>
      <c r="G28" s="177">
        <f>+F28/(1-Analisis!$E$9)</f>
        <v>533.89045146198828</v>
      </c>
      <c r="H28" s="178">
        <f t="shared" si="1"/>
        <v>96100.281263157885</v>
      </c>
    </row>
    <row r="29" spans="1:8" x14ac:dyDescent="0.25">
      <c r="A29" s="175" t="s">
        <v>396</v>
      </c>
      <c r="B29" s="176">
        <v>300</v>
      </c>
      <c r="C29" s="177">
        <f>+VLOOKUP(A29,'COT. GAL'!B:AC,11,FALSE)</f>
        <v>98.16331000000001</v>
      </c>
      <c r="D29" s="177">
        <f>+VLOOKUP(A29,'COT. GAL'!B:AC,20,FALSE)+VLOOKUP(A29,'COT. GAL'!B:AC,24,FALSE)</f>
        <v>179.69389327485382</v>
      </c>
      <c r="E29" s="177">
        <f>+VLOOKUP(A29,'COT. GAL'!B:AE,27,FALSE)+VLOOKUP(A29,'COT. GAL'!B:AE,30,FALSE)</f>
        <v>200</v>
      </c>
      <c r="F29" s="177">
        <f t="shared" si="0"/>
        <v>477.85720327485382</v>
      </c>
      <c r="G29" s="177">
        <f>+F29/(1-Analisis!$E$9)</f>
        <v>597.32150409356723</v>
      </c>
      <c r="H29" s="178">
        <f t="shared" si="1"/>
        <v>179196.45122807016</v>
      </c>
    </row>
    <row r="30" spans="1:8" x14ac:dyDescent="0.25">
      <c r="A30" s="175" t="s">
        <v>333</v>
      </c>
      <c r="B30" s="176">
        <v>420</v>
      </c>
      <c r="C30" s="177">
        <f>+VLOOKUP(A30,'COT. GAL'!B:AC,11,FALSE)</f>
        <v>116.51731000000001</v>
      </c>
      <c r="D30" s="177">
        <f>+VLOOKUP(A30,'COT. GAL'!B:AC,20,FALSE)+VLOOKUP(A30,'COT. GAL'!B:AC,24,FALSE)</f>
        <v>186.71231432748539</v>
      </c>
      <c r="E30" s="177">
        <f>+VLOOKUP(A30,'COT. GAL'!B:AE,27,FALSE)+VLOOKUP(A30,'COT. GAL'!B:AE,30,FALSE)</f>
        <v>200</v>
      </c>
      <c r="F30" s="177">
        <f t="shared" si="0"/>
        <v>503.2296243274854</v>
      </c>
      <c r="G30" s="177">
        <f>+F30/(1-Analisis!$E$9)</f>
        <v>629.0370304093567</v>
      </c>
      <c r="H30" s="178">
        <f t="shared" si="1"/>
        <v>264195.55277192983</v>
      </c>
    </row>
    <row r="31" spans="1:8" x14ac:dyDescent="0.25">
      <c r="A31" s="175" t="s">
        <v>397</v>
      </c>
      <c r="B31" s="176">
        <v>120</v>
      </c>
      <c r="C31" s="177">
        <f>+VLOOKUP(A31,'COT. GAL'!B:AC,11,FALSE)</f>
        <v>140.98931000000002</v>
      </c>
      <c r="D31" s="177">
        <f>+VLOOKUP(A31,'COT. GAL'!B:AC,20,FALSE)+VLOOKUP(A31,'COT. GAL'!B:AC,24,FALSE)</f>
        <v>196.07020906432751</v>
      </c>
      <c r="E31" s="177">
        <f>+VLOOKUP(A31,'COT. GAL'!B:AE,27,FALSE)+VLOOKUP(A31,'COT. GAL'!B:AE,30,FALSE)</f>
        <v>200</v>
      </c>
      <c r="F31" s="177">
        <f t="shared" si="0"/>
        <v>537.05951906432756</v>
      </c>
      <c r="G31" s="177">
        <f>+F31/(1-Analisis!$E$9)</f>
        <v>671.32439883040945</v>
      </c>
      <c r="H31" s="178">
        <f t="shared" si="1"/>
        <v>80558.927859649135</v>
      </c>
    </row>
    <row r="32" spans="1:8" x14ac:dyDescent="0.25">
      <c r="A32" s="175" t="s">
        <v>404</v>
      </c>
      <c r="B32" s="176">
        <v>180</v>
      </c>
      <c r="C32" s="177">
        <f>+VLOOKUP(A32,'COT. GAL'!B:AC,11,FALSE)</f>
        <v>76.750309999999999</v>
      </c>
      <c r="D32" s="177">
        <f>+VLOOKUP(A32,'COT. GAL'!B:AC,20,FALSE)+VLOOKUP(A32,'COT. GAL'!B:AC,24,FALSE)</f>
        <v>171.50573538011696</v>
      </c>
      <c r="E32" s="177">
        <f>+VLOOKUP(A32,'COT. GAL'!B:AE,27,FALSE)+VLOOKUP(A32,'COT. GAL'!B:AE,30,FALSE)</f>
        <v>200</v>
      </c>
      <c r="F32" s="177">
        <f t="shared" si="0"/>
        <v>448.25604538011697</v>
      </c>
      <c r="G32" s="177">
        <f>+F32/(1-Analisis!$E$9)</f>
        <v>560.32005672514617</v>
      </c>
      <c r="H32" s="178">
        <f t="shared" si="1"/>
        <v>100857.61021052631</v>
      </c>
    </row>
    <row r="33" spans="1:8" x14ac:dyDescent="0.25">
      <c r="A33" s="175" t="s">
        <v>405</v>
      </c>
      <c r="B33" s="176">
        <v>900</v>
      </c>
      <c r="C33" s="177">
        <f>+VLOOKUP(A33,'COT. GAL'!B:AC,11,FALSE)</f>
        <v>134.3872638888889</v>
      </c>
      <c r="D33" s="177">
        <f>+VLOOKUP(A33,'COT. GAL'!B:AC,20,FALSE)+VLOOKUP(A33,'COT. GAL'!B:AC,24,FALSE)</f>
        <v>221.98838304093564</v>
      </c>
      <c r="E33" s="177">
        <f>+VLOOKUP(A33,'COT. GAL'!B:AE,27,FALSE)+VLOOKUP(A33,'COT. GAL'!B:AE,30,FALSE)</f>
        <v>100</v>
      </c>
      <c r="F33" s="177">
        <f t="shared" si="0"/>
        <v>456.37564692982454</v>
      </c>
      <c r="G33" s="177">
        <f>+F33/(1-Analisis!$E$9)</f>
        <v>570.46955866228063</v>
      </c>
      <c r="H33" s="178">
        <f t="shared" si="1"/>
        <v>513422.60279605258</v>
      </c>
    </row>
    <row r="34" spans="1:8" x14ac:dyDescent="0.25">
      <c r="A34" s="175" t="s">
        <v>546</v>
      </c>
      <c r="B34" s="176">
        <v>1200</v>
      </c>
      <c r="C34" s="177">
        <f>+VLOOKUP(A34,'COT. GAL'!B:AC,11,FALSE)</f>
        <v>9.509500000000001</v>
      </c>
      <c r="D34" s="177">
        <f>+VLOOKUP(A34,'COT. GAL'!B:AC,20,FALSE)+VLOOKUP(A34,'COT. GAL'!B:AC,24,FALSE)</f>
        <v>28.223833333333332</v>
      </c>
      <c r="E34" s="177">
        <f>+VLOOKUP(A34,'COT. GAL'!B:AE,27,FALSE)+VLOOKUP(A34,'COT. GAL'!B:AE,30,FALSE)</f>
        <v>25</v>
      </c>
      <c r="F34" s="177">
        <f t="shared" si="0"/>
        <v>62.733333333333334</v>
      </c>
      <c r="G34" s="177">
        <f>+F34/(1-Analisis!$E$9)</f>
        <v>78.416666666666657</v>
      </c>
      <c r="H34" s="178">
        <f t="shared" si="1"/>
        <v>94099.999999999985</v>
      </c>
    </row>
    <row r="35" spans="1:8" x14ac:dyDescent="0.25">
      <c r="A35" s="175" t="s">
        <v>409</v>
      </c>
      <c r="B35" s="176">
        <v>60</v>
      </c>
      <c r="C35" s="177">
        <f>+VLOOKUP(A35,'COT. GAL'!B:AC,11,FALSE)</f>
        <v>83.761945312500004</v>
      </c>
      <c r="D35" s="177">
        <f>+VLOOKUP(A35,'COT. GAL'!B:AC,20,FALSE)+VLOOKUP(A35,'COT. GAL'!B:AC,24,FALSE)</f>
        <v>69.432384502923981</v>
      </c>
      <c r="E35" s="177">
        <f>+VLOOKUP(A35,'COT. GAL'!B:AE,27,FALSE)+VLOOKUP(A35,'COT. GAL'!B:AE,30,FALSE)</f>
        <v>100</v>
      </c>
      <c r="F35" s="177">
        <f t="shared" ref="F35:F66" si="2">+C35+D35+E35</f>
        <v>253.194329815424</v>
      </c>
      <c r="G35" s="177">
        <f>+F35/(1-Analisis!$E$9)</f>
        <v>316.49291226928</v>
      </c>
      <c r="H35" s="178">
        <f t="shared" ref="H35:H66" si="3">+G35*B35</f>
        <v>18989.574736156799</v>
      </c>
    </row>
    <row r="36" spans="1:8" x14ac:dyDescent="0.25">
      <c r="A36" s="175" t="s">
        <v>337</v>
      </c>
      <c r="B36" s="176">
        <v>210</v>
      </c>
      <c r="C36" s="177">
        <f>+VLOOKUP(A36,'COT. GAL'!B:AC,11,FALSE)</f>
        <v>102.7269140625</v>
      </c>
      <c r="D36" s="177">
        <f>+VLOOKUP(A36,'COT. GAL'!B:AC,20,FALSE)+VLOOKUP(A36,'COT. GAL'!B:AC,24,FALSE)</f>
        <v>76.450805555555561</v>
      </c>
      <c r="E36" s="177">
        <f>+VLOOKUP(A36,'COT. GAL'!B:AE,27,FALSE)+VLOOKUP(A36,'COT. GAL'!B:AE,30,FALSE)</f>
        <v>100</v>
      </c>
      <c r="F36" s="177">
        <f t="shared" si="2"/>
        <v>279.17771961805556</v>
      </c>
      <c r="G36" s="177">
        <f>+F36/(1-Analisis!$E$9)</f>
        <v>348.97214952256945</v>
      </c>
      <c r="H36" s="178">
        <f t="shared" si="3"/>
        <v>73284.151399739581</v>
      </c>
    </row>
    <row r="37" spans="1:8" x14ac:dyDescent="0.25">
      <c r="A37" s="175" t="s">
        <v>410</v>
      </c>
      <c r="B37" s="176">
        <v>60</v>
      </c>
      <c r="C37" s="177">
        <f>+VLOOKUP(A37,'COT. GAL'!B:AC,11,FALSE)</f>
        <v>128.0135390625</v>
      </c>
      <c r="D37" s="177">
        <f>+VLOOKUP(A37,'COT. GAL'!B:AC,20,FALSE)+VLOOKUP(A37,'COT. GAL'!B:AC,24,FALSE)</f>
        <v>85.80870029239766</v>
      </c>
      <c r="E37" s="177">
        <f>+VLOOKUP(A37,'COT. GAL'!B:AE,27,FALSE)+VLOOKUP(A37,'COT. GAL'!B:AE,30,FALSE)</f>
        <v>100</v>
      </c>
      <c r="F37" s="177">
        <f t="shared" si="2"/>
        <v>313.82223935489765</v>
      </c>
      <c r="G37" s="177">
        <f>+F37/(1-Analisis!$E$9)</f>
        <v>392.27779919362206</v>
      </c>
      <c r="H37" s="178">
        <f t="shared" si="3"/>
        <v>23536.667951617324</v>
      </c>
    </row>
    <row r="38" spans="1:8" x14ac:dyDescent="0.25">
      <c r="A38" s="175" t="s">
        <v>414</v>
      </c>
      <c r="B38" s="176">
        <v>30</v>
      </c>
      <c r="C38" s="177">
        <f>+VLOOKUP(A38,'COT. GAL'!B:AC,11,FALSE)</f>
        <v>61.636148437499997</v>
      </c>
      <c r="D38" s="177">
        <f>+VLOOKUP(A38,'COT. GAL'!B:AC,20,FALSE)+VLOOKUP(A38,'COT. GAL'!B:AC,24,FALSE)</f>
        <v>61.244226608187134</v>
      </c>
      <c r="E38" s="177">
        <f>+VLOOKUP(A38,'COT. GAL'!B:AE,27,FALSE)+VLOOKUP(A38,'COT. GAL'!B:AE,30,FALSE)</f>
        <v>100</v>
      </c>
      <c r="F38" s="177">
        <f t="shared" si="2"/>
        <v>222.88037504568712</v>
      </c>
      <c r="G38" s="177">
        <f>+F38/(1-Analisis!$E$9)</f>
        <v>278.60046880710888</v>
      </c>
      <c r="H38" s="178">
        <f t="shared" si="3"/>
        <v>8358.0140642132665</v>
      </c>
    </row>
    <row r="39" spans="1:8" x14ac:dyDescent="0.25">
      <c r="A39" s="175" t="s">
        <v>469</v>
      </c>
      <c r="B39" s="176">
        <v>90</v>
      </c>
      <c r="C39" s="177">
        <f>+VLOOKUP(A39,'COT. GAL'!B:AC,11,FALSE)</f>
        <v>47.735030000000009</v>
      </c>
      <c r="D39" s="177">
        <f>+VLOOKUP(A39,'COT. GAL'!B:AC,20,FALSE)+VLOOKUP(A39,'COT. GAL'!B:AC,24,FALSE)</f>
        <v>60.425410818713459</v>
      </c>
      <c r="E39" s="177">
        <f>+VLOOKUP(A39,'COT. GAL'!B:AE,27,FALSE)+VLOOKUP(A39,'COT. GAL'!B:AE,30,FALSE)</f>
        <v>100</v>
      </c>
      <c r="F39" s="177">
        <f t="shared" si="2"/>
        <v>208.16044081871348</v>
      </c>
      <c r="G39" s="177">
        <f>+F39/(1-Analisis!$E$9)</f>
        <v>260.20055102339182</v>
      </c>
      <c r="H39" s="178">
        <f t="shared" si="3"/>
        <v>23418.049592105264</v>
      </c>
    </row>
    <row r="40" spans="1:8" x14ac:dyDescent="0.25">
      <c r="A40" s="175" t="s">
        <v>472</v>
      </c>
      <c r="B40" s="176">
        <v>150</v>
      </c>
      <c r="C40" s="177">
        <f>+VLOOKUP(A40,'COT. GAL'!B:AC,11,FALSE)</f>
        <v>78.059030000000007</v>
      </c>
      <c r="D40" s="177">
        <f>+VLOOKUP(A40,'COT. GAL'!B:AC,20,FALSE)+VLOOKUP(A40,'COT. GAL'!B:AC,24,FALSE)</f>
        <v>74.462252923976607</v>
      </c>
      <c r="E40" s="177">
        <f>+VLOOKUP(A40,'COT. GAL'!B:AE,27,FALSE)+VLOOKUP(A40,'COT. GAL'!B:AE,30,FALSE)</f>
        <v>100</v>
      </c>
      <c r="F40" s="177">
        <f t="shared" si="2"/>
        <v>252.52128292397663</v>
      </c>
      <c r="G40" s="177">
        <f>+F40/(1-Analisis!$E$9)</f>
        <v>315.65160365497076</v>
      </c>
      <c r="H40" s="178">
        <f t="shared" si="3"/>
        <v>47347.740548245616</v>
      </c>
    </row>
    <row r="41" spans="1:8" x14ac:dyDescent="0.25">
      <c r="A41" s="175" t="s">
        <v>362</v>
      </c>
      <c r="B41" s="176">
        <v>210</v>
      </c>
      <c r="C41" s="177">
        <f>+VLOOKUP(A41,'COT. GAL'!B:AC,11,FALSE)</f>
        <v>93.221030000000013</v>
      </c>
      <c r="D41" s="177">
        <f>+VLOOKUP(A41,'COT. GAL'!B:AC,20,FALSE)+VLOOKUP(A41,'COT. GAL'!B:AC,24,FALSE)</f>
        <v>81.480673976608202</v>
      </c>
      <c r="E41" s="177">
        <f>+VLOOKUP(A41,'COT. GAL'!B:AE,27,FALSE)+VLOOKUP(A41,'COT. GAL'!B:AE,30,FALSE)</f>
        <v>100</v>
      </c>
      <c r="F41" s="177">
        <f t="shared" si="2"/>
        <v>274.7017039766082</v>
      </c>
      <c r="G41" s="177">
        <f>+F41/(1-Analisis!$E$9)</f>
        <v>343.37712997076022</v>
      </c>
      <c r="H41" s="178">
        <f t="shared" si="3"/>
        <v>72109.197293859645</v>
      </c>
    </row>
    <row r="42" spans="1:8" x14ac:dyDescent="0.25">
      <c r="A42" s="175" t="s">
        <v>474</v>
      </c>
      <c r="B42" s="176">
        <v>60</v>
      </c>
      <c r="C42" s="177">
        <f>+VLOOKUP(A42,'COT. GAL'!B:AC,11,FALSE)</f>
        <v>113.43703000000002</v>
      </c>
      <c r="D42" s="177">
        <f>+VLOOKUP(A42,'COT. GAL'!B:AC,20,FALSE)+VLOOKUP(A42,'COT. GAL'!B:AC,24,FALSE)</f>
        <v>90.838568713450286</v>
      </c>
      <c r="E42" s="177">
        <f>+VLOOKUP(A42,'COT. GAL'!B:AE,27,FALSE)+VLOOKUP(A42,'COT. GAL'!B:AE,30,FALSE)</f>
        <v>100</v>
      </c>
      <c r="F42" s="177">
        <f t="shared" si="2"/>
        <v>304.27559871345034</v>
      </c>
      <c r="G42" s="177">
        <f>+F42/(1-Analisis!$E$9)</f>
        <v>380.34449839181292</v>
      </c>
      <c r="H42" s="178">
        <f t="shared" si="3"/>
        <v>22820.669903508777</v>
      </c>
    </row>
    <row r="43" spans="1:8" x14ac:dyDescent="0.25">
      <c r="A43" s="175" t="s">
        <v>479</v>
      </c>
      <c r="B43" s="176">
        <v>90</v>
      </c>
      <c r="C43" s="177">
        <f>+VLOOKUP(A43,'COT. GAL'!B:AC,11,FALSE)</f>
        <v>60.370030000000007</v>
      </c>
      <c r="D43" s="177">
        <f>+VLOOKUP(A43,'COT. GAL'!B:AC,20,FALSE)+VLOOKUP(A43,'COT. GAL'!B:AC,24,FALSE)</f>
        <v>66.274095029239774</v>
      </c>
      <c r="E43" s="177">
        <f>+VLOOKUP(A43,'COT. GAL'!B:AE,27,FALSE)+VLOOKUP(A43,'COT. GAL'!B:AE,30,FALSE)</f>
        <v>100</v>
      </c>
      <c r="F43" s="177">
        <f t="shared" si="2"/>
        <v>226.64412502923977</v>
      </c>
      <c r="G43" s="177">
        <f>+F43/(1-Analisis!$E$9)</f>
        <v>283.30515628654967</v>
      </c>
      <c r="H43" s="178">
        <f t="shared" si="3"/>
        <v>25497.464065789471</v>
      </c>
    </row>
    <row r="44" spans="1:8" x14ac:dyDescent="0.25">
      <c r="A44" s="175" t="s">
        <v>602</v>
      </c>
      <c r="B44" s="176">
        <v>45</v>
      </c>
      <c r="C44" s="177">
        <f>+VLOOKUP(A44,'COT. GAL'!B:AC,11,FALSE)</f>
        <v>557.30325000000005</v>
      </c>
      <c r="D44" s="177">
        <f>+VLOOKUP(A44,'COT. GAL'!B:AC,20,FALSE)+VLOOKUP(A44,'COT. GAL'!B:AC,24,FALSE)</f>
        <v>125.88749707602339</v>
      </c>
      <c r="E44" s="177">
        <f>+VLOOKUP(A44,'COT. GAL'!B:AE,27,FALSE)+VLOOKUP(A44,'COT. GAL'!B:AE,30,FALSE)</f>
        <v>0</v>
      </c>
      <c r="F44" s="177">
        <f t="shared" si="2"/>
        <v>683.1907470760234</v>
      </c>
      <c r="G44" s="177">
        <f>+F44/(1-Analisis!$E$9)</f>
        <v>853.98843384502925</v>
      </c>
      <c r="H44" s="178">
        <f t="shared" si="3"/>
        <v>38429.479523026319</v>
      </c>
    </row>
    <row r="45" spans="1:8" x14ac:dyDescent="0.25">
      <c r="A45" s="175" t="s">
        <v>575</v>
      </c>
      <c r="B45" s="176">
        <v>45</v>
      </c>
      <c r="C45" s="177">
        <f>+VLOOKUP(A45,'COT. GAL'!B:AC,11,FALSE)</f>
        <v>693.97922222222223</v>
      </c>
      <c r="D45" s="177">
        <f>+VLOOKUP(A45,'COT. GAL'!B:AC,20,FALSE)+VLOOKUP(A45,'COT. GAL'!B:AC,24,FALSE)</f>
        <v>124.75349122807017</v>
      </c>
      <c r="E45" s="177">
        <f>+VLOOKUP(A45,'COT. GAL'!B:AE,27,FALSE)+VLOOKUP(A45,'COT. GAL'!B:AE,30,FALSE)</f>
        <v>0</v>
      </c>
      <c r="F45" s="177">
        <f t="shared" si="2"/>
        <v>818.73271345029241</v>
      </c>
      <c r="G45" s="177">
        <f>+F45/(1-Analisis!$E$9)</f>
        <v>1023.4158918128654</v>
      </c>
      <c r="H45" s="178">
        <f t="shared" si="3"/>
        <v>46053.715131578945</v>
      </c>
    </row>
    <row r="46" spans="1:8" x14ac:dyDescent="0.25">
      <c r="A46" s="175" t="s">
        <v>589</v>
      </c>
      <c r="B46" s="176">
        <v>75</v>
      </c>
      <c r="C46" s="177">
        <f>+VLOOKUP(A46,'COT. GAL'!B:AC,11,FALSE)</f>
        <v>889.2306111111111</v>
      </c>
      <c r="D46" s="177">
        <f>+VLOOKUP(A46,'COT. GAL'!B:AC,20,FALSE)+VLOOKUP(A46,'COT. GAL'!B:AC,24,FALSE)</f>
        <v>167.27023099415203</v>
      </c>
      <c r="E46" s="177">
        <f>+VLOOKUP(A46,'COT. GAL'!B:AE,27,FALSE)+VLOOKUP(A46,'COT. GAL'!B:AE,30,FALSE)</f>
        <v>0</v>
      </c>
      <c r="F46" s="177">
        <f t="shared" si="2"/>
        <v>1056.500842105263</v>
      </c>
      <c r="G46" s="177">
        <f>+F46/(1-Analisis!$E$9)</f>
        <v>1320.6260526315787</v>
      </c>
      <c r="H46" s="178">
        <f t="shared" si="3"/>
        <v>99046.953947368398</v>
      </c>
    </row>
    <row r="47" spans="1:8" x14ac:dyDescent="0.25">
      <c r="A47" s="175" t="s">
        <v>554</v>
      </c>
      <c r="B47" s="176">
        <v>105</v>
      </c>
      <c r="C47" s="177">
        <f>+VLOOKUP(A47,'COT. GAL'!B:AC,11,FALSE)</f>
        <v>742.91410156250004</v>
      </c>
      <c r="D47" s="177">
        <f>+VLOOKUP(A47,'COT. GAL'!B:AC,20,FALSE)+VLOOKUP(A47,'COT. GAL'!B:AC,24,FALSE)</f>
        <v>208.61723391812865</v>
      </c>
      <c r="E47" s="177">
        <f>+VLOOKUP(A47,'COT. GAL'!B:AE,27,FALSE)+VLOOKUP(A47,'COT. GAL'!B:AE,30,FALSE)</f>
        <v>100</v>
      </c>
      <c r="F47" s="177">
        <f t="shared" si="2"/>
        <v>1051.5313354806287</v>
      </c>
      <c r="G47" s="177">
        <f>+F47/(1-Analisis!$E$9)</f>
        <v>1314.4141693507859</v>
      </c>
      <c r="H47" s="178">
        <f t="shared" si="3"/>
        <v>138013.48778183252</v>
      </c>
    </row>
    <row r="48" spans="1:8" x14ac:dyDescent="0.25">
      <c r="A48" s="175" t="s">
        <v>569</v>
      </c>
      <c r="B48" s="176">
        <v>30</v>
      </c>
      <c r="C48" s="177">
        <f>+VLOOKUP(A48,'COT. GAL'!B:AC,11,FALSE)</f>
        <v>1279.7333888888888</v>
      </c>
      <c r="D48" s="177">
        <f>+VLOOKUP(A48,'COT. GAL'!B:AC,20,FALSE)+VLOOKUP(A48,'COT. GAL'!B:AC,24,FALSE)</f>
        <v>149.3179649122807</v>
      </c>
      <c r="E48" s="177">
        <f>+VLOOKUP(A48,'COT. GAL'!B:AE,27,FALSE)+VLOOKUP(A48,'COT. GAL'!B:AE,30,FALSE)</f>
        <v>0</v>
      </c>
      <c r="F48" s="177">
        <f t="shared" si="2"/>
        <v>1429.0513538011696</v>
      </c>
      <c r="G48" s="177">
        <f>+F48/(1-Analisis!$E$9)</f>
        <v>1786.3141922514619</v>
      </c>
      <c r="H48" s="178">
        <f t="shared" si="3"/>
        <v>53589.425767543857</v>
      </c>
    </row>
    <row r="49" spans="1:8" x14ac:dyDescent="0.25">
      <c r="A49" s="175" t="s">
        <v>422</v>
      </c>
      <c r="B49" s="176">
        <v>15</v>
      </c>
      <c r="C49" s="177">
        <f>+VLOOKUP(A49,'COT. GAL'!B:AC,11,FALSE)</f>
        <v>250.49478611111115</v>
      </c>
      <c r="D49" s="177">
        <f>+VLOOKUP(A49,'COT. GAL'!B:AC,20,FALSE)+VLOOKUP(A49,'COT. GAL'!B:AC,24,FALSE)</f>
        <v>77.421687134502932</v>
      </c>
      <c r="E49" s="177">
        <f>+VLOOKUP(A49,'COT. GAL'!B:AE,27,FALSE)+VLOOKUP(A49,'COT. GAL'!B:AE,30,FALSE)</f>
        <v>150</v>
      </c>
      <c r="F49" s="177">
        <f t="shared" si="2"/>
        <v>477.9164732456141</v>
      </c>
      <c r="G49" s="177">
        <f>+F49/(1-Analisis!$E$9)</f>
        <v>597.39559155701761</v>
      </c>
      <c r="H49" s="178">
        <f t="shared" si="3"/>
        <v>8960.933873355265</v>
      </c>
    </row>
    <row r="50" spans="1:8" x14ac:dyDescent="0.25">
      <c r="A50" s="175" t="s">
        <v>425</v>
      </c>
      <c r="B50" s="176">
        <v>45</v>
      </c>
      <c r="C50" s="177">
        <f>+VLOOKUP(A50,'COT. GAL'!B:AC,11,FALSE)</f>
        <v>418.51811944444449</v>
      </c>
      <c r="D50" s="177">
        <f>+VLOOKUP(A50,'COT. GAL'!B:AC,20,FALSE)+VLOOKUP(A50,'COT. GAL'!B:AC,24,FALSE)</f>
        <v>91.458529239766079</v>
      </c>
      <c r="E50" s="177">
        <f>+VLOOKUP(A50,'COT. GAL'!B:AE,27,FALSE)+VLOOKUP(A50,'COT. GAL'!B:AE,30,FALSE)</f>
        <v>150</v>
      </c>
      <c r="F50" s="177">
        <f t="shared" si="2"/>
        <v>659.97664868421055</v>
      </c>
      <c r="G50" s="177">
        <f>+F50/(1-Analisis!$E$9)</f>
        <v>824.97081085526315</v>
      </c>
      <c r="H50" s="178">
        <f t="shared" si="3"/>
        <v>37123.686488486841</v>
      </c>
    </row>
    <row r="51" spans="1:8" x14ac:dyDescent="0.25">
      <c r="A51" s="175" t="s">
        <v>338</v>
      </c>
      <c r="B51" s="176">
        <v>75</v>
      </c>
      <c r="C51" s="177">
        <f>+VLOOKUP(A51,'COT. GAL'!B:AC,11,FALSE)</f>
        <v>502.52978611111121</v>
      </c>
      <c r="D51" s="177">
        <f>+VLOOKUP(A51,'COT. GAL'!B:AC,20,FALSE)+VLOOKUP(A51,'COT. GAL'!B:AC,24,FALSE)</f>
        <v>98.47695029239766</v>
      </c>
      <c r="E51" s="177">
        <f>+VLOOKUP(A51,'COT. GAL'!B:AE,27,FALSE)+VLOOKUP(A51,'COT. GAL'!B:AE,30,FALSE)</f>
        <v>150</v>
      </c>
      <c r="F51" s="177">
        <f t="shared" si="2"/>
        <v>751.00673640350885</v>
      </c>
      <c r="G51" s="177">
        <f>+F51/(1-Analisis!$E$9)</f>
        <v>938.75842050438598</v>
      </c>
      <c r="H51" s="178">
        <f t="shared" si="3"/>
        <v>70406.881537828944</v>
      </c>
    </row>
    <row r="52" spans="1:8" x14ac:dyDescent="0.25">
      <c r="A52" s="175" t="s">
        <v>428</v>
      </c>
      <c r="B52" s="176">
        <v>30</v>
      </c>
      <c r="C52" s="177">
        <f>+VLOOKUP(A52,'COT. GAL'!B:AC,11,FALSE)</f>
        <v>614.54534166666679</v>
      </c>
      <c r="D52" s="177">
        <f>+VLOOKUP(A52,'COT. GAL'!B:AC,20,FALSE)+VLOOKUP(A52,'COT. GAL'!B:AC,24,FALSE)</f>
        <v>107.83484502923977</v>
      </c>
      <c r="E52" s="177">
        <f>+VLOOKUP(A52,'COT. GAL'!B:AE,27,FALSE)+VLOOKUP(A52,'COT. GAL'!B:AE,30,FALSE)</f>
        <v>150</v>
      </c>
      <c r="F52" s="177">
        <f t="shared" si="2"/>
        <v>872.38018669590656</v>
      </c>
      <c r="G52" s="177">
        <f>+F52/(1-Analisis!$E$9)</f>
        <v>1090.4752333698832</v>
      </c>
      <c r="H52" s="178">
        <f t="shared" si="3"/>
        <v>32714.257001096496</v>
      </c>
    </row>
    <row r="53" spans="1:8" x14ac:dyDescent="0.25">
      <c r="A53" s="175" t="s">
        <v>432</v>
      </c>
      <c r="B53" s="176">
        <v>45</v>
      </c>
      <c r="C53" s="177">
        <f>+VLOOKUP(A53,'COT. GAL'!B:AC,11,FALSE)</f>
        <v>320.58852000000007</v>
      </c>
      <c r="D53" s="177">
        <f>+VLOOKUP(A53,'COT. GAL'!B:AC,20,FALSE)+VLOOKUP(A53,'COT. GAL'!B:AC,24,FALSE)</f>
        <v>83.277389766081868</v>
      </c>
      <c r="E53" s="177">
        <f>+VLOOKUP(A53,'COT. GAL'!B:AE,27,FALSE)+VLOOKUP(A53,'COT. GAL'!B:AE,30,FALSE)</f>
        <v>150</v>
      </c>
      <c r="F53" s="177">
        <f t="shared" si="2"/>
        <v>553.86590976608193</v>
      </c>
      <c r="G53" s="177">
        <f>+F53/(1-Analisis!$E$9)</f>
        <v>692.33238720760232</v>
      </c>
      <c r="H53" s="178">
        <f t="shared" si="3"/>
        <v>31154.957424342105</v>
      </c>
    </row>
    <row r="54" spans="1:8" x14ac:dyDescent="0.25">
      <c r="A54" s="175" t="s">
        <v>603</v>
      </c>
      <c r="B54" s="176">
        <v>30</v>
      </c>
      <c r="C54" s="177">
        <f>+VLOOKUP(A54,'COT. GAL'!B:AC,11,FALSE)</f>
        <v>29.891750000000002</v>
      </c>
      <c r="D54" s="177">
        <f>+VLOOKUP(A54,'COT. GAL'!B:AC,20,FALSE)+VLOOKUP(A54,'COT. GAL'!B:AC,24,FALSE)</f>
        <v>51.120473684210523</v>
      </c>
      <c r="E54" s="177">
        <f>+VLOOKUP(A54,'COT. GAL'!B:AE,27,FALSE)+VLOOKUP(A54,'COT. GAL'!B:AE,30,FALSE)</f>
        <v>25</v>
      </c>
      <c r="F54" s="177">
        <f t="shared" si="2"/>
        <v>106.01222368421053</v>
      </c>
      <c r="G54" s="177">
        <f>+F54/(1-Analisis!$E$9)</f>
        <v>132.51527960526315</v>
      </c>
      <c r="H54" s="178">
        <f t="shared" si="3"/>
        <v>3975.4583881578942</v>
      </c>
    </row>
    <row r="55" spans="1:8" x14ac:dyDescent="0.25">
      <c r="A55" s="175" t="s">
        <v>586</v>
      </c>
      <c r="B55" s="176">
        <v>90</v>
      </c>
      <c r="C55" s="177">
        <f>+VLOOKUP(A55,'COT. GAL'!B:AC,11,FALSE)</f>
        <v>54.629750000000008</v>
      </c>
      <c r="D55" s="177">
        <f>+VLOOKUP(A55,'COT. GAL'!B:AC,20,FALSE)+VLOOKUP(A55,'COT. GAL'!B:AC,24,FALSE)</f>
        <v>68.590173976608185</v>
      </c>
      <c r="E55" s="177">
        <f>+VLOOKUP(A55,'COT. GAL'!B:AE,27,FALSE)+VLOOKUP(A55,'COT. GAL'!B:AE,30,FALSE)</f>
        <v>25</v>
      </c>
      <c r="F55" s="177">
        <f t="shared" si="2"/>
        <v>148.21992397660819</v>
      </c>
      <c r="G55" s="177">
        <f>+F55/(1-Analisis!$E$9)</f>
        <v>185.27490497076022</v>
      </c>
      <c r="H55" s="178">
        <f t="shared" si="3"/>
        <v>16674.741447368418</v>
      </c>
    </row>
    <row r="56" spans="1:8" x14ac:dyDescent="0.25">
      <c r="A56" s="175" t="s">
        <v>604</v>
      </c>
      <c r="B56" s="176">
        <v>60</v>
      </c>
      <c r="C56" s="177">
        <f>+VLOOKUP(A56,'COT. GAL'!B:AC,11,FALSE)</f>
        <v>39.683875000000008</v>
      </c>
      <c r="D56" s="177">
        <f>+VLOOKUP(A56,'COT. GAL'!B:AC,20,FALSE)+VLOOKUP(A56,'COT. GAL'!B:AC,24,FALSE)</f>
        <v>56.676723684210529</v>
      </c>
      <c r="E56" s="177">
        <f>+VLOOKUP(A56,'COT. GAL'!B:AE,27,FALSE)+VLOOKUP(A56,'COT. GAL'!B:AE,30,FALSE)</f>
        <v>25</v>
      </c>
      <c r="F56" s="177">
        <f t="shared" si="2"/>
        <v>121.36059868421054</v>
      </c>
      <c r="G56" s="177">
        <f>+F56/(1-Analisis!$E$9)</f>
        <v>151.70074835526316</v>
      </c>
      <c r="H56" s="178">
        <f t="shared" si="3"/>
        <v>9102.0449013157886</v>
      </c>
    </row>
    <row r="57" spans="1:8" x14ac:dyDescent="0.25">
      <c r="A57" s="175" t="s">
        <v>339</v>
      </c>
      <c r="B57" s="176">
        <v>1350</v>
      </c>
      <c r="C57" s="177">
        <f>+VLOOKUP(A57,'COT. GAL'!B:AC,11,FALSE)</f>
        <v>2.7024861111111114</v>
      </c>
      <c r="D57" s="177">
        <f>+VLOOKUP(A57,'COT. GAL'!B:AC,20,FALSE)+VLOOKUP(A57,'COT. GAL'!B:AC,24,FALSE)</f>
        <v>25.088938596491232</v>
      </c>
      <c r="E57" s="177">
        <f>+VLOOKUP(A57,'COT. GAL'!B:AE,27,FALSE)+VLOOKUP(A57,'COT. GAL'!B:AE,30,FALSE)</f>
        <v>25</v>
      </c>
      <c r="F57" s="177">
        <f t="shared" si="2"/>
        <v>52.791424707602346</v>
      </c>
      <c r="G57" s="177">
        <f>+F57/(1-Analisis!$E$9)</f>
        <v>65.989280884502932</v>
      </c>
      <c r="H57" s="178">
        <f t="shared" si="3"/>
        <v>89085.529194078961</v>
      </c>
    </row>
    <row r="58" spans="1:8" x14ac:dyDescent="0.25">
      <c r="A58" s="175" t="s">
        <v>340</v>
      </c>
      <c r="B58" s="176">
        <v>1350</v>
      </c>
      <c r="C58" s="177">
        <f>+VLOOKUP(A58,'COT. GAL'!B:AC,11,FALSE)</f>
        <v>2.9807516666666665</v>
      </c>
      <c r="D58" s="177">
        <f>+VLOOKUP(A58,'COT. GAL'!B:AC,20,FALSE)+VLOOKUP(A58,'COT. GAL'!B:AC,24,FALSE)</f>
        <v>16.12386403508772</v>
      </c>
      <c r="E58" s="177">
        <f>+VLOOKUP(A58,'COT. GAL'!B:AE,27,FALSE)+VLOOKUP(A58,'COT. GAL'!B:AE,30,FALSE)</f>
        <v>25</v>
      </c>
      <c r="F58" s="177">
        <f t="shared" si="2"/>
        <v>44.104615701754383</v>
      </c>
      <c r="G58" s="177">
        <f>+F58/(1-Analisis!$E$9)</f>
        <v>55.130769627192976</v>
      </c>
      <c r="H58" s="178">
        <f t="shared" si="3"/>
        <v>74426.538996710515</v>
      </c>
    </row>
    <row r="59" spans="1:8" x14ac:dyDescent="0.25">
      <c r="A59" s="175" t="s">
        <v>446</v>
      </c>
      <c r="B59" s="176">
        <v>15</v>
      </c>
      <c r="C59" s="177">
        <f>+VLOOKUP(A59,'COT. GAL'!B:AC,11,FALSE)</f>
        <v>233.04607277777779</v>
      </c>
      <c r="D59" s="177">
        <f>+VLOOKUP(A59,'COT. GAL'!B:AC,20,FALSE)+VLOOKUP(A59,'COT. GAL'!B:AC,24,FALSE)</f>
        <v>110.206216374269</v>
      </c>
      <c r="E59" s="177">
        <f>+VLOOKUP(A59,'COT. GAL'!B:AE,27,FALSE)+VLOOKUP(A59,'COT. GAL'!B:AE,30,FALSE)</f>
        <v>150</v>
      </c>
      <c r="F59" s="177">
        <f t="shared" si="2"/>
        <v>493.25228915204679</v>
      </c>
      <c r="G59" s="177">
        <f>+F59/(1-Analisis!$E$9)</f>
        <v>616.5653614400585</v>
      </c>
      <c r="H59" s="178">
        <f t="shared" si="3"/>
        <v>9248.4804216008779</v>
      </c>
    </row>
    <row r="60" spans="1:8" x14ac:dyDescent="0.25">
      <c r="A60" s="175" t="s">
        <v>449</v>
      </c>
      <c r="B60" s="176">
        <v>45</v>
      </c>
      <c r="C60" s="177">
        <f>+VLOOKUP(A60,'COT. GAL'!B:AC,11,FALSE)</f>
        <v>389.3654061111111</v>
      </c>
      <c r="D60" s="177">
        <f>+VLOOKUP(A60,'COT. GAL'!B:AC,20,FALSE)+VLOOKUP(A60,'COT. GAL'!B:AC,24,FALSE)</f>
        <v>124.24305847953215</v>
      </c>
      <c r="E60" s="177">
        <f>+VLOOKUP(A60,'COT. GAL'!B:AE,27,FALSE)+VLOOKUP(A60,'COT. GAL'!B:AE,30,FALSE)</f>
        <v>150</v>
      </c>
      <c r="F60" s="177">
        <f t="shared" si="2"/>
        <v>663.60846459064328</v>
      </c>
      <c r="G60" s="177">
        <f>+F60/(1-Analisis!$E$9)</f>
        <v>829.51058073830404</v>
      </c>
      <c r="H60" s="178">
        <f t="shared" si="3"/>
        <v>37327.976133223681</v>
      </c>
    </row>
    <row r="61" spans="1:8" x14ac:dyDescent="0.25">
      <c r="A61" s="175" t="s">
        <v>451</v>
      </c>
      <c r="B61" s="176">
        <v>75</v>
      </c>
      <c r="C61" s="177">
        <f>+VLOOKUP(A61,'COT. GAL'!B:AC,11,FALSE)</f>
        <v>467.52507277777784</v>
      </c>
      <c r="D61" s="177">
        <f>+VLOOKUP(A61,'COT. GAL'!B:AC,20,FALSE)+VLOOKUP(A61,'COT. GAL'!B:AC,24,FALSE)</f>
        <v>131.26147953216375</v>
      </c>
      <c r="E61" s="177">
        <f>+VLOOKUP(A61,'COT. GAL'!B:AE,27,FALSE)+VLOOKUP(A61,'COT. GAL'!B:AE,30,FALSE)</f>
        <v>150</v>
      </c>
      <c r="F61" s="177">
        <f t="shared" si="2"/>
        <v>748.78655230994161</v>
      </c>
      <c r="G61" s="177">
        <f>+F61/(1-Analisis!$E$9)</f>
        <v>935.98319038742693</v>
      </c>
      <c r="H61" s="178">
        <f t="shared" si="3"/>
        <v>70198.739279057016</v>
      </c>
    </row>
    <row r="62" spans="1:8" x14ac:dyDescent="0.25">
      <c r="A62" s="175" t="s">
        <v>453</v>
      </c>
      <c r="B62" s="176">
        <v>30</v>
      </c>
      <c r="C62" s="177">
        <f>+VLOOKUP(A62,'COT. GAL'!B:AC,11,FALSE)</f>
        <v>571.73796166666671</v>
      </c>
      <c r="D62" s="177">
        <f>+VLOOKUP(A62,'COT. GAL'!B:AC,20,FALSE)+VLOOKUP(A62,'COT. GAL'!B:AC,24,FALSE)</f>
        <v>140.61937426900585</v>
      </c>
      <c r="E62" s="177">
        <f>+VLOOKUP(A62,'COT. GAL'!B:AE,27,FALSE)+VLOOKUP(A62,'COT. GAL'!B:AE,30,FALSE)</f>
        <v>150</v>
      </c>
      <c r="F62" s="177">
        <f t="shared" si="2"/>
        <v>862.35733593567261</v>
      </c>
      <c r="G62" s="177">
        <f>+F62/(1-Analisis!$E$9)</f>
        <v>1077.9466699195907</v>
      </c>
      <c r="H62" s="178">
        <f t="shared" si="3"/>
        <v>32338.400097587721</v>
      </c>
    </row>
    <row r="63" spans="1:8" x14ac:dyDescent="0.25">
      <c r="A63" s="175" t="s">
        <v>457</v>
      </c>
      <c r="B63" s="176">
        <v>45</v>
      </c>
      <c r="C63" s="177">
        <f>+VLOOKUP(A63,'COT. GAL'!B:AC,11,FALSE)</f>
        <v>298.17912833333338</v>
      </c>
      <c r="D63" s="177">
        <f>+VLOOKUP(A63,'COT. GAL'!B:AC,20,FALSE)+VLOOKUP(A63,'COT. GAL'!B:AC,24,FALSE)</f>
        <v>116.05490058479532</v>
      </c>
      <c r="E63" s="177">
        <f>+VLOOKUP(A63,'COT. GAL'!B:AE,27,FALSE)+VLOOKUP(A63,'COT. GAL'!B:AE,30,FALSE)</f>
        <v>150</v>
      </c>
      <c r="F63" s="177">
        <f t="shared" si="2"/>
        <v>564.23402891812873</v>
      </c>
      <c r="G63" s="177">
        <f>+F63/(1-Analisis!$E$9)</f>
        <v>705.29253614766083</v>
      </c>
      <c r="H63" s="178">
        <f t="shared" si="3"/>
        <v>31738.164126644737</v>
      </c>
    </row>
    <row r="64" spans="1:8" x14ac:dyDescent="0.25">
      <c r="A64" s="175" t="s">
        <v>566</v>
      </c>
      <c r="B64" s="176">
        <v>30</v>
      </c>
      <c r="C64" s="177">
        <f>+VLOOKUP(A64,'COT. GAL'!B:AC,11,FALSE)</f>
        <v>23.389527777777779</v>
      </c>
      <c r="D64" s="177">
        <f>+VLOOKUP(A64,'COT. GAL'!B:AC,20,FALSE)+VLOOKUP(A64,'COT. GAL'!B:AC,24,FALSE)</f>
        <v>30.464198830409359</v>
      </c>
      <c r="E64" s="177">
        <f>+VLOOKUP(A64,'COT. GAL'!B:AE,27,FALSE)+VLOOKUP(A64,'COT. GAL'!B:AE,30,FALSE)</f>
        <v>100</v>
      </c>
      <c r="F64" s="177">
        <f t="shared" si="2"/>
        <v>153.85372660818715</v>
      </c>
      <c r="G64" s="177">
        <f>+F64/(1-Analisis!$E$9)</f>
        <v>192.31715826023392</v>
      </c>
      <c r="H64" s="178">
        <f t="shared" si="3"/>
        <v>5769.5147478070176</v>
      </c>
    </row>
    <row r="65" spans="1:8" x14ac:dyDescent="0.25">
      <c r="A65" s="175" t="s">
        <v>459</v>
      </c>
      <c r="B65" s="176">
        <v>60</v>
      </c>
      <c r="C65" s="177">
        <f>+VLOOKUP(A65,'COT. GAL'!B:AC,11,FALSE)</f>
        <v>20.685194444444448</v>
      </c>
      <c r="D65" s="177">
        <f>+VLOOKUP(A65,'COT. GAL'!B:AC,20,FALSE)+VLOOKUP(A65,'COT. GAL'!B:AC,24,FALSE)</f>
        <v>29.551804093567256</v>
      </c>
      <c r="E65" s="177">
        <f>+VLOOKUP(A65,'COT. GAL'!B:AE,27,FALSE)+VLOOKUP(A65,'COT. GAL'!B:AE,30,FALSE)</f>
        <v>25</v>
      </c>
      <c r="F65" s="177">
        <f t="shared" si="2"/>
        <v>75.236998538011704</v>
      </c>
      <c r="G65" s="177">
        <f>+F65/(1-Analisis!$E$9)</f>
        <v>94.046248172514623</v>
      </c>
      <c r="H65" s="178">
        <f t="shared" si="3"/>
        <v>5642.7748903508773</v>
      </c>
    </row>
    <row r="66" spans="1:8" x14ac:dyDescent="0.25">
      <c r="A66" s="175" t="s">
        <v>558</v>
      </c>
      <c r="B66" s="176">
        <v>60</v>
      </c>
      <c r="C66" s="177">
        <f>+VLOOKUP(A66,'COT. GAL'!B:AC,11,FALSE)</f>
        <v>2.6045833333333333</v>
      </c>
      <c r="D66" s="177">
        <f>+VLOOKUP(A66,'COT. GAL'!B:AC,20,FALSE)+VLOOKUP(A66,'COT. GAL'!B:AC,24,FALSE)</f>
        <v>15.059403508771929</v>
      </c>
      <c r="E66" s="177">
        <f>+VLOOKUP(A66,'COT. GAL'!B:AE,27,FALSE)+VLOOKUP(A66,'COT. GAL'!B:AE,30,FALSE)</f>
        <v>25</v>
      </c>
      <c r="F66" s="177">
        <f t="shared" si="2"/>
        <v>42.66398684210526</v>
      </c>
      <c r="G66" s="177">
        <f>+F66/(1-Analisis!$E$9)</f>
        <v>53.329983552631575</v>
      </c>
      <c r="H66" s="178">
        <f t="shared" si="3"/>
        <v>3199.7990131578945</v>
      </c>
    </row>
    <row r="67" spans="1:8" x14ac:dyDescent="0.25">
      <c r="A67" s="175" t="s">
        <v>567</v>
      </c>
      <c r="B67" s="176">
        <v>30</v>
      </c>
      <c r="C67" s="177">
        <f>+VLOOKUP(A67,'COT. GAL'!B:AC,11,FALSE)</f>
        <v>23.587106666666667</v>
      </c>
      <c r="D67" s="177">
        <f>+VLOOKUP(A67,'COT. GAL'!B:AC,20,FALSE)+VLOOKUP(A67,'COT. GAL'!B:AC,24,FALSE)</f>
        <v>26.83865350877193</v>
      </c>
      <c r="E67" s="177">
        <f>+VLOOKUP(A67,'COT. GAL'!B:AE,27,FALSE)+VLOOKUP(A67,'COT. GAL'!B:AE,30,FALSE)</f>
        <v>125</v>
      </c>
      <c r="F67" s="177">
        <f t="shared" ref="F67:F98" si="4">+C67+D67+E67</f>
        <v>175.4257601754386</v>
      </c>
      <c r="G67" s="177">
        <f>+F67/(1-Analisis!$E$9)</f>
        <v>219.28220021929823</v>
      </c>
      <c r="H67" s="178">
        <f t="shared" ref="H67:H98" si="5">+G67*B67</f>
        <v>6578.4660065789467</v>
      </c>
    </row>
    <row r="68" spans="1:8" x14ac:dyDescent="0.25">
      <c r="A68" s="175" t="s">
        <v>548</v>
      </c>
      <c r="B68" s="176">
        <v>60</v>
      </c>
      <c r="C68" s="177">
        <f>+VLOOKUP(A68,'COT. GAL'!B:AC,11,FALSE)</f>
        <v>59.656411111111119</v>
      </c>
      <c r="D68" s="177">
        <f>+VLOOKUP(A68,'COT. GAL'!B:AC,20,FALSE)+VLOOKUP(A68,'COT. GAL'!B:AC,24,FALSE)</f>
        <v>73.157038011695903</v>
      </c>
      <c r="E68" s="177">
        <f>+VLOOKUP(A68,'COT. GAL'!B:AE,27,FALSE)+VLOOKUP(A68,'COT. GAL'!B:AE,30,FALSE)</f>
        <v>25</v>
      </c>
      <c r="F68" s="177">
        <f t="shared" si="4"/>
        <v>157.81344912280701</v>
      </c>
      <c r="G68" s="177">
        <f>+F68/(1-Analisis!$E$9)</f>
        <v>197.26681140350877</v>
      </c>
      <c r="H68" s="178">
        <f t="shared" si="5"/>
        <v>11836.008684210527</v>
      </c>
    </row>
    <row r="69" spans="1:8" x14ac:dyDescent="0.25">
      <c r="A69" s="175" t="s">
        <v>605</v>
      </c>
      <c r="B69" s="176">
        <v>180</v>
      </c>
      <c r="C69" s="177">
        <f>+VLOOKUP(A69,'COT. GAL'!B:AC,11,FALSE)</f>
        <v>5.8409166666666668</v>
      </c>
      <c r="D69" s="177">
        <f>+VLOOKUP(A69,'COT. GAL'!B:AC,20,FALSE)+VLOOKUP(A69,'COT. GAL'!B:AC,24,FALSE)</f>
        <v>21.650551169590642</v>
      </c>
      <c r="E69" s="177">
        <f>+VLOOKUP(A69,'COT. GAL'!B:AE,27,FALSE)+VLOOKUP(A69,'COT. GAL'!B:AE,30,FALSE)</f>
        <v>50</v>
      </c>
      <c r="F69" s="177">
        <f t="shared" si="4"/>
        <v>77.4914678362573</v>
      </c>
      <c r="G69" s="177">
        <f>+F69/(1-Analisis!$E$9)</f>
        <v>96.864334795321625</v>
      </c>
      <c r="H69" s="178">
        <f t="shared" si="5"/>
        <v>17435.580263157892</v>
      </c>
    </row>
    <row r="70" spans="1:8" x14ac:dyDescent="0.25">
      <c r="A70" s="175" t="s">
        <v>560</v>
      </c>
      <c r="B70" s="176">
        <v>60</v>
      </c>
      <c r="C70" s="177">
        <f>+VLOOKUP(A70,'COT. GAL'!B:AC,11,FALSE)</f>
        <v>29.244414062500002</v>
      </c>
      <c r="D70" s="177">
        <f>+VLOOKUP(A70,'COT. GAL'!B:AC,20,FALSE)+VLOOKUP(A70,'COT. GAL'!B:AC,24,FALSE)</f>
        <v>24.136561403508772</v>
      </c>
      <c r="E70" s="177">
        <f>+VLOOKUP(A70,'COT. GAL'!B:AE,27,FALSE)+VLOOKUP(A70,'COT. GAL'!B:AE,30,FALSE)</f>
        <v>0</v>
      </c>
      <c r="F70" s="177">
        <f t="shared" si="4"/>
        <v>53.380975466008778</v>
      </c>
      <c r="G70" s="177">
        <f>+F70/(1-Analisis!$E$9)</f>
        <v>66.726219332510965</v>
      </c>
      <c r="H70" s="178">
        <f t="shared" si="5"/>
        <v>4003.573159950658</v>
      </c>
    </row>
    <row r="71" spans="1:8" x14ac:dyDescent="0.25">
      <c r="A71" s="175" t="s">
        <v>568</v>
      </c>
      <c r="B71" s="176">
        <v>30</v>
      </c>
      <c r="C71" s="177">
        <f>+VLOOKUP(A71,'COT. GAL'!B:AC,11,FALSE)</f>
        <v>115.22974531250001</v>
      </c>
      <c r="D71" s="177">
        <f>+VLOOKUP(A71,'COT. GAL'!B:AC,20,FALSE)+VLOOKUP(A71,'COT. GAL'!B:AC,24,FALSE)</f>
        <v>84.116833333333346</v>
      </c>
      <c r="E71" s="177">
        <f>+VLOOKUP(A71,'COT. GAL'!B:AE,27,FALSE)+VLOOKUP(A71,'COT. GAL'!B:AE,30,FALSE)</f>
        <v>50</v>
      </c>
      <c r="F71" s="177">
        <f t="shared" si="4"/>
        <v>249.34657864583335</v>
      </c>
      <c r="G71" s="177">
        <f>+F71/(1-Analisis!$E$9)</f>
        <v>311.68322330729166</v>
      </c>
      <c r="H71" s="178">
        <f t="shared" si="5"/>
        <v>9350.4966992187492</v>
      </c>
    </row>
    <row r="72" spans="1:8" x14ac:dyDescent="0.25">
      <c r="A72" s="175" t="s">
        <v>606</v>
      </c>
      <c r="B72" s="176">
        <v>90</v>
      </c>
      <c r="C72" s="177">
        <f>+VLOOKUP(A72,'COT. GAL'!B:AC,11,FALSE)</f>
        <v>548.38235480000014</v>
      </c>
      <c r="D72" s="177">
        <f>+VLOOKUP(A72,'COT. GAL'!B:AC,20,FALSE)+VLOOKUP(A72,'COT. GAL'!B:AC,24,FALSE)</f>
        <v>88.419660964912282</v>
      </c>
      <c r="E72" s="177">
        <f>+VLOOKUP(A72,'COT. GAL'!B:AE,27,FALSE)+VLOOKUP(A72,'COT. GAL'!B:AE,30,FALSE)</f>
        <v>100</v>
      </c>
      <c r="F72" s="177">
        <f t="shared" si="4"/>
        <v>736.80201576491243</v>
      </c>
      <c r="G72" s="177">
        <f>+F72/(1-Analisis!$E$9)</f>
        <v>921.00251970614045</v>
      </c>
      <c r="H72" s="178">
        <f t="shared" si="5"/>
        <v>82890.22677355264</v>
      </c>
    </row>
    <row r="73" spans="1:8" x14ac:dyDescent="0.25">
      <c r="A73" s="175" t="s">
        <v>607</v>
      </c>
      <c r="B73" s="176">
        <v>120</v>
      </c>
      <c r="C73" s="177">
        <f>+VLOOKUP(A73,'COT. GAL'!B:AC,11,FALSE)</f>
        <v>278.07344444444448</v>
      </c>
      <c r="D73" s="177">
        <f>+VLOOKUP(A73,'COT. GAL'!B:AC,20,FALSE)+VLOOKUP(A73,'COT. GAL'!B:AC,24,FALSE)</f>
        <v>175.85428611111112</v>
      </c>
      <c r="E73" s="177">
        <f>+VLOOKUP(A73,'COT. GAL'!B:AE,27,FALSE)+VLOOKUP(A73,'COT. GAL'!B:AE,30,FALSE)</f>
        <v>25</v>
      </c>
      <c r="F73" s="177">
        <f t="shared" si="4"/>
        <v>478.92773055555563</v>
      </c>
      <c r="G73" s="177">
        <f>+F73/(1-Analisis!$E$9)</f>
        <v>598.65966319444453</v>
      </c>
      <c r="H73" s="178">
        <f t="shared" si="5"/>
        <v>71839.159583333341</v>
      </c>
    </row>
    <row r="74" spans="1:8" x14ac:dyDescent="0.25">
      <c r="A74" s="175" t="s">
        <v>608</v>
      </c>
      <c r="B74" s="176">
        <v>60</v>
      </c>
      <c r="C74" s="177">
        <f>+VLOOKUP(A74,'COT. GAL'!B:AC,11,FALSE)</f>
        <v>418.0263888888889</v>
      </c>
      <c r="D74" s="177">
        <f>+VLOOKUP(A74,'COT. GAL'!B:AC,20,FALSE)+VLOOKUP(A74,'COT. GAL'!B:AC,24,FALSE)</f>
        <v>98.803837719298244</v>
      </c>
      <c r="E74" s="177">
        <f>+VLOOKUP(A74,'COT. GAL'!B:AE,27,FALSE)+VLOOKUP(A74,'COT. GAL'!B:AE,30,FALSE)</f>
        <v>0</v>
      </c>
      <c r="F74" s="177">
        <f t="shared" si="4"/>
        <v>516.8302266081871</v>
      </c>
      <c r="G74" s="177">
        <f>+F74/(1-Analisis!$E$9)</f>
        <v>646.03778326023382</v>
      </c>
      <c r="H74" s="178">
        <f t="shared" si="5"/>
        <v>38762.266995614031</v>
      </c>
    </row>
    <row r="75" spans="1:8" x14ac:dyDescent="0.25">
      <c r="A75" s="175" t="s">
        <v>609</v>
      </c>
      <c r="B75" s="176">
        <v>180</v>
      </c>
      <c r="C75" s="177">
        <f>+VLOOKUP(A75,'COT. GAL'!B:AC,11,FALSE)</f>
        <v>55.85048311111111</v>
      </c>
      <c r="D75" s="177">
        <f>+VLOOKUP(A75,'COT. GAL'!B:AC,20,FALSE)+VLOOKUP(A75,'COT. GAL'!B:AC,24,FALSE)</f>
        <v>72.862264327485391</v>
      </c>
      <c r="E75" s="177">
        <f>+VLOOKUP(A75,'COT. GAL'!B:AE,27,FALSE)+VLOOKUP(A75,'COT. GAL'!B:AE,30,FALSE)</f>
        <v>25</v>
      </c>
      <c r="F75" s="177">
        <f t="shared" si="4"/>
        <v>153.71274743859649</v>
      </c>
      <c r="G75" s="177">
        <f>+F75/(1-Analisis!$E$9)</f>
        <v>192.14093429824561</v>
      </c>
      <c r="H75" s="178">
        <f t="shared" si="5"/>
        <v>34585.368173684212</v>
      </c>
    </row>
    <row r="76" spans="1:8" x14ac:dyDescent="0.25">
      <c r="A76" s="175" t="s">
        <v>610</v>
      </c>
      <c r="B76" s="176">
        <v>45</v>
      </c>
      <c r="C76" s="177">
        <f>+VLOOKUP(A76,'COT. GAL'!B:AC,11,FALSE)</f>
        <v>64.60197916666668</v>
      </c>
      <c r="D76" s="177">
        <f>+VLOOKUP(A76,'COT. GAL'!B:AC,20,FALSE)+VLOOKUP(A76,'COT. GAL'!B:AC,24,FALSE)</f>
        <v>87.099554239766093</v>
      </c>
      <c r="E76" s="177">
        <f>+VLOOKUP(A76,'COT. GAL'!B:AE,27,FALSE)+VLOOKUP(A76,'COT. GAL'!B:AE,30,FALSE)</f>
        <v>75</v>
      </c>
      <c r="F76" s="177">
        <f t="shared" si="4"/>
        <v>226.70153340643276</v>
      </c>
      <c r="G76" s="177">
        <f>+F76/(1-Analisis!$E$9)</f>
        <v>283.37691675804092</v>
      </c>
      <c r="H76" s="178">
        <f t="shared" si="5"/>
        <v>12751.961254111842</v>
      </c>
    </row>
    <row r="77" spans="1:8" x14ac:dyDescent="0.25">
      <c r="A77" s="175" t="s">
        <v>611</v>
      </c>
      <c r="B77" s="176">
        <v>90</v>
      </c>
      <c r="C77" s="177">
        <f>+VLOOKUP(A77,'COT. GAL'!B:AC,11,FALSE)</f>
        <v>55.098020833333329</v>
      </c>
      <c r="D77" s="177">
        <f>+VLOOKUP(A77,'COT. GAL'!B:AC,20,FALSE)+VLOOKUP(A77,'COT. GAL'!B:AC,24,FALSE)</f>
        <v>58.031809795321635</v>
      </c>
      <c r="E77" s="177">
        <f>+VLOOKUP(A77,'COT. GAL'!B:AE,27,FALSE)+VLOOKUP(A77,'COT. GAL'!B:AE,30,FALSE)</f>
        <v>75</v>
      </c>
      <c r="F77" s="177">
        <f t="shared" si="4"/>
        <v>188.12983062865496</v>
      </c>
      <c r="G77" s="177">
        <f>+F77/(1-Analisis!$E$9)</f>
        <v>235.16228828581868</v>
      </c>
      <c r="H77" s="178">
        <f t="shared" si="5"/>
        <v>21164.605945723681</v>
      </c>
    </row>
    <row r="78" spans="1:8" x14ac:dyDescent="0.25">
      <c r="A78" s="175" t="s">
        <v>612</v>
      </c>
      <c r="B78" s="176">
        <v>150</v>
      </c>
      <c r="C78" s="177">
        <f>+VLOOKUP(A78,'COT. GAL'!B:AC,11,FALSE)</f>
        <v>101.83337111111113</v>
      </c>
      <c r="D78" s="177">
        <f>+VLOOKUP(A78,'COT. GAL'!B:AC,20,FALSE)+VLOOKUP(A78,'COT. GAL'!B:AC,24,FALSE)</f>
        <v>86.70259064327486</v>
      </c>
      <c r="E78" s="177">
        <f>+VLOOKUP(A78,'COT. GAL'!B:AE,27,FALSE)+VLOOKUP(A78,'COT. GAL'!B:AE,30,FALSE)</f>
        <v>100</v>
      </c>
      <c r="F78" s="177">
        <f t="shared" si="4"/>
        <v>288.53596175438599</v>
      </c>
      <c r="G78" s="177">
        <f>+F78/(1-Analisis!$E$9)</f>
        <v>360.66995219298246</v>
      </c>
      <c r="H78" s="178">
        <f t="shared" si="5"/>
        <v>54100.492828947368</v>
      </c>
    </row>
    <row r="79" spans="1:8" x14ac:dyDescent="0.25">
      <c r="A79" s="175" t="s">
        <v>613</v>
      </c>
      <c r="B79" s="176">
        <v>225</v>
      </c>
      <c r="C79" s="177">
        <f>+VLOOKUP(A79,'COT. GAL'!B:AC,11,FALSE)</f>
        <v>92.619722222222236</v>
      </c>
      <c r="D79" s="177">
        <f>+VLOOKUP(A79,'COT. GAL'!B:AC,20,FALSE)+VLOOKUP(A79,'COT. GAL'!B:AC,24,FALSE)</f>
        <v>76.491426900584798</v>
      </c>
      <c r="E79" s="177">
        <f>+VLOOKUP(A79,'COT. GAL'!B:AE,27,FALSE)+VLOOKUP(A79,'COT. GAL'!B:AE,30,FALSE)</f>
        <v>50</v>
      </c>
      <c r="F79" s="177">
        <f t="shared" si="4"/>
        <v>219.11114912280703</v>
      </c>
      <c r="G79" s="177">
        <f>+F79/(1-Analisis!$E$9)</f>
        <v>273.88893640350875</v>
      </c>
      <c r="H79" s="178">
        <f t="shared" si="5"/>
        <v>61625.010690789466</v>
      </c>
    </row>
    <row r="80" spans="1:8" x14ac:dyDescent="0.25">
      <c r="A80" s="175" t="s">
        <v>614</v>
      </c>
      <c r="B80" s="176">
        <v>150</v>
      </c>
      <c r="C80" s="177">
        <f>+VLOOKUP(A80,'COT. GAL'!B:AC,11,FALSE)</f>
        <v>103.6675888888889</v>
      </c>
      <c r="D80" s="177">
        <f>+VLOOKUP(A80,'COT. GAL'!B:AC,20,FALSE)+VLOOKUP(A80,'COT. GAL'!B:AC,24,FALSE)</f>
        <v>91.563378070175432</v>
      </c>
      <c r="E80" s="177">
        <f>+VLOOKUP(A80,'COT. GAL'!B:AE,27,FALSE)+VLOOKUP(A80,'COT. GAL'!B:AE,30,FALSE)</f>
        <v>50</v>
      </c>
      <c r="F80" s="177">
        <f t="shared" si="4"/>
        <v>245.23096695906435</v>
      </c>
      <c r="G80" s="177">
        <f>+F80/(1-Analisis!$E$9)</f>
        <v>306.53870869883042</v>
      </c>
      <c r="H80" s="178">
        <f t="shared" si="5"/>
        <v>45980.80630482456</v>
      </c>
    </row>
    <row r="81" spans="1:8" x14ac:dyDescent="0.25">
      <c r="A81" s="175" t="s">
        <v>615</v>
      </c>
      <c r="B81" s="176">
        <v>225</v>
      </c>
      <c r="C81" s="177">
        <f>+VLOOKUP(A81,'COT. GAL'!B:AC,11,FALSE)</f>
        <v>457.68602907222231</v>
      </c>
      <c r="D81" s="177">
        <f>+VLOOKUP(A81,'COT. GAL'!B:AC,20,FALSE)+VLOOKUP(A81,'COT. GAL'!B:AC,24,FALSE)</f>
        <v>96.938426900584801</v>
      </c>
      <c r="E81" s="177">
        <f>+VLOOKUP(A81,'COT. GAL'!B:AE,27,FALSE)+VLOOKUP(A81,'COT. GAL'!B:AE,30,FALSE)</f>
        <v>100</v>
      </c>
      <c r="F81" s="177">
        <f t="shared" si="4"/>
        <v>654.62445597280714</v>
      </c>
      <c r="G81" s="177">
        <f>+F81/(1-Analisis!$E$9)</f>
        <v>818.2805699660089</v>
      </c>
      <c r="H81" s="178">
        <f t="shared" si="5"/>
        <v>184113.12824235199</v>
      </c>
    </row>
    <row r="82" spans="1:8" x14ac:dyDescent="0.25">
      <c r="A82" s="175" t="s">
        <v>616</v>
      </c>
      <c r="B82" s="176">
        <v>450</v>
      </c>
      <c r="C82" s="177">
        <f>+VLOOKUP(A82,'COT. GAL'!B:AC,11,FALSE)</f>
        <v>60.411555555555559</v>
      </c>
      <c r="D82" s="177">
        <f>+VLOOKUP(A82,'COT. GAL'!B:AC,20,FALSE)+VLOOKUP(A82,'COT. GAL'!B:AC,24,FALSE)</f>
        <v>114.40982309941519</v>
      </c>
      <c r="E82" s="177">
        <f>+VLOOKUP(A82,'COT. GAL'!B:AE,27,FALSE)+VLOOKUP(A82,'COT. GAL'!B:AE,30,FALSE)</f>
        <v>25</v>
      </c>
      <c r="F82" s="177">
        <f t="shared" si="4"/>
        <v>199.82137865497074</v>
      </c>
      <c r="G82" s="177">
        <f>+F82/(1-Analisis!$E$9)</f>
        <v>249.77672331871341</v>
      </c>
      <c r="H82" s="178">
        <f t="shared" si="5"/>
        <v>112399.52549342104</v>
      </c>
    </row>
    <row r="83" spans="1:8" x14ac:dyDescent="0.25">
      <c r="A83" s="175" t="s">
        <v>617</v>
      </c>
      <c r="B83" s="176">
        <v>30</v>
      </c>
      <c r="C83" s="177">
        <f>+VLOOKUP(A83,'COT. GAL'!B:AC,11,FALSE)</f>
        <v>21.46785511111111</v>
      </c>
      <c r="D83" s="177">
        <f>+VLOOKUP(A83,'COT. GAL'!B:AC,20,FALSE)+VLOOKUP(A83,'COT. GAL'!B:AC,24,FALSE)</f>
        <v>36.884245467836259</v>
      </c>
      <c r="E83" s="177">
        <f>+VLOOKUP(A83,'COT. GAL'!B:AE,27,FALSE)+VLOOKUP(A83,'COT. GAL'!B:AE,30,FALSE)</f>
        <v>50</v>
      </c>
      <c r="F83" s="177">
        <f t="shared" si="4"/>
        <v>108.35210057894737</v>
      </c>
      <c r="G83" s="177">
        <f>+F83/(1-Analisis!$E$9)</f>
        <v>135.44012572368422</v>
      </c>
      <c r="H83" s="178">
        <f t="shared" si="5"/>
        <v>4063.2037717105268</v>
      </c>
    </row>
    <row r="84" spans="1:8" x14ac:dyDescent="0.25">
      <c r="A84" s="175" t="s">
        <v>618</v>
      </c>
      <c r="B84" s="176">
        <v>90</v>
      </c>
      <c r="C84" s="177">
        <f>+VLOOKUP(A84,'COT. GAL'!B:AC,11,FALSE)</f>
        <v>59.572916666666679</v>
      </c>
      <c r="D84" s="177">
        <f>+VLOOKUP(A84,'COT. GAL'!B:AC,20,FALSE)+VLOOKUP(A84,'COT. GAL'!B:AC,24,FALSE)</f>
        <v>58.787459795321638</v>
      </c>
      <c r="E84" s="177">
        <f>+VLOOKUP(A84,'COT. GAL'!B:AE,27,FALSE)+VLOOKUP(A84,'COT. GAL'!B:AE,30,FALSE)</f>
        <v>25</v>
      </c>
      <c r="F84" s="177">
        <f t="shared" si="4"/>
        <v>143.36037646198832</v>
      </c>
      <c r="G84" s="177">
        <f>+F84/(1-Analisis!$E$9)</f>
        <v>179.20047057748539</v>
      </c>
      <c r="H84" s="178">
        <f t="shared" si="5"/>
        <v>16128.042351973685</v>
      </c>
    </row>
    <row r="85" spans="1:8" x14ac:dyDescent="0.25">
      <c r="A85" s="175" t="s">
        <v>619</v>
      </c>
      <c r="B85" s="176">
        <v>90</v>
      </c>
      <c r="C85" s="177">
        <f>+VLOOKUP(A85,'COT. GAL'!B:AC,11,FALSE)</f>
        <v>103.94097777777777</v>
      </c>
      <c r="D85" s="177">
        <f>+VLOOKUP(A85,'COT. GAL'!B:AC,20,FALSE)+VLOOKUP(A85,'COT. GAL'!B:AC,24,FALSE)</f>
        <v>94.224421345029242</v>
      </c>
      <c r="E85" s="177">
        <f>+VLOOKUP(A85,'COT. GAL'!B:AE,27,FALSE)+VLOOKUP(A85,'COT. GAL'!B:AE,30,FALSE)</f>
        <v>100</v>
      </c>
      <c r="F85" s="177">
        <f t="shared" si="4"/>
        <v>298.165399122807</v>
      </c>
      <c r="G85" s="177">
        <f>+F85/(1-Analisis!$E$9)</f>
        <v>372.70674890350875</v>
      </c>
      <c r="H85" s="178">
        <f t="shared" si="5"/>
        <v>33543.607401315785</v>
      </c>
    </row>
    <row r="86" spans="1:8" x14ac:dyDescent="0.25">
      <c r="A86" s="175" t="s">
        <v>620</v>
      </c>
      <c r="B86" s="176">
        <v>60</v>
      </c>
      <c r="C86" s="177">
        <f>+VLOOKUP(A86,'COT. GAL'!B:AC,11,FALSE)</f>
        <v>47.888053888888898</v>
      </c>
      <c r="D86" s="177">
        <f>+VLOOKUP(A86,'COT. GAL'!B:AC,20,FALSE)+VLOOKUP(A86,'COT. GAL'!B:AC,24,FALSE)</f>
        <v>60.056624269005852</v>
      </c>
      <c r="E86" s="177">
        <f>+VLOOKUP(A86,'COT. GAL'!B:AE,27,FALSE)+VLOOKUP(A86,'COT. GAL'!B:AE,30,FALSE)</f>
        <v>50</v>
      </c>
      <c r="F86" s="177">
        <f t="shared" si="4"/>
        <v>157.94467815789474</v>
      </c>
      <c r="G86" s="177">
        <f>+F86/(1-Analisis!$E$9)</f>
        <v>197.43084769736842</v>
      </c>
      <c r="H86" s="178">
        <f t="shared" si="5"/>
        <v>11845.850861842106</v>
      </c>
    </row>
    <row r="87" spans="1:8" x14ac:dyDescent="0.25">
      <c r="A87" s="175" t="s">
        <v>621</v>
      </c>
      <c r="B87" s="176">
        <v>150</v>
      </c>
      <c r="C87" s="177">
        <f>+VLOOKUP(A87,'COT. GAL'!B:AC,11,FALSE)</f>
        <v>134.32015504444448</v>
      </c>
      <c r="D87" s="177">
        <f>+VLOOKUP(A87,'COT. GAL'!B:AC,20,FALSE)+VLOOKUP(A87,'COT. GAL'!B:AC,24,FALSE)</f>
        <v>300.93827266081871</v>
      </c>
      <c r="E87" s="177">
        <f>+VLOOKUP(A87,'COT. GAL'!B:AE,27,FALSE)+VLOOKUP(A87,'COT. GAL'!B:AE,30,FALSE)</f>
        <v>100</v>
      </c>
      <c r="F87" s="177">
        <f t="shared" si="4"/>
        <v>535.25842770526322</v>
      </c>
      <c r="G87" s="177">
        <f>+F87/(1-Analisis!$E$9)</f>
        <v>669.07303463157893</v>
      </c>
      <c r="H87" s="178">
        <f t="shared" si="5"/>
        <v>100360.95519473685</v>
      </c>
    </row>
    <row r="88" spans="1:8" x14ac:dyDescent="0.25">
      <c r="A88" s="175" t="s">
        <v>622</v>
      </c>
      <c r="B88" s="176">
        <v>150</v>
      </c>
      <c r="C88" s="177">
        <f>+VLOOKUP(A88,'COT. GAL'!B:AC,11,FALSE)</f>
        <v>134.32015504444448</v>
      </c>
      <c r="D88" s="177">
        <f>+VLOOKUP(A88,'COT. GAL'!B:AC,20,FALSE)+VLOOKUP(A88,'COT. GAL'!B:AC,24,FALSE)</f>
        <v>256.3111162280702</v>
      </c>
      <c r="E88" s="177">
        <f>+VLOOKUP(A88,'COT. GAL'!B:AE,27,FALSE)+VLOOKUP(A88,'COT. GAL'!B:AE,30,FALSE)</f>
        <v>100</v>
      </c>
      <c r="F88" s="177">
        <f t="shared" si="4"/>
        <v>490.63127127251471</v>
      </c>
      <c r="G88" s="177">
        <f>+F88/(1-Analisis!$E$9)</f>
        <v>613.2890890906433</v>
      </c>
      <c r="H88" s="178">
        <f t="shared" si="5"/>
        <v>91993.363363596494</v>
      </c>
    </row>
    <row r="89" spans="1:8" x14ac:dyDescent="0.25">
      <c r="A89" s="175" t="s">
        <v>623</v>
      </c>
      <c r="B89" s="176">
        <v>30</v>
      </c>
      <c r="C89" s="177">
        <f>+VLOOKUP(A89,'COT. GAL'!B:AC,11,FALSE)</f>
        <v>290.9375</v>
      </c>
      <c r="D89" s="177">
        <f>+VLOOKUP(A89,'COT. GAL'!B:AC,20,FALSE)+VLOOKUP(A89,'COT. GAL'!B:AC,24,FALSE)</f>
        <v>92.293932748537998</v>
      </c>
      <c r="E89" s="177">
        <f>+VLOOKUP(A89,'COT. GAL'!B:AE,27,FALSE)+VLOOKUP(A89,'COT. GAL'!B:AE,30,FALSE)</f>
        <v>0</v>
      </c>
      <c r="F89" s="177">
        <f t="shared" si="4"/>
        <v>383.231432748538</v>
      </c>
      <c r="G89" s="177">
        <f>+F89/(1-Analisis!$E$9)</f>
        <v>479.03929093567245</v>
      </c>
      <c r="H89" s="178">
        <f t="shared" si="5"/>
        <v>14371.178728070174</v>
      </c>
    </row>
    <row r="90" spans="1:8" x14ac:dyDescent="0.25">
      <c r="A90" s="175" t="s">
        <v>624</v>
      </c>
      <c r="B90" s="176">
        <v>60</v>
      </c>
      <c r="C90" s="177">
        <f>+VLOOKUP(A90,'COT. GAL'!B:AC,11,FALSE)</f>
        <v>462.23319488888893</v>
      </c>
      <c r="D90" s="177">
        <f>+VLOOKUP(A90,'COT. GAL'!B:AC,20,FALSE)+VLOOKUP(A90,'COT. GAL'!B:AC,24,FALSE)</f>
        <v>122.52769342105265</v>
      </c>
      <c r="E90" s="177">
        <f>+VLOOKUP(A90,'COT. GAL'!B:AE,27,FALSE)+VLOOKUP(A90,'COT. GAL'!B:AE,30,FALSE)</f>
        <v>100</v>
      </c>
      <c r="F90" s="177">
        <f t="shared" si="4"/>
        <v>684.76088830994161</v>
      </c>
      <c r="G90" s="177">
        <f>+F90/(1-Analisis!$E$9)</f>
        <v>855.95111038742698</v>
      </c>
      <c r="H90" s="178">
        <f t="shared" si="5"/>
        <v>51357.066623245621</v>
      </c>
    </row>
    <row r="91" spans="1:8" x14ac:dyDescent="0.25">
      <c r="A91" s="175" t="s">
        <v>625</v>
      </c>
      <c r="B91" s="176">
        <v>60</v>
      </c>
      <c r="C91" s="177">
        <f>+VLOOKUP(A91,'COT. GAL'!B:AC,11,FALSE)</f>
        <v>242.40912500000005</v>
      </c>
      <c r="D91" s="177">
        <f>+VLOOKUP(A91,'COT. GAL'!B:AC,20,FALSE)+VLOOKUP(A91,'COT. GAL'!B:AC,24,FALSE)</f>
        <v>224.34093523391812</v>
      </c>
      <c r="E91" s="177">
        <f>+VLOOKUP(A91,'COT. GAL'!B:AE,27,FALSE)+VLOOKUP(A91,'COT. GAL'!B:AE,30,FALSE)</f>
        <v>25</v>
      </c>
      <c r="F91" s="177">
        <f t="shared" si="4"/>
        <v>491.75006023391813</v>
      </c>
      <c r="G91" s="177">
        <f>+F91/(1-Analisis!$E$9)</f>
        <v>614.68757529239758</v>
      </c>
      <c r="H91" s="178">
        <f t="shared" si="5"/>
        <v>36881.254517543857</v>
      </c>
    </row>
    <row r="92" spans="1:8" x14ac:dyDescent="0.25">
      <c r="A92" s="175" t="s">
        <v>626</v>
      </c>
      <c r="B92" s="176">
        <v>420</v>
      </c>
      <c r="C92" s="177">
        <f>+VLOOKUP(A92,'COT. GAL'!B:AC,11,FALSE)</f>
        <v>12.898044444444446</v>
      </c>
      <c r="D92" s="177">
        <f>+VLOOKUP(A92,'COT. GAL'!B:AC,20,FALSE)+VLOOKUP(A92,'COT. GAL'!B:AC,24,FALSE)</f>
        <v>26.280369590643275</v>
      </c>
      <c r="E92" s="177">
        <f>+VLOOKUP(A92,'COT. GAL'!B:AE,27,FALSE)+VLOOKUP(A92,'COT. GAL'!B:AE,30,FALSE)</f>
        <v>25</v>
      </c>
      <c r="F92" s="177">
        <f t="shared" si="4"/>
        <v>64.178414035087712</v>
      </c>
      <c r="G92" s="177">
        <f>+F92/(1-Analisis!$E$9)</f>
        <v>80.22301754385964</v>
      </c>
      <c r="H92" s="178">
        <f t="shared" si="5"/>
        <v>33693.667368421047</v>
      </c>
    </row>
    <row r="93" spans="1:8" x14ac:dyDescent="0.25">
      <c r="A93" s="175" t="s">
        <v>627</v>
      </c>
      <c r="B93" s="176">
        <v>420</v>
      </c>
      <c r="C93" s="177">
        <f>+VLOOKUP(A93,'COT. GAL'!B:AC,11,FALSE)</f>
        <v>6.4327666666666676</v>
      </c>
      <c r="D93" s="177">
        <f>+VLOOKUP(A93,'COT. GAL'!B:AC,20,FALSE)+VLOOKUP(A93,'COT. GAL'!B:AC,24,FALSE)</f>
        <v>21.162770906432748</v>
      </c>
      <c r="E93" s="177">
        <f>+VLOOKUP(A93,'COT. GAL'!B:AE,27,FALSE)+VLOOKUP(A93,'COT. GAL'!B:AE,30,FALSE)</f>
        <v>25</v>
      </c>
      <c r="F93" s="177">
        <f t="shared" si="4"/>
        <v>52.595537573099413</v>
      </c>
      <c r="G93" s="177">
        <f>+F93/(1-Analisis!$E$9)</f>
        <v>65.744421966374262</v>
      </c>
      <c r="H93" s="178">
        <f t="shared" si="5"/>
        <v>27612.657225877188</v>
      </c>
    </row>
    <row r="94" spans="1:8" x14ac:dyDescent="0.25">
      <c r="A94" s="175" t="s">
        <v>628</v>
      </c>
      <c r="B94" s="176">
        <v>60</v>
      </c>
      <c r="C94" s="177">
        <f>+VLOOKUP(A94,'COT. GAL'!B:AC,11,FALSE)</f>
        <v>39.606661111111116</v>
      </c>
      <c r="D94" s="177">
        <f>+VLOOKUP(A94,'COT. GAL'!B:AC,20,FALSE)+VLOOKUP(A94,'COT. GAL'!B:AC,24,FALSE)</f>
        <v>39.932899122807022</v>
      </c>
      <c r="E94" s="177">
        <f>+VLOOKUP(A94,'COT. GAL'!B:AE,27,FALSE)+VLOOKUP(A94,'COT. GAL'!B:AE,30,FALSE)</f>
        <v>50</v>
      </c>
      <c r="F94" s="177">
        <f t="shared" si="4"/>
        <v>129.53956023391814</v>
      </c>
      <c r="G94" s="177">
        <f>+F94/(1-Analisis!$E$9)</f>
        <v>161.92445029239767</v>
      </c>
      <c r="H94" s="178">
        <f t="shared" si="5"/>
        <v>9715.4670175438605</v>
      </c>
    </row>
    <row r="95" spans="1:8" x14ac:dyDescent="0.25">
      <c r="A95" s="175" t="s">
        <v>629</v>
      </c>
      <c r="B95" s="176">
        <v>30</v>
      </c>
      <c r="C95" s="177">
        <f>+VLOOKUP(A95,'COT. GAL'!B:AC,11,FALSE)</f>
        <v>10.285333333333334</v>
      </c>
      <c r="D95" s="177">
        <f>+VLOOKUP(A95,'COT. GAL'!B:AC,20,FALSE)+VLOOKUP(A95,'COT. GAL'!B:AC,24,FALSE)</f>
        <v>20.030785087719302</v>
      </c>
      <c r="E95" s="177">
        <f>+VLOOKUP(A95,'COT. GAL'!B:AE,27,FALSE)+VLOOKUP(A95,'COT. GAL'!B:AE,30,FALSE)</f>
        <v>25</v>
      </c>
      <c r="F95" s="177">
        <f t="shared" si="4"/>
        <v>55.316118421052636</v>
      </c>
      <c r="G95" s="177">
        <f>+F95/(1-Analisis!$E$9)</f>
        <v>69.145148026315795</v>
      </c>
      <c r="H95" s="178">
        <f t="shared" si="5"/>
        <v>2074.3544407894738</v>
      </c>
    </row>
    <row r="96" spans="1:8" x14ac:dyDescent="0.25">
      <c r="A96" s="175" t="s">
        <v>630</v>
      </c>
      <c r="B96" s="176">
        <v>15</v>
      </c>
      <c r="C96" s="177">
        <f>+VLOOKUP(A96,'COT. GAL'!B:AC,11,FALSE)</f>
        <v>128.123954</v>
      </c>
      <c r="D96" s="177">
        <f>+VLOOKUP(A96,'COT. GAL'!B:AC,20,FALSE)+VLOOKUP(A96,'COT. GAL'!B:AC,24,FALSE)</f>
        <v>94.204221052631567</v>
      </c>
      <c r="E96" s="177">
        <f>+VLOOKUP(A96,'COT. GAL'!B:AE,27,FALSE)+VLOOKUP(A96,'COT. GAL'!B:AE,30,FALSE)</f>
        <v>100</v>
      </c>
      <c r="F96" s="177">
        <f t="shared" si="4"/>
        <v>322.32817505263154</v>
      </c>
      <c r="G96" s="177">
        <f>+F96/(1-Analisis!$E$9)</f>
        <v>402.91021881578939</v>
      </c>
      <c r="H96" s="178">
        <f t="shared" si="5"/>
        <v>6043.6532822368408</v>
      </c>
    </row>
    <row r="97" spans="1:8" x14ac:dyDescent="0.25">
      <c r="A97" s="175" t="s">
        <v>631</v>
      </c>
      <c r="B97" s="176">
        <v>15</v>
      </c>
      <c r="C97" s="177">
        <f>+VLOOKUP(A97,'COT. GAL'!B:AC,11,FALSE)</f>
        <v>131.65806694444447</v>
      </c>
      <c r="D97" s="177">
        <f>+VLOOKUP(A97,'COT. GAL'!B:AC,20,FALSE)+VLOOKUP(A97,'COT. GAL'!B:AC,24,FALSE)</f>
        <v>101.58685307017544</v>
      </c>
      <c r="E97" s="177">
        <f>+VLOOKUP(A97,'COT. GAL'!B:AE,27,FALSE)+VLOOKUP(A97,'COT. GAL'!B:AE,30,FALSE)</f>
        <v>100</v>
      </c>
      <c r="F97" s="177">
        <f t="shared" si="4"/>
        <v>333.24492001461988</v>
      </c>
      <c r="G97" s="177">
        <f>+F97/(1-Analisis!$E$9)</f>
        <v>416.55615001827482</v>
      </c>
      <c r="H97" s="178">
        <f t="shared" si="5"/>
        <v>6248.3422502741223</v>
      </c>
    </row>
    <row r="98" spans="1:8" x14ac:dyDescent="0.25">
      <c r="A98" s="175" t="s">
        <v>632</v>
      </c>
      <c r="B98" s="176">
        <v>15</v>
      </c>
      <c r="C98" s="177">
        <f>+VLOOKUP(A98,'COT. GAL'!B:AC,11,FALSE)</f>
        <v>165.44645094444448</v>
      </c>
      <c r="D98" s="177">
        <f>+VLOOKUP(A98,'COT. GAL'!B:AC,20,FALSE)+VLOOKUP(A98,'COT. GAL'!B:AC,24,FALSE)</f>
        <v>113.04091622807019</v>
      </c>
      <c r="E98" s="177">
        <f>+VLOOKUP(A98,'COT. GAL'!B:AE,27,FALSE)+VLOOKUP(A98,'COT. GAL'!B:AE,30,FALSE)</f>
        <v>100</v>
      </c>
      <c r="F98" s="177">
        <f t="shared" si="4"/>
        <v>378.48736717251467</v>
      </c>
      <c r="G98" s="177">
        <f>+F98/(1-Analisis!$E$9)</f>
        <v>473.10920896564329</v>
      </c>
      <c r="H98" s="178">
        <f t="shared" si="5"/>
        <v>7096.6381344846495</v>
      </c>
    </row>
    <row r="99" spans="1:8" x14ac:dyDescent="0.25">
      <c r="A99" s="175" t="s">
        <v>633</v>
      </c>
      <c r="B99" s="176">
        <v>180</v>
      </c>
      <c r="C99" s="177">
        <f>+VLOOKUP(A99,'COT. GAL'!B:AC,11,FALSE)</f>
        <v>10.750833333333334</v>
      </c>
      <c r="D99" s="177">
        <f>+VLOOKUP(A99,'COT. GAL'!B:AC,20,FALSE)+VLOOKUP(A99,'COT. GAL'!B:AC,24,FALSE)</f>
        <v>23.463643274853798</v>
      </c>
      <c r="E99" s="177">
        <f>+VLOOKUP(A99,'COT. GAL'!B:AE,27,FALSE)+VLOOKUP(A99,'COT. GAL'!B:AE,30,FALSE)</f>
        <v>25</v>
      </c>
      <c r="F99" s="177">
        <f t="shared" ref="F99:F130" si="6">+C99+D99+E99</f>
        <v>59.214476608187134</v>
      </c>
      <c r="G99" s="177">
        <f>+F99/(1-Analisis!$E$9)</f>
        <v>74.018095760233919</v>
      </c>
      <c r="H99" s="178">
        <f t="shared" ref="H99:H130" si="7">+G99*B99</f>
        <v>13323.257236842106</v>
      </c>
    </row>
    <row r="100" spans="1:8" x14ac:dyDescent="0.25">
      <c r="A100" s="175" t="s">
        <v>634</v>
      </c>
      <c r="B100" s="176">
        <v>15</v>
      </c>
      <c r="C100" s="177">
        <f>+VLOOKUP(A100,'COT. GAL'!B:AC,11,FALSE)</f>
        <v>61.712000000000003</v>
      </c>
      <c r="D100" s="177">
        <f>+VLOOKUP(A100,'COT. GAL'!B:AC,20,FALSE)+VLOOKUP(A100,'COT. GAL'!B:AC,24,FALSE)</f>
        <v>68.854323099415197</v>
      </c>
      <c r="E100" s="177">
        <f>+VLOOKUP(A100,'COT. GAL'!B:AE,27,FALSE)+VLOOKUP(A100,'COT. GAL'!B:AE,30,FALSE)</f>
        <v>25</v>
      </c>
      <c r="F100" s="177">
        <f t="shared" si="6"/>
        <v>155.5663230994152</v>
      </c>
      <c r="G100" s="177">
        <f>+F100/(1-Analisis!$E$9)</f>
        <v>194.45790387426899</v>
      </c>
      <c r="H100" s="178">
        <f t="shared" si="7"/>
        <v>2916.8685581140348</v>
      </c>
    </row>
    <row r="101" spans="1:8" x14ac:dyDescent="0.25">
      <c r="A101" s="175" t="s">
        <v>635</v>
      </c>
      <c r="B101" s="176">
        <v>75</v>
      </c>
      <c r="C101" s="177">
        <f>+VLOOKUP(A101,'COT. GAL'!B:AC,11,FALSE)</f>
        <v>637.86864505000005</v>
      </c>
      <c r="D101" s="177">
        <f>+VLOOKUP(A101,'COT. GAL'!B:AC,20,FALSE)+VLOOKUP(A101,'COT. GAL'!B:AC,24,FALSE)</f>
        <v>89.190198099415198</v>
      </c>
      <c r="E101" s="177">
        <f>+VLOOKUP(A101,'COT. GAL'!B:AE,27,FALSE)+VLOOKUP(A101,'COT. GAL'!B:AE,30,FALSE)</f>
        <v>100</v>
      </c>
      <c r="F101" s="177">
        <f t="shared" si="6"/>
        <v>827.05884314941522</v>
      </c>
      <c r="G101" s="177">
        <f>+F101/(1-Analisis!$E$9)</f>
        <v>1033.823553936769</v>
      </c>
      <c r="H101" s="178">
        <f t="shared" si="7"/>
        <v>77536.766545257677</v>
      </c>
    </row>
    <row r="102" spans="1:8" x14ac:dyDescent="0.25">
      <c r="A102" s="175" t="s">
        <v>636</v>
      </c>
      <c r="B102" s="176">
        <v>30</v>
      </c>
      <c r="C102" s="177">
        <f>+VLOOKUP(A102,'COT. GAL'!B:AC,11,FALSE)</f>
        <v>128.123954</v>
      </c>
      <c r="D102" s="177">
        <f>+VLOOKUP(A102,'COT. GAL'!B:AC,20,FALSE)+VLOOKUP(A102,'COT. GAL'!B:AC,24,FALSE)</f>
        <v>107.93565380116959</v>
      </c>
      <c r="E102" s="177">
        <f>+VLOOKUP(A102,'COT. GAL'!B:AE,27,FALSE)+VLOOKUP(A102,'COT. GAL'!B:AE,30,FALSE)</f>
        <v>100</v>
      </c>
      <c r="F102" s="177">
        <f t="shared" si="6"/>
        <v>336.05960780116959</v>
      </c>
      <c r="G102" s="177">
        <f>+F102/(1-Analisis!$E$9)</f>
        <v>420.07450975146196</v>
      </c>
      <c r="H102" s="178">
        <f t="shared" si="7"/>
        <v>12602.235292543859</v>
      </c>
    </row>
    <row r="103" spans="1:8" x14ac:dyDescent="0.25">
      <c r="A103" s="175" t="s">
        <v>637</v>
      </c>
      <c r="B103" s="176">
        <v>30</v>
      </c>
      <c r="C103" s="177">
        <f>+VLOOKUP(A103,'COT. GAL'!B:AC,11,FALSE)</f>
        <v>131.65806694444447</v>
      </c>
      <c r="D103" s="177">
        <f>+VLOOKUP(A103,'COT. GAL'!B:AC,20,FALSE)+VLOOKUP(A103,'COT. GAL'!B:AC,24,FALSE)</f>
        <v>101.58685307017544</v>
      </c>
      <c r="E103" s="177">
        <f>+VLOOKUP(A103,'COT. GAL'!B:AE,27,FALSE)+VLOOKUP(A103,'COT. GAL'!B:AE,30,FALSE)</f>
        <v>100</v>
      </c>
      <c r="F103" s="177">
        <f t="shared" si="6"/>
        <v>333.24492001461988</v>
      </c>
      <c r="G103" s="177">
        <f>+F103/(1-Analisis!$E$9)</f>
        <v>416.55615001827482</v>
      </c>
      <c r="H103" s="178">
        <f t="shared" si="7"/>
        <v>12496.684500548245</v>
      </c>
    </row>
    <row r="104" spans="1:8" x14ac:dyDescent="0.25">
      <c r="A104" s="175" t="s">
        <v>638</v>
      </c>
      <c r="B104" s="176">
        <v>30</v>
      </c>
      <c r="C104" s="177">
        <f>+VLOOKUP(A104,'COT. GAL'!B:AC,11,FALSE)</f>
        <v>165.44645094444448</v>
      </c>
      <c r="D104" s="177">
        <f>+VLOOKUP(A104,'COT. GAL'!B:AC,20,FALSE)+VLOOKUP(A104,'COT. GAL'!B:AC,24,FALSE)</f>
        <v>113.04091622807019</v>
      </c>
      <c r="E104" s="177">
        <f>+VLOOKUP(A104,'COT. GAL'!B:AE,27,FALSE)+VLOOKUP(A104,'COT. GAL'!B:AE,30,FALSE)</f>
        <v>100</v>
      </c>
      <c r="F104" s="177">
        <f t="shared" si="6"/>
        <v>378.48736717251467</v>
      </c>
      <c r="G104" s="177">
        <f>+F104/(1-Analisis!$E$9)</f>
        <v>473.10920896564329</v>
      </c>
      <c r="H104" s="178">
        <f t="shared" si="7"/>
        <v>14193.276268969299</v>
      </c>
    </row>
    <row r="105" spans="1:8" x14ac:dyDescent="0.25">
      <c r="A105" s="175" t="s">
        <v>639</v>
      </c>
      <c r="B105" s="176">
        <v>30</v>
      </c>
      <c r="C105" s="177">
        <f>+VLOOKUP(A105,'COT. GAL'!B:AC,11,FALSE)</f>
        <v>58.127465277777787</v>
      </c>
      <c r="D105" s="177">
        <f>+VLOOKUP(A105,'COT. GAL'!B:AC,20,FALSE)+VLOOKUP(A105,'COT. GAL'!B:AC,24,FALSE)</f>
        <v>64.461322368421051</v>
      </c>
      <c r="E105" s="177">
        <f>+VLOOKUP(A105,'COT. GAL'!B:AE,27,FALSE)+VLOOKUP(A105,'COT. GAL'!B:AE,30,FALSE)</f>
        <v>25</v>
      </c>
      <c r="F105" s="177">
        <f t="shared" si="6"/>
        <v>147.58878764619885</v>
      </c>
      <c r="G105" s="177">
        <f>+F105/(1-Analisis!$E$9)</f>
        <v>184.48598455774857</v>
      </c>
      <c r="H105" s="178">
        <f t="shared" si="7"/>
        <v>5534.5795367324572</v>
      </c>
    </row>
    <row r="106" spans="1:8" x14ac:dyDescent="0.25">
      <c r="A106" s="175" t="s">
        <v>640</v>
      </c>
      <c r="B106" s="176">
        <v>60</v>
      </c>
      <c r="C106" s="177">
        <f>+VLOOKUP(A106,'COT. GAL'!B:AC,11,FALSE)</f>
        <v>6.7032000000000007</v>
      </c>
      <c r="D106" s="177">
        <f>+VLOOKUP(A106,'COT. GAL'!B:AC,20,FALSE)+VLOOKUP(A106,'COT. GAL'!B:AC,24,FALSE)</f>
        <v>24.512577777777778</v>
      </c>
      <c r="E106" s="177">
        <f>+VLOOKUP(A106,'COT. GAL'!B:AE,27,FALSE)+VLOOKUP(A106,'COT. GAL'!B:AE,30,FALSE)</f>
        <v>50</v>
      </c>
      <c r="F106" s="177">
        <f t="shared" si="6"/>
        <v>81.215777777777788</v>
      </c>
      <c r="G106" s="177">
        <f>+F106/(1-Analisis!$E$9)</f>
        <v>101.51972222222223</v>
      </c>
      <c r="H106" s="178">
        <f t="shared" si="7"/>
        <v>6091.1833333333334</v>
      </c>
    </row>
    <row r="107" spans="1:8" x14ac:dyDescent="0.25">
      <c r="A107" s="175" t="s">
        <v>641</v>
      </c>
      <c r="B107" s="176">
        <v>30</v>
      </c>
      <c r="C107" s="177">
        <f>+VLOOKUP(A107,'COT. GAL'!B:AC,11,FALSE)</f>
        <v>195.33909500000001</v>
      </c>
      <c r="D107" s="177">
        <f>+VLOOKUP(A107,'COT. GAL'!B:AC,20,FALSE)+VLOOKUP(A107,'COT. GAL'!B:AC,24,FALSE)</f>
        <v>123.17434649122808</v>
      </c>
      <c r="E107" s="177">
        <f>+VLOOKUP(A107,'COT. GAL'!B:AE,27,FALSE)+VLOOKUP(A107,'COT. GAL'!B:AE,30,FALSE)</f>
        <v>100</v>
      </c>
      <c r="F107" s="177">
        <f t="shared" si="6"/>
        <v>418.51344149122809</v>
      </c>
      <c r="G107" s="177">
        <f>+F107/(1-Analisis!$E$9)</f>
        <v>523.14180186403507</v>
      </c>
      <c r="H107" s="178">
        <f t="shared" si="7"/>
        <v>15694.254055921052</v>
      </c>
    </row>
    <row r="108" spans="1:8" x14ac:dyDescent="0.25">
      <c r="A108" s="175" t="s">
        <v>642</v>
      </c>
      <c r="B108" s="176">
        <v>30</v>
      </c>
      <c r="C108" s="177">
        <f>+VLOOKUP(A108,'COT. GAL'!B:AC,11,FALSE)</f>
        <v>138.78780533333335</v>
      </c>
      <c r="D108" s="177">
        <f>+VLOOKUP(A108,'COT. GAL'!B:AC,20,FALSE)+VLOOKUP(A108,'COT. GAL'!B:AC,24,FALSE)</f>
        <v>99.67391052631578</v>
      </c>
      <c r="E108" s="177">
        <f>+VLOOKUP(A108,'COT. GAL'!B:AE,27,FALSE)+VLOOKUP(A108,'COT. GAL'!B:AE,30,FALSE)</f>
        <v>100</v>
      </c>
      <c r="F108" s="177">
        <f t="shared" si="6"/>
        <v>338.46171585964913</v>
      </c>
      <c r="G108" s="177">
        <f>+F108/(1-Analisis!$E$9)</f>
        <v>423.0771448245614</v>
      </c>
      <c r="H108" s="178">
        <f t="shared" si="7"/>
        <v>12692.314344736842</v>
      </c>
    </row>
    <row r="109" spans="1:8" x14ac:dyDescent="0.25">
      <c r="A109" s="175" t="s">
        <v>643</v>
      </c>
      <c r="B109" s="176">
        <v>30</v>
      </c>
      <c r="C109" s="177">
        <f>+VLOOKUP(A109,'COT. GAL'!B:AC,11,FALSE)</f>
        <v>939.4950607182293</v>
      </c>
      <c r="D109" s="177">
        <f>+VLOOKUP(A109,'COT. GAL'!B:AC,20,FALSE)+VLOOKUP(A109,'COT. GAL'!B:AC,24,FALSE)</f>
        <v>113.56655555555557</v>
      </c>
      <c r="E109" s="177">
        <f>+VLOOKUP(A109,'COT. GAL'!B:AE,27,FALSE)+VLOOKUP(A109,'COT. GAL'!B:AE,30,FALSE)</f>
        <v>100</v>
      </c>
      <c r="F109" s="177">
        <f t="shared" si="6"/>
        <v>1153.0616162737849</v>
      </c>
      <c r="G109" s="177">
        <f>+F109/(1-Analisis!$E$9)</f>
        <v>1441.327020342231</v>
      </c>
      <c r="H109" s="178">
        <f t="shared" si="7"/>
        <v>43239.810610266926</v>
      </c>
    </row>
    <row r="110" spans="1:8" x14ac:dyDescent="0.25">
      <c r="A110" s="175" t="s">
        <v>644</v>
      </c>
      <c r="B110" s="176">
        <v>360</v>
      </c>
      <c r="C110" s="177">
        <f>+VLOOKUP(A110,'COT. GAL'!B:AC,11,FALSE)</f>
        <v>17.539134861111116</v>
      </c>
      <c r="D110" s="177">
        <f>+VLOOKUP(A110,'COT. GAL'!B:AC,20,FALSE)+VLOOKUP(A110,'COT. GAL'!B:AC,24,FALSE)</f>
        <v>42.405934210526318</v>
      </c>
      <c r="E110" s="177">
        <f>+VLOOKUP(A110,'COT. GAL'!B:AE,27,FALSE)+VLOOKUP(A110,'COT. GAL'!B:AE,30,FALSE)</f>
        <v>100</v>
      </c>
      <c r="F110" s="177">
        <f t="shared" si="6"/>
        <v>159.94506907163742</v>
      </c>
      <c r="G110" s="177">
        <f>+F110/(1-Analisis!$E$9)</f>
        <v>199.93133633954676</v>
      </c>
      <c r="H110" s="178">
        <f t="shared" si="7"/>
        <v>71975.281082236834</v>
      </c>
    </row>
    <row r="111" spans="1:8" x14ac:dyDescent="0.25">
      <c r="A111" s="175" t="s">
        <v>645</v>
      </c>
      <c r="B111" s="176">
        <v>30</v>
      </c>
      <c r="C111" s="177">
        <f>+VLOOKUP(A111,'COT. GAL'!B:AC,11,FALSE)</f>
        <v>8.5563333333333329</v>
      </c>
      <c r="D111" s="177">
        <f>+VLOOKUP(A111,'COT. GAL'!B:AC,20,FALSE)+VLOOKUP(A111,'COT. GAL'!B:AC,24,FALSE)</f>
        <v>25.722085672514623</v>
      </c>
      <c r="E111" s="177">
        <f>+VLOOKUP(A111,'COT. GAL'!B:AE,27,FALSE)+VLOOKUP(A111,'COT. GAL'!B:AE,30,FALSE)</f>
        <v>25</v>
      </c>
      <c r="F111" s="177">
        <f t="shared" si="6"/>
        <v>59.278419005847958</v>
      </c>
      <c r="G111" s="177">
        <f>+F111/(1-Analisis!$E$9)</f>
        <v>74.098023757309946</v>
      </c>
      <c r="H111" s="178">
        <f t="shared" si="7"/>
        <v>2222.9407127192985</v>
      </c>
    </row>
    <row r="112" spans="1:8" x14ac:dyDescent="0.25">
      <c r="A112" s="175" t="s">
        <v>646</v>
      </c>
      <c r="B112" s="176">
        <v>30</v>
      </c>
      <c r="C112" s="177">
        <f>+VLOOKUP(A112,'COT. GAL'!B:AC,11,FALSE)</f>
        <v>453.86250000000001</v>
      </c>
      <c r="D112" s="177">
        <f>+VLOOKUP(A112,'COT. GAL'!B:AC,20,FALSE)+VLOOKUP(A112,'COT. GAL'!B:AC,24,FALSE)</f>
        <v>108.67024853801169</v>
      </c>
      <c r="E112" s="177">
        <f>+VLOOKUP(A112,'COT. GAL'!B:AE,27,FALSE)+VLOOKUP(A112,'COT. GAL'!B:AE,30,FALSE)</f>
        <v>0</v>
      </c>
      <c r="F112" s="177">
        <f t="shared" si="6"/>
        <v>562.53274853801167</v>
      </c>
      <c r="G112" s="177">
        <f>+F112/(1-Analisis!$E$9)</f>
        <v>703.16593567251459</v>
      </c>
      <c r="H112" s="178">
        <f t="shared" si="7"/>
        <v>21094.978070175439</v>
      </c>
    </row>
    <row r="113" spans="1:8" x14ac:dyDescent="0.25">
      <c r="A113" s="175" t="s">
        <v>647</v>
      </c>
      <c r="B113" s="176">
        <v>30</v>
      </c>
      <c r="C113" s="177">
        <f>+VLOOKUP(A113,'COT. GAL'!B:AC,11,FALSE)</f>
        <v>661.54273888888895</v>
      </c>
      <c r="D113" s="177">
        <f>+VLOOKUP(A113,'COT. GAL'!B:AC,20,FALSE)+VLOOKUP(A113,'COT. GAL'!B:AC,24,FALSE)</f>
        <v>104.65379970760233</v>
      </c>
      <c r="E113" s="177">
        <f>+VLOOKUP(A113,'COT. GAL'!B:AE,27,FALSE)+VLOOKUP(A113,'COT. GAL'!B:AE,30,FALSE)</f>
        <v>100</v>
      </c>
      <c r="F113" s="177">
        <f t="shared" si="6"/>
        <v>866.19653859649134</v>
      </c>
      <c r="G113" s="177">
        <f>+F113/(1-Analisis!$E$9)</f>
        <v>1082.7456732456142</v>
      </c>
      <c r="H113" s="178">
        <f t="shared" si="7"/>
        <v>32482.370197368426</v>
      </c>
    </row>
    <row r="114" spans="1:8" x14ac:dyDescent="0.25">
      <c r="A114" s="175" t="s">
        <v>648</v>
      </c>
      <c r="B114" s="176">
        <v>60</v>
      </c>
      <c r="C114" s="177">
        <f>+VLOOKUP(A114,'COT. GAL'!B:AC,11,FALSE)</f>
        <v>201.4580555555556</v>
      </c>
      <c r="D114" s="177">
        <f>+VLOOKUP(A114,'COT. GAL'!B:AC,20,FALSE)+VLOOKUP(A114,'COT. GAL'!B:AC,24,FALSE)</f>
        <v>151.97921491228072</v>
      </c>
      <c r="E114" s="177">
        <f>+VLOOKUP(A114,'COT. GAL'!B:AE,27,FALSE)+VLOOKUP(A114,'COT. GAL'!B:AE,30,FALSE)</f>
        <v>25</v>
      </c>
      <c r="F114" s="177">
        <f t="shared" si="6"/>
        <v>378.43727046783636</v>
      </c>
      <c r="G114" s="177">
        <f>+F114/(1-Analisis!$E$9)</f>
        <v>473.04658808479542</v>
      </c>
      <c r="H114" s="178">
        <f t="shared" si="7"/>
        <v>28382.795285087726</v>
      </c>
    </row>
    <row r="115" spans="1:8" x14ac:dyDescent="0.25">
      <c r="A115" s="175" t="s">
        <v>649</v>
      </c>
      <c r="B115" s="176">
        <v>30</v>
      </c>
      <c r="C115" s="177">
        <f>+VLOOKUP(A115,'COT. GAL'!B:AC,11,FALSE)</f>
        <v>661.54273888888895</v>
      </c>
      <c r="D115" s="177">
        <f>+VLOOKUP(A115,'COT. GAL'!B:AC,20,FALSE)+VLOOKUP(A115,'COT. GAL'!B:AC,24,FALSE)</f>
        <v>104.65379970760233</v>
      </c>
      <c r="E115" s="177">
        <f>+VLOOKUP(A115,'COT. GAL'!B:AE,27,FALSE)+VLOOKUP(A115,'COT. GAL'!B:AE,30,FALSE)</f>
        <v>100</v>
      </c>
      <c r="F115" s="177">
        <f t="shared" si="6"/>
        <v>866.19653859649134</v>
      </c>
      <c r="G115" s="177">
        <f>+F115/(1-Analisis!$E$9)</f>
        <v>1082.7456732456142</v>
      </c>
      <c r="H115" s="178">
        <f t="shared" si="7"/>
        <v>32482.370197368426</v>
      </c>
    </row>
    <row r="116" spans="1:8" x14ac:dyDescent="0.25">
      <c r="A116" s="175" t="s">
        <v>650</v>
      </c>
      <c r="B116" s="176">
        <v>60</v>
      </c>
      <c r="C116" s="177">
        <f>+VLOOKUP(A116,'COT. GAL'!B:AC,11,FALSE)</f>
        <v>183.0616571875</v>
      </c>
      <c r="D116" s="177">
        <f>+VLOOKUP(A116,'COT. GAL'!B:AC,20,FALSE)+VLOOKUP(A116,'COT. GAL'!B:AC,24,FALSE)</f>
        <v>80.482146198830421</v>
      </c>
      <c r="E116" s="177">
        <f>+VLOOKUP(A116,'COT. GAL'!B:AE,27,FALSE)+VLOOKUP(A116,'COT. GAL'!B:AE,30,FALSE)</f>
        <v>100</v>
      </c>
      <c r="F116" s="177">
        <f t="shared" si="6"/>
        <v>363.54380338633041</v>
      </c>
      <c r="G116" s="177">
        <f>+F116/(1-Analisis!$E$9)</f>
        <v>454.42975423291301</v>
      </c>
      <c r="H116" s="178">
        <f t="shared" si="7"/>
        <v>27265.78525397478</v>
      </c>
    </row>
    <row r="117" spans="1:8" x14ac:dyDescent="0.25">
      <c r="A117" s="175" t="s">
        <v>651</v>
      </c>
      <c r="B117" s="176">
        <v>30</v>
      </c>
      <c r="C117" s="177">
        <f>+VLOOKUP(A117,'COT. GAL'!B:AC,11,FALSE)</f>
        <v>153.81274052083336</v>
      </c>
      <c r="D117" s="177">
        <f>+VLOOKUP(A117,'COT. GAL'!B:AC,20,FALSE)+VLOOKUP(A117,'COT. GAL'!B:AC,24,FALSE)</f>
        <v>71.124251461988308</v>
      </c>
      <c r="E117" s="177">
        <f>+VLOOKUP(A117,'COT. GAL'!B:AE,27,FALSE)+VLOOKUP(A117,'COT. GAL'!B:AE,30,FALSE)</f>
        <v>100</v>
      </c>
      <c r="F117" s="177">
        <f t="shared" si="6"/>
        <v>324.93699198282167</v>
      </c>
      <c r="G117" s="177">
        <f>+F117/(1-Analisis!$E$9)</f>
        <v>406.17123997852707</v>
      </c>
      <c r="H117" s="178">
        <f t="shared" si="7"/>
        <v>12185.137199355811</v>
      </c>
    </row>
    <row r="118" spans="1:8" x14ac:dyDescent="0.25">
      <c r="A118" s="175" t="s">
        <v>652</v>
      </c>
      <c r="B118" s="176">
        <v>45</v>
      </c>
      <c r="C118" s="177">
        <f>+VLOOKUP(A118,'COT. GAL'!B:AC,11,FALSE)</f>
        <v>1071.8803977777777</v>
      </c>
      <c r="D118" s="177">
        <f>+VLOOKUP(A118,'COT. GAL'!B:AC,20,FALSE)+VLOOKUP(A118,'COT. GAL'!B:AC,24,FALSE)</f>
        <v>399.10885526315786</v>
      </c>
      <c r="E118" s="177">
        <f>+VLOOKUP(A118,'COT. GAL'!B:AE,27,FALSE)+VLOOKUP(A118,'COT. GAL'!B:AE,30,FALSE)</f>
        <v>175</v>
      </c>
      <c r="F118" s="177">
        <f t="shared" si="6"/>
        <v>1645.9892530409356</v>
      </c>
      <c r="G118" s="177">
        <f>+F118/(1-Analisis!$E$9)</f>
        <v>2057.4865663011692</v>
      </c>
      <c r="H118" s="178">
        <f t="shared" si="7"/>
        <v>92586.895483552609</v>
      </c>
    </row>
    <row r="119" spans="1:8" x14ac:dyDescent="0.25">
      <c r="A119" s="175" t="s">
        <v>653</v>
      </c>
      <c r="B119" s="176">
        <v>90</v>
      </c>
      <c r="C119" s="177">
        <f>+VLOOKUP(A119,'COT. GAL'!B:AC,11,FALSE)</f>
        <v>73.493583333333348</v>
      </c>
      <c r="D119" s="177">
        <f>+VLOOKUP(A119,'COT. GAL'!B:AC,20,FALSE)+VLOOKUP(A119,'COT. GAL'!B:AC,24,FALSE)</f>
        <v>51.15131432748538</v>
      </c>
      <c r="E119" s="177">
        <f>+VLOOKUP(A119,'COT. GAL'!B:AE,27,FALSE)+VLOOKUP(A119,'COT. GAL'!B:AE,30,FALSE)</f>
        <v>50</v>
      </c>
      <c r="F119" s="177">
        <f t="shared" si="6"/>
        <v>174.64489766081874</v>
      </c>
      <c r="G119" s="177">
        <f>+F119/(1-Analisis!$E$9)</f>
        <v>218.30612207602343</v>
      </c>
      <c r="H119" s="178">
        <f t="shared" si="7"/>
        <v>19647.550986842107</v>
      </c>
    </row>
    <row r="120" spans="1:8" x14ac:dyDescent="0.25">
      <c r="A120" s="175" t="s">
        <v>654</v>
      </c>
      <c r="B120" s="176">
        <v>30</v>
      </c>
      <c r="C120" s="177">
        <f>+VLOOKUP(A120,'COT. GAL'!B:AC,11,FALSE)</f>
        <v>548.23974333333342</v>
      </c>
      <c r="D120" s="177">
        <f>+VLOOKUP(A120,'COT. GAL'!B:AC,20,FALSE)+VLOOKUP(A120,'COT. GAL'!B:AC,24,FALSE)</f>
        <v>242.89009122807016</v>
      </c>
      <c r="E120" s="177">
        <f>+VLOOKUP(A120,'COT. GAL'!B:AE,27,FALSE)+VLOOKUP(A120,'COT. GAL'!B:AE,30,FALSE)</f>
        <v>100</v>
      </c>
      <c r="F120" s="177">
        <f t="shared" si="6"/>
        <v>891.12983456140364</v>
      </c>
      <c r="G120" s="177">
        <f>+F120/(1-Analisis!$E$9)</f>
        <v>1113.9122932017544</v>
      </c>
      <c r="H120" s="178">
        <f t="shared" si="7"/>
        <v>33417.368796052629</v>
      </c>
    </row>
    <row r="121" spans="1:8" x14ac:dyDescent="0.25">
      <c r="A121" s="175" t="s">
        <v>655</v>
      </c>
      <c r="B121" s="176">
        <v>30</v>
      </c>
      <c r="C121" s="177">
        <f>+VLOOKUP(A121,'COT. GAL'!B:AC,11,FALSE)</f>
        <v>308.29400000000004</v>
      </c>
      <c r="D121" s="177">
        <f>+VLOOKUP(A121,'COT. GAL'!B:AC,20,FALSE)+VLOOKUP(A121,'COT. GAL'!B:AC,24,FALSE)</f>
        <v>83.130641812865491</v>
      </c>
      <c r="E121" s="177">
        <f>+VLOOKUP(A121,'COT. GAL'!B:AE,27,FALSE)+VLOOKUP(A121,'COT. GAL'!B:AE,30,FALSE)</f>
        <v>25</v>
      </c>
      <c r="F121" s="177">
        <f t="shared" si="6"/>
        <v>416.4246418128655</v>
      </c>
      <c r="G121" s="177">
        <f>+F121/(1-Analisis!$E$9)</f>
        <v>520.53080226608188</v>
      </c>
      <c r="H121" s="178">
        <f t="shared" si="7"/>
        <v>15615.924067982456</v>
      </c>
    </row>
    <row r="122" spans="1:8" x14ac:dyDescent="0.25">
      <c r="A122" s="175" t="s">
        <v>656</v>
      </c>
      <c r="B122" s="176">
        <v>30</v>
      </c>
      <c r="C122" s="177">
        <f>+VLOOKUP(A122,'COT. GAL'!B:AC,11,FALSE)</f>
        <v>376.80377777777784</v>
      </c>
      <c r="D122" s="177">
        <f>+VLOOKUP(A122,'COT. GAL'!B:AC,20,FALSE)+VLOOKUP(A122,'COT. GAL'!B:AC,24,FALSE)</f>
        <v>92.48853654970759</v>
      </c>
      <c r="E122" s="177">
        <f>+VLOOKUP(A122,'COT. GAL'!B:AE,27,FALSE)+VLOOKUP(A122,'COT. GAL'!B:AE,30,FALSE)</f>
        <v>25</v>
      </c>
      <c r="F122" s="177">
        <f t="shared" si="6"/>
        <v>494.29231432748543</v>
      </c>
      <c r="G122" s="177">
        <f>+F122/(1-Analisis!$E$9)</f>
        <v>617.86539290935673</v>
      </c>
      <c r="H122" s="178">
        <f t="shared" si="7"/>
        <v>18535.961787280703</v>
      </c>
    </row>
    <row r="123" spans="1:8" x14ac:dyDescent="0.25">
      <c r="A123" s="175" t="s">
        <v>657</v>
      </c>
      <c r="B123" s="176">
        <v>45</v>
      </c>
      <c r="C123" s="177">
        <f>+VLOOKUP(A123,'COT. GAL'!B:AC,11,FALSE)</f>
        <v>389.91166666666669</v>
      </c>
      <c r="D123" s="177">
        <f>+VLOOKUP(A123,'COT. GAL'!B:AC,20,FALSE)+VLOOKUP(A123,'COT. GAL'!B:AC,24,FALSE)</f>
        <v>83.130641812865491</v>
      </c>
      <c r="E123" s="177">
        <f>+VLOOKUP(A123,'COT. GAL'!B:AE,27,FALSE)+VLOOKUP(A123,'COT. GAL'!B:AE,30,FALSE)</f>
        <v>25</v>
      </c>
      <c r="F123" s="177">
        <f t="shared" si="6"/>
        <v>498.04230847953215</v>
      </c>
      <c r="G123" s="177">
        <f>+F123/(1-Analisis!$E$9)</f>
        <v>622.55288559941516</v>
      </c>
      <c r="H123" s="178">
        <f t="shared" si="7"/>
        <v>28014.879851973681</v>
      </c>
    </row>
    <row r="124" spans="1:8" x14ac:dyDescent="0.25">
      <c r="A124" s="175" t="s">
        <v>658</v>
      </c>
      <c r="B124" s="176">
        <v>30</v>
      </c>
      <c r="C124" s="177">
        <f>+VLOOKUP(A124,'COT. GAL'!B:AC,11,FALSE)</f>
        <v>308.29400000000004</v>
      </c>
      <c r="D124" s="177">
        <f>+VLOOKUP(A124,'COT. GAL'!B:AC,20,FALSE)+VLOOKUP(A124,'COT. GAL'!B:AC,24,FALSE)</f>
        <v>110.59350730994151</v>
      </c>
      <c r="E124" s="177">
        <f>+VLOOKUP(A124,'COT. GAL'!B:AE,27,FALSE)+VLOOKUP(A124,'COT. GAL'!B:AE,30,FALSE)</f>
        <v>25</v>
      </c>
      <c r="F124" s="177">
        <f t="shared" si="6"/>
        <v>443.88750730994155</v>
      </c>
      <c r="G124" s="177">
        <f>+F124/(1-Analisis!$E$9)</f>
        <v>554.8593841374269</v>
      </c>
      <c r="H124" s="178">
        <f t="shared" si="7"/>
        <v>16645.781524122805</v>
      </c>
    </row>
    <row r="125" spans="1:8" x14ac:dyDescent="0.25">
      <c r="A125" s="175" t="s">
        <v>659</v>
      </c>
      <c r="B125" s="176">
        <v>30</v>
      </c>
      <c r="C125" s="177">
        <f>+VLOOKUP(A125,'COT. GAL'!B:AC,11,FALSE)</f>
        <v>376.80377777777784</v>
      </c>
      <c r="D125" s="177">
        <f>+VLOOKUP(A125,'COT. GAL'!B:AC,20,FALSE)+VLOOKUP(A125,'COT. GAL'!B:AC,24,FALSE)</f>
        <v>119.95140204678363</v>
      </c>
      <c r="E125" s="177">
        <f>+VLOOKUP(A125,'COT. GAL'!B:AE,27,FALSE)+VLOOKUP(A125,'COT. GAL'!B:AE,30,FALSE)</f>
        <v>25</v>
      </c>
      <c r="F125" s="177">
        <f t="shared" si="6"/>
        <v>521.75517982456154</v>
      </c>
      <c r="G125" s="177">
        <f>+F125/(1-Analisis!$E$9)</f>
        <v>652.19397478070186</v>
      </c>
      <c r="H125" s="178">
        <f t="shared" si="7"/>
        <v>19565.819243421058</v>
      </c>
    </row>
    <row r="126" spans="1:8" x14ac:dyDescent="0.25">
      <c r="A126" s="175" t="s">
        <v>660</v>
      </c>
      <c r="B126" s="176">
        <v>45</v>
      </c>
      <c r="C126" s="177">
        <f>+VLOOKUP(A126,'COT. GAL'!B:AC,11,FALSE)</f>
        <v>389.91166666666669</v>
      </c>
      <c r="D126" s="177">
        <f>+VLOOKUP(A126,'COT. GAL'!B:AC,20,FALSE)+VLOOKUP(A126,'COT. GAL'!B:AC,24,FALSE)</f>
        <v>110.59350730994151</v>
      </c>
      <c r="E126" s="177">
        <f>+VLOOKUP(A126,'COT. GAL'!B:AE,27,FALSE)+VLOOKUP(A126,'COT. GAL'!B:AE,30,FALSE)</f>
        <v>25</v>
      </c>
      <c r="F126" s="177">
        <f t="shared" si="6"/>
        <v>525.50517397660815</v>
      </c>
      <c r="G126" s="177">
        <f>+F126/(1-Analisis!$E$9)</f>
        <v>656.88146747076019</v>
      </c>
      <c r="H126" s="178">
        <f t="shared" si="7"/>
        <v>29559.666036184208</v>
      </c>
    </row>
    <row r="127" spans="1:8" x14ac:dyDescent="0.25">
      <c r="A127" s="175" t="s">
        <v>661</v>
      </c>
      <c r="B127" s="176">
        <v>30</v>
      </c>
      <c r="C127" s="177">
        <f>+VLOOKUP(A127,'COT. GAL'!B:AC,11,FALSE)</f>
        <v>883.08990062222233</v>
      </c>
      <c r="D127" s="177">
        <f>+VLOOKUP(A127,'COT. GAL'!B:AC,20,FALSE)+VLOOKUP(A127,'COT. GAL'!B:AC,24,FALSE)</f>
        <v>625.84125877192992</v>
      </c>
      <c r="E127" s="177">
        <f>+VLOOKUP(A127,'COT. GAL'!B:AE,27,FALSE)+VLOOKUP(A127,'COT. GAL'!B:AE,30,FALSE)</f>
        <v>50</v>
      </c>
      <c r="F127" s="177">
        <f t="shared" si="6"/>
        <v>1558.9311593941522</v>
      </c>
      <c r="G127" s="177">
        <f>+F127/(1-Analisis!$E$9)</f>
        <v>1948.6639492426903</v>
      </c>
      <c r="H127" s="178">
        <f t="shared" si="7"/>
        <v>58459.918477280706</v>
      </c>
    </row>
    <row r="128" spans="1:8" x14ac:dyDescent="0.25">
      <c r="A128" s="175" t="s">
        <v>662</v>
      </c>
      <c r="B128" s="176">
        <v>30</v>
      </c>
      <c r="C128" s="177">
        <f>+VLOOKUP(A128,'COT. GAL'!B:AC,11,FALSE)</f>
        <v>774.07571173333338</v>
      </c>
      <c r="D128" s="177">
        <f>+VLOOKUP(A128,'COT. GAL'!B:AC,20,FALSE)+VLOOKUP(A128,'COT. GAL'!B:AC,24,FALSE)</f>
        <v>636.21618567251471</v>
      </c>
      <c r="E128" s="177">
        <f>+VLOOKUP(A128,'COT. GAL'!B:AE,27,FALSE)+VLOOKUP(A128,'COT. GAL'!B:AE,30,FALSE)</f>
        <v>50</v>
      </c>
      <c r="F128" s="177">
        <f t="shared" si="6"/>
        <v>1460.291897405848</v>
      </c>
      <c r="G128" s="177">
        <f>+F128/(1-Analisis!$E$9)</f>
        <v>1825.3648717573099</v>
      </c>
      <c r="H128" s="178">
        <f t="shared" si="7"/>
        <v>54760.946152719298</v>
      </c>
    </row>
    <row r="129" spans="1:8" x14ac:dyDescent="0.25">
      <c r="A129" s="175" t="s">
        <v>663</v>
      </c>
      <c r="B129" s="176">
        <v>45</v>
      </c>
      <c r="C129" s="177">
        <f>+VLOOKUP(A129,'COT. GAL'!B:AC,11,FALSE)</f>
        <v>749.80468951111118</v>
      </c>
      <c r="D129" s="177">
        <f>+VLOOKUP(A129,'COT. GAL'!B:AC,20,FALSE)+VLOOKUP(A129,'COT. GAL'!B:AC,24,FALSE)</f>
        <v>633.87671198830412</v>
      </c>
      <c r="E129" s="177">
        <f>+VLOOKUP(A129,'COT. GAL'!B:AE,27,FALSE)+VLOOKUP(A129,'COT. GAL'!B:AE,30,FALSE)</f>
        <v>50</v>
      </c>
      <c r="F129" s="177">
        <f t="shared" si="6"/>
        <v>1433.6814014994152</v>
      </c>
      <c r="G129" s="177">
        <f>+F129/(1-Analisis!$E$9)</f>
        <v>1792.101751874269</v>
      </c>
      <c r="H129" s="178">
        <f t="shared" si="7"/>
        <v>80644.578834342101</v>
      </c>
    </row>
    <row r="130" spans="1:8" x14ac:dyDescent="0.25">
      <c r="A130" s="175" t="s">
        <v>664</v>
      </c>
      <c r="B130" s="176">
        <v>30</v>
      </c>
      <c r="C130" s="177">
        <f>+VLOOKUP(A130,'COT. GAL'!B:AC,11,FALSE)</f>
        <v>6.9571006944444447</v>
      </c>
      <c r="D130" s="177">
        <f>+VLOOKUP(A130,'COT. GAL'!B:AC,20,FALSE)+VLOOKUP(A130,'COT. GAL'!B:AC,24,FALSE)</f>
        <v>24.358172514619888</v>
      </c>
      <c r="E130" s="177">
        <f>+VLOOKUP(A130,'COT. GAL'!B:AE,27,FALSE)+VLOOKUP(A130,'COT. GAL'!B:AE,30,FALSE)</f>
        <v>50</v>
      </c>
      <c r="F130" s="177">
        <f t="shared" si="6"/>
        <v>81.31527320906433</v>
      </c>
      <c r="G130" s="177">
        <f>+F130/(1-Analisis!$E$9)</f>
        <v>101.6440915113304</v>
      </c>
      <c r="H130" s="178">
        <f t="shared" si="7"/>
        <v>3049.3227453399122</v>
      </c>
    </row>
    <row r="131" spans="1:8" x14ac:dyDescent="0.25">
      <c r="A131" s="175" t="s">
        <v>665</v>
      </c>
      <c r="B131" s="176">
        <v>30</v>
      </c>
      <c r="C131" s="177">
        <f>+VLOOKUP(A131,'COT. GAL'!B:AC,11,FALSE)</f>
        <v>130.28890583333336</v>
      </c>
      <c r="D131" s="177">
        <f>+VLOOKUP(A131,'COT. GAL'!B:AC,20,FALSE)+VLOOKUP(A131,'COT. GAL'!B:AC,24,FALSE)</f>
        <v>95.70499342105262</v>
      </c>
      <c r="E131" s="177">
        <f>+VLOOKUP(A131,'COT. GAL'!B:AE,27,FALSE)+VLOOKUP(A131,'COT. GAL'!B:AE,30,FALSE)</f>
        <v>100</v>
      </c>
      <c r="F131" s="177">
        <f t="shared" ref="F131:F135" si="8">+C131+D131+E131</f>
        <v>325.99389925438595</v>
      </c>
      <c r="G131" s="177">
        <f>+F131/(1-Analisis!$E$9)</f>
        <v>407.49237406798244</v>
      </c>
      <c r="H131" s="178">
        <f t="shared" ref="H131:H135" si="9">+G131*B131</f>
        <v>12224.771222039473</v>
      </c>
    </row>
    <row r="132" spans="1:8" x14ac:dyDescent="0.25">
      <c r="A132" s="175" t="s">
        <v>666</v>
      </c>
      <c r="B132" s="176">
        <v>60</v>
      </c>
      <c r="C132" s="177">
        <f>+VLOOKUP(A132,'COT. GAL'!B:AC,11,FALSE)</f>
        <v>9.0262666666666664</v>
      </c>
      <c r="D132" s="177">
        <f>+VLOOKUP(A132,'COT. GAL'!B:AC,20,FALSE)+VLOOKUP(A132,'COT. GAL'!B:AC,24,FALSE)</f>
        <v>23.215659064327482</v>
      </c>
      <c r="E132" s="177">
        <f>+VLOOKUP(A132,'COT. GAL'!B:AE,27,FALSE)+VLOOKUP(A132,'COT. GAL'!B:AE,30,FALSE)</f>
        <v>25</v>
      </c>
      <c r="F132" s="177">
        <f t="shared" si="8"/>
        <v>57.241925730994147</v>
      </c>
      <c r="G132" s="177">
        <f>+F132/(1-Analisis!$E$9)</f>
        <v>71.552407163742686</v>
      </c>
      <c r="H132" s="178">
        <f t="shared" si="9"/>
        <v>4293.1444298245615</v>
      </c>
    </row>
    <row r="133" spans="1:8" x14ac:dyDescent="0.25">
      <c r="A133" s="175" t="s">
        <v>667</v>
      </c>
      <c r="B133" s="176">
        <v>15</v>
      </c>
      <c r="C133" s="177">
        <f>+VLOOKUP(A133,'COT. GAL'!B:AC,11,FALSE)</f>
        <v>44.437347645833327</v>
      </c>
      <c r="D133" s="177">
        <f>+VLOOKUP(A133,'COT. GAL'!B:AC,20,FALSE)+VLOOKUP(A133,'COT. GAL'!B:AC,24,FALSE)</f>
        <v>72.370444005847958</v>
      </c>
      <c r="E133" s="177">
        <f>+VLOOKUP(A133,'COT. GAL'!B:AE,27,FALSE)+VLOOKUP(A133,'COT. GAL'!B:AE,30,FALSE)</f>
        <v>25</v>
      </c>
      <c r="F133" s="177">
        <f t="shared" si="8"/>
        <v>141.80779165168127</v>
      </c>
      <c r="G133" s="177">
        <f>+F133/(1-Analisis!$E$9)</f>
        <v>177.25973956460157</v>
      </c>
      <c r="H133" s="178">
        <f t="shared" si="9"/>
        <v>2658.8960934690235</v>
      </c>
    </row>
    <row r="134" spans="1:8" x14ac:dyDescent="0.25">
      <c r="A134" s="175" t="s">
        <v>668</v>
      </c>
      <c r="B134" s="176">
        <v>30</v>
      </c>
      <c r="C134" s="177">
        <f>+VLOOKUP(A134,'COT. GAL'!B:AC,11,FALSE)</f>
        <v>30.368333333333339</v>
      </c>
      <c r="D134" s="177">
        <f>+VLOOKUP(A134,'COT. GAL'!B:AC,20,FALSE)+VLOOKUP(A134,'COT. GAL'!B:AC,24,FALSE)</f>
        <v>66.410211988304098</v>
      </c>
      <c r="E134" s="177">
        <f>+VLOOKUP(A134,'COT. GAL'!B:AE,27,FALSE)+VLOOKUP(A134,'COT. GAL'!B:AE,30,FALSE)</f>
        <v>50</v>
      </c>
      <c r="F134" s="177">
        <f t="shared" si="8"/>
        <v>146.77854532163744</v>
      </c>
      <c r="G134" s="177">
        <f>+F134/(1-Analisis!$E$9)</f>
        <v>183.47318165204678</v>
      </c>
      <c r="H134" s="178">
        <f t="shared" si="9"/>
        <v>5504.1954495614036</v>
      </c>
    </row>
    <row r="135" spans="1:8" x14ac:dyDescent="0.25">
      <c r="A135" s="175" t="s">
        <v>669</v>
      </c>
      <c r="B135" s="176">
        <v>30</v>
      </c>
      <c r="C135" s="177">
        <f>+VLOOKUP(A135,'COT. GAL'!B:AC,11,FALSE)</f>
        <v>129.53229691111113</v>
      </c>
      <c r="D135" s="177">
        <f>+VLOOKUP(A135,'COT. GAL'!B:AC,20,FALSE)+VLOOKUP(A135,'COT. GAL'!B:AC,24,FALSE)</f>
        <v>91.475224999999995</v>
      </c>
      <c r="E135" s="177">
        <f>+VLOOKUP(A135,'COT. GAL'!B:AE,27,FALSE)+VLOOKUP(A135,'COT. GAL'!B:AE,30,FALSE)</f>
        <v>100</v>
      </c>
      <c r="F135" s="177">
        <f t="shared" si="8"/>
        <v>321.0075219111111</v>
      </c>
      <c r="G135" s="177">
        <f>+F135/(1-Analisis!$E$9)</f>
        <v>401.25940238888887</v>
      </c>
      <c r="H135" s="178">
        <f t="shared" si="9"/>
        <v>12037.782071666667</v>
      </c>
    </row>
    <row r="136" spans="1:8" x14ac:dyDescent="0.25">
      <c r="A136" s="129"/>
      <c r="B136" s="130"/>
      <c r="C136" s="131">
        <f>+SUMPRODUCT(C3:C135,B3:B135)</f>
        <v>2081961.380747464</v>
      </c>
      <c r="D136" s="131">
        <f>+SUMPRODUCT(D3:D135,B3:B135)</f>
        <v>1794654.0011176902</v>
      </c>
      <c r="E136" s="131">
        <f>+SUMPRODUCT(E3:E135,B3:B135)</f>
        <v>1206950</v>
      </c>
      <c r="F136" s="131">
        <f>SUM(C136:E136)</f>
        <v>5083565.381865154</v>
      </c>
      <c r="G136" s="132"/>
      <c r="H136" s="131">
        <f>SUM(H3:H135)</f>
        <v>6354456.7273314428</v>
      </c>
    </row>
  </sheetData>
  <autoFilter ref="A2:A135" xr:uid="{83B59058-51E5-47C7-8029-F74549662356}"/>
  <mergeCells count="6">
    <mergeCell ref="H1:H2"/>
    <mergeCell ref="C1:E1"/>
    <mergeCell ref="A1:A2"/>
    <mergeCell ref="B1:B2"/>
    <mergeCell ref="F1:F2"/>
    <mergeCell ref="G1:G2"/>
  </mergeCells>
  <phoneticPr fontId="9" type="noConversion"/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B94DF-C57F-4446-8D7A-AB4518B9268F}">
  <sheetPr>
    <tabColor rgb="FF00B050"/>
  </sheetPr>
  <dimension ref="A1:AI809"/>
  <sheetViews>
    <sheetView showGridLines="0" zoomScale="70" zoomScaleNormal="70" workbookViewId="0">
      <pane xSplit="3" ySplit="1" topLeftCell="D2" activePane="bottomRight" state="frozen"/>
      <selection activeCell="C11" sqref="C11"/>
      <selection pane="topRight" activeCell="C11" sqref="C11"/>
      <selection pane="bottomLeft" activeCell="C11" sqref="C11"/>
      <selection pane="bottomRight" activeCell="L2" sqref="L2"/>
    </sheetView>
  </sheetViews>
  <sheetFormatPr baseColWidth="10" defaultColWidth="9.140625" defaultRowHeight="15" outlineLevelCol="1" x14ac:dyDescent="0.25"/>
  <cols>
    <col min="1" max="1" width="4.7109375" style="29" customWidth="1"/>
    <col min="2" max="2" width="20.7109375" style="29" customWidth="1"/>
    <col min="3" max="3" width="13.28515625" style="139" customWidth="1"/>
    <col min="4" max="4" width="14.5703125" style="117" customWidth="1"/>
    <col min="5" max="5" width="7" style="33" customWidth="1"/>
    <col min="6" max="6" width="17.140625" style="33" bestFit="1" customWidth="1"/>
    <col min="7" max="7" width="15" style="92" customWidth="1"/>
    <col min="8" max="8" width="14.85546875" style="93" customWidth="1"/>
    <col min="9" max="9" width="12" style="38" customWidth="1"/>
    <col min="10" max="10" width="12" style="39" customWidth="1"/>
    <col min="11" max="11" width="17.140625" style="34" customWidth="1"/>
    <col min="12" max="12" width="15.140625" style="41" bestFit="1" customWidth="1"/>
    <col min="13" max="13" width="10.5703125" style="29" hidden="1" customWidth="1" outlineLevel="1"/>
    <col min="14" max="14" width="13.140625" style="29" hidden="1" customWidth="1" outlineLevel="1"/>
    <col min="15" max="15" width="11.42578125" style="29" hidden="1" customWidth="1" outlineLevel="1"/>
    <col min="16" max="16" width="8.28515625" style="29" hidden="1" customWidth="1" outlineLevel="1"/>
    <col min="17" max="17" width="22" style="29" hidden="1" customWidth="1" outlineLevel="1"/>
    <col min="18" max="18" width="10.28515625" style="35" hidden="1" customWidth="1" outlineLevel="1"/>
    <col min="19" max="19" width="0.7109375" style="36" customWidth="1" outlineLevel="1"/>
    <col min="20" max="20" width="14" style="111" bestFit="1" customWidth="1"/>
    <col min="21" max="21" width="13.5703125" style="57" customWidth="1"/>
    <col min="22" max="22" width="12" style="99" customWidth="1"/>
    <col min="23" max="23" width="9.28515625" style="37" hidden="1" customWidth="1" outlineLevel="1"/>
    <col min="24" max="24" width="11.28515625" style="37" hidden="1" customWidth="1" outlineLevel="1"/>
    <col min="25" max="25" width="14.28515625" style="57" customWidth="1" collapsed="1"/>
    <col min="26" max="26" width="11.7109375" style="101" customWidth="1"/>
    <col min="27" max="27" width="11.7109375" style="29" hidden="1" customWidth="1" outlineLevel="1"/>
    <col min="28" max="28" width="15" style="40" bestFit="1" customWidth="1" collapsed="1"/>
    <col min="29" max="29" width="11.42578125" style="102" customWidth="1"/>
    <col min="30" max="30" width="11.7109375" style="29" hidden="1" customWidth="1" outlineLevel="1"/>
    <col min="31" max="31" width="14.5703125" style="30" bestFit="1" customWidth="1" collapsed="1"/>
    <col min="32" max="32" width="21.140625" style="127" bestFit="1" customWidth="1"/>
    <col min="33" max="33" width="25.28515625" style="127" bestFit="1" customWidth="1"/>
    <col min="34" max="34" width="21.85546875" style="30" customWidth="1"/>
    <col min="35" max="35" width="24.28515625" style="30" customWidth="1"/>
    <col min="36" max="16384" width="9.140625" style="30"/>
  </cols>
  <sheetData>
    <row r="1" spans="1:35" s="72" customFormat="1" ht="54" customHeight="1" x14ac:dyDescent="0.25">
      <c r="A1" s="42" t="s">
        <v>12</v>
      </c>
      <c r="B1" s="42" t="s">
        <v>13</v>
      </c>
      <c r="C1" s="137" t="s">
        <v>14</v>
      </c>
      <c r="D1" s="115" t="s">
        <v>40</v>
      </c>
      <c r="E1" s="43" t="s">
        <v>15</v>
      </c>
      <c r="F1" s="43" t="s">
        <v>16</v>
      </c>
      <c r="G1" s="89" t="s">
        <v>17</v>
      </c>
      <c r="H1" s="89" t="s">
        <v>18</v>
      </c>
      <c r="I1" s="44" t="s">
        <v>19</v>
      </c>
      <c r="J1" s="45" t="s">
        <v>20</v>
      </c>
      <c r="K1" s="46" t="s">
        <v>21</v>
      </c>
      <c r="L1" s="55" t="s">
        <v>22</v>
      </c>
      <c r="M1" s="68" t="s">
        <v>23</v>
      </c>
      <c r="N1" s="68" t="s">
        <v>24</v>
      </c>
      <c r="O1" s="68" t="s">
        <v>15</v>
      </c>
      <c r="P1" s="68" t="s">
        <v>25</v>
      </c>
      <c r="Q1" s="68" t="s">
        <v>26</v>
      </c>
      <c r="R1" s="69" t="s">
        <v>27</v>
      </c>
      <c r="S1" s="70" t="s">
        <v>28</v>
      </c>
      <c r="T1" s="109" t="s">
        <v>29</v>
      </c>
      <c r="U1" s="55" t="s">
        <v>30</v>
      </c>
      <c r="V1" s="112" t="s">
        <v>31</v>
      </c>
      <c r="W1" s="71" t="s">
        <v>32</v>
      </c>
      <c r="X1" s="71" t="s">
        <v>33</v>
      </c>
      <c r="Y1" s="55" t="s">
        <v>34</v>
      </c>
      <c r="Z1" s="113" t="s">
        <v>35</v>
      </c>
      <c r="AA1" s="68" t="s">
        <v>131</v>
      </c>
      <c r="AB1" s="55" t="s">
        <v>36</v>
      </c>
      <c r="AC1" s="113" t="s">
        <v>37</v>
      </c>
      <c r="AD1" s="68" t="s">
        <v>131</v>
      </c>
      <c r="AE1" s="28" t="s">
        <v>38</v>
      </c>
      <c r="AF1" s="124" t="s">
        <v>132</v>
      </c>
      <c r="AG1" s="125" t="s">
        <v>39</v>
      </c>
      <c r="AH1" s="125" t="s">
        <v>0</v>
      </c>
      <c r="AI1" s="72" t="s">
        <v>4</v>
      </c>
    </row>
    <row r="2" spans="1:35" s="73" customFormat="1" x14ac:dyDescent="0.25">
      <c r="A2" s="87">
        <v>1</v>
      </c>
      <c r="B2" t="s">
        <v>181</v>
      </c>
      <c r="C2" s="74">
        <f>IFERROR(VLOOKUP(B2,'REQ GALV'!A:B,2,0),0)</f>
        <v>0</v>
      </c>
      <c r="D2" s="116">
        <f>+AG2</f>
        <v>1205.354173245614</v>
      </c>
      <c r="E2" s="4" t="s">
        <v>180</v>
      </c>
      <c r="F2" s="75" t="s">
        <v>147</v>
      </c>
      <c r="G2" s="90">
        <v>23.324999999999999</v>
      </c>
      <c r="H2" s="90">
        <v>41.02</v>
      </c>
      <c r="I2" s="76">
        <v>0.105</v>
      </c>
      <c r="J2" s="77">
        <v>28.408000000000001</v>
      </c>
      <c r="K2" s="78">
        <f t="shared" ref="K2:K312" si="0">+L2*2.2/J2</f>
        <v>54.749286761945001</v>
      </c>
      <c r="L2" s="58">
        <f>+VLOOKUP(E2,Material!$H$2:$M$17,6,FALSE)*G2*H2*(1+Material!$K$14)</f>
        <v>706.96260833333338</v>
      </c>
      <c r="M2" s="79" t="str">
        <f>+Analisis!$J$5</f>
        <v>T5.0</v>
      </c>
      <c r="N2" s="80">
        <f>+VLOOKUP(M2,Material!$A$3:$B$58,2,FALSE)</f>
        <v>5000</v>
      </c>
      <c r="O2" s="79" t="s">
        <v>42</v>
      </c>
      <c r="P2" s="79" t="s">
        <v>43</v>
      </c>
      <c r="Q2" s="81">
        <f>+IF(O2="ACERO A36",VLOOKUP(P2,'Velocidades Std 1500 w'!$B$2:$F$15,5,FALSE),IF(O2="INOXIDABLE",VLOOKUP(P2,'Velocidades Std 1500 w'!$B$17:$F$28,5,FALSE),IF(O2="ALUMINIO",VLOOKUP(P2,'Velocidades Std 1500 w'!$B$30:$F$38,5,FALSE))))</f>
        <v>4.3859649122807014E-6</v>
      </c>
      <c r="R2" s="82">
        <f t="shared" ref="R2:R312" si="1">+Q2*N2</f>
        <v>2.1929824561403508E-2</v>
      </c>
      <c r="S2" s="83">
        <f t="shared" ref="S2:S312" si="2">+Q2*T2*3600</f>
        <v>62.150925789473675</v>
      </c>
      <c r="T2" s="110">
        <f>(+H2*2+G2*2+V2*1.05)*25.4*1.05</f>
        <v>3936.2253000000001</v>
      </c>
      <c r="U2" s="80">
        <f t="shared" ref="U2:U312" si="3">+T2*R2</f>
        <v>86.320730263157898</v>
      </c>
      <c r="V2" s="98">
        <v>18</v>
      </c>
      <c r="W2" s="84">
        <f>+IF(O2="ACERO A36",VLOOKUP(P2,'Tiempo Objeto'!$B$2:$C$12,2,FALSE),IF(O2="INOXIDABLE",VLOOKUP(P2,'Tiempo Objeto'!$B$14:$C$22,2,FALSE),IF(O2="ALUMINIO",VLOOKUP(P2,'Tiempo Objeto'!$B$24:$C$32,2,FALSE))))</f>
        <v>1.84</v>
      </c>
      <c r="X2" s="84">
        <f t="shared" ref="X2" si="4">+W2*V2</f>
        <v>33.120000000000005</v>
      </c>
      <c r="Y2" s="80">
        <f t="shared" ref="Y2" si="5">+X2*N2/3600</f>
        <v>46.000000000000007</v>
      </c>
      <c r="Z2" s="100">
        <v>5</v>
      </c>
      <c r="AA2" s="85">
        <f t="shared" ref="AA2" si="6">30*Z2+Z2*$C2*1.5</f>
        <v>150</v>
      </c>
      <c r="AB2" s="86">
        <f>+Z2*Analisis!$J$6</f>
        <v>125</v>
      </c>
      <c r="AC2" s="100">
        <v>0</v>
      </c>
      <c r="AD2" s="85">
        <f t="shared" ref="AD2" si="7">30*AC2+AC2*$C2*1.5</f>
        <v>0</v>
      </c>
      <c r="AE2" s="86">
        <f>+AD2*Analisis!$J$7</f>
        <v>0</v>
      </c>
      <c r="AF2" s="86">
        <f>+L2+U2+Y2+AB2+AE2</f>
        <v>964.28333859649126</v>
      </c>
      <c r="AG2" s="126">
        <f>+AF2/(1-Analisis!$E$9)</f>
        <v>1205.354173245614</v>
      </c>
      <c r="AH2" s="128">
        <f>+AG2*C2</f>
        <v>0</v>
      </c>
    </row>
    <row r="3" spans="1:35" s="73" customFormat="1" x14ac:dyDescent="0.25">
      <c r="A3" s="87">
        <v>2</v>
      </c>
      <c r="B3" t="s">
        <v>182</v>
      </c>
      <c r="C3" s="74">
        <f>IFERROR(VLOOKUP(B3,'REQ GALV'!A:B,2,0),0)</f>
        <v>0</v>
      </c>
      <c r="D3" s="116">
        <f t="shared" ref="D3:D66" si="8">+AG3</f>
        <v>2182.5229627923977</v>
      </c>
      <c r="E3" s="4" t="s">
        <v>180</v>
      </c>
      <c r="F3" s="75" t="s">
        <v>147</v>
      </c>
      <c r="G3" s="90">
        <v>19.04</v>
      </c>
      <c r="H3" s="90">
        <v>39.39</v>
      </c>
      <c r="I3" s="76">
        <v>0.105</v>
      </c>
      <c r="J3" s="77">
        <v>28.24</v>
      </c>
      <c r="K3" s="78">
        <f t="shared" si="0"/>
        <v>43.17079527856469</v>
      </c>
      <c r="L3" s="58">
        <f>+VLOOKUP(E3,Material!$H$2:$M$17,6,FALSE)*G3*H3*(1+Material!$K$14)</f>
        <v>554.15602666666666</v>
      </c>
      <c r="M3" s="79" t="str">
        <f>+Analisis!$J$5</f>
        <v>T5.0</v>
      </c>
      <c r="N3" s="80">
        <f>+VLOOKUP(M3,Material!$A$3:$B$58,2,FALSE)</f>
        <v>5000</v>
      </c>
      <c r="O3" s="79" t="s">
        <v>42</v>
      </c>
      <c r="P3" s="79" t="s">
        <v>43</v>
      </c>
      <c r="Q3" s="81">
        <f>+IF(O3="ACERO A36",VLOOKUP(P3,'Velocidades Std 1500 w'!$B$2:$F$15,5,FALSE),IF(O3="INOXIDABLE",VLOOKUP(P3,'Velocidades Std 1500 w'!$B$17:$F$28,5,FALSE),IF(O3="ALUMINIO",VLOOKUP(P3,'Velocidades Std 1500 w'!$B$30:$F$38,5,FALSE))))</f>
        <v>4.3859649122807014E-6</v>
      </c>
      <c r="R3" s="82">
        <f t="shared" si="1"/>
        <v>2.1929824561403508E-2</v>
      </c>
      <c r="S3" s="83">
        <f t="shared" si="2"/>
        <v>251.34088736842105</v>
      </c>
      <c r="T3" s="110">
        <f t="shared" ref="T3:T312" si="9">(+H3*2+G3*2+V3*1.5)*25.4*1.05</f>
        <v>15918.2562</v>
      </c>
      <c r="U3" s="80">
        <f t="shared" si="3"/>
        <v>349.08456578947369</v>
      </c>
      <c r="V3" s="98">
        <v>320</v>
      </c>
      <c r="W3" s="84">
        <f>+IF(O3="ACERO A36",VLOOKUP(P3,'Tiempo Objeto'!$B$2:$C$12,2,FALSE),IF(O3="INOXIDABLE",VLOOKUP(P3,'Tiempo Objeto'!$B$14:$C$22,2,FALSE),IF(O3="ALUMINIO",VLOOKUP(P3,'Tiempo Objeto'!$B$24:$C$32,2,FALSE))))</f>
        <v>1.84</v>
      </c>
      <c r="X3" s="84">
        <f t="shared" ref="X3:X312" si="10">+W3*V3</f>
        <v>588.80000000000007</v>
      </c>
      <c r="Y3" s="80">
        <f t="shared" ref="Y3:Y312" si="11">+X3*N3/3600</f>
        <v>817.77777777777794</v>
      </c>
      <c r="Z3" s="100">
        <v>1</v>
      </c>
      <c r="AA3" s="85">
        <f t="shared" ref="AA3:AA312" si="12">30*Z3+Z3*$C3*1.5</f>
        <v>30</v>
      </c>
      <c r="AB3" s="86">
        <f>+Z3*Analisis!$J$6</f>
        <v>25</v>
      </c>
      <c r="AC3" s="100">
        <v>0</v>
      </c>
      <c r="AD3" s="85">
        <f t="shared" ref="AD3:AD312" si="13">30*AC3+AC3*$C3*1.5</f>
        <v>0</v>
      </c>
      <c r="AE3" s="86">
        <f>+AD3*Analisis!$J$7</f>
        <v>0</v>
      </c>
      <c r="AF3" s="86">
        <f t="shared" ref="AF3:AF65" si="14">+L3+U3+Y3+AB3+AE3</f>
        <v>1746.0183702339182</v>
      </c>
      <c r="AG3" s="126">
        <f>+AF3/(1-Analisis!$E$9)</f>
        <v>2182.5229627923977</v>
      </c>
      <c r="AH3" s="128">
        <f t="shared" ref="AH3:AH66" si="15">+AG3*C3</f>
        <v>0</v>
      </c>
    </row>
    <row r="4" spans="1:35" s="73" customFormat="1" x14ac:dyDescent="0.25">
      <c r="A4" s="87">
        <v>2</v>
      </c>
      <c r="B4" t="s">
        <v>183</v>
      </c>
      <c r="C4" s="74">
        <f>IFERROR(VLOOKUP(B4,'REQ GALV'!A:B,2,0),0)</f>
        <v>0</v>
      </c>
      <c r="D4" s="116">
        <f t="shared" si="8"/>
        <v>220.64871162280701</v>
      </c>
      <c r="E4" s="4" t="s">
        <v>180</v>
      </c>
      <c r="F4" s="75" t="s">
        <v>147</v>
      </c>
      <c r="G4" s="90">
        <v>5</v>
      </c>
      <c r="H4" s="90">
        <v>11</v>
      </c>
      <c r="I4" s="76">
        <v>0.105</v>
      </c>
      <c r="J4" s="77">
        <v>28.24</v>
      </c>
      <c r="K4" s="78">
        <f t="shared" si="0"/>
        <v>3.1659191060749134</v>
      </c>
      <c r="L4" s="58">
        <f>+VLOOKUP(E4,Material!$H$2:$M$17,6,FALSE)*G4*H4*(1+Material!$K$14)</f>
        <v>40.638888888888886</v>
      </c>
      <c r="M4" s="79" t="str">
        <f>+Analisis!$J$5</f>
        <v>T5.0</v>
      </c>
      <c r="N4" s="80">
        <f>+VLOOKUP(M4,Material!$A$3:$B$58,2,FALSE)</f>
        <v>5000</v>
      </c>
      <c r="O4" s="79" t="s">
        <v>42</v>
      </c>
      <c r="P4" s="79" t="s">
        <v>43</v>
      </c>
      <c r="Q4" s="81">
        <f>+IF(O4="ACERO A36",VLOOKUP(P4,'Velocidades Std 1500 w'!$B$2:$F$15,5,FALSE),IF(O4="INOXIDABLE",VLOOKUP(P4,'Velocidades Std 1500 w'!$B$17:$F$28,5,FALSE),IF(O4="ALUMINIO",VLOOKUP(P4,'Velocidades Std 1500 w'!$B$30:$F$38,5,FALSE))))</f>
        <v>4.3859649122807014E-6</v>
      </c>
      <c r="R4" s="82">
        <f t="shared" si="1"/>
        <v>2.1929824561403508E-2</v>
      </c>
      <c r="S4" s="83">
        <f t="shared" si="2"/>
        <v>16.633657894736839</v>
      </c>
      <c r="T4" s="110">
        <f t="shared" si="9"/>
        <v>1053.4649999999999</v>
      </c>
      <c r="U4" s="80">
        <f t="shared" si="3"/>
        <v>23.102302631578944</v>
      </c>
      <c r="V4" s="98">
        <v>5</v>
      </c>
      <c r="W4" s="84">
        <f>+IF(O4="ACERO A36",VLOOKUP(P4,'Tiempo Objeto'!$B$2:$C$12,2,FALSE),IF(O4="INOXIDABLE",VLOOKUP(P4,'Tiempo Objeto'!$B$14:$C$22,2,FALSE),IF(O4="ALUMINIO",VLOOKUP(P4,'Tiempo Objeto'!$B$24:$C$32,2,FALSE))))</f>
        <v>1.84</v>
      </c>
      <c r="X4" s="84">
        <f t="shared" si="10"/>
        <v>9.2000000000000011</v>
      </c>
      <c r="Y4" s="80">
        <f t="shared" si="11"/>
        <v>12.77777777777778</v>
      </c>
      <c r="Z4" s="100">
        <v>4</v>
      </c>
      <c r="AA4" s="85">
        <f t="shared" si="12"/>
        <v>120</v>
      </c>
      <c r="AB4" s="86">
        <f>+Z4*Analisis!$J$6</f>
        <v>100</v>
      </c>
      <c r="AC4" s="100">
        <v>0</v>
      </c>
      <c r="AD4" s="85">
        <f t="shared" si="13"/>
        <v>0</v>
      </c>
      <c r="AE4" s="86">
        <f>+AD4*Analisis!$J$7</f>
        <v>0</v>
      </c>
      <c r="AF4" s="86">
        <f t="shared" si="14"/>
        <v>176.51896929824562</v>
      </c>
      <c r="AG4" s="126">
        <f>+AF4/(1-Analisis!$E$9)</f>
        <v>220.64871162280701</v>
      </c>
      <c r="AH4" s="128">
        <f t="shared" si="15"/>
        <v>0</v>
      </c>
    </row>
    <row r="5" spans="1:35" s="73" customFormat="1" x14ac:dyDescent="0.25">
      <c r="A5" s="87">
        <v>2</v>
      </c>
      <c r="B5" t="s">
        <v>184</v>
      </c>
      <c r="C5" s="74">
        <f>IFERROR(VLOOKUP(B5,'REQ GALV'!A:B,2,0),0)</f>
        <v>0</v>
      </c>
      <c r="D5" s="116">
        <f t="shared" si="8"/>
        <v>556.43266959064329</v>
      </c>
      <c r="E5" s="4" t="s">
        <v>46</v>
      </c>
      <c r="F5" s="75" t="s">
        <v>147</v>
      </c>
      <c r="G5" s="90">
        <v>5.048</v>
      </c>
      <c r="H5" s="90">
        <v>40</v>
      </c>
      <c r="I5" s="76">
        <v>0.105</v>
      </c>
      <c r="J5" s="77">
        <v>28.24</v>
      </c>
      <c r="K5" s="78">
        <f t="shared" si="0"/>
        <v>17.434428706326727</v>
      </c>
      <c r="L5" s="58">
        <f>+VLOOKUP(E5,Material!$H$2:$M$17,6,FALSE)*G5*H5*(1+Material!$K$14)</f>
        <v>223.7946666666667</v>
      </c>
      <c r="M5" s="79" t="str">
        <f>+Analisis!$J$5</f>
        <v>T5.0</v>
      </c>
      <c r="N5" s="80">
        <f>+VLOOKUP(M5,Material!$A$3:$B$58,2,FALSE)</f>
        <v>5000</v>
      </c>
      <c r="O5" s="79" t="s">
        <v>42</v>
      </c>
      <c r="P5" s="79" t="s">
        <v>43</v>
      </c>
      <c r="Q5" s="81">
        <f>+IF(O5="ACERO A36",VLOOKUP(P5,'Velocidades Std 1500 w'!$B$2:$F$15,5,FALSE),IF(O5="INOXIDABLE",VLOOKUP(P5,'Velocidades Std 1500 w'!$B$17:$F$28,5,FALSE),IF(O5="ALUMINIO",VLOOKUP(P5,'Velocidades Std 1500 w'!$B$30:$F$38,5,FALSE))))</f>
        <v>4.3859649122807014E-6</v>
      </c>
      <c r="R5" s="82">
        <f t="shared" si="1"/>
        <v>2.1929824561403508E-2</v>
      </c>
      <c r="S5" s="83">
        <f t="shared" si="2"/>
        <v>50.573057684210525</v>
      </c>
      <c r="T5" s="110">
        <f t="shared" si="9"/>
        <v>3202.9603200000001</v>
      </c>
      <c r="U5" s="80">
        <f t="shared" si="3"/>
        <v>70.240357894736846</v>
      </c>
      <c r="V5" s="98">
        <v>20</v>
      </c>
      <c r="W5" s="84">
        <f>+IF(O5="ACERO A36",VLOOKUP(P5,'Tiempo Objeto'!$B$2:$C$12,2,FALSE),IF(O5="INOXIDABLE",VLOOKUP(P5,'Tiempo Objeto'!$B$14:$C$22,2,FALSE),IF(O5="ALUMINIO",VLOOKUP(P5,'Tiempo Objeto'!$B$24:$C$32,2,FALSE))))</f>
        <v>1.84</v>
      </c>
      <c r="X5" s="84">
        <f t="shared" si="10"/>
        <v>36.800000000000004</v>
      </c>
      <c r="Y5" s="80">
        <f t="shared" si="11"/>
        <v>51.111111111111121</v>
      </c>
      <c r="Z5" s="100">
        <v>4</v>
      </c>
      <c r="AA5" s="85">
        <f t="shared" si="12"/>
        <v>120</v>
      </c>
      <c r="AB5" s="86">
        <f>+Z5*Analisis!$J$6</f>
        <v>100</v>
      </c>
      <c r="AC5" s="100">
        <v>0</v>
      </c>
      <c r="AD5" s="85">
        <f t="shared" si="13"/>
        <v>0</v>
      </c>
      <c r="AE5" s="86">
        <f>+AD5*Analisis!$J$7</f>
        <v>0</v>
      </c>
      <c r="AF5" s="86">
        <f t="shared" si="14"/>
        <v>445.14613567251467</v>
      </c>
      <c r="AG5" s="126">
        <f>+AF5/(1-Analisis!$E$9)</f>
        <v>556.43266959064329</v>
      </c>
      <c r="AH5" s="128">
        <f t="shared" si="15"/>
        <v>0</v>
      </c>
    </row>
    <row r="6" spans="1:35" s="73" customFormat="1" x14ac:dyDescent="0.25">
      <c r="A6" s="107">
        <v>1</v>
      </c>
      <c r="B6" t="s">
        <v>185</v>
      </c>
      <c r="C6" s="74">
        <f>IFERROR(VLOOKUP(B6,'REQ GALV'!A:B,2,0),0)</f>
        <v>0</v>
      </c>
      <c r="D6" s="116">
        <f t="shared" si="8"/>
        <v>284.8181429459064</v>
      </c>
      <c r="E6" s="4" t="s">
        <v>180</v>
      </c>
      <c r="F6" s="75" t="s">
        <v>147</v>
      </c>
      <c r="G6" s="90">
        <v>6.91</v>
      </c>
      <c r="H6" s="90">
        <v>22.13</v>
      </c>
      <c r="I6" s="76">
        <v>0.105</v>
      </c>
      <c r="J6" s="77">
        <v>28.24</v>
      </c>
      <c r="K6" s="78">
        <f t="shared" si="0"/>
        <v>8.8023085025181</v>
      </c>
      <c r="L6" s="58">
        <f>+VLOOKUP(E6,Material!$H$2:$M$17,6,FALSE)*G6*H6*(1+Material!$K$14)</f>
        <v>112.98963277777777</v>
      </c>
      <c r="M6" s="79" t="str">
        <f>+Analisis!$J$5</f>
        <v>T5.0</v>
      </c>
      <c r="N6" s="80">
        <f>+VLOOKUP(M6,Material!$A$3:$B$58,2,FALSE)</f>
        <v>5000</v>
      </c>
      <c r="O6" s="79" t="s">
        <v>42</v>
      </c>
      <c r="P6" s="79" t="s">
        <v>43</v>
      </c>
      <c r="Q6" s="81">
        <f>+IF(O6="ACERO A36",VLOOKUP(P6,'Velocidades Std 1500 w'!$B$2:$F$15,5,FALSE),IF(O6="INOXIDABLE",VLOOKUP(P6,'Velocidades Std 1500 w'!$B$17:$F$28,5,FALSE),IF(O6="ALUMINIO",VLOOKUP(P6,'Velocidades Std 1500 w'!$B$30:$F$38,5,FALSE))))</f>
        <v>4.3859649122807014E-6</v>
      </c>
      <c r="R6" s="82">
        <f t="shared" si="1"/>
        <v>2.1929824561403508E-2</v>
      </c>
      <c r="S6" s="83">
        <f t="shared" si="2"/>
        <v>30.142714736842098</v>
      </c>
      <c r="T6" s="110">
        <f t="shared" si="9"/>
        <v>1909.0385999999999</v>
      </c>
      <c r="U6" s="80">
        <f t="shared" si="3"/>
        <v>41.864881578947362</v>
      </c>
      <c r="V6" s="98">
        <v>9</v>
      </c>
      <c r="W6" s="84">
        <f>+IF(O6="ACERO A36",VLOOKUP(P6,'Tiempo Objeto'!$B$2:$C$12,2,FALSE),IF(O6="INOXIDABLE",VLOOKUP(P6,'Tiempo Objeto'!$B$14:$C$22,2,FALSE),IF(O6="ALUMINIO",VLOOKUP(P6,'Tiempo Objeto'!$B$24:$C$32,2,FALSE))))</f>
        <v>1.84</v>
      </c>
      <c r="X6" s="84">
        <f t="shared" si="10"/>
        <v>16.560000000000002</v>
      </c>
      <c r="Y6" s="80">
        <f t="shared" si="11"/>
        <v>23.000000000000004</v>
      </c>
      <c r="Z6" s="100">
        <v>2</v>
      </c>
      <c r="AA6" s="85">
        <f t="shared" si="12"/>
        <v>60</v>
      </c>
      <c r="AB6" s="86">
        <f>+Z6*Analisis!$J$6</f>
        <v>50</v>
      </c>
      <c r="AC6" s="100">
        <v>0</v>
      </c>
      <c r="AD6" s="85">
        <f t="shared" si="13"/>
        <v>0</v>
      </c>
      <c r="AE6" s="86">
        <f>+AD6*Analisis!$J$7</f>
        <v>0</v>
      </c>
      <c r="AF6" s="86">
        <f t="shared" si="14"/>
        <v>227.85451435672513</v>
      </c>
      <c r="AG6" s="126">
        <f>+AF6/(1-Analisis!$E$9)</f>
        <v>284.8181429459064</v>
      </c>
      <c r="AH6" s="128">
        <f t="shared" si="15"/>
        <v>0</v>
      </c>
    </row>
    <row r="7" spans="1:35" s="73" customFormat="1" x14ac:dyDescent="0.25">
      <c r="A7" s="107">
        <v>2</v>
      </c>
      <c r="B7" t="s">
        <v>207</v>
      </c>
      <c r="C7" s="74">
        <f>IFERROR(VLOOKUP(B7,'REQ GALV'!A:B,2,0),0)</f>
        <v>0</v>
      </c>
      <c r="D7" s="116">
        <f t="shared" si="8"/>
        <v>990.24109883040944</v>
      </c>
      <c r="E7" s="4" t="s">
        <v>180</v>
      </c>
      <c r="F7" s="75" t="s">
        <v>147</v>
      </c>
      <c r="G7" s="90">
        <v>41.94</v>
      </c>
      <c r="H7" s="90">
        <v>13.03</v>
      </c>
      <c r="I7" s="76">
        <v>0.105</v>
      </c>
      <c r="J7" s="77">
        <v>28.24</v>
      </c>
      <c r="K7" s="78">
        <f t="shared" ref="K7:K81" si="16">+L7*2.2/J7</f>
        <v>31.456468626062332</v>
      </c>
      <c r="L7" s="58">
        <f>+VLOOKUP(E7,Material!$H$2:$M$17,6,FALSE)*G7*H7*(1+Material!$K$14)</f>
        <v>403.78667000000002</v>
      </c>
      <c r="M7" s="79" t="str">
        <f>+Analisis!$J$5</f>
        <v>T5.0</v>
      </c>
      <c r="N7" s="80">
        <f>+VLOOKUP(M7,Material!$A$3:$B$58,2,FALSE)</f>
        <v>5000</v>
      </c>
      <c r="O7" s="79" t="s">
        <v>42</v>
      </c>
      <c r="P7" s="79" t="s">
        <v>43</v>
      </c>
      <c r="Q7" s="81">
        <f>+IF(O7="ACERO A36",VLOOKUP(P7,'Velocidades Std 1500 w'!$B$2:$F$15,5,FALSE),IF(O7="INOXIDABLE",VLOOKUP(P7,'Velocidades Std 1500 w'!$B$17:$F$28,5,FALSE),IF(O7="ALUMINIO",VLOOKUP(P7,'Velocidades Std 1500 w'!$B$30:$F$38,5,FALSE))))</f>
        <v>4.3859649122807014E-6</v>
      </c>
      <c r="R7" s="82">
        <f t="shared" ref="R7:R81" si="17">+Q7*N7</f>
        <v>2.1929824561403508E-2</v>
      </c>
      <c r="S7" s="83">
        <f t="shared" ref="S7:S81" si="18">+Q7*T7*3600</f>
        <v>82.932470526315782</v>
      </c>
      <c r="T7" s="110">
        <f t="shared" ref="T7:T81" si="19">(+H7*2+G7*2+V7*1.5)*25.4*1.05</f>
        <v>5252.3897999999999</v>
      </c>
      <c r="U7" s="80">
        <f t="shared" ref="U7:U81" si="20">+T7*R7</f>
        <v>115.18398684210526</v>
      </c>
      <c r="V7" s="98">
        <v>58</v>
      </c>
      <c r="W7" s="84">
        <f>+IF(O7="ACERO A36",VLOOKUP(P7,'Tiempo Objeto'!$B$2:$C$12,2,FALSE),IF(O7="INOXIDABLE",VLOOKUP(P7,'Tiempo Objeto'!$B$14:$C$22,2,FALSE),IF(O7="ALUMINIO",VLOOKUP(P7,'Tiempo Objeto'!$B$24:$C$32,2,FALSE))))</f>
        <v>1.84</v>
      </c>
      <c r="X7" s="84">
        <f t="shared" ref="X7:X81" si="21">+W7*V7</f>
        <v>106.72</v>
      </c>
      <c r="Y7" s="80">
        <f t="shared" ref="Y7:Y81" si="22">+X7*N7/3600</f>
        <v>148.22222222222223</v>
      </c>
      <c r="Z7" s="100">
        <v>5</v>
      </c>
      <c r="AA7" s="85">
        <f t="shared" ref="AA7:AA81" si="23">30*Z7+Z7*$C7*1.5</f>
        <v>150</v>
      </c>
      <c r="AB7" s="86">
        <f>+Z7*Analisis!$J$6</f>
        <v>125</v>
      </c>
      <c r="AC7" s="100">
        <v>0</v>
      </c>
      <c r="AD7" s="85">
        <f t="shared" ref="AD7:AD81" si="24">30*AC7+AC7*$C7*1.5</f>
        <v>0</v>
      </c>
      <c r="AE7" s="86">
        <f>+AD7*Analisis!$J$7</f>
        <v>0</v>
      </c>
      <c r="AF7" s="86">
        <f t="shared" si="14"/>
        <v>792.1928790643276</v>
      </c>
      <c r="AG7" s="126">
        <f>+AF7/(1-Analisis!$E$9)</f>
        <v>990.24109883040944</v>
      </c>
      <c r="AH7" s="128">
        <f t="shared" si="15"/>
        <v>0</v>
      </c>
    </row>
    <row r="8" spans="1:35" s="73" customFormat="1" x14ac:dyDescent="0.25">
      <c r="A8" s="107">
        <v>2</v>
      </c>
      <c r="B8" t="s">
        <v>186</v>
      </c>
      <c r="C8" s="74">
        <f>IFERROR(VLOOKUP(B8,'REQ GALV'!A:B,2,0),0)</f>
        <v>0</v>
      </c>
      <c r="D8" s="116">
        <f t="shared" si="8"/>
        <v>936.25380350877174</v>
      </c>
      <c r="E8" s="4" t="s">
        <v>180</v>
      </c>
      <c r="F8" s="75" t="s">
        <v>147</v>
      </c>
      <c r="G8" s="90">
        <v>37.94</v>
      </c>
      <c r="H8" s="90">
        <v>13.03</v>
      </c>
      <c r="I8" s="76">
        <v>0.105</v>
      </c>
      <c r="J8" s="77">
        <v>28.24</v>
      </c>
      <c r="K8" s="78">
        <f t="shared" ref="K8:K10" si="25">+L8*2.2/J8</f>
        <v>28.456328556814608</v>
      </c>
      <c r="L8" s="58">
        <f>+VLOOKUP(E8,Material!$H$2:$M$17,6,FALSE)*G8*H8*(1+Material!$K$14)</f>
        <v>365.27578111111109</v>
      </c>
      <c r="M8" s="79" t="str">
        <f>+Analisis!$J$5</f>
        <v>T5.0</v>
      </c>
      <c r="N8" s="80">
        <f>+VLOOKUP(M8,Material!$A$3:$B$58,2,FALSE)</f>
        <v>5000</v>
      </c>
      <c r="O8" s="79" t="s">
        <v>42</v>
      </c>
      <c r="P8" s="79" t="s">
        <v>43</v>
      </c>
      <c r="Q8" s="81">
        <f>+IF(O8="ACERO A36",VLOOKUP(P8,'Velocidades Std 1500 w'!$B$2:$F$15,5,FALSE),IF(O8="INOXIDABLE",VLOOKUP(P8,'Velocidades Std 1500 w'!$B$17:$F$28,5,FALSE),IF(O8="ALUMINIO",VLOOKUP(P8,'Velocidades Std 1500 w'!$B$30:$F$38,5,FALSE))))</f>
        <v>4.3859649122807014E-6</v>
      </c>
      <c r="R8" s="82">
        <f t="shared" ref="R8:R10" si="26">+Q8*N8</f>
        <v>2.1929824561403508E-2</v>
      </c>
      <c r="S8" s="83">
        <f t="shared" ref="S8:S10" si="27">+Q8*T8*3600</f>
        <v>79.563628421052627</v>
      </c>
      <c r="T8" s="110">
        <f t="shared" ref="T8:T10" si="28">(+H8*2+G8*2+V8*1.5)*25.4*1.05</f>
        <v>5039.0298000000003</v>
      </c>
      <c r="U8" s="80">
        <f t="shared" ref="U8:U10" si="29">+T8*R8</f>
        <v>110.50503947368421</v>
      </c>
      <c r="V8" s="98">
        <v>58</v>
      </c>
      <c r="W8" s="84">
        <f>+IF(O8="ACERO A36",VLOOKUP(P8,'Tiempo Objeto'!$B$2:$C$12,2,FALSE),IF(O8="INOXIDABLE",VLOOKUP(P8,'Tiempo Objeto'!$B$14:$C$22,2,FALSE),IF(O8="ALUMINIO",VLOOKUP(P8,'Tiempo Objeto'!$B$24:$C$32,2,FALSE))))</f>
        <v>1.84</v>
      </c>
      <c r="X8" s="84">
        <f t="shared" ref="X8:X10" si="30">+W8*V8</f>
        <v>106.72</v>
      </c>
      <c r="Y8" s="80">
        <f t="shared" ref="Y8:Y10" si="31">+X8*N8/3600</f>
        <v>148.22222222222223</v>
      </c>
      <c r="Z8" s="100">
        <v>5</v>
      </c>
      <c r="AA8" s="85">
        <f t="shared" ref="AA8:AA10" si="32">30*Z8+Z8*$C8*1.5</f>
        <v>150</v>
      </c>
      <c r="AB8" s="86">
        <f>+Z8*Analisis!$J$6</f>
        <v>125</v>
      </c>
      <c r="AC8" s="100">
        <v>0</v>
      </c>
      <c r="AD8" s="85">
        <f t="shared" ref="AD8:AD10" si="33">30*AC8+AC8*$C8*1.5</f>
        <v>0</v>
      </c>
      <c r="AE8" s="86">
        <f>+AD8*Analisis!$J$7</f>
        <v>0</v>
      </c>
      <c r="AF8" s="86">
        <f t="shared" si="14"/>
        <v>749.00304280701744</v>
      </c>
      <c r="AG8" s="126">
        <f>+AF8/(1-Analisis!$E$9)</f>
        <v>936.25380350877174</v>
      </c>
      <c r="AH8" s="128">
        <f t="shared" si="15"/>
        <v>0</v>
      </c>
    </row>
    <row r="9" spans="1:35" s="73" customFormat="1" x14ac:dyDescent="0.25">
      <c r="A9" s="107">
        <v>2</v>
      </c>
      <c r="B9" t="s">
        <v>144</v>
      </c>
      <c r="C9" s="74">
        <f>IFERROR(VLOOKUP(B9,'REQ GALV'!A:B,2,0),0)</f>
        <v>0</v>
      </c>
      <c r="D9" s="116">
        <f t="shared" si="8"/>
        <v>963.24745116959059</v>
      </c>
      <c r="E9" s="4" t="s">
        <v>180</v>
      </c>
      <c r="F9" s="75" t="s">
        <v>147</v>
      </c>
      <c r="G9" s="90">
        <v>39.94</v>
      </c>
      <c r="H9" s="90">
        <v>13.03</v>
      </c>
      <c r="I9" s="76">
        <v>0.105</v>
      </c>
      <c r="J9" s="77">
        <v>28.24</v>
      </c>
      <c r="K9" s="78">
        <f t="shared" si="25"/>
        <v>29.956398591438468</v>
      </c>
      <c r="L9" s="58">
        <f>+VLOOKUP(E9,Material!$H$2:$M$17,6,FALSE)*G9*H9*(1+Material!$K$14)</f>
        <v>384.53122555555558</v>
      </c>
      <c r="M9" s="79" t="str">
        <f>+Analisis!$J$5</f>
        <v>T5.0</v>
      </c>
      <c r="N9" s="80">
        <f>+VLOOKUP(M9,Material!$A$3:$B$58,2,FALSE)</f>
        <v>5000</v>
      </c>
      <c r="O9" s="79" t="s">
        <v>42</v>
      </c>
      <c r="P9" s="79" t="s">
        <v>43</v>
      </c>
      <c r="Q9" s="81">
        <f>+IF(O9="ACERO A36",VLOOKUP(P9,'Velocidades Std 1500 w'!$B$2:$F$15,5,FALSE),IF(O9="INOXIDABLE",VLOOKUP(P9,'Velocidades Std 1500 w'!$B$17:$F$28,5,FALSE),IF(O9="ALUMINIO",VLOOKUP(P9,'Velocidades Std 1500 w'!$B$30:$F$38,5,FALSE))))</f>
        <v>4.3859649122807014E-6</v>
      </c>
      <c r="R9" s="82">
        <f t="shared" si="26"/>
        <v>2.1929824561403508E-2</v>
      </c>
      <c r="S9" s="83">
        <f t="shared" si="27"/>
        <v>81.248049473684191</v>
      </c>
      <c r="T9" s="110">
        <f t="shared" si="28"/>
        <v>5145.7097999999996</v>
      </c>
      <c r="U9" s="80">
        <f t="shared" si="29"/>
        <v>112.84451315789472</v>
      </c>
      <c r="V9" s="98">
        <v>58</v>
      </c>
      <c r="W9" s="84">
        <f>+IF(O9="ACERO A36",VLOOKUP(P9,'Tiempo Objeto'!$B$2:$C$12,2,FALSE),IF(O9="INOXIDABLE",VLOOKUP(P9,'Tiempo Objeto'!$B$14:$C$22,2,FALSE),IF(O9="ALUMINIO",VLOOKUP(P9,'Tiempo Objeto'!$B$24:$C$32,2,FALSE))))</f>
        <v>1.84</v>
      </c>
      <c r="X9" s="84">
        <f t="shared" si="30"/>
        <v>106.72</v>
      </c>
      <c r="Y9" s="80">
        <f t="shared" si="31"/>
        <v>148.22222222222223</v>
      </c>
      <c r="Z9" s="100">
        <v>5</v>
      </c>
      <c r="AA9" s="85">
        <f t="shared" si="32"/>
        <v>150</v>
      </c>
      <c r="AB9" s="86">
        <f>+Z9*Analisis!$J$6</f>
        <v>125</v>
      </c>
      <c r="AC9" s="100">
        <v>0</v>
      </c>
      <c r="AD9" s="85">
        <f t="shared" si="33"/>
        <v>0</v>
      </c>
      <c r="AE9" s="86">
        <f>+AD9*Analisis!$J$7</f>
        <v>0</v>
      </c>
      <c r="AF9" s="86">
        <f t="shared" si="14"/>
        <v>770.59796093567252</v>
      </c>
      <c r="AG9" s="126">
        <f>+AF9/(1-Analisis!$E$9)</f>
        <v>963.24745116959059</v>
      </c>
      <c r="AH9" s="128">
        <f t="shared" si="15"/>
        <v>0</v>
      </c>
    </row>
    <row r="10" spans="1:35" s="73" customFormat="1" x14ac:dyDescent="0.25">
      <c r="A10" s="107">
        <v>2</v>
      </c>
      <c r="B10" t="s">
        <v>208</v>
      </c>
      <c r="C10" s="74">
        <f>IFERROR(VLOOKUP(B10,'REQ GALV'!A:B,2,0),0)</f>
        <v>0</v>
      </c>
      <c r="D10" s="116">
        <f t="shared" si="8"/>
        <v>1044.2283941520468</v>
      </c>
      <c r="E10" s="4" t="s">
        <v>180</v>
      </c>
      <c r="F10" s="75" t="s">
        <v>147</v>
      </c>
      <c r="G10" s="90">
        <v>45.94</v>
      </c>
      <c r="H10" s="90">
        <v>13.03</v>
      </c>
      <c r="I10" s="76">
        <v>0.105</v>
      </c>
      <c r="J10" s="77">
        <v>28.24</v>
      </c>
      <c r="K10" s="78">
        <f t="shared" si="25"/>
        <v>34.456608695310045</v>
      </c>
      <c r="L10" s="58">
        <f>+VLOOKUP(E10,Material!$H$2:$M$17,6,FALSE)*G10*H10*(1+Material!$K$14)</f>
        <v>442.29755888888894</v>
      </c>
      <c r="M10" s="79" t="str">
        <f>+Analisis!$J$5</f>
        <v>T5.0</v>
      </c>
      <c r="N10" s="80">
        <f>+VLOOKUP(M10,Material!$A$3:$B$58,2,FALSE)</f>
        <v>5000</v>
      </c>
      <c r="O10" s="79" t="s">
        <v>42</v>
      </c>
      <c r="P10" s="79" t="s">
        <v>43</v>
      </c>
      <c r="Q10" s="81">
        <f>+IF(O10="ACERO A36",VLOOKUP(P10,'Velocidades Std 1500 w'!$B$2:$F$15,5,FALSE),IF(O10="INOXIDABLE",VLOOKUP(P10,'Velocidades Std 1500 w'!$B$17:$F$28,5,FALSE),IF(O10="ALUMINIO",VLOOKUP(P10,'Velocidades Std 1500 w'!$B$30:$F$38,5,FALSE))))</f>
        <v>4.3859649122807014E-6</v>
      </c>
      <c r="R10" s="82">
        <f t="shared" si="26"/>
        <v>2.1929824561403508E-2</v>
      </c>
      <c r="S10" s="83">
        <f t="shared" si="27"/>
        <v>86.301312631578938</v>
      </c>
      <c r="T10" s="110">
        <f t="shared" si="28"/>
        <v>5465.7497999999996</v>
      </c>
      <c r="U10" s="80">
        <f t="shared" si="29"/>
        <v>119.8629342105263</v>
      </c>
      <c r="V10" s="98">
        <v>58</v>
      </c>
      <c r="W10" s="84">
        <f>+IF(O10="ACERO A36",VLOOKUP(P10,'Tiempo Objeto'!$B$2:$C$12,2,FALSE),IF(O10="INOXIDABLE",VLOOKUP(P10,'Tiempo Objeto'!$B$14:$C$22,2,FALSE),IF(O10="ALUMINIO",VLOOKUP(P10,'Tiempo Objeto'!$B$24:$C$32,2,FALSE))))</f>
        <v>1.84</v>
      </c>
      <c r="X10" s="84">
        <f t="shared" si="30"/>
        <v>106.72</v>
      </c>
      <c r="Y10" s="80">
        <f t="shared" si="31"/>
        <v>148.22222222222223</v>
      </c>
      <c r="Z10" s="100">
        <v>5</v>
      </c>
      <c r="AA10" s="85">
        <f t="shared" si="32"/>
        <v>150</v>
      </c>
      <c r="AB10" s="86">
        <f>+Z10*Analisis!$J$6</f>
        <v>125</v>
      </c>
      <c r="AC10" s="100">
        <v>0</v>
      </c>
      <c r="AD10" s="85">
        <f t="shared" si="33"/>
        <v>0</v>
      </c>
      <c r="AE10" s="86">
        <f>+AD10*Analisis!$J$7</f>
        <v>0</v>
      </c>
      <c r="AF10" s="86">
        <f t="shared" si="14"/>
        <v>835.38271532163753</v>
      </c>
      <c r="AG10" s="126">
        <f>+AF10/(1-Analisis!$E$9)</f>
        <v>1044.2283941520468</v>
      </c>
      <c r="AH10" s="128">
        <f t="shared" si="15"/>
        <v>0</v>
      </c>
    </row>
    <row r="11" spans="1:35" s="73" customFormat="1" x14ac:dyDescent="0.25">
      <c r="A11" s="107">
        <v>3</v>
      </c>
      <c r="B11" t="s">
        <v>138</v>
      </c>
      <c r="C11" s="74">
        <f>IFERROR(VLOOKUP(B11,'REQ GALV'!A:B,2,0),0)</f>
        <v>0</v>
      </c>
      <c r="D11" s="116">
        <f t="shared" si="8"/>
        <v>260.30032609649123</v>
      </c>
      <c r="E11" s="4" t="s">
        <v>180</v>
      </c>
      <c r="F11" s="75" t="s">
        <v>147</v>
      </c>
      <c r="G11" s="90">
        <v>2.69</v>
      </c>
      <c r="H11" s="90">
        <v>21.94</v>
      </c>
      <c r="I11" s="76">
        <v>0.105</v>
      </c>
      <c r="J11" s="77">
        <v>28.24</v>
      </c>
      <c r="K11" s="78">
        <f t="shared" si="16"/>
        <v>3.3972384246144172</v>
      </c>
      <c r="L11" s="58">
        <f>+VLOOKUP(E11,Material!$H$2:$M$17,6,FALSE)*G11*H11*(1+Material!$K$14)</f>
        <v>43.608187777777786</v>
      </c>
      <c r="M11" s="79" t="str">
        <f>+Analisis!$J$5</f>
        <v>T5.0</v>
      </c>
      <c r="N11" s="80">
        <f>+VLOOKUP(M11,Material!$A$3:$B$58,2,FALSE)</f>
        <v>5000</v>
      </c>
      <c r="O11" s="79" t="s">
        <v>42</v>
      </c>
      <c r="P11" s="79" t="s">
        <v>43</v>
      </c>
      <c r="Q11" s="81">
        <f>+IF(O11="ACERO A36",VLOOKUP(P11,'Velocidades Std 1500 w'!$B$2:$F$15,5,FALSE),IF(O11="INOXIDABLE",VLOOKUP(P11,'Velocidades Std 1500 w'!$B$17:$F$28,5,FALSE),IF(O11="ALUMINIO",VLOOKUP(P11,'Velocidades Std 1500 w'!$B$30:$F$38,5,FALSE))))</f>
        <v>4.3859649122807014E-6</v>
      </c>
      <c r="R11" s="82">
        <f t="shared" si="17"/>
        <v>2.1929824561403508E-2</v>
      </c>
      <c r="S11" s="83">
        <f t="shared" si="18"/>
        <v>36.535092631578948</v>
      </c>
      <c r="T11" s="110">
        <f t="shared" si="19"/>
        <v>2313.8892000000001</v>
      </c>
      <c r="U11" s="80">
        <f t="shared" si="20"/>
        <v>50.743184210526316</v>
      </c>
      <c r="V11" s="98">
        <v>25</v>
      </c>
      <c r="W11" s="84">
        <f>+IF(O11="ACERO A36",VLOOKUP(P11,'Tiempo Objeto'!$B$2:$C$12,2,FALSE),IF(O11="INOXIDABLE",VLOOKUP(P11,'Tiempo Objeto'!$B$14:$C$22,2,FALSE),IF(O11="ALUMINIO",VLOOKUP(P11,'Tiempo Objeto'!$B$24:$C$32,2,FALSE))))</f>
        <v>1.84</v>
      </c>
      <c r="X11" s="84">
        <f t="shared" si="21"/>
        <v>46</v>
      </c>
      <c r="Y11" s="80">
        <f t="shared" si="22"/>
        <v>63.888888888888886</v>
      </c>
      <c r="Z11" s="100">
        <v>2</v>
      </c>
      <c r="AA11" s="85">
        <f t="shared" si="23"/>
        <v>60</v>
      </c>
      <c r="AB11" s="86">
        <f>+Z11*Analisis!$J$6</f>
        <v>50</v>
      </c>
      <c r="AC11" s="100">
        <v>0</v>
      </c>
      <c r="AD11" s="85">
        <f t="shared" si="24"/>
        <v>0</v>
      </c>
      <c r="AE11" s="86">
        <f>+AD11*Analisis!$J$7</f>
        <v>0</v>
      </c>
      <c r="AF11" s="86">
        <f t="shared" si="14"/>
        <v>208.24026087719298</v>
      </c>
      <c r="AG11" s="126">
        <f>+AF11/(1-Analisis!$E$9)</f>
        <v>260.30032609649123</v>
      </c>
      <c r="AH11" s="128">
        <f t="shared" si="15"/>
        <v>0</v>
      </c>
    </row>
    <row r="12" spans="1:35" s="73" customFormat="1" x14ac:dyDescent="0.25">
      <c r="A12" s="107">
        <v>3</v>
      </c>
      <c r="B12" t="s">
        <v>139</v>
      </c>
      <c r="C12" s="74">
        <f>IFERROR(VLOOKUP(B12,'REQ GALV'!A:B,2,0),0)</f>
        <v>0</v>
      </c>
      <c r="D12" s="116">
        <f t="shared" si="8"/>
        <v>299.76717551169588</v>
      </c>
      <c r="E12" s="4" t="s">
        <v>180</v>
      </c>
      <c r="F12" s="75" t="s">
        <v>147</v>
      </c>
      <c r="G12" s="90">
        <v>2.69</v>
      </c>
      <c r="H12" s="90">
        <v>31.94</v>
      </c>
      <c r="I12" s="76">
        <v>0.105</v>
      </c>
      <c r="J12" s="77">
        <v>28.24</v>
      </c>
      <c r="K12" s="78">
        <f t="shared" ref="K12:K16" si="34">+L12*2.2/J12</f>
        <v>4.9456606783128745</v>
      </c>
      <c r="L12" s="58">
        <f>+VLOOKUP(E12,Material!$H$2:$M$17,6,FALSE)*G12*H12*(1+Material!$K$14)</f>
        <v>63.484298888888894</v>
      </c>
      <c r="M12" s="79" t="str">
        <f>+Analisis!$J$5</f>
        <v>T5.0</v>
      </c>
      <c r="N12" s="80">
        <f>+VLOOKUP(M12,Material!$A$3:$B$58,2,FALSE)</f>
        <v>5000</v>
      </c>
      <c r="O12" s="79" t="s">
        <v>42</v>
      </c>
      <c r="P12" s="79" t="s">
        <v>43</v>
      </c>
      <c r="Q12" s="81">
        <f>+IF(O12="ACERO A36",VLOOKUP(P12,'Velocidades Std 1500 w'!$B$2:$F$15,5,FALSE),IF(O12="INOXIDABLE",VLOOKUP(P12,'Velocidades Std 1500 w'!$B$17:$F$28,5,FALSE),IF(O12="ALUMINIO",VLOOKUP(P12,'Velocidades Std 1500 w'!$B$30:$F$38,5,FALSE))))</f>
        <v>4.3859649122807014E-6</v>
      </c>
      <c r="R12" s="82">
        <f t="shared" ref="R12:R16" si="35">+Q12*N12</f>
        <v>2.1929824561403508E-2</v>
      </c>
      <c r="S12" s="83">
        <f t="shared" ref="S12:S16" si="36">+Q12*T12*3600</f>
        <v>44.957197894736844</v>
      </c>
      <c r="T12" s="110">
        <f t="shared" ref="T12:T16" si="37">(+H12*2+G12*2+V12*1.5)*25.4*1.05</f>
        <v>2847.2892000000002</v>
      </c>
      <c r="U12" s="80">
        <f t="shared" ref="U12:U16" si="38">+T12*R12</f>
        <v>62.440552631578946</v>
      </c>
      <c r="V12" s="98">
        <v>25</v>
      </c>
      <c r="W12" s="84">
        <f>+IF(O12="ACERO A36",VLOOKUP(P12,'Tiempo Objeto'!$B$2:$C$12,2,FALSE),IF(O12="INOXIDABLE",VLOOKUP(P12,'Tiempo Objeto'!$B$14:$C$22,2,FALSE),IF(O12="ALUMINIO",VLOOKUP(P12,'Tiempo Objeto'!$B$24:$C$32,2,FALSE))))</f>
        <v>1.84</v>
      </c>
      <c r="X12" s="84">
        <f t="shared" ref="X12:X16" si="39">+W12*V12</f>
        <v>46</v>
      </c>
      <c r="Y12" s="80">
        <f t="shared" ref="Y12:Y16" si="40">+X12*N12/3600</f>
        <v>63.888888888888886</v>
      </c>
      <c r="Z12" s="100">
        <v>2</v>
      </c>
      <c r="AA12" s="85">
        <f t="shared" ref="AA12:AA16" si="41">30*Z12+Z12*$C12*1.5</f>
        <v>60</v>
      </c>
      <c r="AB12" s="86">
        <f>+Z12*Analisis!$J$6</f>
        <v>50</v>
      </c>
      <c r="AC12" s="100">
        <v>0</v>
      </c>
      <c r="AD12" s="85">
        <f t="shared" ref="AD12:AD16" si="42">30*AC12+AC12*$C12*1.5</f>
        <v>0</v>
      </c>
      <c r="AE12" s="86">
        <f>+AD12*Analisis!$J$7</f>
        <v>0</v>
      </c>
      <c r="AF12" s="86">
        <f t="shared" si="14"/>
        <v>239.81374040935674</v>
      </c>
      <c r="AG12" s="126">
        <f>+AF12/(1-Analisis!$E$9)</f>
        <v>299.76717551169588</v>
      </c>
      <c r="AH12" s="128">
        <f t="shared" si="15"/>
        <v>0</v>
      </c>
    </row>
    <row r="13" spans="1:35" s="73" customFormat="1" x14ac:dyDescent="0.25">
      <c r="A13" s="107">
        <v>3</v>
      </c>
      <c r="B13" t="s">
        <v>209</v>
      </c>
      <c r="C13" s="74">
        <f>IFERROR(VLOOKUP(B13,'REQ GALV'!A:B,2,0),0)</f>
        <v>0</v>
      </c>
      <c r="D13" s="116">
        <f t="shared" si="8"/>
        <v>339.23402492690059</v>
      </c>
      <c r="E13" s="4" t="s">
        <v>180</v>
      </c>
      <c r="F13" s="75" t="s">
        <v>147</v>
      </c>
      <c r="G13" s="90">
        <v>2.69</v>
      </c>
      <c r="H13" s="90">
        <v>41.94</v>
      </c>
      <c r="I13" s="76">
        <v>0.105</v>
      </c>
      <c r="J13" s="77">
        <v>28.24</v>
      </c>
      <c r="K13" s="78">
        <f t="shared" si="34"/>
        <v>6.4940829320113327</v>
      </c>
      <c r="L13" s="58">
        <f>+VLOOKUP(E13,Material!$H$2:$M$17,6,FALSE)*G13*H13*(1+Material!$K$14)</f>
        <v>83.360410000000002</v>
      </c>
      <c r="M13" s="79" t="str">
        <f>+Analisis!$J$5</f>
        <v>T5.0</v>
      </c>
      <c r="N13" s="80">
        <f>+VLOOKUP(M13,Material!$A$3:$B$58,2,FALSE)</f>
        <v>5000</v>
      </c>
      <c r="O13" s="79" t="s">
        <v>42</v>
      </c>
      <c r="P13" s="79" t="s">
        <v>43</v>
      </c>
      <c r="Q13" s="81">
        <f>+IF(O13="ACERO A36",VLOOKUP(P13,'Velocidades Std 1500 w'!$B$2:$F$15,5,FALSE),IF(O13="INOXIDABLE",VLOOKUP(P13,'Velocidades Std 1500 w'!$B$17:$F$28,5,FALSE),IF(O13="ALUMINIO",VLOOKUP(P13,'Velocidades Std 1500 w'!$B$30:$F$38,5,FALSE))))</f>
        <v>4.3859649122807014E-6</v>
      </c>
      <c r="R13" s="82">
        <f t="shared" si="35"/>
        <v>2.1929824561403508E-2</v>
      </c>
      <c r="S13" s="83">
        <f t="shared" si="36"/>
        <v>53.379303157894725</v>
      </c>
      <c r="T13" s="110">
        <f t="shared" si="37"/>
        <v>3380.6891999999998</v>
      </c>
      <c r="U13" s="80">
        <f t="shared" si="38"/>
        <v>74.137921052631569</v>
      </c>
      <c r="V13" s="98">
        <v>25</v>
      </c>
      <c r="W13" s="84">
        <f>+IF(O13="ACERO A36",VLOOKUP(P13,'Tiempo Objeto'!$B$2:$C$12,2,FALSE),IF(O13="INOXIDABLE",VLOOKUP(P13,'Tiempo Objeto'!$B$14:$C$22,2,FALSE),IF(O13="ALUMINIO",VLOOKUP(P13,'Tiempo Objeto'!$B$24:$C$32,2,FALSE))))</f>
        <v>1.84</v>
      </c>
      <c r="X13" s="84">
        <f t="shared" si="39"/>
        <v>46</v>
      </c>
      <c r="Y13" s="80">
        <f t="shared" si="40"/>
        <v>63.888888888888886</v>
      </c>
      <c r="Z13" s="100">
        <v>2</v>
      </c>
      <c r="AA13" s="85">
        <f t="shared" si="41"/>
        <v>60</v>
      </c>
      <c r="AB13" s="86">
        <f>+Z13*Analisis!$J$6</f>
        <v>50</v>
      </c>
      <c r="AC13" s="100">
        <v>0</v>
      </c>
      <c r="AD13" s="85">
        <f t="shared" si="42"/>
        <v>0</v>
      </c>
      <c r="AE13" s="86">
        <f>+AD13*Analisis!$J$7</f>
        <v>0</v>
      </c>
      <c r="AF13" s="86">
        <f t="shared" si="14"/>
        <v>271.38721994152047</v>
      </c>
      <c r="AG13" s="126">
        <f>+AF13/(1-Analisis!$E$9)</f>
        <v>339.23402492690059</v>
      </c>
      <c r="AH13" s="128">
        <f t="shared" si="15"/>
        <v>0</v>
      </c>
    </row>
    <row r="14" spans="1:35" s="73" customFormat="1" x14ac:dyDescent="0.25">
      <c r="A14" s="107">
        <v>3</v>
      </c>
      <c r="B14" t="s">
        <v>187</v>
      </c>
      <c r="C14" s="74">
        <f>IFERROR(VLOOKUP(B14,'REQ GALV'!A:B,2,0),0)</f>
        <v>0</v>
      </c>
      <c r="D14" s="116">
        <f t="shared" si="8"/>
        <v>323.44728516081869</v>
      </c>
      <c r="E14" s="4" t="s">
        <v>180</v>
      </c>
      <c r="F14" s="75" t="s">
        <v>147</v>
      </c>
      <c r="G14" s="90">
        <v>2.69</v>
      </c>
      <c r="H14" s="90">
        <v>37.94</v>
      </c>
      <c r="I14" s="76">
        <v>0.105</v>
      </c>
      <c r="J14" s="77">
        <v>28.24</v>
      </c>
      <c r="K14" s="78">
        <f t="shared" si="34"/>
        <v>5.8747140305319494</v>
      </c>
      <c r="L14" s="58">
        <f>+VLOOKUP(E14,Material!$H$2:$M$17,6,FALSE)*G14*H14*(1+Material!$K$14)</f>
        <v>75.409965555555559</v>
      </c>
      <c r="M14" s="79" t="str">
        <f>+Analisis!$J$5</f>
        <v>T5.0</v>
      </c>
      <c r="N14" s="80">
        <f>+VLOOKUP(M14,Material!$A$3:$B$58,2,FALSE)</f>
        <v>5000</v>
      </c>
      <c r="O14" s="79" t="s">
        <v>42</v>
      </c>
      <c r="P14" s="79" t="s">
        <v>43</v>
      </c>
      <c r="Q14" s="81">
        <f>+IF(O14="ACERO A36",VLOOKUP(P14,'Velocidades Std 1500 w'!$B$2:$F$15,5,FALSE),IF(O14="INOXIDABLE",VLOOKUP(P14,'Velocidades Std 1500 w'!$B$17:$F$28,5,FALSE),IF(O14="ALUMINIO",VLOOKUP(P14,'Velocidades Std 1500 w'!$B$30:$F$38,5,FALSE))))</f>
        <v>4.3859649122807014E-6</v>
      </c>
      <c r="R14" s="82">
        <f t="shared" si="35"/>
        <v>2.1929824561403508E-2</v>
      </c>
      <c r="S14" s="83">
        <f t="shared" si="36"/>
        <v>50.010461052631577</v>
      </c>
      <c r="T14" s="110">
        <f t="shared" si="37"/>
        <v>3167.3291999999997</v>
      </c>
      <c r="U14" s="80">
        <f t="shared" si="38"/>
        <v>69.45897368421052</v>
      </c>
      <c r="V14" s="98">
        <v>25</v>
      </c>
      <c r="W14" s="84">
        <f>+IF(O14="ACERO A36",VLOOKUP(P14,'Tiempo Objeto'!$B$2:$C$12,2,FALSE),IF(O14="INOXIDABLE",VLOOKUP(P14,'Tiempo Objeto'!$B$14:$C$22,2,FALSE),IF(O14="ALUMINIO",VLOOKUP(P14,'Tiempo Objeto'!$B$24:$C$32,2,FALSE))))</f>
        <v>1.84</v>
      </c>
      <c r="X14" s="84">
        <f t="shared" si="39"/>
        <v>46</v>
      </c>
      <c r="Y14" s="80">
        <f t="shared" si="40"/>
        <v>63.888888888888886</v>
      </c>
      <c r="Z14" s="100">
        <v>2</v>
      </c>
      <c r="AA14" s="85">
        <f t="shared" si="41"/>
        <v>60</v>
      </c>
      <c r="AB14" s="86">
        <f>+Z14*Analisis!$J$6</f>
        <v>50</v>
      </c>
      <c r="AC14" s="100">
        <v>0</v>
      </c>
      <c r="AD14" s="85">
        <f t="shared" si="42"/>
        <v>0</v>
      </c>
      <c r="AE14" s="86">
        <f>+AD14*Analisis!$J$7</f>
        <v>0</v>
      </c>
      <c r="AF14" s="86">
        <f t="shared" si="14"/>
        <v>258.75782812865498</v>
      </c>
      <c r="AG14" s="126">
        <f>+AF14/(1-Analisis!$E$9)</f>
        <v>323.44728516081869</v>
      </c>
      <c r="AH14" s="128">
        <f t="shared" si="15"/>
        <v>0</v>
      </c>
    </row>
    <row r="15" spans="1:35" s="73" customFormat="1" x14ac:dyDescent="0.25">
      <c r="A15" s="107">
        <v>3</v>
      </c>
      <c r="B15" t="s">
        <v>140</v>
      </c>
      <c r="C15" s="74">
        <f>IFERROR(VLOOKUP(B15,'REQ GALV'!A:B,2,0),0)</f>
        <v>0</v>
      </c>
      <c r="D15" s="116">
        <f t="shared" si="8"/>
        <v>331.34065504385956</v>
      </c>
      <c r="E15" s="4" t="s">
        <v>180</v>
      </c>
      <c r="F15" s="75" t="s">
        <v>147</v>
      </c>
      <c r="G15" s="90">
        <v>2.69</v>
      </c>
      <c r="H15" s="90">
        <v>39.94</v>
      </c>
      <c r="I15" s="76">
        <v>0.105</v>
      </c>
      <c r="J15" s="77">
        <v>28.24</v>
      </c>
      <c r="K15" s="78">
        <f t="shared" si="34"/>
        <v>6.1843984812716402</v>
      </c>
      <c r="L15" s="58">
        <f>+VLOOKUP(E15,Material!$H$2:$M$17,6,FALSE)*G15*H15*(1+Material!$K$14)</f>
        <v>79.385187777777773</v>
      </c>
      <c r="M15" s="79" t="str">
        <f>+Analisis!$J$5</f>
        <v>T5.0</v>
      </c>
      <c r="N15" s="80">
        <f>+VLOOKUP(M15,Material!$A$3:$B$58,2,FALSE)</f>
        <v>5000</v>
      </c>
      <c r="O15" s="79" t="s">
        <v>42</v>
      </c>
      <c r="P15" s="79" t="s">
        <v>43</v>
      </c>
      <c r="Q15" s="81">
        <f>+IF(O15="ACERO A36",VLOOKUP(P15,'Velocidades Std 1500 w'!$B$2:$F$15,5,FALSE),IF(O15="INOXIDABLE",VLOOKUP(P15,'Velocidades Std 1500 w'!$B$17:$F$28,5,FALSE),IF(O15="ALUMINIO",VLOOKUP(P15,'Velocidades Std 1500 w'!$B$30:$F$38,5,FALSE))))</f>
        <v>4.3859649122807014E-6</v>
      </c>
      <c r="R15" s="82">
        <f t="shared" si="35"/>
        <v>2.1929824561403508E-2</v>
      </c>
      <c r="S15" s="83">
        <f t="shared" si="36"/>
        <v>51.694882105263154</v>
      </c>
      <c r="T15" s="110">
        <f t="shared" si="37"/>
        <v>3274.0092</v>
      </c>
      <c r="U15" s="80">
        <f t="shared" si="38"/>
        <v>71.798447368421051</v>
      </c>
      <c r="V15" s="98">
        <v>25</v>
      </c>
      <c r="W15" s="84">
        <f>+IF(O15="ACERO A36",VLOOKUP(P15,'Tiempo Objeto'!$B$2:$C$12,2,FALSE),IF(O15="INOXIDABLE",VLOOKUP(P15,'Tiempo Objeto'!$B$14:$C$22,2,FALSE),IF(O15="ALUMINIO",VLOOKUP(P15,'Tiempo Objeto'!$B$24:$C$32,2,FALSE))))</f>
        <v>1.84</v>
      </c>
      <c r="X15" s="84">
        <f t="shared" si="39"/>
        <v>46</v>
      </c>
      <c r="Y15" s="80">
        <f t="shared" si="40"/>
        <v>63.888888888888886</v>
      </c>
      <c r="Z15" s="100">
        <v>2</v>
      </c>
      <c r="AA15" s="85">
        <f t="shared" si="41"/>
        <v>60</v>
      </c>
      <c r="AB15" s="86">
        <f>+Z15*Analisis!$J$6</f>
        <v>50</v>
      </c>
      <c r="AC15" s="100">
        <v>0</v>
      </c>
      <c r="AD15" s="85">
        <f t="shared" si="42"/>
        <v>0</v>
      </c>
      <c r="AE15" s="86">
        <f>+AD15*Analisis!$J$7</f>
        <v>0</v>
      </c>
      <c r="AF15" s="86">
        <f t="shared" si="14"/>
        <v>265.07252403508767</v>
      </c>
      <c r="AG15" s="126">
        <f>+AF15/(1-Analisis!$E$9)</f>
        <v>331.34065504385956</v>
      </c>
      <c r="AH15" s="128">
        <f t="shared" si="15"/>
        <v>0</v>
      </c>
    </row>
    <row r="16" spans="1:35" s="73" customFormat="1" x14ac:dyDescent="0.25">
      <c r="A16" s="107">
        <v>3</v>
      </c>
      <c r="B16" t="s">
        <v>210</v>
      </c>
      <c r="C16" s="74">
        <f>IFERROR(VLOOKUP(B16,'REQ GALV'!A:B,2,0),0)</f>
        <v>0</v>
      </c>
      <c r="D16" s="116">
        <f t="shared" si="8"/>
        <v>355.02076469298243</v>
      </c>
      <c r="E16" s="4" t="s">
        <v>180</v>
      </c>
      <c r="F16" s="75" t="s">
        <v>147</v>
      </c>
      <c r="G16" s="90">
        <v>2.69</v>
      </c>
      <c r="H16" s="90">
        <v>45.94</v>
      </c>
      <c r="I16" s="76">
        <v>0.105</v>
      </c>
      <c r="J16" s="77">
        <v>28.24</v>
      </c>
      <c r="K16" s="78">
        <f t="shared" si="34"/>
        <v>7.1134518334907169</v>
      </c>
      <c r="L16" s="58">
        <f>+VLOOKUP(E16,Material!$H$2:$M$17,6,FALSE)*G16*H16*(1+Material!$K$14)</f>
        <v>91.310854444444459</v>
      </c>
      <c r="M16" s="79" t="str">
        <f>+Analisis!$J$5</f>
        <v>T5.0</v>
      </c>
      <c r="N16" s="80">
        <f>+VLOOKUP(M16,Material!$A$3:$B$58,2,FALSE)</f>
        <v>5000</v>
      </c>
      <c r="O16" s="79" t="s">
        <v>42</v>
      </c>
      <c r="P16" s="79" t="s">
        <v>43</v>
      </c>
      <c r="Q16" s="81">
        <f>+IF(O16="ACERO A36",VLOOKUP(P16,'Velocidades Std 1500 w'!$B$2:$F$15,5,FALSE),IF(O16="INOXIDABLE",VLOOKUP(P16,'Velocidades Std 1500 w'!$B$17:$F$28,5,FALSE),IF(O16="ALUMINIO",VLOOKUP(P16,'Velocidades Std 1500 w'!$B$30:$F$38,5,FALSE))))</f>
        <v>4.3859649122807014E-6</v>
      </c>
      <c r="R16" s="82">
        <f t="shared" si="35"/>
        <v>2.1929824561403508E-2</v>
      </c>
      <c r="S16" s="83">
        <f t="shared" si="36"/>
        <v>56.74814526315788</v>
      </c>
      <c r="T16" s="110">
        <f t="shared" si="37"/>
        <v>3594.0491999999995</v>
      </c>
      <c r="U16" s="80">
        <f t="shared" si="38"/>
        <v>78.816868421052618</v>
      </c>
      <c r="V16" s="98">
        <v>25</v>
      </c>
      <c r="W16" s="84">
        <f>+IF(O16="ACERO A36",VLOOKUP(P16,'Tiempo Objeto'!$B$2:$C$12,2,FALSE),IF(O16="INOXIDABLE",VLOOKUP(P16,'Tiempo Objeto'!$B$14:$C$22,2,FALSE),IF(O16="ALUMINIO",VLOOKUP(P16,'Tiempo Objeto'!$B$24:$C$32,2,FALSE))))</f>
        <v>1.84</v>
      </c>
      <c r="X16" s="84">
        <f t="shared" si="39"/>
        <v>46</v>
      </c>
      <c r="Y16" s="80">
        <f t="shared" si="40"/>
        <v>63.888888888888886</v>
      </c>
      <c r="Z16" s="100">
        <v>2</v>
      </c>
      <c r="AA16" s="85">
        <f t="shared" si="41"/>
        <v>60</v>
      </c>
      <c r="AB16" s="86">
        <f>+Z16*Analisis!$J$6</f>
        <v>50</v>
      </c>
      <c r="AC16" s="100">
        <v>0</v>
      </c>
      <c r="AD16" s="85">
        <f t="shared" si="42"/>
        <v>0</v>
      </c>
      <c r="AE16" s="86">
        <f>+AD16*Analisis!$J$7</f>
        <v>0</v>
      </c>
      <c r="AF16" s="86">
        <f t="shared" si="14"/>
        <v>284.01661175438596</v>
      </c>
      <c r="AG16" s="126">
        <f>+AF16/(1-Analisis!$E$9)</f>
        <v>355.02076469298243</v>
      </c>
      <c r="AH16" s="128">
        <f t="shared" si="15"/>
        <v>0</v>
      </c>
    </row>
    <row r="17" spans="1:34" s="73" customFormat="1" x14ac:dyDescent="0.25">
      <c r="A17" s="106">
        <v>4</v>
      </c>
      <c r="B17" t="s">
        <v>188</v>
      </c>
      <c r="C17" s="74">
        <f>IFERROR(VLOOKUP(B17,'REQ GALV'!A:B,2,0),0)</f>
        <v>0</v>
      </c>
      <c r="D17" s="116">
        <f t="shared" si="8"/>
        <v>716.67717894736836</v>
      </c>
      <c r="E17" s="4" t="s">
        <v>180</v>
      </c>
      <c r="F17" s="75" t="s">
        <v>147</v>
      </c>
      <c r="G17" s="90">
        <v>5.32</v>
      </c>
      <c r="H17" s="90">
        <v>87.44</v>
      </c>
      <c r="I17" s="76">
        <v>0.105</v>
      </c>
      <c r="J17" s="77">
        <v>28.24</v>
      </c>
      <c r="K17" s="78">
        <f t="shared" si="16"/>
        <v>26.776814227258427</v>
      </c>
      <c r="L17" s="58">
        <f>+VLOOKUP(E17,Material!$H$2:$M$17,6,FALSE)*G17*H17*(1+Material!$K$14)</f>
        <v>343.71692444444449</v>
      </c>
      <c r="M17" s="79" t="str">
        <f>+Analisis!$J$5</f>
        <v>T5.0</v>
      </c>
      <c r="N17" s="80">
        <f>+VLOOKUP(M17,Material!$A$3:$B$58,2,FALSE)</f>
        <v>5000</v>
      </c>
      <c r="O17" s="79" t="s">
        <v>42</v>
      </c>
      <c r="P17" s="79" t="s">
        <v>43</v>
      </c>
      <c r="Q17" s="81">
        <f>+IF(O17="ACERO A36",VLOOKUP(P17,'Velocidades Std 1500 w'!$B$2:$F$15,5,FALSE),IF(O17="INOXIDABLE",VLOOKUP(P17,'Velocidades Std 1500 w'!$B$17:$F$28,5,FALSE),IF(O17="ALUMINIO",VLOOKUP(P17,'Velocidades Std 1500 w'!$B$30:$F$38,5,FALSE))))</f>
        <v>4.3859649122807014E-6</v>
      </c>
      <c r="R17" s="82">
        <f t="shared" si="17"/>
        <v>2.1929824561403508E-2</v>
      </c>
      <c r="S17" s="83">
        <f t="shared" si="18"/>
        <v>95.809869473684188</v>
      </c>
      <c r="T17" s="110">
        <f t="shared" si="19"/>
        <v>6067.9583999999995</v>
      </c>
      <c r="U17" s="80">
        <f t="shared" si="20"/>
        <v>133.06926315789471</v>
      </c>
      <c r="V17" s="98">
        <v>28</v>
      </c>
      <c r="W17" s="84">
        <f>+IF(O17="ACERO A36",VLOOKUP(P17,'Tiempo Objeto'!$B$2:$C$12,2,FALSE),IF(O17="INOXIDABLE",VLOOKUP(P17,'Tiempo Objeto'!$B$14:$C$22,2,FALSE),IF(O17="ALUMINIO",VLOOKUP(P17,'Tiempo Objeto'!$B$24:$C$32,2,FALSE))))</f>
        <v>1.84</v>
      </c>
      <c r="X17" s="84">
        <f t="shared" si="21"/>
        <v>51.52</v>
      </c>
      <c r="Y17" s="80">
        <f t="shared" si="22"/>
        <v>71.555555555555557</v>
      </c>
      <c r="Z17" s="100">
        <v>1</v>
      </c>
      <c r="AA17" s="85">
        <f t="shared" si="23"/>
        <v>30</v>
      </c>
      <c r="AB17" s="86">
        <f>+Z17*Analisis!$J$6</f>
        <v>25</v>
      </c>
      <c r="AC17" s="100">
        <v>0</v>
      </c>
      <c r="AD17" s="85">
        <f t="shared" si="24"/>
        <v>0</v>
      </c>
      <c r="AE17" s="86">
        <f>+AD17*Analisis!$J$7</f>
        <v>0</v>
      </c>
      <c r="AF17" s="86">
        <f t="shared" si="14"/>
        <v>573.34174315789471</v>
      </c>
      <c r="AG17" s="126">
        <f>+AF17/(1-Analisis!$E$9)</f>
        <v>716.67717894736836</v>
      </c>
      <c r="AH17" s="128">
        <f t="shared" si="15"/>
        <v>0</v>
      </c>
    </row>
    <row r="18" spans="1:34" s="73" customFormat="1" x14ac:dyDescent="0.25">
      <c r="A18" s="106">
        <v>5</v>
      </c>
      <c r="B18" t="s">
        <v>189</v>
      </c>
      <c r="C18" s="74">
        <f>IFERROR(VLOOKUP(B18,'REQ GALV'!A:B,2,0),0)</f>
        <v>0</v>
      </c>
      <c r="D18" s="116">
        <f t="shared" si="8"/>
        <v>1007.7962935361842</v>
      </c>
      <c r="E18" s="4" t="s">
        <v>180</v>
      </c>
      <c r="F18" s="75" t="s">
        <v>147</v>
      </c>
      <c r="G18" s="90">
        <v>7.0910000000000002</v>
      </c>
      <c r="H18" s="90">
        <v>88.694999999999993</v>
      </c>
      <c r="I18" s="76">
        <v>0.105</v>
      </c>
      <c r="J18" s="77">
        <v>28.24</v>
      </c>
      <c r="K18" s="78">
        <f t="shared" si="16"/>
        <v>36.202932264518424</v>
      </c>
      <c r="L18" s="58">
        <f>+VLOOKUP(E18,Material!$H$2:$M$17,6,FALSE)*G18*H18*(1+Material!$K$14)</f>
        <v>464.71400325000002</v>
      </c>
      <c r="M18" s="79" t="str">
        <f>+Analisis!$J$5</f>
        <v>T5.0</v>
      </c>
      <c r="N18" s="80">
        <f>+VLOOKUP(M18,Material!$A$3:$B$58,2,FALSE)</f>
        <v>5000</v>
      </c>
      <c r="O18" s="79" t="s">
        <v>42</v>
      </c>
      <c r="P18" s="79" t="s">
        <v>43</v>
      </c>
      <c r="Q18" s="81">
        <f>+IF(O18="ACERO A36",VLOOKUP(P18,'Velocidades Std 1500 w'!$B$2:$F$15,5,FALSE),IF(O18="INOXIDABLE",VLOOKUP(P18,'Velocidades Std 1500 w'!$B$17:$F$28,5,FALSE),IF(O18="ALUMINIO",VLOOKUP(P18,'Velocidades Std 1500 w'!$B$30:$F$38,5,FALSE))))</f>
        <v>4.3859649122807014E-6</v>
      </c>
      <c r="R18" s="82">
        <f t="shared" si="17"/>
        <v>2.1929824561403508E-2</v>
      </c>
      <c r="S18" s="83">
        <f t="shared" si="18"/>
        <v>109.09658273684209</v>
      </c>
      <c r="T18" s="110">
        <f t="shared" si="19"/>
        <v>6909.4502400000001</v>
      </c>
      <c r="U18" s="80">
        <f t="shared" si="20"/>
        <v>151.52303157894735</v>
      </c>
      <c r="V18" s="98">
        <v>45</v>
      </c>
      <c r="W18" s="84">
        <f>+IF(O18="ACERO A36",VLOOKUP(P18,'Tiempo Objeto'!$B$2:$C$12,2,FALSE),IF(O18="INOXIDABLE",VLOOKUP(P18,'Tiempo Objeto'!$B$14:$C$22,2,FALSE),IF(O18="ALUMINIO",VLOOKUP(P18,'Tiempo Objeto'!$B$24:$C$32,2,FALSE))))</f>
        <v>1.84</v>
      </c>
      <c r="X18" s="84">
        <f t="shared" si="21"/>
        <v>82.8</v>
      </c>
      <c r="Y18" s="80">
        <f t="shared" si="22"/>
        <v>115</v>
      </c>
      <c r="Z18" s="100">
        <v>3</v>
      </c>
      <c r="AA18" s="85">
        <f t="shared" si="23"/>
        <v>90</v>
      </c>
      <c r="AB18" s="86">
        <f>+Z18*Analisis!$J$6</f>
        <v>75</v>
      </c>
      <c r="AC18" s="100">
        <v>0</v>
      </c>
      <c r="AD18" s="85">
        <f t="shared" si="24"/>
        <v>0</v>
      </c>
      <c r="AE18" s="86">
        <f>+AD18*Analisis!$J$7</f>
        <v>0</v>
      </c>
      <c r="AF18" s="86">
        <f t="shared" si="14"/>
        <v>806.23703482894734</v>
      </c>
      <c r="AG18" s="126">
        <f>+AF18/(1-Analisis!$E$9)</f>
        <v>1007.7962935361842</v>
      </c>
      <c r="AH18" s="128">
        <f t="shared" si="15"/>
        <v>0</v>
      </c>
    </row>
    <row r="19" spans="1:34" s="73" customFormat="1" x14ac:dyDescent="0.25">
      <c r="A19" s="106">
        <v>6</v>
      </c>
      <c r="B19" t="s">
        <v>190</v>
      </c>
      <c r="C19" s="74">
        <f>IFERROR(VLOOKUP(B19,'REQ GALV'!A:B,2,0),0)</f>
        <v>0</v>
      </c>
      <c r="D19" s="116">
        <f t="shared" si="8"/>
        <v>1007.7529645467837</v>
      </c>
      <c r="E19" s="4" t="s">
        <v>180</v>
      </c>
      <c r="F19" s="75" t="s">
        <v>147</v>
      </c>
      <c r="G19" s="90">
        <v>7.09</v>
      </c>
      <c r="H19" s="90">
        <v>88.7</v>
      </c>
      <c r="I19" s="76">
        <v>0.105</v>
      </c>
      <c r="J19" s="77">
        <v>28.24</v>
      </c>
      <c r="K19" s="78">
        <f t="shared" si="16"/>
        <v>36.199867367012914</v>
      </c>
      <c r="L19" s="58">
        <f>+VLOOKUP(E19,Material!$H$2:$M$17,6,FALSE)*G19*H19*(1+Material!$K$14)</f>
        <v>464.67466111111116</v>
      </c>
      <c r="M19" s="79" t="str">
        <f>+Analisis!$J$5</f>
        <v>T5.0</v>
      </c>
      <c r="N19" s="80">
        <f>+VLOOKUP(M19,Material!$A$3:$B$58,2,FALSE)</f>
        <v>5000</v>
      </c>
      <c r="O19" s="79" t="s">
        <v>42</v>
      </c>
      <c r="P19" s="79" t="s">
        <v>43</v>
      </c>
      <c r="Q19" s="81">
        <f>+IF(O19="ACERO A36",VLOOKUP(P19,'Velocidades Std 1500 w'!$B$2:$F$15,5,FALSE),IF(O19="INOXIDABLE",VLOOKUP(P19,'Velocidades Std 1500 w'!$B$17:$F$28,5,FALSE),IF(O19="ALUMINIO",VLOOKUP(P19,'Velocidades Std 1500 w'!$B$30:$F$38,5,FALSE))))</f>
        <v>4.3859649122807014E-6</v>
      </c>
      <c r="R19" s="82">
        <f t="shared" si="17"/>
        <v>2.1929824561403508E-2</v>
      </c>
      <c r="S19" s="83">
        <f t="shared" si="18"/>
        <v>109.09995157894738</v>
      </c>
      <c r="T19" s="110">
        <f t="shared" si="19"/>
        <v>6909.6636000000008</v>
      </c>
      <c r="U19" s="80">
        <f t="shared" si="20"/>
        <v>151.52771052631579</v>
      </c>
      <c r="V19" s="98">
        <v>45</v>
      </c>
      <c r="W19" s="84">
        <f>+IF(O19="ACERO A36",VLOOKUP(P19,'Tiempo Objeto'!$B$2:$C$12,2,FALSE),IF(O19="INOXIDABLE",VLOOKUP(P19,'Tiempo Objeto'!$B$14:$C$22,2,FALSE),IF(O19="ALUMINIO",VLOOKUP(P19,'Tiempo Objeto'!$B$24:$C$32,2,FALSE))))</f>
        <v>1.84</v>
      </c>
      <c r="X19" s="84">
        <f t="shared" si="21"/>
        <v>82.8</v>
      </c>
      <c r="Y19" s="80">
        <f t="shared" si="22"/>
        <v>115</v>
      </c>
      <c r="Z19" s="100">
        <v>3</v>
      </c>
      <c r="AA19" s="85">
        <f t="shared" si="23"/>
        <v>90</v>
      </c>
      <c r="AB19" s="86">
        <f>+Z19*Analisis!$J$6</f>
        <v>75</v>
      </c>
      <c r="AC19" s="100">
        <v>0</v>
      </c>
      <c r="AD19" s="85">
        <f t="shared" si="24"/>
        <v>0</v>
      </c>
      <c r="AE19" s="86">
        <f>+AD19*Analisis!$J$7</f>
        <v>0</v>
      </c>
      <c r="AF19" s="86">
        <f t="shared" si="14"/>
        <v>806.20237163742695</v>
      </c>
      <c r="AG19" s="126">
        <f>+AF19/(1-Analisis!$E$9)</f>
        <v>1007.7529645467837</v>
      </c>
      <c r="AH19" s="128">
        <f t="shared" si="15"/>
        <v>0</v>
      </c>
    </row>
    <row r="20" spans="1:34" s="73" customFormat="1" x14ac:dyDescent="0.25">
      <c r="A20" s="106">
        <v>7</v>
      </c>
      <c r="B20" t="s">
        <v>191</v>
      </c>
      <c r="C20" s="74">
        <f>IFERROR(VLOOKUP(B20,'REQ GALV'!A:B,2,0),0)</f>
        <v>0</v>
      </c>
      <c r="D20" s="116">
        <f t="shared" si="8"/>
        <v>725.25932441520467</v>
      </c>
      <c r="E20" s="4" t="s">
        <v>180</v>
      </c>
      <c r="F20" s="75" t="s">
        <v>147</v>
      </c>
      <c r="G20" s="90">
        <v>5.32</v>
      </c>
      <c r="H20" s="90">
        <v>87.44</v>
      </c>
      <c r="I20" s="76">
        <v>0.105</v>
      </c>
      <c r="J20" s="77">
        <v>28.24</v>
      </c>
      <c r="K20" s="78">
        <f t="shared" si="16"/>
        <v>26.776814227258427</v>
      </c>
      <c r="L20" s="58">
        <f>+VLOOKUP(E20,Material!$H$2:$M$17,6,FALSE)*G20*H20*(1+Material!$K$14)</f>
        <v>343.71692444444449</v>
      </c>
      <c r="M20" s="79" t="str">
        <f>+Analisis!$J$5</f>
        <v>T5.0</v>
      </c>
      <c r="N20" s="80">
        <f>+VLOOKUP(M20,Material!$A$3:$B$58,2,FALSE)</f>
        <v>5000</v>
      </c>
      <c r="O20" s="79" t="s">
        <v>42</v>
      </c>
      <c r="P20" s="79" t="s">
        <v>43</v>
      </c>
      <c r="Q20" s="81">
        <f>+IF(O20="ACERO A36",VLOOKUP(P20,'Velocidades Std 1500 w'!$B$2:$F$15,5,FALSE),IF(O20="INOXIDABLE",VLOOKUP(P20,'Velocidades Std 1500 w'!$B$17:$F$28,5,FALSE),IF(O20="ALUMINIO",VLOOKUP(P20,'Velocidades Std 1500 w'!$B$30:$F$38,5,FALSE))))</f>
        <v>4.3859649122807014E-6</v>
      </c>
      <c r="R20" s="82">
        <f t="shared" si="17"/>
        <v>2.1929824561403508E-2</v>
      </c>
      <c r="S20" s="83">
        <f t="shared" si="18"/>
        <v>97.073185263157882</v>
      </c>
      <c r="T20" s="110">
        <f t="shared" si="19"/>
        <v>6147.9683999999997</v>
      </c>
      <c r="U20" s="80">
        <f t="shared" si="20"/>
        <v>134.82386842105262</v>
      </c>
      <c r="V20" s="98">
        <v>30</v>
      </c>
      <c r="W20" s="84">
        <f>+IF(O20="ACERO A36",VLOOKUP(P20,'Tiempo Objeto'!$B$2:$C$12,2,FALSE),IF(O20="INOXIDABLE",VLOOKUP(P20,'Tiempo Objeto'!$B$14:$C$22,2,FALSE),IF(O20="ALUMINIO",VLOOKUP(P20,'Tiempo Objeto'!$B$24:$C$32,2,FALSE))))</f>
        <v>1.84</v>
      </c>
      <c r="X20" s="84">
        <f t="shared" si="21"/>
        <v>55.2</v>
      </c>
      <c r="Y20" s="80">
        <f t="shared" si="22"/>
        <v>76.666666666666671</v>
      </c>
      <c r="Z20" s="100">
        <v>1</v>
      </c>
      <c r="AA20" s="85">
        <f t="shared" si="23"/>
        <v>30</v>
      </c>
      <c r="AB20" s="86">
        <f>+Z20*Analisis!$J$6</f>
        <v>25</v>
      </c>
      <c r="AC20" s="100">
        <v>0</v>
      </c>
      <c r="AD20" s="85">
        <f t="shared" si="24"/>
        <v>0</v>
      </c>
      <c r="AE20" s="86">
        <f>+AD20*Analisis!$J$7</f>
        <v>0</v>
      </c>
      <c r="AF20" s="86">
        <f t="shared" si="14"/>
        <v>580.20745953216374</v>
      </c>
      <c r="AG20" s="126">
        <f>+AF20/(1-Analisis!$E$9)</f>
        <v>725.25932441520467</v>
      </c>
      <c r="AH20" s="128">
        <f t="shared" si="15"/>
        <v>0</v>
      </c>
    </row>
    <row r="21" spans="1:34" s="73" customFormat="1" x14ac:dyDescent="0.25">
      <c r="A21" s="106">
        <v>8</v>
      </c>
      <c r="B21" t="s">
        <v>192</v>
      </c>
      <c r="C21" s="74">
        <f>IFERROR(VLOOKUP(B21,'REQ GALV'!A:B,2,0),0)</f>
        <v>0</v>
      </c>
      <c r="D21" s="116">
        <f t="shared" si="8"/>
        <v>65.260352339181281</v>
      </c>
      <c r="E21" s="4" t="s">
        <v>180</v>
      </c>
      <c r="F21" s="75" t="s">
        <v>147</v>
      </c>
      <c r="G21" s="90">
        <v>2.09</v>
      </c>
      <c r="H21" s="90">
        <v>2.8</v>
      </c>
      <c r="I21" s="76">
        <v>0.105</v>
      </c>
      <c r="J21" s="77">
        <v>28.24</v>
      </c>
      <c r="K21" s="78">
        <f t="shared" si="16"/>
        <v>0.3368537928863708</v>
      </c>
      <c r="L21" s="58">
        <f>+VLOOKUP(E21,Material!$H$2:$M$17,6,FALSE)*G21*H21*(1+Material!$K$14)</f>
        <v>4.3239777777777775</v>
      </c>
      <c r="M21" s="79" t="str">
        <f>+Analisis!$J$5</f>
        <v>T5.0</v>
      </c>
      <c r="N21" s="80">
        <f>+VLOOKUP(M21,Material!$A$3:$B$58,2,FALSE)</f>
        <v>5000</v>
      </c>
      <c r="O21" s="79" t="s">
        <v>42</v>
      </c>
      <c r="P21" s="79" t="s">
        <v>43</v>
      </c>
      <c r="Q21" s="81">
        <f>+IF(O21="ACERO A36",VLOOKUP(P21,'Velocidades Std 1500 w'!$B$2:$F$15,5,FALSE),IF(O21="INOXIDABLE",VLOOKUP(P21,'Velocidades Std 1500 w'!$B$17:$F$28,5,FALSE),IF(O21="ALUMINIO",VLOOKUP(P21,'Velocidades Std 1500 w'!$B$30:$F$38,5,FALSE))))</f>
        <v>4.3859649122807014E-6</v>
      </c>
      <c r="R21" s="82">
        <f t="shared" si="17"/>
        <v>2.1929824561403508E-2</v>
      </c>
      <c r="S21" s="83">
        <f t="shared" si="18"/>
        <v>7.2766989473684198</v>
      </c>
      <c r="T21" s="110">
        <f t="shared" si="19"/>
        <v>460.85759999999999</v>
      </c>
      <c r="U21" s="80">
        <f t="shared" si="20"/>
        <v>10.106526315789473</v>
      </c>
      <c r="V21" s="98">
        <v>5</v>
      </c>
      <c r="W21" s="84">
        <f>+IF(O21="ACERO A36",VLOOKUP(P21,'Tiempo Objeto'!$B$2:$C$12,2,FALSE),IF(O21="INOXIDABLE",VLOOKUP(P21,'Tiempo Objeto'!$B$14:$C$22,2,FALSE),IF(O21="ALUMINIO",VLOOKUP(P21,'Tiempo Objeto'!$B$24:$C$32,2,FALSE))))</f>
        <v>1.84</v>
      </c>
      <c r="X21" s="84">
        <f t="shared" si="21"/>
        <v>9.2000000000000011</v>
      </c>
      <c r="Y21" s="80">
        <f t="shared" si="22"/>
        <v>12.77777777777778</v>
      </c>
      <c r="Z21" s="100">
        <v>1</v>
      </c>
      <c r="AA21" s="85">
        <f t="shared" si="23"/>
        <v>30</v>
      </c>
      <c r="AB21" s="86">
        <f>+Z21*Analisis!$J$6</f>
        <v>25</v>
      </c>
      <c r="AC21" s="100">
        <v>0</v>
      </c>
      <c r="AD21" s="85">
        <f t="shared" si="24"/>
        <v>0</v>
      </c>
      <c r="AE21" s="86">
        <f>+AD21*Analisis!$J$7</f>
        <v>0</v>
      </c>
      <c r="AF21" s="86">
        <f t="shared" si="14"/>
        <v>52.208281871345029</v>
      </c>
      <c r="AG21" s="126">
        <f>+AF21/(1-Analisis!$E$9)</f>
        <v>65.260352339181281</v>
      </c>
      <c r="AH21" s="128">
        <f t="shared" si="15"/>
        <v>0</v>
      </c>
    </row>
    <row r="22" spans="1:34" s="73" customFormat="1" x14ac:dyDescent="0.25">
      <c r="A22" s="106">
        <v>9</v>
      </c>
      <c r="B22" t="s">
        <v>193</v>
      </c>
      <c r="C22" s="74">
        <f>IFERROR(VLOOKUP(B22,'REQ GALV'!A:B,2,0),0)</f>
        <v>0</v>
      </c>
      <c r="D22" s="116">
        <f t="shared" si="8"/>
        <v>374.85397934941517</v>
      </c>
      <c r="E22" s="4" t="s">
        <v>180</v>
      </c>
      <c r="F22" s="75" t="s">
        <v>147</v>
      </c>
      <c r="G22" s="90">
        <v>8.5749999999999993</v>
      </c>
      <c r="H22" s="90">
        <v>33</v>
      </c>
      <c r="I22" s="76">
        <v>0.105</v>
      </c>
      <c r="J22" s="77">
        <v>28.24</v>
      </c>
      <c r="K22" s="78">
        <f t="shared" si="16"/>
        <v>16.28865380075543</v>
      </c>
      <c r="L22" s="58">
        <f>+VLOOKUP(E22,Material!$H$2:$M$17,6,FALSE)*G22*H22*(1+Material!$K$14)</f>
        <v>209.08708333333331</v>
      </c>
      <c r="M22" s="79" t="str">
        <f>+Analisis!$J$5</f>
        <v>T5.0</v>
      </c>
      <c r="N22" s="80">
        <f>+VLOOKUP(M22,Material!$A$3:$B$58,2,FALSE)</f>
        <v>5000</v>
      </c>
      <c r="O22" s="79" t="s">
        <v>42</v>
      </c>
      <c r="P22" s="79" t="s">
        <v>43</v>
      </c>
      <c r="Q22" s="81">
        <f>+IF(O22="ACERO A36",VLOOKUP(P22,'Velocidades Std 1500 w'!$B$2:$F$15,5,FALSE),IF(O22="INOXIDABLE",VLOOKUP(P22,'Velocidades Std 1500 w'!$B$17:$F$28,5,FALSE),IF(O22="ALUMINIO",VLOOKUP(P22,'Velocidades Std 1500 w'!$B$30:$F$38,5,FALSE))))</f>
        <v>4.3859649122807014E-6</v>
      </c>
      <c r="R22" s="82">
        <f t="shared" si="17"/>
        <v>2.1929824561403508E-2</v>
      </c>
      <c r="S22" s="83">
        <f t="shared" si="18"/>
        <v>38.173192105263155</v>
      </c>
      <c r="T22" s="110">
        <f t="shared" si="19"/>
        <v>2417.6355000000003</v>
      </c>
      <c r="U22" s="80">
        <f t="shared" si="20"/>
        <v>53.018322368421053</v>
      </c>
      <c r="V22" s="98">
        <v>5</v>
      </c>
      <c r="W22" s="84">
        <f>+IF(O22="ACERO A36",VLOOKUP(P22,'Tiempo Objeto'!$B$2:$C$12,2,FALSE),IF(O22="INOXIDABLE",VLOOKUP(P22,'Tiempo Objeto'!$B$14:$C$22,2,FALSE),IF(O22="ALUMINIO",VLOOKUP(P22,'Tiempo Objeto'!$B$24:$C$32,2,FALSE))))</f>
        <v>1.84</v>
      </c>
      <c r="X22" s="84">
        <f t="shared" si="21"/>
        <v>9.2000000000000011</v>
      </c>
      <c r="Y22" s="80">
        <f t="shared" si="22"/>
        <v>12.77777777777778</v>
      </c>
      <c r="Z22" s="100">
        <v>1</v>
      </c>
      <c r="AA22" s="85">
        <f t="shared" si="23"/>
        <v>30</v>
      </c>
      <c r="AB22" s="86">
        <f>+Z22*Analisis!$J$6</f>
        <v>25</v>
      </c>
      <c r="AC22" s="100">
        <v>0</v>
      </c>
      <c r="AD22" s="85">
        <f t="shared" si="24"/>
        <v>0</v>
      </c>
      <c r="AE22" s="86">
        <f>+AD22*Analisis!$J$7</f>
        <v>0</v>
      </c>
      <c r="AF22" s="86">
        <f t="shared" si="14"/>
        <v>299.88318347953214</v>
      </c>
      <c r="AG22" s="126">
        <f>+AF22/(1-Analisis!$E$9)</f>
        <v>374.85397934941517</v>
      </c>
      <c r="AH22" s="128">
        <f t="shared" si="15"/>
        <v>0</v>
      </c>
    </row>
    <row r="23" spans="1:34" s="73" customFormat="1" x14ac:dyDescent="0.25">
      <c r="A23" s="106">
        <v>10</v>
      </c>
      <c r="B23" t="s">
        <v>194</v>
      </c>
      <c r="C23" s="74">
        <f>IFERROR(VLOOKUP(B23,'REQ GALV'!A:B,2,0),0)</f>
        <v>0</v>
      </c>
      <c r="D23" s="116">
        <f t="shared" si="8"/>
        <v>4952.2826206140344</v>
      </c>
      <c r="E23" s="4" t="s">
        <v>180</v>
      </c>
      <c r="F23" s="75" t="s">
        <v>147</v>
      </c>
      <c r="G23" s="90">
        <v>15</v>
      </c>
      <c r="H23" s="90">
        <v>33</v>
      </c>
      <c r="I23" s="76">
        <v>0.105</v>
      </c>
      <c r="J23" s="77">
        <v>28.24</v>
      </c>
      <c r="K23" s="78">
        <f t="shared" si="16"/>
        <v>28.493271954674224</v>
      </c>
      <c r="L23" s="58">
        <f>+VLOOKUP(E23,Material!$H$2:$M$17,6,FALSE)*G23*H23*(1+Material!$K$14)</f>
        <v>365.75</v>
      </c>
      <c r="M23" s="79" t="str">
        <f>+Analisis!$J$5</f>
        <v>T5.0</v>
      </c>
      <c r="N23" s="80">
        <f>+VLOOKUP(M23,Material!$A$3:$B$58,2,FALSE)</f>
        <v>5000</v>
      </c>
      <c r="O23" s="79" t="s">
        <v>42</v>
      </c>
      <c r="P23" s="79" t="s">
        <v>43</v>
      </c>
      <c r="Q23" s="81">
        <f>+IF(O23="ACERO A36",VLOOKUP(P23,'Velocidades Std 1500 w'!$B$2:$F$15,5,FALSE),IF(O23="INOXIDABLE",VLOOKUP(P23,'Velocidades Std 1500 w'!$B$17:$F$28,5,FALSE),IF(O23="ALUMINIO",VLOOKUP(P23,'Velocidades Std 1500 w'!$B$30:$F$38,5,FALSE))))</f>
        <v>4.3859649122807014E-6</v>
      </c>
      <c r="R23" s="82">
        <f t="shared" si="17"/>
        <v>2.1929824561403508E-2</v>
      </c>
      <c r="S23" s="83">
        <f t="shared" si="18"/>
        <v>135.1747894736842</v>
      </c>
      <c r="T23" s="110">
        <f t="shared" si="19"/>
        <v>8561.07</v>
      </c>
      <c r="U23" s="80">
        <f t="shared" si="20"/>
        <v>187.74276315789473</v>
      </c>
      <c r="V23" s="98">
        <v>150</v>
      </c>
      <c r="W23" s="84">
        <f>+IF(O23="ACERO A36",VLOOKUP(P23,'Tiempo Objeto'!$B$2:$C$12,2,FALSE),IF(O23="INOXIDABLE",VLOOKUP(P23,'Tiempo Objeto'!$B$14:$C$22,2,FALSE),IF(O23="ALUMINIO",VLOOKUP(P23,'Tiempo Objeto'!$B$24:$C$32,2,FALSE))))</f>
        <v>1.84</v>
      </c>
      <c r="X23" s="84">
        <f t="shared" si="21"/>
        <v>276</v>
      </c>
      <c r="Y23" s="80">
        <f t="shared" si="22"/>
        <v>383.33333333333331</v>
      </c>
      <c r="Z23" s="100">
        <v>1</v>
      </c>
      <c r="AA23" s="85">
        <f t="shared" si="23"/>
        <v>30</v>
      </c>
      <c r="AB23" s="86">
        <f>+Z23*Analisis!$J$6</f>
        <v>25</v>
      </c>
      <c r="AC23" s="100">
        <v>4</v>
      </c>
      <c r="AD23" s="85">
        <f t="shared" si="24"/>
        <v>120</v>
      </c>
      <c r="AE23" s="86">
        <f>+AD23*Analisis!$J$7</f>
        <v>3000</v>
      </c>
      <c r="AF23" s="86">
        <f t="shared" si="14"/>
        <v>3961.8260964912279</v>
      </c>
      <c r="AG23" s="126">
        <f>+AF23/(1-Analisis!$E$9)</f>
        <v>4952.2826206140344</v>
      </c>
      <c r="AH23" s="128">
        <f t="shared" si="15"/>
        <v>0</v>
      </c>
    </row>
    <row r="24" spans="1:34" s="73" customFormat="1" x14ac:dyDescent="0.25">
      <c r="A24" s="106">
        <v>11</v>
      </c>
      <c r="B24" t="s">
        <v>195</v>
      </c>
      <c r="C24" s="74">
        <f>IFERROR(VLOOKUP(B24,'REQ GALV'!A:B,2,0),0)</f>
        <v>0</v>
      </c>
      <c r="D24" s="116">
        <f t="shared" si="8"/>
        <v>1967.043809649123</v>
      </c>
      <c r="E24" s="4" t="s">
        <v>180</v>
      </c>
      <c r="F24" s="75" t="s">
        <v>147</v>
      </c>
      <c r="G24" s="90">
        <v>20.94</v>
      </c>
      <c r="H24" s="90">
        <v>59.14</v>
      </c>
      <c r="I24" s="76">
        <v>0.105</v>
      </c>
      <c r="J24" s="77">
        <v>28.24</v>
      </c>
      <c r="K24" s="78">
        <f t="shared" si="16"/>
        <v>71.284502313503324</v>
      </c>
      <c r="L24" s="58">
        <f>+VLOOKUP(E24,Material!$H$2:$M$17,6,FALSE)*G24*H24*(1+Material!$K$14)</f>
        <v>915.03379333333351</v>
      </c>
      <c r="M24" s="79" t="str">
        <f>+Analisis!$J$5</f>
        <v>T5.0</v>
      </c>
      <c r="N24" s="80">
        <f>+VLOOKUP(M24,Material!$A$3:$B$58,2,FALSE)</f>
        <v>5000</v>
      </c>
      <c r="O24" s="79" t="s">
        <v>42</v>
      </c>
      <c r="P24" s="79" t="s">
        <v>43</v>
      </c>
      <c r="Q24" s="81">
        <f>+IF(O24="ACERO A36",VLOOKUP(P24,'Velocidades Std 1500 w'!$B$2:$F$15,5,FALSE),IF(O24="INOXIDABLE",VLOOKUP(P24,'Velocidades Std 1500 w'!$B$17:$F$28,5,FALSE),IF(O24="ALUMINIO",VLOOKUP(P24,'Velocidades Std 1500 w'!$B$30:$F$38,5,FALSE))))</f>
        <v>4.3859649122807014E-6</v>
      </c>
      <c r="R24" s="82">
        <f t="shared" si="17"/>
        <v>2.1929824561403508E-2</v>
      </c>
      <c r="S24" s="83">
        <f t="shared" si="18"/>
        <v>162.1929031578947</v>
      </c>
      <c r="T24" s="110">
        <f t="shared" si="19"/>
        <v>10272.217199999999</v>
      </c>
      <c r="U24" s="80">
        <f t="shared" si="20"/>
        <v>225.26792105263155</v>
      </c>
      <c r="V24" s="98">
        <v>150</v>
      </c>
      <c r="W24" s="84">
        <f>+IF(O24="ACERO A36",VLOOKUP(P24,'Tiempo Objeto'!$B$2:$C$12,2,FALSE),IF(O24="INOXIDABLE",VLOOKUP(P24,'Tiempo Objeto'!$B$14:$C$22,2,FALSE),IF(O24="ALUMINIO",VLOOKUP(P24,'Tiempo Objeto'!$B$24:$C$32,2,FALSE))))</f>
        <v>1.84</v>
      </c>
      <c r="X24" s="84">
        <f t="shared" si="21"/>
        <v>276</v>
      </c>
      <c r="Y24" s="80">
        <f t="shared" si="22"/>
        <v>383.33333333333331</v>
      </c>
      <c r="Z24" s="100">
        <v>2</v>
      </c>
      <c r="AA24" s="85">
        <f t="shared" si="23"/>
        <v>60</v>
      </c>
      <c r="AB24" s="86">
        <f>+Z24*Analisis!$J$6</f>
        <v>50</v>
      </c>
      <c r="AC24" s="100">
        <v>0</v>
      </c>
      <c r="AD24" s="85">
        <f t="shared" si="24"/>
        <v>0</v>
      </c>
      <c r="AE24" s="86">
        <f>+AD24*Analisis!$J$7</f>
        <v>0</v>
      </c>
      <c r="AF24" s="86">
        <f t="shared" si="14"/>
        <v>1573.6350477192984</v>
      </c>
      <c r="AG24" s="126">
        <f>+AF24/(1-Analisis!$E$9)</f>
        <v>1967.043809649123</v>
      </c>
      <c r="AH24" s="128">
        <f t="shared" si="15"/>
        <v>0</v>
      </c>
    </row>
    <row r="25" spans="1:34" s="73" customFormat="1" x14ac:dyDescent="0.25">
      <c r="A25" s="106">
        <v>12</v>
      </c>
      <c r="B25" t="s">
        <v>196</v>
      </c>
      <c r="C25" s="74">
        <f>IFERROR(VLOOKUP(B25,'REQ GALV'!A:B,2,0),0)</f>
        <v>0</v>
      </c>
      <c r="D25" s="116">
        <f t="shared" si="8"/>
        <v>218.57422295321641</v>
      </c>
      <c r="E25" s="4" t="s">
        <v>180</v>
      </c>
      <c r="F25" s="75" t="s">
        <v>147</v>
      </c>
      <c r="G25" s="90">
        <v>5.9</v>
      </c>
      <c r="H25" s="90">
        <v>22.13</v>
      </c>
      <c r="I25" s="76">
        <v>0.105</v>
      </c>
      <c r="J25" s="77">
        <v>28.24</v>
      </c>
      <c r="K25" s="78">
        <f t="shared" si="16"/>
        <v>7.5157192713251515</v>
      </c>
      <c r="L25" s="58">
        <f>+VLOOKUP(E25,Material!$H$2:$M$17,6,FALSE)*G25*H25*(1+Material!$K$14)</f>
        <v>96.474505555555567</v>
      </c>
      <c r="M25" s="79" t="str">
        <f>+Analisis!$J$5</f>
        <v>T5.0</v>
      </c>
      <c r="N25" s="80">
        <f>+VLOOKUP(M25,Material!$A$3:$B$58,2,FALSE)</f>
        <v>5000</v>
      </c>
      <c r="O25" s="79" t="s">
        <v>42</v>
      </c>
      <c r="P25" s="79" t="s">
        <v>43</v>
      </c>
      <c r="Q25" s="81">
        <f>+IF(O25="ACERO A36",VLOOKUP(P25,'Velocidades Std 1500 w'!$B$2:$F$15,5,FALSE),IF(O25="INOXIDABLE",VLOOKUP(P25,'Velocidades Std 1500 w'!$B$17:$F$28,5,FALSE),IF(O25="ALUMINIO",VLOOKUP(P25,'Velocidades Std 1500 w'!$B$30:$F$38,5,FALSE))))</f>
        <v>4.3859649122807014E-6</v>
      </c>
      <c r="R25" s="82">
        <f t="shared" si="17"/>
        <v>2.1929824561403508E-2</v>
      </c>
      <c r="S25" s="83">
        <f t="shared" si="18"/>
        <v>27.397108421052632</v>
      </c>
      <c r="T25" s="110">
        <f t="shared" si="19"/>
        <v>1735.1502</v>
      </c>
      <c r="U25" s="80">
        <f t="shared" si="20"/>
        <v>38.051539473684208</v>
      </c>
      <c r="V25" s="98">
        <v>6</v>
      </c>
      <c r="W25" s="84">
        <f>+IF(O25="ACERO A36",VLOOKUP(P25,'Tiempo Objeto'!$B$2:$C$12,2,FALSE),IF(O25="INOXIDABLE",VLOOKUP(P25,'Tiempo Objeto'!$B$14:$C$22,2,FALSE),IF(O25="ALUMINIO",VLOOKUP(P25,'Tiempo Objeto'!$B$24:$C$32,2,FALSE))))</f>
        <v>1.84</v>
      </c>
      <c r="X25" s="84">
        <f t="shared" si="21"/>
        <v>11.040000000000001</v>
      </c>
      <c r="Y25" s="80">
        <f t="shared" si="22"/>
        <v>15.333333333333336</v>
      </c>
      <c r="Z25" s="100">
        <v>1</v>
      </c>
      <c r="AA25" s="85">
        <f t="shared" si="23"/>
        <v>30</v>
      </c>
      <c r="AB25" s="86">
        <f>+Z25*Analisis!$J$6</f>
        <v>25</v>
      </c>
      <c r="AC25" s="100">
        <v>0</v>
      </c>
      <c r="AD25" s="85">
        <f t="shared" si="24"/>
        <v>0</v>
      </c>
      <c r="AE25" s="86">
        <f>+AD25*Analisis!$J$7</f>
        <v>0</v>
      </c>
      <c r="AF25" s="86">
        <f t="shared" si="14"/>
        <v>174.85937836257312</v>
      </c>
      <c r="AG25" s="126">
        <f>+AF25/(1-Analisis!$E$9)</f>
        <v>218.57422295321641</v>
      </c>
      <c r="AH25" s="128">
        <f t="shared" si="15"/>
        <v>0</v>
      </c>
    </row>
    <row r="26" spans="1:34" s="73" customFormat="1" x14ac:dyDescent="0.25">
      <c r="A26" s="106">
        <v>13</v>
      </c>
      <c r="B26" t="s">
        <v>197</v>
      </c>
      <c r="C26" s="74">
        <f>IFERROR(VLOOKUP(B26,'REQ GALV'!A:B,2,0),0)</f>
        <v>0</v>
      </c>
      <c r="D26" s="116">
        <f t="shared" si="8"/>
        <v>273.92420504385967</v>
      </c>
      <c r="E26" s="4" t="s">
        <v>180</v>
      </c>
      <c r="F26" s="75" t="s">
        <v>147</v>
      </c>
      <c r="G26" s="90">
        <v>37.5</v>
      </c>
      <c r="H26" s="90">
        <v>2.25</v>
      </c>
      <c r="I26" s="76">
        <v>0.105</v>
      </c>
      <c r="J26" s="77">
        <v>28.24</v>
      </c>
      <c r="K26" s="78">
        <f t="shared" si="16"/>
        <v>4.8568077195467438</v>
      </c>
      <c r="L26" s="58">
        <f>+VLOOKUP(E26,Material!$H$2:$M$17,6,FALSE)*G26*H26*(1+Material!$K$14)</f>
        <v>62.343750000000014</v>
      </c>
      <c r="M26" s="79" t="str">
        <f>+Analisis!$J$5</f>
        <v>T5.0</v>
      </c>
      <c r="N26" s="80">
        <f>+VLOOKUP(M26,Material!$A$3:$B$58,2,FALSE)</f>
        <v>5000</v>
      </c>
      <c r="O26" s="79" t="s">
        <v>42</v>
      </c>
      <c r="P26" s="79" t="s">
        <v>43</v>
      </c>
      <c r="Q26" s="81">
        <f>+IF(O26="ACERO A36",VLOOKUP(P26,'Velocidades Std 1500 w'!$B$2:$F$15,5,FALSE),IF(O26="INOXIDABLE",VLOOKUP(P26,'Velocidades Std 1500 w'!$B$17:$F$28,5,FALSE),IF(O26="ALUMINIO",VLOOKUP(P26,'Velocidades Std 1500 w'!$B$30:$F$38,5,FALSE))))</f>
        <v>4.3859649122807014E-6</v>
      </c>
      <c r="R26" s="82">
        <f t="shared" si="17"/>
        <v>2.1929824561403508E-2</v>
      </c>
      <c r="S26" s="83">
        <f t="shared" si="18"/>
        <v>35.37284210526316</v>
      </c>
      <c r="T26" s="110">
        <f t="shared" si="19"/>
        <v>2240.2800000000002</v>
      </c>
      <c r="U26" s="80">
        <f t="shared" si="20"/>
        <v>49.128947368421052</v>
      </c>
      <c r="V26" s="98">
        <v>3</v>
      </c>
      <c r="W26" s="84">
        <f>+IF(O26="ACERO A36",VLOOKUP(P26,'Tiempo Objeto'!$B$2:$C$12,2,FALSE),IF(O26="INOXIDABLE",VLOOKUP(P26,'Tiempo Objeto'!$B$14:$C$22,2,FALSE),IF(O26="ALUMINIO",VLOOKUP(P26,'Tiempo Objeto'!$B$24:$C$32,2,FALSE))))</f>
        <v>1.84</v>
      </c>
      <c r="X26" s="84">
        <f t="shared" si="21"/>
        <v>5.5200000000000005</v>
      </c>
      <c r="Y26" s="80">
        <f t="shared" si="22"/>
        <v>7.6666666666666679</v>
      </c>
      <c r="Z26" s="100">
        <v>4</v>
      </c>
      <c r="AA26" s="85">
        <f t="shared" si="23"/>
        <v>120</v>
      </c>
      <c r="AB26" s="86">
        <f>+Z26*Analisis!$J$6</f>
        <v>100</v>
      </c>
      <c r="AC26" s="100">
        <v>0</v>
      </c>
      <c r="AD26" s="85">
        <f t="shared" si="24"/>
        <v>0</v>
      </c>
      <c r="AE26" s="86">
        <f>+AD26*Analisis!$J$7</f>
        <v>0</v>
      </c>
      <c r="AF26" s="86">
        <f t="shared" si="14"/>
        <v>219.13936403508774</v>
      </c>
      <c r="AG26" s="126">
        <f>+AF26/(1-Analisis!$E$9)</f>
        <v>273.92420504385967</v>
      </c>
      <c r="AH26" s="128">
        <f t="shared" si="15"/>
        <v>0</v>
      </c>
    </row>
    <row r="27" spans="1:34" s="73" customFormat="1" x14ac:dyDescent="0.25">
      <c r="A27" s="106">
        <v>14</v>
      </c>
      <c r="B27" t="s">
        <v>198</v>
      </c>
      <c r="C27" s="74">
        <f>IFERROR(VLOOKUP(B27,'REQ GALV'!A:B,2,0),0)</f>
        <v>0</v>
      </c>
      <c r="D27" s="116">
        <f t="shared" si="8"/>
        <v>596.36212902046782</v>
      </c>
      <c r="E27" s="4" t="s">
        <v>180</v>
      </c>
      <c r="F27" s="75" t="s">
        <v>147</v>
      </c>
      <c r="G27" s="90">
        <v>8.32</v>
      </c>
      <c r="H27" s="90">
        <v>50</v>
      </c>
      <c r="I27" s="76">
        <v>0.105</v>
      </c>
      <c r="J27" s="77">
        <v>28.24</v>
      </c>
      <c r="K27" s="78">
        <f t="shared" si="16"/>
        <v>23.945860875039354</v>
      </c>
      <c r="L27" s="58">
        <f>+VLOOKUP(E27,Material!$H$2:$M$17,6,FALSE)*G27*H27*(1+Material!$K$14)</f>
        <v>307.37777777777785</v>
      </c>
      <c r="M27" s="79" t="str">
        <f>+Analisis!$J$5</f>
        <v>T5.0</v>
      </c>
      <c r="N27" s="80">
        <f>+VLOOKUP(M27,Material!$A$3:$B$58,2,FALSE)</f>
        <v>5000</v>
      </c>
      <c r="O27" s="79" t="s">
        <v>42</v>
      </c>
      <c r="P27" s="79" t="s">
        <v>43</v>
      </c>
      <c r="Q27" s="81">
        <f>+IF(O27="ACERO A36",VLOOKUP(P27,'Velocidades Std 1500 w'!$B$2:$F$15,5,FALSE),IF(O27="INOXIDABLE",VLOOKUP(P27,'Velocidades Std 1500 w'!$B$17:$F$28,5,FALSE),IF(O27="ALUMINIO",VLOOKUP(P27,'Velocidades Std 1500 w'!$B$30:$F$38,5,FALSE))))</f>
        <v>4.3859649122807014E-6</v>
      </c>
      <c r="R27" s="82">
        <f t="shared" si="17"/>
        <v>2.1929824561403508E-2</v>
      </c>
      <c r="S27" s="83">
        <f t="shared" si="18"/>
        <v>58.592586315789461</v>
      </c>
      <c r="T27" s="110">
        <f t="shared" si="19"/>
        <v>3710.8637999999996</v>
      </c>
      <c r="U27" s="80">
        <f t="shared" si="20"/>
        <v>81.378592105263152</v>
      </c>
      <c r="V27" s="98">
        <v>15</v>
      </c>
      <c r="W27" s="84">
        <f>+IF(O27="ACERO A36",VLOOKUP(P27,'Tiempo Objeto'!$B$2:$C$12,2,FALSE),IF(O27="INOXIDABLE",VLOOKUP(P27,'Tiempo Objeto'!$B$14:$C$22,2,FALSE),IF(O27="ALUMINIO",VLOOKUP(P27,'Tiempo Objeto'!$B$24:$C$32,2,FALSE))))</f>
        <v>1.84</v>
      </c>
      <c r="X27" s="84">
        <f t="shared" si="21"/>
        <v>27.6</v>
      </c>
      <c r="Y27" s="80">
        <f t="shared" si="22"/>
        <v>38.333333333333336</v>
      </c>
      <c r="Z27" s="100">
        <v>2</v>
      </c>
      <c r="AA27" s="85">
        <f t="shared" si="23"/>
        <v>60</v>
      </c>
      <c r="AB27" s="86">
        <f>+Z27*Analisis!$J$6</f>
        <v>50</v>
      </c>
      <c r="AC27" s="100">
        <v>0</v>
      </c>
      <c r="AD27" s="85">
        <f t="shared" si="24"/>
        <v>0</v>
      </c>
      <c r="AE27" s="86">
        <f>+AD27*Analisis!$J$7</f>
        <v>0</v>
      </c>
      <c r="AF27" s="86">
        <f t="shared" si="14"/>
        <v>477.08970321637429</v>
      </c>
      <c r="AG27" s="126">
        <f>+AF27/(1-Analisis!$E$9)</f>
        <v>596.36212902046782</v>
      </c>
      <c r="AH27" s="128">
        <f t="shared" si="15"/>
        <v>0</v>
      </c>
    </row>
    <row r="28" spans="1:34" s="73" customFormat="1" x14ac:dyDescent="0.25">
      <c r="A28" s="106">
        <v>15</v>
      </c>
      <c r="B28" t="s">
        <v>199</v>
      </c>
      <c r="C28" s="74">
        <f>IFERROR(VLOOKUP(B28,'REQ GALV'!A:B,2,0),0)</f>
        <v>0</v>
      </c>
      <c r="D28" s="116">
        <f t="shared" si="8"/>
        <v>79.180509868421055</v>
      </c>
      <c r="E28" s="4" t="s">
        <v>180</v>
      </c>
      <c r="F28" s="75" t="s">
        <v>147</v>
      </c>
      <c r="G28" s="90">
        <v>4</v>
      </c>
      <c r="H28" s="90">
        <v>4</v>
      </c>
      <c r="I28" s="76">
        <v>0.105</v>
      </c>
      <c r="J28" s="77">
        <v>28.24</v>
      </c>
      <c r="K28" s="78">
        <f t="shared" si="16"/>
        <v>0.92099464903997508</v>
      </c>
      <c r="L28" s="58">
        <f>+VLOOKUP(E28,Material!$H$2:$M$17,6,FALSE)*G28*H28*(1+Material!$K$14)</f>
        <v>11.822222222222223</v>
      </c>
      <c r="M28" s="79" t="str">
        <f>+Analisis!$J$5</f>
        <v>T5.0</v>
      </c>
      <c r="N28" s="80">
        <f>+VLOOKUP(M28,Material!$A$3:$B$58,2,FALSE)</f>
        <v>5000</v>
      </c>
      <c r="O28" s="79" t="s">
        <v>42</v>
      </c>
      <c r="P28" s="79" t="s">
        <v>43</v>
      </c>
      <c r="Q28" s="81">
        <f>+IF(O28="ACERO A36",VLOOKUP(P28,'Velocidades Std 1500 w'!$B$2:$F$15,5,FALSE),IF(O28="INOXIDABLE",VLOOKUP(P28,'Velocidades Std 1500 w'!$B$17:$F$28,5,FALSE),IF(O28="ALUMINIO",VLOOKUP(P28,'Velocidades Std 1500 w'!$B$30:$F$38,5,FALSE))))</f>
        <v>4.3859649122807014E-6</v>
      </c>
      <c r="R28" s="82">
        <f t="shared" si="17"/>
        <v>2.1929824561403508E-2</v>
      </c>
      <c r="S28" s="83">
        <f t="shared" si="18"/>
        <v>9.8959736842105261</v>
      </c>
      <c r="T28" s="110">
        <f t="shared" si="19"/>
        <v>626.745</v>
      </c>
      <c r="U28" s="80">
        <f t="shared" si="20"/>
        <v>13.744407894736842</v>
      </c>
      <c r="V28" s="98">
        <v>5</v>
      </c>
      <c r="W28" s="84">
        <f>+IF(O28="ACERO A36",VLOOKUP(P28,'Tiempo Objeto'!$B$2:$C$12,2,FALSE),IF(O28="INOXIDABLE",VLOOKUP(P28,'Tiempo Objeto'!$B$14:$C$22,2,FALSE),IF(O28="ALUMINIO",VLOOKUP(P28,'Tiempo Objeto'!$B$24:$C$32,2,FALSE))))</f>
        <v>1.84</v>
      </c>
      <c r="X28" s="84">
        <f t="shared" si="21"/>
        <v>9.2000000000000011</v>
      </c>
      <c r="Y28" s="80">
        <f t="shared" si="22"/>
        <v>12.77777777777778</v>
      </c>
      <c r="Z28" s="100">
        <v>1</v>
      </c>
      <c r="AA28" s="85">
        <f t="shared" si="23"/>
        <v>30</v>
      </c>
      <c r="AB28" s="86">
        <f>+Z28*Analisis!$J$6</f>
        <v>25</v>
      </c>
      <c r="AC28" s="100">
        <v>0</v>
      </c>
      <c r="AD28" s="85">
        <f t="shared" si="24"/>
        <v>0</v>
      </c>
      <c r="AE28" s="86">
        <f>+AD28*Analisis!$J$7</f>
        <v>0</v>
      </c>
      <c r="AF28" s="86">
        <f t="shared" si="14"/>
        <v>63.344407894736847</v>
      </c>
      <c r="AG28" s="126">
        <f>+AF28/(1-Analisis!$E$9)</f>
        <v>79.180509868421055</v>
      </c>
      <c r="AH28" s="128">
        <f t="shared" si="15"/>
        <v>0</v>
      </c>
    </row>
    <row r="29" spans="1:34" s="73" customFormat="1" x14ac:dyDescent="0.25">
      <c r="A29" s="106">
        <v>16</v>
      </c>
      <c r="B29" t="s">
        <v>200</v>
      </c>
      <c r="C29" s="74">
        <f>IFERROR(VLOOKUP(B29,'REQ GALV'!A:B,2,0),0)</f>
        <v>0</v>
      </c>
      <c r="D29" s="116">
        <f t="shared" si="8"/>
        <v>79.180509868421055</v>
      </c>
      <c r="E29" s="4" t="s">
        <v>180</v>
      </c>
      <c r="F29" s="75" t="s">
        <v>147</v>
      </c>
      <c r="G29" s="90">
        <v>4</v>
      </c>
      <c r="H29" s="90">
        <v>4</v>
      </c>
      <c r="I29" s="76">
        <v>0.105</v>
      </c>
      <c r="J29" s="77">
        <v>28.24</v>
      </c>
      <c r="K29" s="78">
        <f t="shared" ref="K29" si="43">+L29*2.2/J29</f>
        <v>0.92099464903997508</v>
      </c>
      <c r="L29" s="58">
        <f>+VLOOKUP(E29,Material!$H$2:$M$17,6,FALSE)*G29*H29*(1+Material!$K$14)</f>
        <v>11.822222222222223</v>
      </c>
      <c r="M29" s="79" t="str">
        <f>+Analisis!$J$5</f>
        <v>T5.0</v>
      </c>
      <c r="N29" s="80">
        <f>+VLOOKUP(M29,Material!$A$3:$B$58,2,FALSE)</f>
        <v>5000</v>
      </c>
      <c r="O29" s="79" t="s">
        <v>42</v>
      </c>
      <c r="P29" s="79" t="s">
        <v>43</v>
      </c>
      <c r="Q29" s="81">
        <f>+IF(O29="ACERO A36",VLOOKUP(P29,'Velocidades Std 1500 w'!$B$2:$F$15,5,FALSE),IF(O29="INOXIDABLE",VLOOKUP(P29,'Velocidades Std 1500 w'!$B$17:$F$28,5,FALSE),IF(O29="ALUMINIO",VLOOKUP(P29,'Velocidades Std 1500 w'!$B$30:$F$38,5,FALSE))))</f>
        <v>4.3859649122807014E-6</v>
      </c>
      <c r="R29" s="82">
        <f t="shared" ref="R29" si="44">+Q29*N29</f>
        <v>2.1929824561403508E-2</v>
      </c>
      <c r="S29" s="83">
        <f t="shared" ref="S29" si="45">+Q29*T29*3600</f>
        <v>9.8959736842105261</v>
      </c>
      <c r="T29" s="110">
        <f t="shared" ref="T29" si="46">(+H29*2+G29*2+V29*1.5)*25.4*1.05</f>
        <v>626.745</v>
      </c>
      <c r="U29" s="80">
        <f t="shared" ref="U29" si="47">+T29*R29</f>
        <v>13.744407894736842</v>
      </c>
      <c r="V29" s="98">
        <v>5</v>
      </c>
      <c r="W29" s="84">
        <f>+IF(O29="ACERO A36",VLOOKUP(P29,'Tiempo Objeto'!$B$2:$C$12,2,FALSE),IF(O29="INOXIDABLE",VLOOKUP(P29,'Tiempo Objeto'!$B$14:$C$22,2,FALSE),IF(O29="ALUMINIO",VLOOKUP(P29,'Tiempo Objeto'!$B$24:$C$32,2,FALSE))))</f>
        <v>1.84</v>
      </c>
      <c r="X29" s="84">
        <f t="shared" ref="X29" si="48">+W29*V29</f>
        <v>9.2000000000000011</v>
      </c>
      <c r="Y29" s="80">
        <f t="shared" ref="Y29" si="49">+X29*N29/3600</f>
        <v>12.77777777777778</v>
      </c>
      <c r="Z29" s="100">
        <v>1</v>
      </c>
      <c r="AA29" s="85">
        <f t="shared" si="23"/>
        <v>30</v>
      </c>
      <c r="AB29" s="86">
        <f>+Z29*Analisis!$J$6</f>
        <v>25</v>
      </c>
      <c r="AC29" s="100">
        <v>0</v>
      </c>
      <c r="AD29" s="85">
        <f t="shared" si="24"/>
        <v>0</v>
      </c>
      <c r="AE29" s="86">
        <f>+AD29*Analisis!$J$7</f>
        <v>0</v>
      </c>
      <c r="AF29" s="86">
        <f t="shared" si="14"/>
        <v>63.344407894736847</v>
      </c>
      <c r="AG29" s="126">
        <f>+AF29/(1-Analisis!$E$9)</f>
        <v>79.180509868421055</v>
      </c>
      <c r="AH29" s="128">
        <f t="shared" si="15"/>
        <v>0</v>
      </c>
    </row>
    <row r="30" spans="1:34" s="73" customFormat="1" x14ac:dyDescent="0.25">
      <c r="A30" s="106">
        <v>17</v>
      </c>
      <c r="B30" t="s">
        <v>201</v>
      </c>
      <c r="C30" s="74">
        <f>IFERROR(VLOOKUP(B30,'REQ GALV'!A:B,2,0),0)</f>
        <v>0</v>
      </c>
      <c r="D30" s="116">
        <f t="shared" si="8"/>
        <v>136.59862244152046</v>
      </c>
      <c r="E30" s="4" t="s">
        <v>180</v>
      </c>
      <c r="F30" s="75" t="s">
        <v>147</v>
      </c>
      <c r="G30" s="90">
        <v>1.2</v>
      </c>
      <c r="H30" s="90">
        <v>7.64</v>
      </c>
      <c r="I30" s="76">
        <v>0.105</v>
      </c>
      <c r="J30" s="77">
        <v>28.24</v>
      </c>
      <c r="K30" s="78">
        <f t="shared" si="16"/>
        <v>0.52772993389990563</v>
      </c>
      <c r="L30" s="58">
        <f>+VLOOKUP(E30,Material!$H$2:$M$17,6,FALSE)*G30*H30*(1+Material!$K$14)</f>
        <v>6.7741333333333333</v>
      </c>
      <c r="M30" s="79" t="str">
        <f>+Analisis!$J$5</f>
        <v>T5.0</v>
      </c>
      <c r="N30" s="80">
        <f>+VLOOKUP(M30,Material!$A$3:$B$58,2,FALSE)</f>
        <v>5000</v>
      </c>
      <c r="O30" s="79" t="s">
        <v>42</v>
      </c>
      <c r="P30" s="79" t="s">
        <v>43</v>
      </c>
      <c r="Q30" s="81">
        <f>+IF(O30="ACERO A36",VLOOKUP(P30,'Velocidades Std 1500 w'!$B$2:$F$15,5,FALSE),IF(O30="INOXIDABLE",VLOOKUP(P30,'Velocidades Std 1500 w'!$B$17:$F$28,5,FALSE),IF(O30="ALUMINIO",VLOOKUP(P30,'Velocidades Std 1500 w'!$B$30:$F$38,5,FALSE))))</f>
        <v>4.3859649122807014E-6</v>
      </c>
      <c r="R30" s="82">
        <f t="shared" si="17"/>
        <v>2.1929824561403508E-2</v>
      </c>
      <c r="S30" s="83">
        <f t="shared" si="18"/>
        <v>10.603430526315789</v>
      </c>
      <c r="T30" s="110">
        <f t="shared" si="19"/>
        <v>671.55060000000003</v>
      </c>
      <c r="U30" s="80">
        <f t="shared" si="20"/>
        <v>14.726986842105264</v>
      </c>
      <c r="V30" s="98">
        <v>5</v>
      </c>
      <c r="W30" s="84">
        <f>+IF(O30="ACERO A36",VLOOKUP(P30,'Tiempo Objeto'!$B$2:$C$12,2,FALSE),IF(O30="INOXIDABLE",VLOOKUP(P30,'Tiempo Objeto'!$B$14:$C$22,2,FALSE),IF(O30="ALUMINIO",VLOOKUP(P30,'Tiempo Objeto'!$B$24:$C$32,2,FALSE))))</f>
        <v>1.84</v>
      </c>
      <c r="X30" s="84">
        <f t="shared" si="21"/>
        <v>9.2000000000000011</v>
      </c>
      <c r="Y30" s="80">
        <f t="shared" si="22"/>
        <v>12.77777777777778</v>
      </c>
      <c r="Z30" s="100">
        <v>3</v>
      </c>
      <c r="AA30" s="85">
        <f t="shared" si="23"/>
        <v>90</v>
      </c>
      <c r="AB30" s="86">
        <f>+Z30*Analisis!$J$6</f>
        <v>75</v>
      </c>
      <c r="AC30" s="100">
        <v>0</v>
      </c>
      <c r="AD30" s="85">
        <f t="shared" si="24"/>
        <v>0</v>
      </c>
      <c r="AE30" s="86">
        <f>+AD30*Analisis!$J$7</f>
        <v>0</v>
      </c>
      <c r="AF30" s="86">
        <f t="shared" si="14"/>
        <v>109.27889795321639</v>
      </c>
      <c r="AG30" s="126">
        <f>+AF30/(1-Analisis!$E$9)</f>
        <v>136.59862244152046</v>
      </c>
      <c r="AH30" s="128">
        <f t="shared" si="15"/>
        <v>0</v>
      </c>
    </row>
    <row r="31" spans="1:34" s="73" customFormat="1" x14ac:dyDescent="0.25">
      <c r="A31" s="106">
        <v>18</v>
      </c>
      <c r="B31" t="s">
        <v>202</v>
      </c>
      <c r="C31" s="74">
        <f>IFERROR(VLOOKUP(B31,'REQ GALV'!A:B,2,0),0)</f>
        <v>0</v>
      </c>
      <c r="D31" s="116">
        <f t="shared" si="8"/>
        <v>408.60211988304098</v>
      </c>
      <c r="E31" s="4" t="s">
        <v>180</v>
      </c>
      <c r="F31" s="75" t="s">
        <v>147</v>
      </c>
      <c r="G31" s="90">
        <v>4.9000000000000004</v>
      </c>
      <c r="H31" s="90">
        <v>39</v>
      </c>
      <c r="I31" s="76">
        <v>0.105</v>
      </c>
      <c r="J31" s="77">
        <v>28.24</v>
      </c>
      <c r="K31" s="78">
        <f t="shared" si="16"/>
        <v>11.000129839471201</v>
      </c>
      <c r="L31" s="58">
        <f>+VLOOKUP(E31,Material!$H$2:$M$17,6,FALSE)*G31*H31*(1+Material!$K$14)</f>
        <v>141.20166666666668</v>
      </c>
      <c r="M31" s="79" t="str">
        <f>+Analisis!$J$5</f>
        <v>T5.0</v>
      </c>
      <c r="N31" s="80">
        <f>+VLOOKUP(M31,Material!$A$3:$B$58,2,FALSE)</f>
        <v>5000</v>
      </c>
      <c r="O31" s="79" t="s">
        <v>42</v>
      </c>
      <c r="P31" s="79" t="s">
        <v>43</v>
      </c>
      <c r="Q31" s="81">
        <f>+IF(O31="ACERO A36",VLOOKUP(P31,'Velocidades Std 1500 w'!$B$2:$F$15,5,FALSE),IF(O31="INOXIDABLE",VLOOKUP(P31,'Velocidades Std 1500 w'!$B$17:$F$28,5,FALSE),IF(O31="ALUMINIO",VLOOKUP(P31,'Velocidades Std 1500 w'!$B$30:$F$38,5,FALSE))))</f>
        <v>4.3859649122807014E-6</v>
      </c>
      <c r="R31" s="82">
        <f t="shared" si="17"/>
        <v>2.1929824561403508E-2</v>
      </c>
      <c r="S31" s="83">
        <f t="shared" si="18"/>
        <v>43.289621052631574</v>
      </c>
      <c r="T31" s="110">
        <f t="shared" si="19"/>
        <v>2741.6759999999999</v>
      </c>
      <c r="U31" s="80">
        <f t="shared" si="20"/>
        <v>60.124473684210521</v>
      </c>
      <c r="V31" s="98">
        <v>10</v>
      </c>
      <c r="W31" s="84">
        <f>+IF(O31="ACERO A36",VLOOKUP(P31,'Tiempo Objeto'!$B$2:$C$12,2,FALSE),IF(O31="INOXIDABLE",VLOOKUP(P31,'Tiempo Objeto'!$B$14:$C$22,2,FALSE),IF(O31="ALUMINIO",VLOOKUP(P31,'Tiempo Objeto'!$B$24:$C$32,2,FALSE))))</f>
        <v>1.84</v>
      </c>
      <c r="X31" s="84">
        <f t="shared" si="21"/>
        <v>18.400000000000002</v>
      </c>
      <c r="Y31" s="80">
        <f t="shared" si="22"/>
        <v>25.555555555555561</v>
      </c>
      <c r="Z31" s="100">
        <v>4</v>
      </c>
      <c r="AA31" s="85">
        <f t="shared" si="23"/>
        <v>120</v>
      </c>
      <c r="AB31" s="86">
        <f>+Z31*Analisis!$J$6</f>
        <v>100</v>
      </c>
      <c r="AC31" s="100">
        <v>0</v>
      </c>
      <c r="AD31" s="85">
        <f t="shared" si="24"/>
        <v>0</v>
      </c>
      <c r="AE31" s="86">
        <f>+AD31*Analisis!$J$7</f>
        <v>0</v>
      </c>
      <c r="AF31" s="86">
        <f t="shared" si="14"/>
        <v>326.88169590643281</v>
      </c>
      <c r="AG31" s="126">
        <f>+AF31/(1-Analisis!$E$9)</f>
        <v>408.60211988304098</v>
      </c>
      <c r="AH31" s="128">
        <f t="shared" si="15"/>
        <v>0</v>
      </c>
    </row>
    <row r="32" spans="1:34" s="73" customFormat="1" x14ac:dyDescent="0.25">
      <c r="A32" s="106">
        <v>19</v>
      </c>
      <c r="B32" t="s">
        <v>203</v>
      </c>
      <c r="C32" s="74">
        <f>IFERROR(VLOOKUP(B32,'REQ GALV'!A:B,2,0),0)</f>
        <v>0</v>
      </c>
      <c r="D32" s="116">
        <f t="shared" si="8"/>
        <v>565.11212902046782</v>
      </c>
      <c r="E32" s="4" t="s">
        <v>180</v>
      </c>
      <c r="F32" s="75" t="s">
        <v>147</v>
      </c>
      <c r="G32" s="90">
        <v>8.32</v>
      </c>
      <c r="H32" s="90">
        <v>50</v>
      </c>
      <c r="I32" s="76">
        <v>0.105</v>
      </c>
      <c r="J32" s="77">
        <v>28.24</v>
      </c>
      <c r="K32" s="78">
        <f t="shared" ref="K32:K33" si="50">+L32*2.2/J32</f>
        <v>23.945860875039354</v>
      </c>
      <c r="L32" s="58">
        <f>+VLOOKUP(E32,Material!$H$2:$M$17,6,FALSE)*G32*H32*(1+Material!$K$14)</f>
        <v>307.37777777777785</v>
      </c>
      <c r="M32" s="79" t="str">
        <f>+Analisis!$J$5</f>
        <v>T5.0</v>
      </c>
      <c r="N32" s="80">
        <f>+VLOOKUP(M32,Material!$A$3:$B$58,2,FALSE)</f>
        <v>5000</v>
      </c>
      <c r="O32" s="79" t="s">
        <v>42</v>
      </c>
      <c r="P32" s="79" t="s">
        <v>43</v>
      </c>
      <c r="Q32" s="81">
        <f>+IF(O32="ACERO A36",VLOOKUP(P32,'Velocidades Std 1500 w'!$B$2:$F$15,5,FALSE),IF(O32="INOXIDABLE",VLOOKUP(P32,'Velocidades Std 1500 w'!$B$17:$F$28,5,FALSE),IF(O32="ALUMINIO",VLOOKUP(P32,'Velocidades Std 1500 w'!$B$30:$F$38,5,FALSE))))</f>
        <v>4.3859649122807014E-6</v>
      </c>
      <c r="R32" s="82">
        <f t="shared" ref="R32:R33" si="51">+Q32*N32</f>
        <v>2.1929824561403508E-2</v>
      </c>
      <c r="S32" s="83">
        <f t="shared" ref="S32:S33" si="52">+Q32*T32*3600</f>
        <v>58.592586315789461</v>
      </c>
      <c r="T32" s="110">
        <f t="shared" ref="T32:T33" si="53">(+H32*2+G32*2+V32*1.5)*25.4*1.05</f>
        <v>3710.8637999999996</v>
      </c>
      <c r="U32" s="80">
        <f t="shared" ref="U32:U33" si="54">+T32*R32</f>
        <v>81.378592105263152</v>
      </c>
      <c r="V32" s="98">
        <v>15</v>
      </c>
      <c r="W32" s="84">
        <f>+IF(O32="ACERO A36",VLOOKUP(P32,'Tiempo Objeto'!$B$2:$C$12,2,FALSE),IF(O32="INOXIDABLE",VLOOKUP(P32,'Tiempo Objeto'!$B$14:$C$22,2,FALSE),IF(O32="ALUMINIO",VLOOKUP(P32,'Tiempo Objeto'!$B$24:$C$32,2,FALSE))))</f>
        <v>1.84</v>
      </c>
      <c r="X32" s="84">
        <f t="shared" ref="X32:X33" si="55">+W32*V32</f>
        <v>27.6</v>
      </c>
      <c r="Y32" s="80">
        <f t="shared" ref="Y32:Y33" si="56">+X32*N32/3600</f>
        <v>38.333333333333336</v>
      </c>
      <c r="Z32" s="100">
        <v>1</v>
      </c>
      <c r="AA32" s="85">
        <f t="shared" si="23"/>
        <v>30</v>
      </c>
      <c r="AB32" s="86">
        <f>+Z32*Analisis!$J$6</f>
        <v>25</v>
      </c>
      <c r="AC32" s="100">
        <v>0</v>
      </c>
      <c r="AD32" s="85">
        <f t="shared" si="24"/>
        <v>0</v>
      </c>
      <c r="AE32" s="86">
        <f>+AD32*Analisis!$J$7</f>
        <v>0</v>
      </c>
      <c r="AF32" s="86">
        <f t="shared" si="14"/>
        <v>452.08970321637429</v>
      </c>
      <c r="AG32" s="126">
        <f>+AF32/(1-Analisis!$E$9)</f>
        <v>565.11212902046782</v>
      </c>
      <c r="AH32" s="128">
        <f t="shared" si="15"/>
        <v>0</v>
      </c>
    </row>
    <row r="33" spans="1:34" s="73" customFormat="1" x14ac:dyDescent="0.25">
      <c r="A33" s="106">
        <v>20</v>
      </c>
      <c r="B33" t="s">
        <v>204</v>
      </c>
      <c r="C33" s="74">
        <f>IFERROR(VLOOKUP(B33,'REQ GALV'!A:B,2,0),0)</f>
        <v>0</v>
      </c>
      <c r="D33" s="116">
        <f t="shared" si="8"/>
        <v>565.11212902046782</v>
      </c>
      <c r="E33" s="4" t="s">
        <v>180</v>
      </c>
      <c r="F33" s="75" t="s">
        <v>147</v>
      </c>
      <c r="G33" s="90">
        <v>8.32</v>
      </c>
      <c r="H33" s="90">
        <v>50</v>
      </c>
      <c r="I33" s="76">
        <v>0.105</v>
      </c>
      <c r="J33" s="77">
        <v>28.24</v>
      </c>
      <c r="K33" s="78">
        <f t="shared" si="50"/>
        <v>23.945860875039354</v>
      </c>
      <c r="L33" s="58">
        <f>+VLOOKUP(E33,Material!$H$2:$M$17,6,FALSE)*G33*H33*(1+Material!$K$14)</f>
        <v>307.37777777777785</v>
      </c>
      <c r="M33" s="79" t="str">
        <f>+Analisis!$J$5</f>
        <v>T5.0</v>
      </c>
      <c r="N33" s="80">
        <f>+VLOOKUP(M33,Material!$A$3:$B$58,2,FALSE)</f>
        <v>5000</v>
      </c>
      <c r="O33" s="79" t="s">
        <v>42</v>
      </c>
      <c r="P33" s="79" t="s">
        <v>43</v>
      </c>
      <c r="Q33" s="81">
        <f>+IF(O33="ACERO A36",VLOOKUP(P33,'Velocidades Std 1500 w'!$B$2:$F$15,5,FALSE),IF(O33="INOXIDABLE",VLOOKUP(P33,'Velocidades Std 1500 w'!$B$17:$F$28,5,FALSE),IF(O33="ALUMINIO",VLOOKUP(P33,'Velocidades Std 1500 w'!$B$30:$F$38,5,FALSE))))</f>
        <v>4.3859649122807014E-6</v>
      </c>
      <c r="R33" s="82">
        <f t="shared" si="51"/>
        <v>2.1929824561403508E-2</v>
      </c>
      <c r="S33" s="83">
        <f t="shared" si="52"/>
        <v>58.592586315789461</v>
      </c>
      <c r="T33" s="110">
        <f t="shared" si="53"/>
        <v>3710.8637999999996</v>
      </c>
      <c r="U33" s="80">
        <f t="shared" si="54"/>
        <v>81.378592105263152</v>
      </c>
      <c r="V33" s="98">
        <v>15</v>
      </c>
      <c r="W33" s="84">
        <f>+IF(O33="ACERO A36",VLOOKUP(P33,'Tiempo Objeto'!$B$2:$C$12,2,FALSE),IF(O33="INOXIDABLE",VLOOKUP(P33,'Tiempo Objeto'!$B$14:$C$22,2,FALSE),IF(O33="ALUMINIO",VLOOKUP(P33,'Tiempo Objeto'!$B$24:$C$32,2,FALSE))))</f>
        <v>1.84</v>
      </c>
      <c r="X33" s="84">
        <f t="shared" si="55"/>
        <v>27.6</v>
      </c>
      <c r="Y33" s="80">
        <f t="shared" si="56"/>
        <v>38.333333333333336</v>
      </c>
      <c r="Z33" s="100">
        <v>1</v>
      </c>
      <c r="AA33" s="85">
        <f t="shared" si="23"/>
        <v>30</v>
      </c>
      <c r="AB33" s="86">
        <f>+Z33*Analisis!$J$6</f>
        <v>25</v>
      </c>
      <c r="AC33" s="100">
        <v>0</v>
      </c>
      <c r="AD33" s="85">
        <f t="shared" si="24"/>
        <v>0</v>
      </c>
      <c r="AE33" s="86">
        <f>+AD33*Analisis!$J$7</f>
        <v>0</v>
      </c>
      <c r="AF33" s="86">
        <f t="shared" si="14"/>
        <v>452.08970321637429</v>
      </c>
      <c r="AG33" s="126">
        <f>+AF33/(1-Analisis!$E$9)</f>
        <v>565.11212902046782</v>
      </c>
      <c r="AH33" s="128">
        <f t="shared" si="15"/>
        <v>0</v>
      </c>
    </row>
    <row r="34" spans="1:34" s="73" customFormat="1" x14ac:dyDescent="0.25">
      <c r="A34" s="106">
        <v>21</v>
      </c>
      <c r="B34" t="s">
        <v>205</v>
      </c>
      <c r="C34" s="74">
        <f>IFERROR(VLOOKUP(B34,'REQ GALV'!A:B,2,0),0)</f>
        <v>0</v>
      </c>
      <c r="D34" s="116">
        <f t="shared" si="8"/>
        <v>80.102825470394734</v>
      </c>
      <c r="E34" s="4" t="s">
        <v>180</v>
      </c>
      <c r="F34" s="75" t="s">
        <v>147</v>
      </c>
      <c r="G34" s="90">
        <v>4.5890000000000004</v>
      </c>
      <c r="H34" s="90">
        <v>3.629</v>
      </c>
      <c r="I34" s="76">
        <v>0.105</v>
      </c>
      <c r="J34" s="77">
        <v>28.24</v>
      </c>
      <c r="K34" s="78">
        <f t="shared" si="16"/>
        <v>0.95861043055555573</v>
      </c>
      <c r="L34" s="58">
        <f>+VLOOKUP(E34,Material!$H$2:$M$17,6,FALSE)*G34*H34*(1+Material!$K$14)</f>
        <v>12.305072072222224</v>
      </c>
      <c r="M34" s="79" t="str">
        <f>+Analisis!$J$5</f>
        <v>T5.0</v>
      </c>
      <c r="N34" s="80">
        <f>+VLOOKUP(M34,Material!$A$3:$B$58,2,FALSE)</f>
        <v>5000</v>
      </c>
      <c r="O34" s="79" t="s">
        <v>42</v>
      </c>
      <c r="P34" s="79" t="s">
        <v>43</v>
      </c>
      <c r="Q34" s="81">
        <f>+IF(O34="ACERO A36",VLOOKUP(P34,'Velocidades Std 1500 w'!$B$2:$F$15,5,FALSE),IF(O34="INOXIDABLE",VLOOKUP(P34,'Velocidades Std 1500 w'!$B$17:$F$28,5,FALSE),IF(O34="ALUMINIO",VLOOKUP(P34,'Velocidades Std 1500 w'!$B$30:$F$38,5,FALSE))))</f>
        <v>4.3859649122807014E-6</v>
      </c>
      <c r="R34" s="82">
        <f t="shared" si="17"/>
        <v>2.1929824561403508E-2</v>
      </c>
      <c r="S34" s="83">
        <f t="shared" si="18"/>
        <v>10.079575578947367</v>
      </c>
      <c r="T34" s="110">
        <f t="shared" si="19"/>
        <v>638.37311999999997</v>
      </c>
      <c r="U34" s="80">
        <f t="shared" si="20"/>
        <v>13.999410526315788</v>
      </c>
      <c r="V34" s="98">
        <v>5</v>
      </c>
      <c r="W34" s="84">
        <f>+IF(O34="ACERO A36",VLOOKUP(P34,'Tiempo Objeto'!$B$2:$C$12,2,FALSE),IF(O34="INOXIDABLE",VLOOKUP(P34,'Tiempo Objeto'!$B$14:$C$22,2,FALSE),IF(O34="ALUMINIO",VLOOKUP(P34,'Tiempo Objeto'!$B$24:$C$32,2,FALSE))))</f>
        <v>1.84</v>
      </c>
      <c r="X34" s="84">
        <f t="shared" si="21"/>
        <v>9.2000000000000011</v>
      </c>
      <c r="Y34" s="80">
        <f t="shared" si="22"/>
        <v>12.77777777777778</v>
      </c>
      <c r="Z34" s="100">
        <v>1</v>
      </c>
      <c r="AA34" s="85">
        <f t="shared" si="23"/>
        <v>30</v>
      </c>
      <c r="AB34" s="86">
        <f>+Z34*Analisis!$J$6</f>
        <v>25</v>
      </c>
      <c r="AC34" s="100">
        <v>0</v>
      </c>
      <c r="AD34" s="85">
        <f t="shared" si="24"/>
        <v>0</v>
      </c>
      <c r="AE34" s="86">
        <f>+AD34*Analisis!$J$7</f>
        <v>0</v>
      </c>
      <c r="AF34" s="86">
        <f t="shared" si="14"/>
        <v>64.082260376315787</v>
      </c>
      <c r="AG34" s="126">
        <f>+AF34/(1-Analisis!$E$9)</f>
        <v>80.102825470394734</v>
      </c>
      <c r="AH34" s="128">
        <f t="shared" si="15"/>
        <v>0</v>
      </c>
    </row>
    <row r="35" spans="1:34" s="73" customFormat="1" x14ac:dyDescent="0.25">
      <c r="A35" s="106">
        <v>22</v>
      </c>
      <c r="B35" t="s">
        <v>205</v>
      </c>
      <c r="C35" s="74">
        <f>IFERROR(VLOOKUP(B35,'REQ GALV'!A:B,2,0),0)</f>
        <v>0</v>
      </c>
      <c r="D35" s="116">
        <f t="shared" si="8"/>
        <v>80.102825470394734</v>
      </c>
      <c r="E35" s="4" t="s">
        <v>180</v>
      </c>
      <c r="F35" s="75" t="s">
        <v>147</v>
      </c>
      <c r="G35" s="90">
        <v>4.5890000000000004</v>
      </c>
      <c r="H35" s="90">
        <v>3.629</v>
      </c>
      <c r="I35" s="76">
        <v>0.105</v>
      </c>
      <c r="J35" s="77">
        <v>28.24</v>
      </c>
      <c r="K35" s="78">
        <f t="shared" ref="K35" si="57">+L35*2.2/J35</f>
        <v>0.95861043055555573</v>
      </c>
      <c r="L35" s="58">
        <f>+VLOOKUP(E35,Material!$H$2:$M$17,6,FALSE)*G35*H35*(1+Material!$K$14)</f>
        <v>12.305072072222224</v>
      </c>
      <c r="M35" s="79" t="str">
        <f>+Analisis!$J$5</f>
        <v>T5.0</v>
      </c>
      <c r="N35" s="80">
        <f>+VLOOKUP(M35,Material!$A$3:$B$58,2,FALSE)</f>
        <v>5000</v>
      </c>
      <c r="O35" s="79" t="s">
        <v>42</v>
      </c>
      <c r="P35" s="79" t="s">
        <v>43</v>
      </c>
      <c r="Q35" s="81">
        <f>+IF(O35="ACERO A36",VLOOKUP(P35,'Velocidades Std 1500 w'!$B$2:$F$15,5,FALSE),IF(O35="INOXIDABLE",VLOOKUP(P35,'Velocidades Std 1500 w'!$B$17:$F$28,5,FALSE),IF(O35="ALUMINIO",VLOOKUP(P35,'Velocidades Std 1500 w'!$B$30:$F$38,5,FALSE))))</f>
        <v>4.3859649122807014E-6</v>
      </c>
      <c r="R35" s="82">
        <f t="shared" ref="R35" si="58">+Q35*N35</f>
        <v>2.1929824561403508E-2</v>
      </c>
      <c r="S35" s="83">
        <f t="shared" ref="S35" si="59">+Q35*T35*3600</f>
        <v>10.079575578947367</v>
      </c>
      <c r="T35" s="110">
        <f t="shared" ref="T35" si="60">(+H35*2+G35*2+V35*1.5)*25.4*1.05</f>
        <v>638.37311999999997</v>
      </c>
      <c r="U35" s="80">
        <f t="shared" ref="U35" si="61">+T35*R35</f>
        <v>13.999410526315788</v>
      </c>
      <c r="V35" s="98">
        <v>5</v>
      </c>
      <c r="W35" s="84">
        <f>+IF(O35="ACERO A36",VLOOKUP(P35,'Tiempo Objeto'!$B$2:$C$12,2,FALSE),IF(O35="INOXIDABLE",VLOOKUP(P35,'Tiempo Objeto'!$B$14:$C$22,2,FALSE),IF(O35="ALUMINIO",VLOOKUP(P35,'Tiempo Objeto'!$B$24:$C$32,2,FALSE))))</f>
        <v>1.84</v>
      </c>
      <c r="X35" s="84">
        <f t="shared" ref="X35" si="62">+W35*V35</f>
        <v>9.2000000000000011</v>
      </c>
      <c r="Y35" s="80">
        <f t="shared" ref="Y35" si="63">+X35*N35/3600</f>
        <v>12.77777777777778</v>
      </c>
      <c r="Z35" s="100">
        <v>1</v>
      </c>
      <c r="AA35" s="85">
        <f t="shared" si="23"/>
        <v>30</v>
      </c>
      <c r="AB35" s="86">
        <f>+Z35*Analisis!$J$6</f>
        <v>25</v>
      </c>
      <c r="AC35" s="100">
        <v>0</v>
      </c>
      <c r="AD35" s="85">
        <f t="shared" si="24"/>
        <v>0</v>
      </c>
      <c r="AE35" s="86">
        <f>+AD35*Analisis!$J$7</f>
        <v>0</v>
      </c>
      <c r="AF35" s="86">
        <f t="shared" si="14"/>
        <v>64.082260376315787</v>
      </c>
      <c r="AG35" s="126">
        <f>+AF35/(1-Analisis!$E$9)</f>
        <v>80.102825470394734</v>
      </c>
      <c r="AH35" s="128">
        <f t="shared" si="15"/>
        <v>0</v>
      </c>
    </row>
    <row r="36" spans="1:34" s="73" customFormat="1" x14ac:dyDescent="0.25">
      <c r="A36" s="106">
        <v>23</v>
      </c>
      <c r="B36" t="s">
        <v>206</v>
      </c>
      <c r="C36" s="74">
        <f>IFERROR(VLOOKUP(B36,'REQ GALV'!A:B,2,0),0)</f>
        <v>0</v>
      </c>
      <c r="D36" s="116">
        <f t="shared" si="8"/>
        <v>142.11121399853801</v>
      </c>
      <c r="E36" s="4" t="s">
        <v>180</v>
      </c>
      <c r="F36" s="75" t="s">
        <v>147</v>
      </c>
      <c r="G36" s="90">
        <v>3.2370000000000001</v>
      </c>
      <c r="H36" s="90">
        <v>12</v>
      </c>
      <c r="I36" s="76">
        <v>0.105</v>
      </c>
      <c r="J36" s="77">
        <v>28.24</v>
      </c>
      <c r="K36" s="78">
        <f t="shared" si="16"/>
        <v>2.2359447592067996</v>
      </c>
      <c r="L36" s="58">
        <f>+VLOOKUP(E36,Material!$H$2:$M$17,6,FALSE)*G36*H36*(1+Material!$K$14)</f>
        <v>28.701400000000003</v>
      </c>
      <c r="M36" s="79" t="str">
        <f>+Analisis!$J$5</f>
        <v>T5.0</v>
      </c>
      <c r="N36" s="80">
        <f>+VLOOKUP(M36,Material!$A$3:$B$58,2,FALSE)</f>
        <v>5000</v>
      </c>
      <c r="O36" s="79" t="s">
        <v>42</v>
      </c>
      <c r="P36" s="79" t="s">
        <v>43</v>
      </c>
      <c r="Q36" s="81">
        <f>+IF(O36="ACERO A36",VLOOKUP(P36,'Velocidades Std 1500 w'!$B$2:$F$15,5,FALSE),IF(O36="INOXIDABLE",VLOOKUP(P36,'Velocidades Std 1500 w'!$B$17:$F$28,5,FALSE),IF(O36="ALUMINIO",VLOOKUP(P36,'Velocidades Std 1500 w'!$B$30:$F$38,5,FALSE))))</f>
        <v>4.3859649122807014E-6</v>
      </c>
      <c r="R36" s="82">
        <f t="shared" si="17"/>
        <v>2.1929824561403508E-2</v>
      </c>
      <c r="S36" s="83">
        <f t="shared" si="18"/>
        <v>15.991051263157894</v>
      </c>
      <c r="T36" s="110">
        <f t="shared" si="19"/>
        <v>1012.7665800000001</v>
      </c>
      <c r="U36" s="80">
        <f t="shared" si="20"/>
        <v>22.209793421052634</v>
      </c>
      <c r="V36" s="98">
        <v>5</v>
      </c>
      <c r="W36" s="84">
        <f>+IF(O36="ACERO A36",VLOOKUP(P36,'Tiempo Objeto'!$B$2:$C$12,2,FALSE),IF(O36="INOXIDABLE",VLOOKUP(P36,'Tiempo Objeto'!$B$14:$C$22,2,FALSE),IF(O36="ALUMINIO",VLOOKUP(P36,'Tiempo Objeto'!$B$24:$C$32,2,FALSE))))</f>
        <v>1.84</v>
      </c>
      <c r="X36" s="84">
        <f t="shared" si="21"/>
        <v>9.2000000000000011</v>
      </c>
      <c r="Y36" s="80">
        <f t="shared" si="22"/>
        <v>12.77777777777778</v>
      </c>
      <c r="Z36" s="100">
        <v>2</v>
      </c>
      <c r="AA36" s="85">
        <f t="shared" si="23"/>
        <v>60</v>
      </c>
      <c r="AB36" s="86">
        <f>+Z36*Analisis!$J$6</f>
        <v>50</v>
      </c>
      <c r="AC36" s="100">
        <v>0</v>
      </c>
      <c r="AD36" s="85">
        <f t="shared" si="24"/>
        <v>0</v>
      </c>
      <c r="AE36" s="86">
        <f>+AD36*Analisis!$J$7</f>
        <v>0</v>
      </c>
      <c r="AF36" s="86">
        <f t="shared" si="14"/>
        <v>113.68897119883042</v>
      </c>
      <c r="AG36" s="126">
        <f>+AF36/(1-Analisis!$E$9)</f>
        <v>142.11121399853801</v>
      </c>
      <c r="AH36" s="128">
        <f t="shared" si="15"/>
        <v>0</v>
      </c>
    </row>
    <row r="37" spans="1:34" s="73" customFormat="1" x14ac:dyDescent="0.25">
      <c r="A37" s="100" t="s">
        <v>213</v>
      </c>
      <c r="B37" s="1" t="s">
        <v>211</v>
      </c>
      <c r="C37" s="74">
        <f>IFERROR(VLOOKUP(B37,'REQ GALV'!A:B,2,0),0)</f>
        <v>0</v>
      </c>
      <c r="D37" s="116">
        <f t="shared" si="8"/>
        <v>94.966952850877192</v>
      </c>
      <c r="E37" s="4" t="s">
        <v>180</v>
      </c>
      <c r="F37" s="75" t="s">
        <v>147</v>
      </c>
      <c r="G37" s="90">
        <v>17.5</v>
      </c>
      <c r="H37" s="90">
        <v>0.94599999999999995</v>
      </c>
      <c r="I37" s="76">
        <v>0.105</v>
      </c>
      <c r="J37" s="77">
        <v>28.24</v>
      </c>
      <c r="K37" s="78">
        <f t="shared" si="16"/>
        <v>0.95294165092854921</v>
      </c>
      <c r="L37" s="58">
        <f>+VLOOKUP(E37,Material!$H$2:$M$17,6,FALSE)*G37*H37*(1+Material!$K$14)</f>
        <v>12.232305555555557</v>
      </c>
      <c r="M37" s="79" t="str">
        <f>+Analisis!$J$5</f>
        <v>T5.0</v>
      </c>
      <c r="N37" s="80">
        <f>+VLOOKUP(M37,Material!$A$3:$B$58,2,FALSE)</f>
        <v>5000</v>
      </c>
      <c r="O37" s="79" t="s">
        <v>42</v>
      </c>
      <c r="P37" s="79" t="s">
        <v>43</v>
      </c>
      <c r="Q37" s="81">
        <f>+IF(O37="ACERO A36",VLOOKUP(P37,'Velocidades Std 1500 w'!$B$2:$F$15,5,FALSE),IF(O37="INOXIDABLE",VLOOKUP(P37,'Velocidades Std 1500 w'!$B$17:$F$28,5,FALSE),IF(O37="ALUMINIO",VLOOKUP(P37,'Velocidades Std 1500 w'!$B$30:$F$38,5,FALSE))))</f>
        <v>4.3859649122807014E-6</v>
      </c>
      <c r="R37" s="82">
        <f t="shared" si="17"/>
        <v>2.1929824561403508E-2</v>
      </c>
      <c r="S37" s="83">
        <f t="shared" si="18"/>
        <v>18.693704842105266</v>
      </c>
      <c r="T37" s="110">
        <f t="shared" si="19"/>
        <v>1183.9346400000002</v>
      </c>
      <c r="U37" s="80">
        <f t="shared" si="20"/>
        <v>25.963478947368422</v>
      </c>
      <c r="V37" s="98">
        <v>5</v>
      </c>
      <c r="W37" s="84">
        <f>+IF(O37="ACERO A36",VLOOKUP(P37,'Tiempo Objeto'!$B$2:$C$12,2,FALSE),IF(O37="INOXIDABLE",VLOOKUP(P37,'Tiempo Objeto'!$B$14:$C$22,2,FALSE),IF(O37="ALUMINIO",VLOOKUP(P37,'Tiempo Objeto'!$B$24:$C$32,2,FALSE))))</f>
        <v>1.84</v>
      </c>
      <c r="X37" s="84">
        <f t="shared" si="21"/>
        <v>9.2000000000000011</v>
      </c>
      <c r="Y37" s="80">
        <f t="shared" si="22"/>
        <v>12.77777777777778</v>
      </c>
      <c r="Z37" s="100">
        <v>1</v>
      </c>
      <c r="AA37" s="85">
        <f t="shared" si="23"/>
        <v>30</v>
      </c>
      <c r="AB37" s="86">
        <f>+Z37*Analisis!$J$6</f>
        <v>25</v>
      </c>
      <c r="AC37" s="100">
        <v>0</v>
      </c>
      <c r="AD37" s="85">
        <f t="shared" si="24"/>
        <v>0</v>
      </c>
      <c r="AE37" s="86">
        <f>+AD37*Analisis!$J$7</f>
        <v>0</v>
      </c>
      <c r="AF37" s="86">
        <f t="shared" si="14"/>
        <v>75.973562280701756</v>
      </c>
      <c r="AG37" s="126">
        <f>+AF37/(1-Analisis!$E$9)</f>
        <v>94.966952850877192</v>
      </c>
      <c r="AH37" s="128">
        <f t="shared" si="15"/>
        <v>0</v>
      </c>
    </row>
    <row r="38" spans="1:34" s="73" customFormat="1" x14ac:dyDescent="0.25">
      <c r="A38" s="100" t="s">
        <v>214</v>
      </c>
      <c r="B38" s="1" t="s">
        <v>212</v>
      </c>
      <c r="C38" s="74">
        <f>IFERROR(VLOOKUP(B38,'REQ GALV'!A:B,2,0),0)</f>
        <v>0</v>
      </c>
      <c r="D38" s="116">
        <f t="shared" si="8"/>
        <v>182.92748742690057</v>
      </c>
      <c r="E38" s="4" t="s">
        <v>180</v>
      </c>
      <c r="F38" s="75" t="s">
        <v>147</v>
      </c>
      <c r="G38" s="90">
        <v>3.56</v>
      </c>
      <c r="H38" s="90">
        <v>28.38</v>
      </c>
      <c r="I38" s="76">
        <v>0.105</v>
      </c>
      <c r="J38" s="77">
        <v>28.24</v>
      </c>
      <c r="K38" s="78">
        <f t="shared" si="16"/>
        <v>5.8156667610953745</v>
      </c>
      <c r="L38" s="58">
        <f>+VLOOKUP(E38,Material!$H$2:$M$17,6,FALSE)*G38*H38*(1+Material!$K$14)</f>
        <v>74.652013333333343</v>
      </c>
      <c r="M38" s="79" t="str">
        <f>+Analisis!$J$5</f>
        <v>T5.0</v>
      </c>
      <c r="N38" s="80">
        <f>+VLOOKUP(M38,Material!$A$3:$B$58,2,FALSE)</f>
        <v>5000</v>
      </c>
      <c r="O38" s="79" t="s">
        <v>42</v>
      </c>
      <c r="P38" s="79" t="s">
        <v>43</v>
      </c>
      <c r="Q38" s="81">
        <f>+IF(O38="ACERO A36",VLOOKUP(P38,'Velocidades Std 1500 w'!$B$2:$F$15,5,FALSE),IF(O38="INOXIDABLE",VLOOKUP(P38,'Velocidades Std 1500 w'!$B$17:$F$28,5,FALSE),IF(O38="ALUMINIO",VLOOKUP(P38,'Velocidades Std 1500 w'!$B$30:$F$38,5,FALSE))))</f>
        <v>4.3859649122807014E-6</v>
      </c>
      <c r="R38" s="82">
        <f t="shared" si="17"/>
        <v>2.1929824561403508E-2</v>
      </c>
      <c r="S38" s="83">
        <f t="shared" si="18"/>
        <v>33.216783157894724</v>
      </c>
      <c r="T38" s="110">
        <f t="shared" si="19"/>
        <v>2103.7295999999997</v>
      </c>
      <c r="U38" s="80">
        <f t="shared" si="20"/>
        <v>46.134421052631566</v>
      </c>
      <c r="V38" s="98">
        <v>10</v>
      </c>
      <c r="W38" s="84">
        <f>+IF(O38="ACERO A36",VLOOKUP(P38,'Tiempo Objeto'!$B$2:$C$12,2,FALSE),IF(O38="INOXIDABLE",VLOOKUP(P38,'Tiempo Objeto'!$B$14:$C$22,2,FALSE),IF(O38="ALUMINIO",VLOOKUP(P38,'Tiempo Objeto'!$B$24:$C$32,2,FALSE))))</f>
        <v>1.84</v>
      </c>
      <c r="X38" s="84">
        <f t="shared" si="21"/>
        <v>18.400000000000002</v>
      </c>
      <c r="Y38" s="80">
        <f t="shared" si="22"/>
        <v>25.555555555555561</v>
      </c>
      <c r="Z38" s="100">
        <v>0</v>
      </c>
      <c r="AA38" s="85">
        <f t="shared" si="23"/>
        <v>0</v>
      </c>
      <c r="AB38" s="86">
        <f>+Z38*Analisis!$J$6</f>
        <v>0</v>
      </c>
      <c r="AC38" s="100">
        <v>0</v>
      </c>
      <c r="AD38" s="85">
        <f t="shared" si="24"/>
        <v>0</v>
      </c>
      <c r="AE38" s="86">
        <f>+AD38*Analisis!$J$7</f>
        <v>0</v>
      </c>
      <c r="AF38" s="86">
        <f t="shared" si="14"/>
        <v>146.34198994152047</v>
      </c>
      <c r="AG38" s="126">
        <f>+AF38/(1-Analisis!$E$9)</f>
        <v>182.92748742690057</v>
      </c>
      <c r="AH38" s="128">
        <f t="shared" si="15"/>
        <v>0</v>
      </c>
    </row>
    <row r="39" spans="1:34" s="73" customFormat="1" x14ac:dyDescent="0.25">
      <c r="A39" s="105"/>
      <c r="B39" s="108" t="s">
        <v>215</v>
      </c>
      <c r="C39" s="74">
        <f>IFERROR(VLOOKUP(B39,'REQ GALV'!A:B,2,0),0)</f>
        <v>0</v>
      </c>
      <c r="D39" s="116">
        <f t="shared" si="8"/>
        <v>94.966952850877192</v>
      </c>
      <c r="E39" s="4" t="s">
        <v>180</v>
      </c>
      <c r="F39" s="75" t="s">
        <v>147</v>
      </c>
      <c r="G39" s="90">
        <v>17.5</v>
      </c>
      <c r="H39" s="90">
        <v>0.94599999999999995</v>
      </c>
      <c r="I39" s="76">
        <v>0.105</v>
      </c>
      <c r="J39" s="77">
        <v>28.24</v>
      </c>
      <c r="K39" s="78">
        <f t="shared" si="16"/>
        <v>0.95294165092854921</v>
      </c>
      <c r="L39" s="58">
        <f>+VLOOKUP(E39,Material!$H$2:$M$17,6,FALSE)*G39*H39*(1+Material!$K$14)</f>
        <v>12.232305555555557</v>
      </c>
      <c r="M39" s="79" t="str">
        <f>+Analisis!$J$5</f>
        <v>T5.0</v>
      </c>
      <c r="N39" s="80">
        <f>+VLOOKUP(M39,Material!$A$3:$B$58,2,FALSE)</f>
        <v>5000</v>
      </c>
      <c r="O39" s="79" t="s">
        <v>42</v>
      </c>
      <c r="P39" s="79" t="s">
        <v>43</v>
      </c>
      <c r="Q39" s="81">
        <f>+IF(O39="ACERO A36",VLOOKUP(P39,'Velocidades Std 1500 w'!$B$2:$F$15,5,FALSE),IF(O39="INOXIDABLE",VLOOKUP(P39,'Velocidades Std 1500 w'!$B$17:$F$28,5,FALSE),IF(O39="ALUMINIO",VLOOKUP(P39,'Velocidades Std 1500 w'!$B$30:$F$38,5,FALSE))))</f>
        <v>4.3859649122807014E-6</v>
      </c>
      <c r="R39" s="82">
        <f t="shared" si="17"/>
        <v>2.1929824561403508E-2</v>
      </c>
      <c r="S39" s="83">
        <f t="shared" si="18"/>
        <v>18.693704842105266</v>
      </c>
      <c r="T39" s="110">
        <f t="shared" si="19"/>
        <v>1183.9346400000002</v>
      </c>
      <c r="U39" s="80">
        <f t="shared" si="20"/>
        <v>25.963478947368422</v>
      </c>
      <c r="V39" s="98">
        <v>5</v>
      </c>
      <c r="W39" s="84">
        <f>+IF(O39="ACERO A36",VLOOKUP(P39,'Tiempo Objeto'!$B$2:$C$12,2,FALSE),IF(O39="INOXIDABLE",VLOOKUP(P39,'Tiempo Objeto'!$B$14:$C$22,2,FALSE),IF(O39="ALUMINIO",VLOOKUP(P39,'Tiempo Objeto'!$B$24:$C$32,2,FALSE))))</f>
        <v>1.84</v>
      </c>
      <c r="X39" s="84">
        <f t="shared" si="21"/>
        <v>9.2000000000000011</v>
      </c>
      <c r="Y39" s="80">
        <f t="shared" si="22"/>
        <v>12.77777777777778</v>
      </c>
      <c r="Z39" s="100">
        <v>1</v>
      </c>
      <c r="AA39" s="85">
        <f t="shared" si="23"/>
        <v>30</v>
      </c>
      <c r="AB39" s="86">
        <f>+Z39*Analisis!$J$6</f>
        <v>25</v>
      </c>
      <c r="AC39" s="100">
        <v>0</v>
      </c>
      <c r="AD39" s="85">
        <f t="shared" si="24"/>
        <v>0</v>
      </c>
      <c r="AE39" s="86">
        <f>+AD39*Analisis!$J$7</f>
        <v>0</v>
      </c>
      <c r="AF39" s="86">
        <f t="shared" si="14"/>
        <v>75.973562280701756</v>
      </c>
      <c r="AG39" s="126">
        <f>+AF39/(1-Analisis!$E$9)</f>
        <v>94.966952850877192</v>
      </c>
      <c r="AH39" s="128">
        <f t="shared" si="15"/>
        <v>0</v>
      </c>
    </row>
    <row r="40" spans="1:34" s="73" customFormat="1" x14ac:dyDescent="0.25">
      <c r="A40" s="105"/>
      <c r="B40" s="108" t="s">
        <v>216</v>
      </c>
      <c r="C40" s="74">
        <f>IFERROR(VLOOKUP(B40,'REQ GALV'!A:B,2,0),0)</f>
        <v>0</v>
      </c>
      <c r="D40" s="116">
        <f t="shared" si="8"/>
        <v>1302.8948928362574</v>
      </c>
      <c r="E40" s="4" t="s">
        <v>180</v>
      </c>
      <c r="F40" s="75" t="s">
        <v>147</v>
      </c>
      <c r="G40" s="90">
        <v>10.39</v>
      </c>
      <c r="H40" s="90">
        <v>91.56</v>
      </c>
      <c r="I40" s="76">
        <v>0.105</v>
      </c>
      <c r="J40" s="77">
        <v>28.24</v>
      </c>
      <c r="K40" s="78">
        <f t="shared" si="16"/>
        <v>54.759371624173767</v>
      </c>
      <c r="L40" s="58">
        <f>+VLOOKUP(E40,Material!$H$2:$M$17,6,FALSE)*G40*H40*(1+Material!$K$14)</f>
        <v>702.91120666666677</v>
      </c>
      <c r="M40" s="79" t="str">
        <f>+Analisis!$J$5</f>
        <v>T5.0</v>
      </c>
      <c r="N40" s="80">
        <f>+VLOOKUP(M40,Material!$A$3:$B$58,2,FALSE)</f>
        <v>5000</v>
      </c>
      <c r="O40" s="79" t="s">
        <v>42</v>
      </c>
      <c r="P40" s="79" t="s">
        <v>43</v>
      </c>
      <c r="Q40" s="81">
        <f>+IF(O40="ACERO A36",VLOOKUP(P40,'Velocidades Std 1500 w'!$B$2:$F$15,5,FALSE),IF(O40="INOXIDABLE",VLOOKUP(P40,'Velocidades Std 1500 w'!$B$17:$F$28,5,FALSE),IF(O40="ALUMINIO",VLOOKUP(P40,'Velocidades Std 1500 w'!$B$30:$F$38,5,FALSE))))</f>
        <v>4.3859649122807014E-6</v>
      </c>
      <c r="R40" s="82">
        <f t="shared" si="17"/>
        <v>2.1929824561403508E-2</v>
      </c>
      <c r="S40" s="83">
        <f t="shared" si="18"/>
        <v>107.97138947368421</v>
      </c>
      <c r="T40" s="110">
        <f t="shared" si="19"/>
        <v>6838.1880000000001</v>
      </c>
      <c r="U40" s="80">
        <f t="shared" si="20"/>
        <v>149.96026315789473</v>
      </c>
      <c r="V40" s="98">
        <v>35</v>
      </c>
      <c r="W40" s="84">
        <f>+IF(O40="ACERO A36",VLOOKUP(P40,'Tiempo Objeto'!$B$2:$C$12,2,FALSE),IF(O40="INOXIDABLE",VLOOKUP(P40,'Tiempo Objeto'!$B$14:$C$22,2,FALSE),IF(O40="ALUMINIO",VLOOKUP(P40,'Tiempo Objeto'!$B$24:$C$32,2,FALSE))))</f>
        <v>1.84</v>
      </c>
      <c r="X40" s="84">
        <f t="shared" si="21"/>
        <v>64.400000000000006</v>
      </c>
      <c r="Y40" s="80">
        <f t="shared" si="22"/>
        <v>89.444444444444443</v>
      </c>
      <c r="Z40" s="100">
        <v>4</v>
      </c>
      <c r="AA40" s="85">
        <f t="shared" si="23"/>
        <v>120</v>
      </c>
      <c r="AB40" s="86">
        <f>+Z40*Analisis!$J$6</f>
        <v>100</v>
      </c>
      <c r="AC40" s="100">
        <v>0</v>
      </c>
      <c r="AD40" s="85">
        <f t="shared" si="24"/>
        <v>0</v>
      </c>
      <c r="AE40" s="86">
        <f>+AD40*Analisis!$J$7</f>
        <v>0</v>
      </c>
      <c r="AF40" s="86">
        <f t="shared" si="14"/>
        <v>1042.315914269006</v>
      </c>
      <c r="AG40" s="126">
        <f>+AF40/(1-Analisis!$E$9)</f>
        <v>1302.8948928362574</v>
      </c>
      <c r="AH40" s="128">
        <f t="shared" si="15"/>
        <v>0</v>
      </c>
    </row>
    <row r="41" spans="1:34" s="73" customFormat="1" x14ac:dyDescent="0.25">
      <c r="A41" s="105"/>
      <c r="B41" s="108" t="s">
        <v>217</v>
      </c>
      <c r="C41" s="74">
        <f>IFERROR(VLOOKUP(B41,'REQ GALV'!A:B,2,0),0)</f>
        <v>0</v>
      </c>
      <c r="D41" s="116">
        <f t="shared" si="8"/>
        <v>87.146207967836247</v>
      </c>
      <c r="E41" s="4" t="s">
        <v>180</v>
      </c>
      <c r="F41" s="75" t="s">
        <v>147</v>
      </c>
      <c r="G41" s="90">
        <v>3</v>
      </c>
      <c r="H41" s="90">
        <v>7.1</v>
      </c>
      <c r="I41" s="76">
        <v>0.105</v>
      </c>
      <c r="J41" s="77">
        <v>28.24</v>
      </c>
      <c r="K41" s="78">
        <f t="shared" si="16"/>
        <v>1.2260741265344668</v>
      </c>
      <c r="L41" s="58">
        <f>+VLOOKUP(E41,Material!$H$2:$M$17,6,FALSE)*G41*H41*(1+Material!$K$14)</f>
        <v>15.738333333333335</v>
      </c>
      <c r="M41" s="79" t="str">
        <f>+Analisis!$J$5</f>
        <v>T5.0</v>
      </c>
      <c r="N41" s="80">
        <f>+VLOOKUP(M41,Material!$A$3:$B$58,2,FALSE)</f>
        <v>5000</v>
      </c>
      <c r="O41" s="79" t="s">
        <v>42</v>
      </c>
      <c r="P41" s="79" t="s">
        <v>43</v>
      </c>
      <c r="Q41" s="81">
        <f>+IF(O41="ACERO A36",VLOOKUP(P41,'Velocidades Std 1500 w'!$B$2:$F$15,5,FALSE),IF(O41="INOXIDABLE",VLOOKUP(P41,'Velocidades Std 1500 w'!$B$17:$F$28,5,FALSE),IF(O41="ALUMINIO",VLOOKUP(P41,'Velocidades Std 1500 w'!$B$30:$F$38,5,FALSE))))</f>
        <v>4.3859649122807014E-6</v>
      </c>
      <c r="R41" s="82">
        <f t="shared" si="17"/>
        <v>2.1929824561403508E-2</v>
      </c>
      <c r="S41" s="83">
        <f t="shared" si="18"/>
        <v>11.664615789473682</v>
      </c>
      <c r="T41" s="110">
        <f t="shared" si="19"/>
        <v>738.7589999999999</v>
      </c>
      <c r="U41" s="80">
        <f t="shared" si="20"/>
        <v>16.200855263157891</v>
      </c>
      <c r="V41" s="98">
        <v>5</v>
      </c>
      <c r="W41" s="84">
        <f>+IF(O41="ACERO A36",VLOOKUP(P41,'Tiempo Objeto'!$B$2:$C$12,2,FALSE),IF(O41="INOXIDABLE",VLOOKUP(P41,'Tiempo Objeto'!$B$14:$C$22,2,FALSE),IF(O41="ALUMINIO",VLOOKUP(P41,'Tiempo Objeto'!$B$24:$C$32,2,FALSE))))</f>
        <v>1.84</v>
      </c>
      <c r="X41" s="84">
        <f t="shared" si="21"/>
        <v>9.2000000000000011</v>
      </c>
      <c r="Y41" s="80">
        <f t="shared" si="22"/>
        <v>12.77777777777778</v>
      </c>
      <c r="Z41" s="100">
        <v>1</v>
      </c>
      <c r="AA41" s="85">
        <f t="shared" si="23"/>
        <v>30</v>
      </c>
      <c r="AB41" s="86">
        <f>+Z41*Analisis!$J$6</f>
        <v>25</v>
      </c>
      <c r="AC41" s="100">
        <v>0</v>
      </c>
      <c r="AD41" s="85">
        <f t="shared" si="24"/>
        <v>0</v>
      </c>
      <c r="AE41" s="86">
        <f>+AD41*Analisis!$J$7</f>
        <v>0</v>
      </c>
      <c r="AF41" s="86">
        <f t="shared" si="14"/>
        <v>69.716966374269006</v>
      </c>
      <c r="AG41" s="126">
        <f>+AF41/(1-Analisis!$E$9)</f>
        <v>87.146207967836247</v>
      </c>
      <c r="AH41" s="128">
        <f t="shared" si="15"/>
        <v>0</v>
      </c>
    </row>
    <row r="42" spans="1:34" s="73" customFormat="1" x14ac:dyDescent="0.25">
      <c r="A42" s="105"/>
      <c r="B42" s="108" t="s">
        <v>218</v>
      </c>
      <c r="C42" s="74">
        <f>IFERROR(VLOOKUP(B42,'REQ GALV'!A:B,2,0),0)</f>
        <v>0</v>
      </c>
      <c r="D42" s="116">
        <f t="shared" si="8"/>
        <v>709.38618695175444</v>
      </c>
      <c r="E42" s="4" t="s">
        <v>180</v>
      </c>
      <c r="F42" s="75" t="s">
        <v>147</v>
      </c>
      <c r="G42" s="90">
        <v>15.525</v>
      </c>
      <c r="H42" s="90">
        <v>27.4</v>
      </c>
      <c r="I42" s="76">
        <v>0.105</v>
      </c>
      <c r="J42" s="77">
        <v>28.24</v>
      </c>
      <c r="K42" s="78">
        <f t="shared" si="16"/>
        <v>24.486081798866859</v>
      </c>
      <c r="L42" s="58">
        <f>+VLOOKUP(E42,Material!$H$2:$M$17,6,FALSE)*G42*H42*(1+Material!$K$14)</f>
        <v>314.31225000000001</v>
      </c>
      <c r="M42" s="79" t="str">
        <f>+Analisis!$J$5</f>
        <v>T5.0</v>
      </c>
      <c r="N42" s="80">
        <f>+VLOOKUP(M42,Material!$A$3:$B$58,2,FALSE)</f>
        <v>5000</v>
      </c>
      <c r="O42" s="79" t="s">
        <v>42</v>
      </c>
      <c r="P42" s="79" t="s">
        <v>43</v>
      </c>
      <c r="Q42" s="81">
        <f>+IF(O42="ACERO A36",VLOOKUP(P42,'Velocidades Std 1500 w'!$B$2:$F$15,5,FALSE),IF(O42="INOXIDABLE",VLOOKUP(P42,'Velocidades Std 1500 w'!$B$17:$F$28,5,FALSE),IF(O42="ALUMINIO",VLOOKUP(P42,'Velocidades Std 1500 w'!$B$30:$F$38,5,FALSE))))</f>
        <v>4.3859649122807014E-6</v>
      </c>
      <c r="R42" s="82">
        <f t="shared" si="17"/>
        <v>2.1929824561403508E-2</v>
      </c>
      <c r="S42" s="83">
        <f t="shared" si="18"/>
        <v>55.101623684210516</v>
      </c>
      <c r="T42" s="110">
        <f t="shared" si="19"/>
        <v>3489.7694999999999</v>
      </c>
      <c r="U42" s="80">
        <f t="shared" si="20"/>
        <v>76.530032894736834</v>
      </c>
      <c r="V42" s="98">
        <v>30</v>
      </c>
      <c r="W42" s="84">
        <f>+IF(O42="ACERO A36",VLOOKUP(P42,'Tiempo Objeto'!$B$2:$C$12,2,FALSE),IF(O42="INOXIDABLE",VLOOKUP(P42,'Tiempo Objeto'!$B$14:$C$22,2,FALSE),IF(O42="ALUMINIO",VLOOKUP(P42,'Tiempo Objeto'!$B$24:$C$32,2,FALSE))))</f>
        <v>1.84</v>
      </c>
      <c r="X42" s="84">
        <f t="shared" si="21"/>
        <v>55.2</v>
      </c>
      <c r="Y42" s="80">
        <f t="shared" si="22"/>
        <v>76.666666666666671</v>
      </c>
      <c r="Z42" s="100">
        <v>4</v>
      </c>
      <c r="AA42" s="85">
        <f t="shared" si="23"/>
        <v>120</v>
      </c>
      <c r="AB42" s="86">
        <f>+Z42*Analisis!$J$6</f>
        <v>100</v>
      </c>
      <c r="AC42" s="100">
        <v>0</v>
      </c>
      <c r="AD42" s="85">
        <f t="shared" si="24"/>
        <v>0</v>
      </c>
      <c r="AE42" s="86">
        <f>+AD42*Analisis!$J$7</f>
        <v>0</v>
      </c>
      <c r="AF42" s="86">
        <f t="shared" si="14"/>
        <v>567.5089495614036</v>
      </c>
      <c r="AG42" s="126">
        <f>+AF42/(1-Analisis!$E$9)</f>
        <v>709.38618695175444</v>
      </c>
      <c r="AH42" s="128">
        <f t="shared" si="15"/>
        <v>0</v>
      </c>
    </row>
    <row r="43" spans="1:34" s="73" customFormat="1" x14ac:dyDescent="0.25">
      <c r="A43" s="105"/>
      <c r="B43" s="108" t="s">
        <v>219</v>
      </c>
      <c r="C43" s="74">
        <f>IFERROR(VLOOKUP(B43,'REQ GALV'!A:B,2,0),0)</f>
        <v>0</v>
      </c>
      <c r="D43" s="116">
        <f t="shared" si="8"/>
        <v>191.51964552266082</v>
      </c>
      <c r="E43" s="4" t="s">
        <v>180</v>
      </c>
      <c r="F43" s="75" t="s">
        <v>147</v>
      </c>
      <c r="G43" s="90">
        <v>4.3899999999999997</v>
      </c>
      <c r="H43" s="90">
        <v>7.0049999999999999</v>
      </c>
      <c r="I43" s="76">
        <v>0.105</v>
      </c>
      <c r="J43" s="77">
        <v>28.24</v>
      </c>
      <c r="K43" s="78">
        <f t="shared" si="16"/>
        <v>1.7701488373465539</v>
      </c>
      <c r="L43" s="58">
        <f>+VLOOKUP(E43,Material!$H$2:$M$17,6,FALSE)*G43*H43*(1+Material!$K$14)</f>
        <v>22.722274166666669</v>
      </c>
      <c r="M43" s="79" t="str">
        <f>+Analisis!$J$5</f>
        <v>T5.0</v>
      </c>
      <c r="N43" s="80">
        <f>+VLOOKUP(M43,Material!$A$3:$B$58,2,FALSE)</f>
        <v>5000</v>
      </c>
      <c r="O43" s="79" t="s">
        <v>42</v>
      </c>
      <c r="P43" s="79" t="s">
        <v>43</v>
      </c>
      <c r="Q43" s="81">
        <f>+IF(O43="ACERO A36",VLOOKUP(P43,'Velocidades Std 1500 w'!$B$2:$F$15,5,FALSE),IF(O43="INOXIDABLE",VLOOKUP(P43,'Velocidades Std 1500 w'!$B$17:$F$28,5,FALSE),IF(O43="ALUMINIO",VLOOKUP(P43,'Velocidades Std 1500 w'!$B$30:$F$38,5,FALSE))))</f>
        <v>4.3859649122807014E-6</v>
      </c>
      <c r="R43" s="82">
        <f t="shared" si="17"/>
        <v>2.1929824561403508E-2</v>
      </c>
      <c r="S43" s="83">
        <f t="shared" si="18"/>
        <v>12.755278421052632</v>
      </c>
      <c r="T43" s="110">
        <f t="shared" si="19"/>
        <v>807.83429999999998</v>
      </c>
      <c r="U43" s="80">
        <f t="shared" si="20"/>
        <v>17.71566447368421</v>
      </c>
      <c r="V43" s="98">
        <v>5</v>
      </c>
      <c r="W43" s="84">
        <f>+IF(O43="ACERO A36",VLOOKUP(P43,'Tiempo Objeto'!$B$2:$C$12,2,FALSE),IF(O43="INOXIDABLE",VLOOKUP(P43,'Tiempo Objeto'!$B$14:$C$22,2,FALSE),IF(O43="ALUMINIO",VLOOKUP(P43,'Tiempo Objeto'!$B$24:$C$32,2,FALSE))))</f>
        <v>1.84</v>
      </c>
      <c r="X43" s="84">
        <f t="shared" si="21"/>
        <v>9.2000000000000011</v>
      </c>
      <c r="Y43" s="80">
        <f t="shared" si="22"/>
        <v>12.77777777777778</v>
      </c>
      <c r="Z43" s="100">
        <v>4</v>
      </c>
      <c r="AA43" s="85">
        <f t="shared" si="23"/>
        <v>120</v>
      </c>
      <c r="AB43" s="86">
        <f>+Z43*Analisis!$J$6</f>
        <v>100</v>
      </c>
      <c r="AC43" s="100">
        <v>0</v>
      </c>
      <c r="AD43" s="85">
        <f t="shared" si="24"/>
        <v>0</v>
      </c>
      <c r="AE43" s="86">
        <f>+AD43*Analisis!$J$7</f>
        <v>0</v>
      </c>
      <c r="AF43" s="86">
        <f t="shared" si="14"/>
        <v>153.21571641812866</v>
      </c>
      <c r="AG43" s="126">
        <f>+AF43/(1-Analisis!$E$9)</f>
        <v>191.51964552266082</v>
      </c>
      <c r="AH43" s="128">
        <f t="shared" si="15"/>
        <v>0</v>
      </c>
    </row>
    <row r="44" spans="1:34" s="73" customFormat="1" x14ac:dyDescent="0.25">
      <c r="A44" s="105"/>
      <c r="B44" s="108" t="s">
        <v>220</v>
      </c>
      <c r="C44" s="74">
        <f>IFERROR(VLOOKUP(B44,'REQ GALV'!A:B,2,0),0)</f>
        <v>0</v>
      </c>
      <c r="D44" s="116">
        <f t="shared" si="8"/>
        <v>56.569786001461978</v>
      </c>
      <c r="E44" s="4" t="s">
        <v>180</v>
      </c>
      <c r="F44" s="75" t="s">
        <v>147</v>
      </c>
      <c r="G44" s="90">
        <v>1.75</v>
      </c>
      <c r="H44" s="90">
        <v>1.8180000000000001</v>
      </c>
      <c r="I44" s="76">
        <v>0.105</v>
      </c>
      <c r="J44" s="77">
        <v>28.24</v>
      </c>
      <c r="K44" s="78">
        <f t="shared" si="16"/>
        <v>0.18313402974504253</v>
      </c>
      <c r="L44" s="58">
        <f>+VLOOKUP(E44,Material!$H$2:$M$17,6,FALSE)*G44*H44*(1+Material!$K$14)</f>
        <v>2.3507750000000005</v>
      </c>
      <c r="M44" s="79" t="str">
        <f>+Analisis!$J$5</f>
        <v>T5.0</v>
      </c>
      <c r="N44" s="80">
        <f>+VLOOKUP(M44,Material!$A$3:$B$58,2,FALSE)</f>
        <v>5000</v>
      </c>
      <c r="O44" s="79" t="s">
        <v>42</v>
      </c>
      <c r="P44" s="79" t="s">
        <v>43</v>
      </c>
      <c r="Q44" s="81">
        <f>+IF(O44="ACERO A36",VLOOKUP(P44,'Velocidades Std 1500 w'!$B$2:$F$15,5,FALSE),IF(O44="INOXIDABLE",VLOOKUP(P44,'Velocidades Std 1500 w'!$B$17:$F$28,5,FALSE),IF(O44="ALUMINIO",VLOOKUP(P44,'Velocidades Std 1500 w'!$B$30:$F$38,5,FALSE))))</f>
        <v>4.3859649122807014E-6</v>
      </c>
      <c r="R44" s="82">
        <f t="shared" si="17"/>
        <v>2.1929824561403508E-2</v>
      </c>
      <c r="S44" s="83">
        <f t="shared" si="18"/>
        <v>5.5316387368421038</v>
      </c>
      <c r="T44" s="110">
        <f t="shared" si="19"/>
        <v>350.33711999999997</v>
      </c>
      <c r="U44" s="80">
        <f t="shared" si="20"/>
        <v>7.6828315789473676</v>
      </c>
      <c r="V44" s="98">
        <v>4</v>
      </c>
      <c r="W44" s="84">
        <f>+IF(O44="ACERO A36",VLOOKUP(P44,'Tiempo Objeto'!$B$2:$C$12,2,FALSE),IF(O44="INOXIDABLE",VLOOKUP(P44,'Tiempo Objeto'!$B$14:$C$22,2,FALSE),IF(O44="ALUMINIO",VLOOKUP(P44,'Tiempo Objeto'!$B$24:$C$32,2,FALSE))))</f>
        <v>1.84</v>
      </c>
      <c r="X44" s="84">
        <f t="shared" si="21"/>
        <v>7.36</v>
      </c>
      <c r="Y44" s="80">
        <f t="shared" si="22"/>
        <v>10.222222222222221</v>
      </c>
      <c r="Z44" s="100">
        <v>1</v>
      </c>
      <c r="AA44" s="85">
        <f t="shared" si="23"/>
        <v>30</v>
      </c>
      <c r="AB44" s="86">
        <f>+Z44*Analisis!$J$6</f>
        <v>25</v>
      </c>
      <c r="AC44" s="100">
        <v>0</v>
      </c>
      <c r="AD44" s="85">
        <f t="shared" si="24"/>
        <v>0</v>
      </c>
      <c r="AE44" s="86">
        <f>+AD44*Analisis!$J$7</f>
        <v>0</v>
      </c>
      <c r="AF44" s="86">
        <f t="shared" si="14"/>
        <v>45.255828801169585</v>
      </c>
      <c r="AG44" s="126">
        <f>+AF44/(1-Analisis!$E$9)</f>
        <v>56.569786001461978</v>
      </c>
      <c r="AH44" s="128">
        <f t="shared" si="15"/>
        <v>0</v>
      </c>
    </row>
    <row r="45" spans="1:34" s="73" customFormat="1" x14ac:dyDescent="0.25">
      <c r="A45" s="105"/>
      <c r="B45" s="108" t="s">
        <v>221</v>
      </c>
      <c r="C45" s="74">
        <f>IFERROR(VLOOKUP(B45,'REQ GALV'!A:B,2,0),0)</f>
        <v>0</v>
      </c>
      <c r="D45" s="116">
        <f t="shared" si="8"/>
        <v>747.56517178362571</v>
      </c>
      <c r="E45" s="4" t="s">
        <v>180</v>
      </c>
      <c r="F45" s="75" t="s">
        <v>147</v>
      </c>
      <c r="G45" s="90">
        <v>22.12</v>
      </c>
      <c r="H45" s="90">
        <v>25</v>
      </c>
      <c r="I45" s="76">
        <v>0.105</v>
      </c>
      <c r="J45" s="77">
        <v>28.24</v>
      </c>
      <c r="K45" s="78">
        <f t="shared" si="16"/>
        <v>31.831877557444137</v>
      </c>
      <c r="L45" s="58">
        <f>+VLOOKUP(E45,Material!$H$2:$M$17,6,FALSE)*G45*H45*(1+Material!$K$14)</f>
        <v>408.60555555555561</v>
      </c>
      <c r="M45" s="79" t="str">
        <f>+Analisis!$J$5</f>
        <v>T5.0</v>
      </c>
      <c r="N45" s="80">
        <f>+VLOOKUP(M45,Material!$A$3:$B$58,2,FALSE)</f>
        <v>5000</v>
      </c>
      <c r="O45" s="79" t="s">
        <v>42</v>
      </c>
      <c r="P45" s="79" t="s">
        <v>43</v>
      </c>
      <c r="Q45" s="81">
        <f>+IF(O45="ACERO A36",VLOOKUP(P45,'Velocidades Std 1500 w'!$B$2:$F$15,5,FALSE),IF(O45="INOXIDABLE",VLOOKUP(P45,'Velocidades Std 1500 w'!$B$17:$F$28,5,FALSE),IF(O45="ALUMINIO",VLOOKUP(P45,'Velocidades Std 1500 w'!$B$30:$F$38,5,FALSE))))</f>
        <v>4.3859649122807014E-6</v>
      </c>
      <c r="R45" s="82">
        <f t="shared" si="17"/>
        <v>2.1929824561403508E-2</v>
      </c>
      <c r="S45" s="83">
        <f t="shared" si="18"/>
        <v>46.001538947368417</v>
      </c>
      <c r="T45" s="110">
        <f t="shared" si="19"/>
        <v>2913.4308000000001</v>
      </c>
      <c r="U45" s="80">
        <f t="shared" si="20"/>
        <v>63.891026315789475</v>
      </c>
      <c r="V45" s="98">
        <v>10</v>
      </c>
      <c r="W45" s="84">
        <f>+IF(O45="ACERO A36",VLOOKUP(P45,'Tiempo Objeto'!$B$2:$C$12,2,FALSE),IF(O45="INOXIDABLE",VLOOKUP(P45,'Tiempo Objeto'!$B$14:$C$22,2,FALSE),IF(O45="ALUMINIO",VLOOKUP(P45,'Tiempo Objeto'!$B$24:$C$32,2,FALSE))))</f>
        <v>1.84</v>
      </c>
      <c r="X45" s="84">
        <f t="shared" si="21"/>
        <v>18.400000000000002</v>
      </c>
      <c r="Y45" s="80">
        <f t="shared" si="22"/>
        <v>25.555555555555561</v>
      </c>
      <c r="Z45" s="100">
        <v>4</v>
      </c>
      <c r="AA45" s="85">
        <f t="shared" si="23"/>
        <v>120</v>
      </c>
      <c r="AB45" s="86">
        <f>+Z45*Analisis!$J$6</f>
        <v>100</v>
      </c>
      <c r="AC45" s="100">
        <v>0</v>
      </c>
      <c r="AD45" s="85">
        <f t="shared" si="24"/>
        <v>0</v>
      </c>
      <c r="AE45" s="86">
        <f>+AD45*Analisis!$J$7</f>
        <v>0</v>
      </c>
      <c r="AF45" s="86">
        <f t="shared" si="14"/>
        <v>598.05213742690057</v>
      </c>
      <c r="AG45" s="126">
        <f>+AF45/(1-Analisis!$E$9)</f>
        <v>747.56517178362571</v>
      </c>
      <c r="AH45" s="128">
        <f t="shared" si="15"/>
        <v>0</v>
      </c>
    </row>
    <row r="46" spans="1:34" s="73" customFormat="1" x14ac:dyDescent="0.25">
      <c r="A46" s="105"/>
      <c r="B46" s="108" t="s">
        <v>222</v>
      </c>
      <c r="C46" s="74">
        <f>IFERROR(VLOOKUP(B46,'REQ GALV'!A:B,2,0),0)</f>
        <v>0</v>
      </c>
      <c r="D46" s="116">
        <f t="shared" si="8"/>
        <v>90.109311038011697</v>
      </c>
      <c r="E46" s="4" t="s">
        <v>180</v>
      </c>
      <c r="F46" s="75" t="s">
        <v>147</v>
      </c>
      <c r="G46" s="90">
        <v>3</v>
      </c>
      <c r="H46" s="90">
        <v>7.8</v>
      </c>
      <c r="I46" s="76">
        <v>0.105</v>
      </c>
      <c r="J46" s="77">
        <v>28.24</v>
      </c>
      <c r="K46" s="78">
        <f t="shared" ref="K46:K47" si="64">+L46*2.2/J46</f>
        <v>1.3469546742209635</v>
      </c>
      <c r="L46" s="58">
        <f>+VLOOKUP(E46,Material!$H$2:$M$17,6,FALSE)*G46*H46*(1+Material!$K$14)</f>
        <v>17.29</v>
      </c>
      <c r="M46" s="79" t="str">
        <f>+Analisis!$J$5</f>
        <v>T5.0</v>
      </c>
      <c r="N46" s="80">
        <f>+VLOOKUP(M46,Material!$A$3:$B$58,2,FALSE)</f>
        <v>5000</v>
      </c>
      <c r="O46" s="79" t="s">
        <v>42</v>
      </c>
      <c r="P46" s="79" t="s">
        <v>43</v>
      </c>
      <c r="Q46" s="81">
        <f>+IF(O46="ACERO A36",VLOOKUP(P46,'Velocidades Std 1500 w'!$B$2:$F$15,5,FALSE),IF(O46="INOXIDABLE",VLOOKUP(P46,'Velocidades Std 1500 w'!$B$17:$F$28,5,FALSE),IF(O46="ALUMINIO",VLOOKUP(P46,'Velocidades Std 1500 w'!$B$30:$F$38,5,FALSE))))</f>
        <v>4.3859649122807014E-6</v>
      </c>
      <c r="R46" s="82">
        <f t="shared" ref="R46:R47" si="65">+Q46*N46</f>
        <v>2.1929824561403508E-2</v>
      </c>
      <c r="S46" s="83">
        <f t="shared" ref="S46:S47" si="66">+Q46*T46*3600</f>
        <v>12.254163157894736</v>
      </c>
      <c r="T46" s="110">
        <f t="shared" ref="T46:T47" si="67">(+H46*2+G46*2+V46*1.5)*25.4*1.05</f>
        <v>776.09699999999998</v>
      </c>
      <c r="U46" s="80">
        <f t="shared" ref="U46:U47" si="68">+T46*R46</f>
        <v>17.019671052631576</v>
      </c>
      <c r="V46" s="98">
        <v>5</v>
      </c>
      <c r="W46" s="84">
        <f>+IF(O46="ACERO A36",VLOOKUP(P46,'Tiempo Objeto'!$B$2:$C$12,2,FALSE),IF(O46="INOXIDABLE",VLOOKUP(P46,'Tiempo Objeto'!$B$14:$C$22,2,FALSE),IF(O46="ALUMINIO",VLOOKUP(P46,'Tiempo Objeto'!$B$24:$C$32,2,FALSE))))</f>
        <v>1.84</v>
      </c>
      <c r="X46" s="84">
        <f t="shared" ref="X46:X47" si="69">+W46*V46</f>
        <v>9.2000000000000011</v>
      </c>
      <c r="Y46" s="80">
        <f t="shared" ref="Y46:Y47" si="70">+X46*N46/3600</f>
        <v>12.77777777777778</v>
      </c>
      <c r="Z46" s="100">
        <v>1</v>
      </c>
      <c r="AA46" s="85">
        <f t="shared" si="23"/>
        <v>30</v>
      </c>
      <c r="AB46" s="86">
        <f>+Z46*Analisis!$J$6</f>
        <v>25</v>
      </c>
      <c r="AC46" s="100">
        <v>0</v>
      </c>
      <c r="AD46" s="85">
        <f t="shared" si="24"/>
        <v>0</v>
      </c>
      <c r="AE46" s="86">
        <f>+AD46*Analisis!$J$7</f>
        <v>0</v>
      </c>
      <c r="AF46" s="86">
        <f t="shared" si="14"/>
        <v>72.087448830409357</v>
      </c>
      <c r="AG46" s="126">
        <f>+AF46/(1-Analisis!$E$9)</f>
        <v>90.109311038011697</v>
      </c>
      <c r="AH46" s="128">
        <f t="shared" si="15"/>
        <v>0</v>
      </c>
    </row>
    <row r="47" spans="1:34" s="73" customFormat="1" x14ac:dyDescent="0.25">
      <c r="A47" s="105"/>
      <c r="B47" s="108" t="s">
        <v>223</v>
      </c>
      <c r="C47" s="74">
        <f>IFERROR(VLOOKUP(B47,'REQ GALV'!A:B,2,0),0)</f>
        <v>0</v>
      </c>
      <c r="D47" s="116">
        <f t="shared" si="8"/>
        <v>641.79417032163735</v>
      </c>
      <c r="E47" s="4" t="s">
        <v>180</v>
      </c>
      <c r="F47" s="75" t="s">
        <v>147</v>
      </c>
      <c r="G47" s="90">
        <v>13</v>
      </c>
      <c r="H47" s="90">
        <v>27.4</v>
      </c>
      <c r="I47" s="76">
        <v>0.105</v>
      </c>
      <c r="J47" s="77">
        <v>28.24</v>
      </c>
      <c r="K47" s="78">
        <f t="shared" si="64"/>
        <v>20.503643374252444</v>
      </c>
      <c r="L47" s="58">
        <f>+VLOOKUP(E47,Material!$H$2:$M$17,6,FALSE)*G47*H47*(1+Material!$K$14)</f>
        <v>263.19222222222226</v>
      </c>
      <c r="M47" s="79" t="str">
        <f>+Analisis!$J$5</f>
        <v>T5.0</v>
      </c>
      <c r="N47" s="80">
        <f>+VLOOKUP(M47,Material!$A$3:$B$58,2,FALSE)</f>
        <v>5000</v>
      </c>
      <c r="O47" s="79" t="s">
        <v>42</v>
      </c>
      <c r="P47" s="79" t="s">
        <v>43</v>
      </c>
      <c r="Q47" s="81">
        <f>+IF(O47="ACERO A36",VLOOKUP(P47,'Velocidades Std 1500 w'!$B$2:$F$15,5,FALSE),IF(O47="INOXIDABLE",VLOOKUP(P47,'Velocidades Std 1500 w'!$B$17:$F$28,5,FALSE),IF(O47="ALUMINIO",VLOOKUP(P47,'Velocidades Std 1500 w'!$B$30:$F$38,5,FALSE))))</f>
        <v>4.3859649122807014E-6</v>
      </c>
      <c r="R47" s="82">
        <f t="shared" si="65"/>
        <v>2.1929824561403508E-2</v>
      </c>
      <c r="S47" s="83">
        <f t="shared" si="66"/>
        <v>52.975042105263149</v>
      </c>
      <c r="T47" s="110">
        <f t="shared" si="67"/>
        <v>3355.0859999999998</v>
      </c>
      <c r="U47" s="80">
        <f t="shared" si="68"/>
        <v>73.576447368421043</v>
      </c>
      <c r="V47" s="98">
        <v>30</v>
      </c>
      <c r="W47" s="84">
        <f>+IF(O47="ACERO A36",VLOOKUP(P47,'Tiempo Objeto'!$B$2:$C$12,2,FALSE),IF(O47="INOXIDABLE",VLOOKUP(P47,'Tiempo Objeto'!$B$14:$C$22,2,FALSE),IF(O47="ALUMINIO",VLOOKUP(P47,'Tiempo Objeto'!$B$24:$C$32,2,FALSE))))</f>
        <v>1.84</v>
      </c>
      <c r="X47" s="84">
        <f t="shared" si="69"/>
        <v>55.2</v>
      </c>
      <c r="Y47" s="80">
        <f t="shared" si="70"/>
        <v>76.666666666666671</v>
      </c>
      <c r="Z47" s="100">
        <v>4</v>
      </c>
      <c r="AA47" s="85">
        <f t="shared" si="23"/>
        <v>120</v>
      </c>
      <c r="AB47" s="86">
        <f>+Z47*Analisis!$J$6</f>
        <v>100</v>
      </c>
      <c r="AC47" s="100">
        <v>0</v>
      </c>
      <c r="AD47" s="85">
        <f t="shared" si="24"/>
        <v>0</v>
      </c>
      <c r="AE47" s="86">
        <f>+AD47*Analisis!$J$7</f>
        <v>0</v>
      </c>
      <c r="AF47" s="86">
        <f t="shared" si="14"/>
        <v>513.43533625730993</v>
      </c>
      <c r="AG47" s="126">
        <f>+AF47/(1-Analisis!$E$9)</f>
        <v>641.79417032163735</v>
      </c>
      <c r="AH47" s="128">
        <f t="shared" si="15"/>
        <v>0</v>
      </c>
    </row>
    <row r="48" spans="1:34" s="73" customFormat="1" x14ac:dyDescent="0.25">
      <c r="A48" s="100"/>
      <c r="B48" t="s">
        <v>224</v>
      </c>
      <c r="C48" s="74">
        <f>IFERROR(VLOOKUP(B48,'REQ GALV'!A:B,2,0),0)</f>
        <v>0</v>
      </c>
      <c r="D48" s="116">
        <f t="shared" si="8"/>
        <v>228.94505299707603</v>
      </c>
      <c r="E48" s="4" t="s">
        <v>180</v>
      </c>
      <c r="F48" s="75" t="s">
        <v>147</v>
      </c>
      <c r="G48" s="90">
        <v>8.57</v>
      </c>
      <c r="H48" s="90">
        <v>17</v>
      </c>
      <c r="I48" s="76">
        <v>0.105</v>
      </c>
      <c r="J48" s="77">
        <v>28.24</v>
      </c>
      <c r="K48" s="78">
        <f t="shared" si="16"/>
        <v>8.3862319011646225</v>
      </c>
      <c r="L48" s="58">
        <f>+VLOOKUP(E48,Material!$H$2:$M$17,6,FALSE)*G48*H48*(1+Material!$K$14)</f>
        <v>107.64872222222222</v>
      </c>
      <c r="M48" s="79" t="str">
        <f>+Analisis!$J$5</f>
        <v>T5.0</v>
      </c>
      <c r="N48" s="80">
        <f>+VLOOKUP(M48,Material!$A$3:$B$58,2,FALSE)</f>
        <v>5000</v>
      </c>
      <c r="O48" s="79" t="s">
        <v>42</v>
      </c>
      <c r="P48" s="79" t="s">
        <v>43</v>
      </c>
      <c r="Q48" s="81">
        <f>+IF(O48="ACERO A36",VLOOKUP(P48,'Velocidades Std 1500 w'!$B$2:$F$15,5,FALSE),IF(O48="INOXIDABLE",VLOOKUP(P48,'Velocidades Std 1500 w'!$B$17:$F$28,5,FALSE),IF(O48="ALUMINIO",VLOOKUP(P48,'Velocidades Std 1500 w'!$B$30:$F$38,5,FALSE))))</f>
        <v>4.3859649122807014E-6</v>
      </c>
      <c r="R48" s="82">
        <f t="shared" si="17"/>
        <v>2.1929824561403508E-2</v>
      </c>
      <c r="S48" s="83">
        <f t="shared" si="18"/>
        <v>25.325270526315787</v>
      </c>
      <c r="T48" s="110">
        <f t="shared" si="19"/>
        <v>1603.9338</v>
      </c>
      <c r="U48" s="80">
        <f t="shared" si="20"/>
        <v>35.173986842105265</v>
      </c>
      <c r="V48" s="98">
        <v>6</v>
      </c>
      <c r="W48" s="84">
        <f>+IF(O48="ACERO A36",VLOOKUP(P48,'Tiempo Objeto'!$B$2:$C$12,2,FALSE),IF(O48="INOXIDABLE",VLOOKUP(P48,'Tiempo Objeto'!$B$14:$C$22,2,FALSE),IF(O48="ALUMINIO",VLOOKUP(P48,'Tiempo Objeto'!$B$24:$C$32,2,FALSE))))</f>
        <v>1.84</v>
      </c>
      <c r="X48" s="84">
        <f t="shared" si="21"/>
        <v>11.040000000000001</v>
      </c>
      <c r="Y48" s="80">
        <f t="shared" si="22"/>
        <v>15.333333333333336</v>
      </c>
      <c r="Z48" s="100">
        <v>1</v>
      </c>
      <c r="AA48" s="85">
        <f t="shared" si="23"/>
        <v>30</v>
      </c>
      <c r="AB48" s="86">
        <f>+Z48*Analisis!$J$6</f>
        <v>25</v>
      </c>
      <c r="AC48" s="100">
        <v>0</v>
      </c>
      <c r="AD48" s="85">
        <f t="shared" si="24"/>
        <v>0</v>
      </c>
      <c r="AE48" s="86">
        <f>+AD48*Analisis!$J$7</f>
        <v>0</v>
      </c>
      <c r="AF48" s="86">
        <f t="shared" si="14"/>
        <v>183.15604239766083</v>
      </c>
      <c r="AG48" s="126">
        <f>+AF48/(1-Analisis!$E$9)</f>
        <v>228.94505299707603</v>
      </c>
      <c r="AH48" s="128">
        <f t="shared" si="15"/>
        <v>0</v>
      </c>
    </row>
    <row r="49" spans="1:34" s="73" customFormat="1" x14ac:dyDescent="0.25">
      <c r="A49" s="100"/>
      <c r="B49" t="s">
        <v>233</v>
      </c>
      <c r="C49" s="74">
        <f>IFERROR(VLOOKUP(B49,'REQ GALV'!A:B,2,0),0)</f>
        <v>0</v>
      </c>
      <c r="D49" s="116">
        <f t="shared" si="8"/>
        <v>322.72023574561399</v>
      </c>
      <c r="E49" s="4" t="s">
        <v>180</v>
      </c>
      <c r="F49" s="75" t="s">
        <v>147</v>
      </c>
      <c r="G49" s="90">
        <v>8.57</v>
      </c>
      <c r="H49" s="90">
        <v>27</v>
      </c>
      <c r="I49" s="76">
        <v>0.105</v>
      </c>
      <c r="J49" s="77">
        <v>28.24</v>
      </c>
      <c r="K49" s="78">
        <f t="shared" ref="K49:K52" si="71">+L49*2.2/J49</f>
        <v>13.31930949008499</v>
      </c>
      <c r="L49" s="58">
        <f>+VLOOKUP(E49,Material!$H$2:$M$17,6,FALSE)*G49*H49*(1+Material!$K$14)</f>
        <v>170.97150000000002</v>
      </c>
      <c r="M49" s="79" t="str">
        <f>+Analisis!$J$5</f>
        <v>T5.0</v>
      </c>
      <c r="N49" s="80">
        <f>+VLOOKUP(M49,Material!$A$3:$B$58,2,FALSE)</f>
        <v>5000</v>
      </c>
      <c r="O49" s="79" t="s">
        <v>42</v>
      </c>
      <c r="P49" s="79" t="s">
        <v>43</v>
      </c>
      <c r="Q49" s="81">
        <f>+IF(O49="ACERO A36",VLOOKUP(P49,'Velocidades Std 1500 w'!$B$2:$F$15,5,FALSE),IF(O49="INOXIDABLE",VLOOKUP(P49,'Velocidades Std 1500 w'!$B$17:$F$28,5,FALSE),IF(O49="ALUMINIO",VLOOKUP(P49,'Velocidades Std 1500 w'!$B$30:$F$38,5,FALSE))))</f>
        <v>4.3859649122807014E-6</v>
      </c>
      <c r="R49" s="82">
        <f t="shared" ref="R49:R52" si="72">+Q49*N49</f>
        <v>2.1929824561403508E-2</v>
      </c>
      <c r="S49" s="83">
        <f t="shared" ref="S49:S52" si="73">+Q49*T49*3600</f>
        <v>33.747375789473679</v>
      </c>
      <c r="T49" s="110">
        <f t="shared" ref="T49:T52" si="74">(+H49*2+G49*2+V49*1.5)*25.4*1.05</f>
        <v>2137.3337999999999</v>
      </c>
      <c r="U49" s="80">
        <f t="shared" ref="U49:U52" si="75">+T49*R49</f>
        <v>46.871355263157888</v>
      </c>
      <c r="V49" s="98">
        <v>6</v>
      </c>
      <c r="W49" s="84">
        <f>+IF(O49="ACERO A36",VLOOKUP(P49,'Tiempo Objeto'!$B$2:$C$12,2,FALSE),IF(O49="INOXIDABLE",VLOOKUP(P49,'Tiempo Objeto'!$B$14:$C$22,2,FALSE),IF(O49="ALUMINIO",VLOOKUP(P49,'Tiempo Objeto'!$B$24:$C$32,2,FALSE))))</f>
        <v>1.84</v>
      </c>
      <c r="X49" s="84">
        <f t="shared" ref="X49:X52" si="76">+W49*V49</f>
        <v>11.040000000000001</v>
      </c>
      <c r="Y49" s="80">
        <f t="shared" ref="Y49:Y52" si="77">+X49*N49/3600</f>
        <v>15.333333333333336</v>
      </c>
      <c r="Z49" s="100">
        <v>1</v>
      </c>
      <c r="AA49" s="85">
        <f t="shared" ref="AA49:AA52" si="78">30*Z49+Z49*$C49*1.5</f>
        <v>30</v>
      </c>
      <c r="AB49" s="86">
        <f>+Z49*Analisis!$J$6</f>
        <v>25</v>
      </c>
      <c r="AC49" s="100">
        <v>0</v>
      </c>
      <c r="AD49" s="85">
        <f t="shared" ref="AD49:AD52" si="79">30*AC49+AC49*$C49*1.5</f>
        <v>0</v>
      </c>
      <c r="AE49" s="86">
        <f>+AD49*Analisis!$J$7</f>
        <v>0</v>
      </c>
      <c r="AF49" s="86">
        <f t="shared" si="14"/>
        <v>258.17618859649122</v>
      </c>
      <c r="AG49" s="126">
        <f>+AF49/(1-Analisis!$E$9)</f>
        <v>322.72023574561399</v>
      </c>
      <c r="AH49" s="128">
        <f t="shared" si="15"/>
        <v>0</v>
      </c>
    </row>
    <row r="50" spans="1:34" s="73" customFormat="1" x14ac:dyDescent="0.25">
      <c r="A50" s="100"/>
      <c r="B50" t="s">
        <v>234</v>
      </c>
      <c r="C50" s="74">
        <f>IFERROR(VLOOKUP(B50,'REQ GALV'!A:B,2,0),0)</f>
        <v>0</v>
      </c>
      <c r="D50" s="116">
        <f t="shared" si="8"/>
        <v>416.49541849415198</v>
      </c>
      <c r="E50" s="4" t="s">
        <v>180</v>
      </c>
      <c r="F50" s="75" t="s">
        <v>147</v>
      </c>
      <c r="G50" s="90">
        <v>8.57</v>
      </c>
      <c r="H50" s="90">
        <v>37</v>
      </c>
      <c r="I50" s="76">
        <v>0.105</v>
      </c>
      <c r="J50" s="77">
        <v>28.24</v>
      </c>
      <c r="K50" s="78">
        <f t="shared" si="71"/>
        <v>18.252387079005352</v>
      </c>
      <c r="L50" s="58">
        <f>+VLOOKUP(E50,Material!$H$2:$M$17,6,FALSE)*G50*H50*(1+Material!$K$14)</f>
        <v>234.29427777777778</v>
      </c>
      <c r="M50" s="79" t="str">
        <f>+Analisis!$J$5</f>
        <v>T5.0</v>
      </c>
      <c r="N50" s="80">
        <f>+VLOOKUP(M50,Material!$A$3:$B$58,2,FALSE)</f>
        <v>5000</v>
      </c>
      <c r="O50" s="79" t="s">
        <v>42</v>
      </c>
      <c r="P50" s="79" t="s">
        <v>43</v>
      </c>
      <c r="Q50" s="81">
        <f>+IF(O50="ACERO A36",VLOOKUP(P50,'Velocidades Std 1500 w'!$B$2:$F$15,5,FALSE),IF(O50="INOXIDABLE",VLOOKUP(P50,'Velocidades Std 1500 w'!$B$17:$F$28,5,FALSE),IF(O50="ALUMINIO",VLOOKUP(P50,'Velocidades Std 1500 w'!$B$30:$F$38,5,FALSE))))</f>
        <v>4.3859649122807014E-6</v>
      </c>
      <c r="R50" s="82">
        <f t="shared" si="72"/>
        <v>2.1929824561403508E-2</v>
      </c>
      <c r="S50" s="83">
        <f t="shared" si="73"/>
        <v>42.169481052631575</v>
      </c>
      <c r="T50" s="110">
        <f t="shared" si="74"/>
        <v>2670.7338</v>
      </c>
      <c r="U50" s="80">
        <f t="shared" si="75"/>
        <v>58.568723684210525</v>
      </c>
      <c r="V50" s="98">
        <v>6</v>
      </c>
      <c r="W50" s="84">
        <f>+IF(O50="ACERO A36",VLOOKUP(P50,'Tiempo Objeto'!$B$2:$C$12,2,FALSE),IF(O50="INOXIDABLE",VLOOKUP(P50,'Tiempo Objeto'!$B$14:$C$22,2,FALSE),IF(O50="ALUMINIO",VLOOKUP(P50,'Tiempo Objeto'!$B$24:$C$32,2,FALSE))))</f>
        <v>1.84</v>
      </c>
      <c r="X50" s="84">
        <f t="shared" si="76"/>
        <v>11.040000000000001</v>
      </c>
      <c r="Y50" s="80">
        <f t="shared" si="77"/>
        <v>15.333333333333336</v>
      </c>
      <c r="Z50" s="100">
        <v>1</v>
      </c>
      <c r="AA50" s="85">
        <f t="shared" si="78"/>
        <v>30</v>
      </c>
      <c r="AB50" s="86">
        <f>+Z50*Analisis!$J$6</f>
        <v>25</v>
      </c>
      <c r="AC50" s="100">
        <v>0</v>
      </c>
      <c r="AD50" s="85">
        <f t="shared" si="79"/>
        <v>0</v>
      </c>
      <c r="AE50" s="86">
        <f>+AD50*Analisis!$J$7</f>
        <v>0</v>
      </c>
      <c r="AF50" s="86">
        <f t="shared" si="14"/>
        <v>333.1963347953216</v>
      </c>
      <c r="AG50" s="126">
        <f>+AF50/(1-Analisis!$E$9)</f>
        <v>416.49541849415198</v>
      </c>
      <c r="AH50" s="128">
        <f t="shared" si="15"/>
        <v>0</v>
      </c>
    </row>
    <row r="51" spans="1:34" s="73" customFormat="1" x14ac:dyDescent="0.25">
      <c r="A51" s="100"/>
      <c r="B51" t="s">
        <v>235</v>
      </c>
      <c r="C51" s="74">
        <f>IFERROR(VLOOKUP(B51,'REQ GALV'!A:B,2,0),0)</f>
        <v>0</v>
      </c>
      <c r="D51" s="116">
        <f t="shared" si="8"/>
        <v>397.74038194444444</v>
      </c>
      <c r="E51" s="4" t="s">
        <v>180</v>
      </c>
      <c r="F51" s="75" t="s">
        <v>147</v>
      </c>
      <c r="G51" s="90">
        <v>8.57</v>
      </c>
      <c r="H51" s="90">
        <v>35</v>
      </c>
      <c r="I51" s="76">
        <v>0.105</v>
      </c>
      <c r="J51" s="77">
        <v>28.24</v>
      </c>
      <c r="K51" s="78">
        <f t="shared" si="71"/>
        <v>17.265771561221282</v>
      </c>
      <c r="L51" s="58">
        <f>+VLOOKUP(E51,Material!$H$2:$M$17,6,FALSE)*G51*H51*(1+Material!$K$14)</f>
        <v>221.62972222222223</v>
      </c>
      <c r="M51" s="79" t="str">
        <f>+Analisis!$J$5</f>
        <v>T5.0</v>
      </c>
      <c r="N51" s="80">
        <f>+VLOOKUP(M51,Material!$A$3:$B$58,2,FALSE)</f>
        <v>5000</v>
      </c>
      <c r="O51" s="79" t="s">
        <v>42</v>
      </c>
      <c r="P51" s="79" t="s">
        <v>43</v>
      </c>
      <c r="Q51" s="81">
        <f>+IF(O51="ACERO A36",VLOOKUP(P51,'Velocidades Std 1500 w'!$B$2:$F$15,5,FALSE),IF(O51="INOXIDABLE",VLOOKUP(P51,'Velocidades Std 1500 w'!$B$17:$F$28,5,FALSE),IF(O51="ALUMINIO",VLOOKUP(P51,'Velocidades Std 1500 w'!$B$30:$F$38,5,FALSE))))</f>
        <v>4.3859649122807014E-6</v>
      </c>
      <c r="R51" s="82">
        <f t="shared" si="72"/>
        <v>2.1929824561403508E-2</v>
      </c>
      <c r="S51" s="83">
        <f t="shared" si="73"/>
        <v>40.48505999999999</v>
      </c>
      <c r="T51" s="110">
        <f t="shared" si="74"/>
        <v>2564.0537999999997</v>
      </c>
      <c r="U51" s="80">
        <f t="shared" si="75"/>
        <v>56.229249999999993</v>
      </c>
      <c r="V51" s="98">
        <v>6</v>
      </c>
      <c r="W51" s="84">
        <f>+IF(O51="ACERO A36",VLOOKUP(P51,'Tiempo Objeto'!$B$2:$C$12,2,FALSE),IF(O51="INOXIDABLE",VLOOKUP(P51,'Tiempo Objeto'!$B$14:$C$22,2,FALSE),IF(O51="ALUMINIO",VLOOKUP(P51,'Tiempo Objeto'!$B$24:$C$32,2,FALSE))))</f>
        <v>1.84</v>
      </c>
      <c r="X51" s="84">
        <f t="shared" si="76"/>
        <v>11.040000000000001</v>
      </c>
      <c r="Y51" s="80">
        <f t="shared" si="77"/>
        <v>15.333333333333336</v>
      </c>
      <c r="Z51" s="100">
        <v>1</v>
      </c>
      <c r="AA51" s="85">
        <f t="shared" si="78"/>
        <v>30</v>
      </c>
      <c r="AB51" s="86">
        <f>+Z51*Analisis!$J$6</f>
        <v>25</v>
      </c>
      <c r="AC51" s="100">
        <v>0</v>
      </c>
      <c r="AD51" s="85">
        <f t="shared" si="79"/>
        <v>0</v>
      </c>
      <c r="AE51" s="86">
        <f>+AD51*Analisis!$J$7</f>
        <v>0</v>
      </c>
      <c r="AF51" s="86">
        <f t="shared" si="14"/>
        <v>318.19230555555555</v>
      </c>
      <c r="AG51" s="126">
        <f>+AF51/(1-Analisis!$E$9)</f>
        <v>397.74038194444444</v>
      </c>
      <c r="AH51" s="128">
        <f t="shared" si="15"/>
        <v>0</v>
      </c>
    </row>
    <row r="52" spans="1:34" s="73" customFormat="1" x14ac:dyDescent="0.25">
      <c r="A52" s="100"/>
      <c r="B52" t="s">
        <v>236</v>
      </c>
      <c r="C52" s="74">
        <f>IFERROR(VLOOKUP(B52,'REQ GALV'!A:B,2,0),0)</f>
        <v>0</v>
      </c>
      <c r="D52" s="116">
        <f t="shared" si="8"/>
        <v>378.98534539473678</v>
      </c>
      <c r="E52" s="4" t="s">
        <v>180</v>
      </c>
      <c r="F52" s="75" t="s">
        <v>147</v>
      </c>
      <c r="G52" s="90">
        <v>8.57</v>
      </c>
      <c r="H52" s="90">
        <v>33</v>
      </c>
      <c r="I52" s="76">
        <v>0.105</v>
      </c>
      <c r="J52" s="77">
        <v>28.24</v>
      </c>
      <c r="K52" s="78">
        <f t="shared" si="71"/>
        <v>16.279156043437208</v>
      </c>
      <c r="L52" s="58">
        <f>+VLOOKUP(E52,Material!$H$2:$M$17,6,FALSE)*G52*H52*(1+Material!$K$14)</f>
        <v>208.96516666666668</v>
      </c>
      <c r="M52" s="79" t="str">
        <f>+Analisis!$J$5</f>
        <v>T5.0</v>
      </c>
      <c r="N52" s="80">
        <f>+VLOOKUP(M52,Material!$A$3:$B$58,2,FALSE)</f>
        <v>5000</v>
      </c>
      <c r="O52" s="79" t="s">
        <v>42</v>
      </c>
      <c r="P52" s="79" t="s">
        <v>43</v>
      </c>
      <c r="Q52" s="81">
        <f>+IF(O52="ACERO A36",VLOOKUP(P52,'Velocidades Std 1500 w'!$B$2:$F$15,5,FALSE),IF(O52="INOXIDABLE",VLOOKUP(P52,'Velocidades Std 1500 w'!$B$17:$F$28,5,FALSE),IF(O52="ALUMINIO",VLOOKUP(P52,'Velocidades Std 1500 w'!$B$30:$F$38,5,FALSE))))</f>
        <v>4.3859649122807014E-6</v>
      </c>
      <c r="R52" s="82">
        <f t="shared" si="72"/>
        <v>2.1929824561403508E-2</v>
      </c>
      <c r="S52" s="83">
        <f t="shared" si="73"/>
        <v>38.800638947368419</v>
      </c>
      <c r="T52" s="110">
        <f t="shared" si="74"/>
        <v>2457.3737999999998</v>
      </c>
      <c r="U52" s="80">
        <f t="shared" si="75"/>
        <v>53.889776315789469</v>
      </c>
      <c r="V52" s="98">
        <v>6</v>
      </c>
      <c r="W52" s="84">
        <f>+IF(O52="ACERO A36",VLOOKUP(P52,'Tiempo Objeto'!$B$2:$C$12,2,FALSE),IF(O52="INOXIDABLE",VLOOKUP(P52,'Tiempo Objeto'!$B$14:$C$22,2,FALSE),IF(O52="ALUMINIO",VLOOKUP(P52,'Tiempo Objeto'!$B$24:$C$32,2,FALSE))))</f>
        <v>1.84</v>
      </c>
      <c r="X52" s="84">
        <f t="shared" si="76"/>
        <v>11.040000000000001</v>
      </c>
      <c r="Y52" s="80">
        <f t="shared" si="77"/>
        <v>15.333333333333336</v>
      </c>
      <c r="Z52" s="100">
        <v>1</v>
      </c>
      <c r="AA52" s="85">
        <f t="shared" si="78"/>
        <v>30</v>
      </c>
      <c r="AB52" s="86">
        <f>+Z52*Analisis!$J$6</f>
        <v>25</v>
      </c>
      <c r="AC52" s="100">
        <v>0</v>
      </c>
      <c r="AD52" s="85">
        <f t="shared" si="79"/>
        <v>0</v>
      </c>
      <c r="AE52" s="86">
        <f>+AD52*Analisis!$J$7</f>
        <v>0</v>
      </c>
      <c r="AF52" s="86">
        <f t="shared" si="14"/>
        <v>303.18827631578944</v>
      </c>
      <c r="AG52" s="126">
        <f>+AF52/(1-Analisis!$E$9)</f>
        <v>378.98534539473678</v>
      </c>
      <c r="AH52" s="128">
        <f t="shared" si="15"/>
        <v>0</v>
      </c>
    </row>
    <row r="53" spans="1:34" s="73" customFormat="1" x14ac:dyDescent="0.25">
      <c r="A53" s="100"/>
      <c r="B53" t="s">
        <v>225</v>
      </c>
      <c r="C53" s="74">
        <f>IFERROR(VLOOKUP(B53,'REQ GALV'!A:B,2,0),0)</f>
        <v>0</v>
      </c>
      <c r="D53" s="116">
        <f t="shared" si="8"/>
        <v>216.35763888888889</v>
      </c>
      <c r="E53" s="4" t="s">
        <v>180</v>
      </c>
      <c r="F53" s="75" t="s">
        <v>147</v>
      </c>
      <c r="G53" s="90">
        <v>11</v>
      </c>
      <c r="H53" s="90">
        <v>5</v>
      </c>
      <c r="I53" s="76">
        <v>0.105</v>
      </c>
      <c r="J53" s="77">
        <v>28.24</v>
      </c>
      <c r="K53" s="78">
        <f t="shared" si="16"/>
        <v>3.1659191060749139</v>
      </c>
      <c r="L53" s="58">
        <f>+VLOOKUP(E53,Material!$H$2:$M$17,6,FALSE)*G53*H53*(1+Material!$K$14)</f>
        <v>40.638888888888893</v>
      </c>
      <c r="M53" s="79" t="str">
        <f>+Analisis!$J$5</f>
        <v>T5.0</v>
      </c>
      <c r="N53" s="80">
        <f>+VLOOKUP(M53,Material!$A$3:$B$58,2,FALSE)</f>
        <v>5000</v>
      </c>
      <c r="O53" s="79" t="s">
        <v>42</v>
      </c>
      <c r="P53" s="79" t="s">
        <v>43</v>
      </c>
      <c r="Q53" s="81">
        <f>+IF(O53="ACERO A36",VLOOKUP(P53,'Velocidades Std 1500 w'!$B$2:$F$15,5,FALSE),IF(O53="INOXIDABLE",VLOOKUP(P53,'Velocidades Std 1500 w'!$B$17:$F$28,5,FALSE),IF(O53="ALUMINIO",VLOOKUP(P53,'Velocidades Std 1500 w'!$B$30:$F$38,5,FALSE))))</f>
        <v>4.3859649122807014E-6</v>
      </c>
      <c r="R53" s="82">
        <f t="shared" si="17"/>
        <v>2.1929824561403508E-2</v>
      </c>
      <c r="S53" s="83">
        <f t="shared" si="18"/>
        <v>16.001999999999999</v>
      </c>
      <c r="T53" s="110">
        <f t="shared" si="19"/>
        <v>1013.4599999999999</v>
      </c>
      <c r="U53" s="80">
        <f t="shared" si="20"/>
        <v>22.224999999999998</v>
      </c>
      <c r="V53" s="98">
        <v>4</v>
      </c>
      <c r="W53" s="84">
        <f>+IF(O53="ACERO A36",VLOOKUP(P53,'Tiempo Objeto'!$B$2:$C$12,2,FALSE),IF(O53="INOXIDABLE",VLOOKUP(P53,'Tiempo Objeto'!$B$14:$C$22,2,FALSE),IF(O53="ALUMINIO",VLOOKUP(P53,'Tiempo Objeto'!$B$24:$C$32,2,FALSE))))</f>
        <v>1.84</v>
      </c>
      <c r="X53" s="84">
        <f t="shared" si="21"/>
        <v>7.36</v>
      </c>
      <c r="Y53" s="80">
        <f t="shared" si="22"/>
        <v>10.222222222222221</v>
      </c>
      <c r="Z53" s="100">
        <v>4</v>
      </c>
      <c r="AA53" s="85">
        <f t="shared" si="23"/>
        <v>120</v>
      </c>
      <c r="AB53" s="86">
        <f>+Z53*Analisis!$J$6</f>
        <v>100</v>
      </c>
      <c r="AC53" s="100">
        <v>0</v>
      </c>
      <c r="AD53" s="85">
        <f t="shared" si="24"/>
        <v>0</v>
      </c>
      <c r="AE53" s="86">
        <f>+AD53*Analisis!$J$7</f>
        <v>0</v>
      </c>
      <c r="AF53" s="86">
        <f t="shared" si="14"/>
        <v>173.08611111111111</v>
      </c>
      <c r="AG53" s="126">
        <f>+AF53/(1-Analisis!$E$9)</f>
        <v>216.35763888888889</v>
      </c>
      <c r="AH53" s="128">
        <f t="shared" si="15"/>
        <v>0</v>
      </c>
    </row>
    <row r="54" spans="1:34" s="73" customFormat="1" x14ac:dyDescent="0.25">
      <c r="A54" s="100"/>
      <c r="B54" t="s">
        <v>226</v>
      </c>
      <c r="C54" s="74">
        <f>IFERROR(VLOOKUP(B54,'REQ GALV'!A:B,2,0),0)</f>
        <v>0</v>
      </c>
      <c r="D54" s="116">
        <f t="shared" si="8"/>
        <v>216.35763888888889</v>
      </c>
      <c r="E54" s="4" t="s">
        <v>180</v>
      </c>
      <c r="F54" s="75" t="s">
        <v>147</v>
      </c>
      <c r="G54" s="90">
        <v>11</v>
      </c>
      <c r="H54" s="90">
        <v>5</v>
      </c>
      <c r="I54" s="76">
        <v>0.105</v>
      </c>
      <c r="J54" s="77">
        <v>28.24</v>
      </c>
      <c r="K54" s="78">
        <f t="shared" ref="K54" si="80">+L54*2.2/J54</f>
        <v>3.1659191060749139</v>
      </c>
      <c r="L54" s="58">
        <f>+VLOOKUP(E54,Material!$H$2:$M$17,6,FALSE)*G54*H54*(1+Material!$K$14)</f>
        <v>40.638888888888893</v>
      </c>
      <c r="M54" s="79" t="str">
        <f>+Analisis!$J$5</f>
        <v>T5.0</v>
      </c>
      <c r="N54" s="80">
        <f>+VLOOKUP(M54,Material!$A$3:$B$58,2,FALSE)</f>
        <v>5000</v>
      </c>
      <c r="O54" s="79" t="s">
        <v>42</v>
      </c>
      <c r="P54" s="79" t="s">
        <v>43</v>
      </c>
      <c r="Q54" s="81">
        <f>+IF(O54="ACERO A36",VLOOKUP(P54,'Velocidades Std 1500 w'!$B$2:$F$15,5,FALSE),IF(O54="INOXIDABLE",VLOOKUP(P54,'Velocidades Std 1500 w'!$B$17:$F$28,5,FALSE),IF(O54="ALUMINIO",VLOOKUP(P54,'Velocidades Std 1500 w'!$B$30:$F$38,5,FALSE))))</f>
        <v>4.3859649122807014E-6</v>
      </c>
      <c r="R54" s="82">
        <f t="shared" ref="R54" si="81">+Q54*N54</f>
        <v>2.1929824561403508E-2</v>
      </c>
      <c r="S54" s="83">
        <f t="shared" ref="S54" si="82">+Q54*T54*3600</f>
        <v>16.001999999999999</v>
      </c>
      <c r="T54" s="110">
        <f t="shared" ref="T54" si="83">(+H54*2+G54*2+V54*1.5)*25.4*1.05</f>
        <v>1013.4599999999999</v>
      </c>
      <c r="U54" s="80">
        <f t="shared" ref="U54" si="84">+T54*R54</f>
        <v>22.224999999999998</v>
      </c>
      <c r="V54" s="98">
        <v>4</v>
      </c>
      <c r="W54" s="84">
        <f>+IF(O54="ACERO A36",VLOOKUP(P54,'Tiempo Objeto'!$B$2:$C$12,2,FALSE),IF(O54="INOXIDABLE",VLOOKUP(P54,'Tiempo Objeto'!$B$14:$C$22,2,FALSE),IF(O54="ALUMINIO",VLOOKUP(P54,'Tiempo Objeto'!$B$24:$C$32,2,FALSE))))</f>
        <v>1.84</v>
      </c>
      <c r="X54" s="84">
        <f t="shared" ref="X54" si="85">+W54*V54</f>
        <v>7.36</v>
      </c>
      <c r="Y54" s="80">
        <f t="shared" ref="Y54" si="86">+X54*N54/3600</f>
        <v>10.222222222222221</v>
      </c>
      <c r="Z54" s="100">
        <v>4</v>
      </c>
      <c r="AA54" s="85">
        <f t="shared" si="23"/>
        <v>120</v>
      </c>
      <c r="AB54" s="86">
        <f>+Z54*Analisis!$J$6</f>
        <v>100</v>
      </c>
      <c r="AC54" s="100">
        <v>0</v>
      </c>
      <c r="AD54" s="85">
        <f t="shared" si="24"/>
        <v>0</v>
      </c>
      <c r="AE54" s="86">
        <f>+AD54*Analisis!$J$7</f>
        <v>0</v>
      </c>
      <c r="AF54" s="86">
        <f t="shared" si="14"/>
        <v>173.08611111111111</v>
      </c>
      <c r="AG54" s="126">
        <f>+AF54/(1-Analisis!$E$9)</f>
        <v>216.35763888888889</v>
      </c>
      <c r="AH54" s="128">
        <f t="shared" si="15"/>
        <v>0</v>
      </c>
    </row>
    <row r="55" spans="1:34" s="73" customFormat="1" x14ac:dyDescent="0.25">
      <c r="A55" s="100"/>
      <c r="B55" t="s">
        <v>227</v>
      </c>
      <c r="C55" s="74">
        <f>IFERROR(VLOOKUP(B55,'REQ GALV'!A:B,2,0),0)</f>
        <v>0</v>
      </c>
      <c r="D55" s="116">
        <f t="shared" si="8"/>
        <v>190.80685307017546</v>
      </c>
      <c r="E55" s="4" t="s">
        <v>180</v>
      </c>
      <c r="F55" s="75" t="s">
        <v>147</v>
      </c>
      <c r="G55" s="90">
        <v>17.8</v>
      </c>
      <c r="H55" s="90">
        <v>6.5</v>
      </c>
      <c r="I55" s="76">
        <v>0.105</v>
      </c>
      <c r="J55" s="77">
        <v>28.24</v>
      </c>
      <c r="K55" s="78">
        <f t="shared" si="16"/>
        <v>6.6599425558703205</v>
      </c>
      <c r="L55" s="58">
        <f>+VLOOKUP(E55,Material!$H$2:$M$17,6,FALSE)*G55*H55*(1+Material!$K$14)</f>
        <v>85.489444444444459</v>
      </c>
      <c r="M55" s="79" t="str">
        <f>+Analisis!$J$5</f>
        <v>T5.0</v>
      </c>
      <c r="N55" s="80">
        <f>+VLOOKUP(M55,Material!$A$3:$B$58,2,FALSE)</f>
        <v>5000</v>
      </c>
      <c r="O55" s="79" t="s">
        <v>42</v>
      </c>
      <c r="P55" s="79" t="s">
        <v>43</v>
      </c>
      <c r="Q55" s="81">
        <f>+IF(O55="ACERO A36",VLOOKUP(P55,'Velocidades Std 1500 w'!$B$2:$F$15,5,FALSE),IF(O55="INOXIDABLE",VLOOKUP(P55,'Velocidades Std 1500 w'!$B$17:$F$28,5,FALSE),IF(O55="ALUMINIO",VLOOKUP(P55,'Velocidades Std 1500 w'!$B$30:$F$38,5,FALSE))))</f>
        <v>4.3859649122807014E-6</v>
      </c>
      <c r="R55" s="82">
        <f t="shared" si="17"/>
        <v>2.1929824561403508E-2</v>
      </c>
      <c r="S55" s="83">
        <f t="shared" si="18"/>
        <v>22.992347368421051</v>
      </c>
      <c r="T55" s="110">
        <f t="shared" si="19"/>
        <v>1456.182</v>
      </c>
      <c r="U55" s="80">
        <f t="shared" si="20"/>
        <v>31.933815789473684</v>
      </c>
      <c r="V55" s="98">
        <v>4</v>
      </c>
      <c r="W55" s="84">
        <f>+IF(O55="ACERO A36",VLOOKUP(P55,'Tiempo Objeto'!$B$2:$C$12,2,FALSE),IF(O55="INOXIDABLE",VLOOKUP(P55,'Tiempo Objeto'!$B$14:$C$22,2,FALSE),IF(O55="ALUMINIO",VLOOKUP(P55,'Tiempo Objeto'!$B$24:$C$32,2,FALSE))))</f>
        <v>1.84</v>
      </c>
      <c r="X55" s="84">
        <f t="shared" si="21"/>
        <v>7.36</v>
      </c>
      <c r="Y55" s="80">
        <f t="shared" si="22"/>
        <v>10.222222222222221</v>
      </c>
      <c r="Z55" s="100">
        <v>1</v>
      </c>
      <c r="AA55" s="85">
        <f t="shared" si="23"/>
        <v>30</v>
      </c>
      <c r="AB55" s="86">
        <f>+Z55*Analisis!$J$6</f>
        <v>25</v>
      </c>
      <c r="AC55" s="100">
        <v>0</v>
      </c>
      <c r="AD55" s="85">
        <f t="shared" si="24"/>
        <v>0</v>
      </c>
      <c r="AE55" s="86">
        <f>+AD55*Analisis!$J$7</f>
        <v>0</v>
      </c>
      <c r="AF55" s="86">
        <f t="shared" si="14"/>
        <v>152.64548245614037</v>
      </c>
      <c r="AG55" s="126">
        <f>+AF55/(1-Analisis!$E$9)</f>
        <v>190.80685307017546</v>
      </c>
      <c r="AH55" s="128">
        <f t="shared" si="15"/>
        <v>0</v>
      </c>
    </row>
    <row r="56" spans="1:34" s="73" customFormat="1" x14ac:dyDescent="0.25">
      <c r="A56" s="100"/>
      <c r="B56" t="s">
        <v>237</v>
      </c>
      <c r="C56" s="74">
        <f>IFERROR(VLOOKUP(B56,'REQ GALV'!A:B,2,0),0)</f>
        <v>0</v>
      </c>
      <c r="D56" s="116">
        <f t="shared" si="8"/>
        <v>319.74040570175436</v>
      </c>
      <c r="E56" s="4" t="s">
        <v>180</v>
      </c>
      <c r="F56" s="75" t="s">
        <v>147</v>
      </c>
      <c r="G56" s="90">
        <v>27.8</v>
      </c>
      <c r="H56" s="90">
        <v>8.5</v>
      </c>
      <c r="I56" s="76">
        <v>0.105</v>
      </c>
      <c r="J56" s="77">
        <v>28.24</v>
      </c>
      <c r="K56" s="78">
        <f t="shared" ref="K56:K57" si="87">+L56*2.2/J56</f>
        <v>13.601939723009131</v>
      </c>
      <c r="L56" s="58">
        <f>+VLOOKUP(E56,Material!$H$2:$M$17,6,FALSE)*G56*H56*(1+Material!$K$14)</f>
        <v>174.59944444444446</v>
      </c>
      <c r="M56" s="79" t="str">
        <f>+Analisis!$J$5</f>
        <v>T5.0</v>
      </c>
      <c r="N56" s="80">
        <f>+VLOOKUP(M56,Material!$A$3:$B$58,2,FALSE)</f>
        <v>5000</v>
      </c>
      <c r="O56" s="79" t="s">
        <v>42</v>
      </c>
      <c r="P56" s="79" t="s">
        <v>43</v>
      </c>
      <c r="Q56" s="81">
        <f>+IF(O56="ACERO A36",VLOOKUP(P56,'Velocidades Std 1500 w'!$B$2:$F$15,5,FALSE),IF(O56="INOXIDABLE",VLOOKUP(P56,'Velocidades Std 1500 w'!$B$17:$F$28,5,FALSE),IF(O56="ALUMINIO",VLOOKUP(P56,'Velocidades Std 1500 w'!$B$30:$F$38,5,FALSE))))</f>
        <v>4.3859649122807014E-6</v>
      </c>
      <c r="R56" s="82">
        <f t="shared" ref="R56:R57" si="88">+Q56*N56</f>
        <v>2.1929824561403508E-2</v>
      </c>
      <c r="S56" s="83">
        <f t="shared" ref="S56:S57" si="89">+Q56*T56*3600</f>
        <v>33.098873684210524</v>
      </c>
      <c r="T56" s="110">
        <f t="shared" ref="T56:T57" si="90">(+H56*2+G56*2+V56*1.5)*25.4*1.05</f>
        <v>2096.2619999999997</v>
      </c>
      <c r="U56" s="80">
        <f t="shared" ref="U56:U57" si="91">+T56*R56</f>
        <v>45.970657894736831</v>
      </c>
      <c r="V56" s="98">
        <v>4</v>
      </c>
      <c r="W56" s="84">
        <f>+IF(O56="ACERO A36",VLOOKUP(P56,'Tiempo Objeto'!$B$2:$C$12,2,FALSE),IF(O56="INOXIDABLE",VLOOKUP(P56,'Tiempo Objeto'!$B$14:$C$22,2,FALSE),IF(O56="ALUMINIO",VLOOKUP(P56,'Tiempo Objeto'!$B$24:$C$32,2,FALSE))))</f>
        <v>1.84</v>
      </c>
      <c r="X56" s="84">
        <f t="shared" ref="X56:X57" si="92">+W56*V56</f>
        <v>7.36</v>
      </c>
      <c r="Y56" s="80">
        <f t="shared" ref="Y56:Y57" si="93">+X56*N56/3600</f>
        <v>10.222222222222221</v>
      </c>
      <c r="Z56" s="100">
        <v>1</v>
      </c>
      <c r="AA56" s="85">
        <f t="shared" ref="AA56" si="94">30*Z56+Z56*$C56*1.5</f>
        <v>30</v>
      </c>
      <c r="AB56" s="86">
        <f>+Z56*Analisis!$J$6</f>
        <v>25</v>
      </c>
      <c r="AC56" s="100">
        <v>0</v>
      </c>
      <c r="AD56" s="85">
        <f t="shared" ref="AD56" si="95">30*AC56+AC56*$C56*1.5</f>
        <v>0</v>
      </c>
      <c r="AE56" s="86">
        <f>+AD56*Analisis!$J$7</f>
        <v>0</v>
      </c>
      <c r="AF56" s="86">
        <f t="shared" si="14"/>
        <v>255.79232456140352</v>
      </c>
      <c r="AG56" s="126">
        <f>+AF56/(1-Analisis!$E$9)</f>
        <v>319.74040570175436</v>
      </c>
      <c r="AH56" s="128">
        <f t="shared" si="15"/>
        <v>0</v>
      </c>
    </row>
    <row r="57" spans="1:34" s="73" customFormat="1" x14ac:dyDescent="0.25">
      <c r="A57" s="100"/>
      <c r="B57" t="s">
        <v>228</v>
      </c>
      <c r="C57" s="74">
        <f>IFERROR(VLOOKUP(B57,'REQ GALV'!A:B,2,0),0)</f>
        <v>0</v>
      </c>
      <c r="D57" s="116">
        <f t="shared" si="8"/>
        <v>216.35763888888889</v>
      </c>
      <c r="E57" s="4" t="s">
        <v>180</v>
      </c>
      <c r="F57" s="75" t="s">
        <v>147</v>
      </c>
      <c r="G57" s="90">
        <v>11</v>
      </c>
      <c r="H57" s="90">
        <v>5</v>
      </c>
      <c r="I57" s="76">
        <v>0.105</v>
      </c>
      <c r="J57" s="77">
        <v>28.24</v>
      </c>
      <c r="K57" s="78">
        <f t="shared" si="87"/>
        <v>3.1659191060749139</v>
      </c>
      <c r="L57" s="58">
        <f>+VLOOKUP(E57,Material!$H$2:$M$17,6,FALSE)*G57*H57*(1+Material!$K$14)</f>
        <v>40.638888888888893</v>
      </c>
      <c r="M57" s="79" t="str">
        <f>+Analisis!$J$5</f>
        <v>T5.0</v>
      </c>
      <c r="N57" s="80">
        <f>+VLOOKUP(M57,Material!$A$3:$B$58,2,FALSE)</f>
        <v>5000</v>
      </c>
      <c r="O57" s="79" t="s">
        <v>42</v>
      </c>
      <c r="P57" s="79" t="s">
        <v>43</v>
      </c>
      <c r="Q57" s="81">
        <f>+IF(O57="ACERO A36",VLOOKUP(P57,'Velocidades Std 1500 w'!$B$2:$F$15,5,FALSE),IF(O57="INOXIDABLE",VLOOKUP(P57,'Velocidades Std 1500 w'!$B$17:$F$28,5,FALSE),IF(O57="ALUMINIO",VLOOKUP(P57,'Velocidades Std 1500 w'!$B$30:$F$38,5,FALSE))))</f>
        <v>4.3859649122807014E-6</v>
      </c>
      <c r="R57" s="82">
        <f t="shared" si="88"/>
        <v>2.1929824561403508E-2</v>
      </c>
      <c r="S57" s="83">
        <f t="shared" si="89"/>
        <v>16.001999999999999</v>
      </c>
      <c r="T57" s="110">
        <f t="shared" si="90"/>
        <v>1013.4599999999999</v>
      </c>
      <c r="U57" s="80">
        <f t="shared" si="91"/>
        <v>22.224999999999998</v>
      </c>
      <c r="V57" s="98">
        <v>4</v>
      </c>
      <c r="W57" s="84">
        <f>+IF(O57="ACERO A36",VLOOKUP(P57,'Tiempo Objeto'!$B$2:$C$12,2,FALSE),IF(O57="INOXIDABLE",VLOOKUP(P57,'Tiempo Objeto'!$B$14:$C$22,2,FALSE),IF(O57="ALUMINIO",VLOOKUP(P57,'Tiempo Objeto'!$B$24:$C$32,2,FALSE))))</f>
        <v>1.84</v>
      </c>
      <c r="X57" s="84">
        <f t="shared" si="92"/>
        <v>7.36</v>
      </c>
      <c r="Y57" s="80">
        <f t="shared" si="93"/>
        <v>10.222222222222221</v>
      </c>
      <c r="Z57" s="100">
        <v>4</v>
      </c>
      <c r="AA57" s="85">
        <f t="shared" si="23"/>
        <v>120</v>
      </c>
      <c r="AB57" s="86">
        <f>+Z57*Analisis!$J$6</f>
        <v>100</v>
      </c>
      <c r="AC57" s="100">
        <v>0</v>
      </c>
      <c r="AD57" s="85">
        <f t="shared" si="24"/>
        <v>0</v>
      </c>
      <c r="AE57" s="86">
        <f>+AD57*Analisis!$J$7</f>
        <v>0</v>
      </c>
      <c r="AF57" s="86">
        <f t="shared" si="14"/>
        <v>173.08611111111111</v>
      </c>
      <c r="AG57" s="126">
        <f>+AF57/(1-Analisis!$E$9)</f>
        <v>216.35763888888889</v>
      </c>
      <c r="AH57" s="128">
        <f t="shared" si="15"/>
        <v>0</v>
      </c>
    </row>
    <row r="58" spans="1:34" s="73" customFormat="1" x14ac:dyDescent="0.25">
      <c r="A58" s="100"/>
      <c r="B58" t="s">
        <v>229</v>
      </c>
      <c r="C58" s="74">
        <f>IFERROR(VLOOKUP(B58,'REQ GALV'!A:B,2,0),0)</f>
        <v>0</v>
      </c>
      <c r="D58" s="116">
        <f t="shared" si="8"/>
        <v>216.35763888888889</v>
      </c>
      <c r="E58" s="4" t="s">
        <v>180</v>
      </c>
      <c r="F58" s="75" t="s">
        <v>147</v>
      </c>
      <c r="G58" s="90">
        <v>11</v>
      </c>
      <c r="H58" s="90">
        <v>5</v>
      </c>
      <c r="I58" s="76">
        <v>0.105</v>
      </c>
      <c r="J58" s="77">
        <v>28.24</v>
      </c>
      <c r="K58" s="78">
        <f t="shared" ref="K58" si="96">+L58*2.2/J58</f>
        <v>3.1659191060749139</v>
      </c>
      <c r="L58" s="58">
        <f>+VLOOKUP(E58,Material!$H$2:$M$17,6,FALSE)*G58*H58*(1+Material!$K$14)</f>
        <v>40.638888888888893</v>
      </c>
      <c r="M58" s="79" t="str">
        <f>+Analisis!$J$5</f>
        <v>T5.0</v>
      </c>
      <c r="N58" s="80">
        <f>+VLOOKUP(M58,Material!$A$3:$B$58,2,FALSE)</f>
        <v>5000</v>
      </c>
      <c r="O58" s="79" t="s">
        <v>42</v>
      </c>
      <c r="P58" s="79" t="s">
        <v>43</v>
      </c>
      <c r="Q58" s="81">
        <f>+IF(O58="ACERO A36",VLOOKUP(P58,'Velocidades Std 1500 w'!$B$2:$F$15,5,FALSE),IF(O58="INOXIDABLE",VLOOKUP(P58,'Velocidades Std 1500 w'!$B$17:$F$28,5,FALSE),IF(O58="ALUMINIO",VLOOKUP(P58,'Velocidades Std 1500 w'!$B$30:$F$38,5,FALSE))))</f>
        <v>4.3859649122807014E-6</v>
      </c>
      <c r="R58" s="82">
        <f t="shared" ref="R58" si="97">+Q58*N58</f>
        <v>2.1929824561403508E-2</v>
      </c>
      <c r="S58" s="83">
        <f t="shared" ref="S58" si="98">+Q58*T58*3600</f>
        <v>16.001999999999999</v>
      </c>
      <c r="T58" s="110">
        <f t="shared" ref="T58" si="99">(+H58*2+G58*2+V58*1.5)*25.4*1.05</f>
        <v>1013.4599999999999</v>
      </c>
      <c r="U58" s="80">
        <f t="shared" ref="U58" si="100">+T58*R58</f>
        <v>22.224999999999998</v>
      </c>
      <c r="V58" s="98">
        <v>4</v>
      </c>
      <c r="W58" s="84">
        <f>+IF(O58="ACERO A36",VLOOKUP(P58,'Tiempo Objeto'!$B$2:$C$12,2,FALSE),IF(O58="INOXIDABLE",VLOOKUP(P58,'Tiempo Objeto'!$B$14:$C$22,2,FALSE),IF(O58="ALUMINIO",VLOOKUP(P58,'Tiempo Objeto'!$B$24:$C$32,2,FALSE))))</f>
        <v>1.84</v>
      </c>
      <c r="X58" s="84">
        <f t="shared" ref="X58" si="101">+W58*V58</f>
        <v>7.36</v>
      </c>
      <c r="Y58" s="80">
        <f t="shared" ref="Y58" si="102">+X58*N58/3600</f>
        <v>10.222222222222221</v>
      </c>
      <c r="Z58" s="100">
        <v>4</v>
      </c>
      <c r="AA58" s="85">
        <f t="shared" si="23"/>
        <v>120</v>
      </c>
      <c r="AB58" s="86">
        <f>+Z58*Analisis!$J$6</f>
        <v>100</v>
      </c>
      <c r="AC58" s="100">
        <v>0</v>
      </c>
      <c r="AD58" s="85">
        <f t="shared" si="24"/>
        <v>0</v>
      </c>
      <c r="AE58" s="86">
        <f>+AD58*Analisis!$J$7</f>
        <v>0</v>
      </c>
      <c r="AF58" s="86">
        <f t="shared" si="14"/>
        <v>173.08611111111111</v>
      </c>
      <c r="AG58" s="126">
        <f>+AF58/(1-Analisis!$E$9)</f>
        <v>216.35763888888889</v>
      </c>
      <c r="AH58" s="128">
        <f t="shared" si="15"/>
        <v>0</v>
      </c>
    </row>
    <row r="59" spans="1:34" s="73" customFormat="1" x14ac:dyDescent="0.25">
      <c r="A59" s="100"/>
      <c r="B59" t="s">
        <v>230</v>
      </c>
      <c r="C59" s="74">
        <f>IFERROR(VLOOKUP(B59,'REQ GALV'!A:B,2,0),0)</f>
        <v>0</v>
      </c>
      <c r="D59" s="116">
        <f t="shared" si="8"/>
        <v>301.48081140350877</v>
      </c>
      <c r="E59" s="4" t="s">
        <v>180</v>
      </c>
      <c r="F59" s="75" t="s">
        <v>147</v>
      </c>
      <c r="G59" s="90">
        <v>25</v>
      </c>
      <c r="H59" s="90">
        <v>5</v>
      </c>
      <c r="I59" s="76">
        <v>0.105</v>
      </c>
      <c r="J59" s="77">
        <v>28.24</v>
      </c>
      <c r="K59" s="78">
        <f t="shared" ref="K59" si="103">+L59*2.2/J59</f>
        <v>7.1952706956248038</v>
      </c>
      <c r="L59" s="58">
        <f>+VLOOKUP(E59,Material!$H$2:$M$17,6,FALSE)*G59*H59*(1+Material!$K$14)</f>
        <v>92.361111111111114</v>
      </c>
      <c r="M59" s="79" t="str">
        <f>+Analisis!$J$5</f>
        <v>T5.0</v>
      </c>
      <c r="N59" s="80">
        <f>+VLOOKUP(M59,Material!$A$3:$B$58,2,FALSE)</f>
        <v>5000</v>
      </c>
      <c r="O59" s="79" t="s">
        <v>42</v>
      </c>
      <c r="P59" s="79" t="s">
        <v>43</v>
      </c>
      <c r="Q59" s="81">
        <f>+IF(O59="ACERO A36",VLOOKUP(P59,'Velocidades Std 1500 w'!$B$2:$F$15,5,FALSE),IF(O59="INOXIDABLE",VLOOKUP(P59,'Velocidades Std 1500 w'!$B$17:$F$28,5,FALSE),IF(O59="ALUMINIO",VLOOKUP(P59,'Velocidades Std 1500 w'!$B$30:$F$38,5,FALSE))))</f>
        <v>4.3859649122807014E-6</v>
      </c>
      <c r="R59" s="82">
        <f t="shared" ref="R59" si="104">+Q59*N59</f>
        <v>2.1929824561403508E-2</v>
      </c>
      <c r="S59" s="83">
        <f t="shared" ref="S59" si="105">+Q59*T59*3600</f>
        <v>27.79294736842105</v>
      </c>
      <c r="T59" s="110">
        <f t="shared" ref="T59" si="106">(+H59*2+G59*2+V59*1.5)*25.4*1.05</f>
        <v>1760.22</v>
      </c>
      <c r="U59" s="80">
        <f t="shared" ref="U59" si="107">+T59*R59</f>
        <v>38.601315789473681</v>
      </c>
      <c r="V59" s="98">
        <v>4</v>
      </c>
      <c r="W59" s="84">
        <f>+IF(O59="ACERO A36",VLOOKUP(P59,'Tiempo Objeto'!$B$2:$C$12,2,FALSE),IF(O59="INOXIDABLE",VLOOKUP(P59,'Tiempo Objeto'!$B$14:$C$22,2,FALSE),IF(O59="ALUMINIO",VLOOKUP(P59,'Tiempo Objeto'!$B$24:$C$32,2,FALSE))))</f>
        <v>1.84</v>
      </c>
      <c r="X59" s="84">
        <f t="shared" ref="X59" si="108">+W59*V59</f>
        <v>7.36</v>
      </c>
      <c r="Y59" s="80">
        <f t="shared" ref="Y59" si="109">+X59*N59/3600</f>
        <v>10.222222222222221</v>
      </c>
      <c r="Z59" s="100">
        <v>4</v>
      </c>
      <c r="AA59" s="85">
        <f t="shared" si="23"/>
        <v>120</v>
      </c>
      <c r="AB59" s="86">
        <f>+Z59*Analisis!$J$6</f>
        <v>100</v>
      </c>
      <c r="AC59" s="100">
        <v>0</v>
      </c>
      <c r="AD59" s="85">
        <f t="shared" si="24"/>
        <v>0</v>
      </c>
      <c r="AE59" s="86">
        <f>+AD59*Analisis!$J$7</f>
        <v>0</v>
      </c>
      <c r="AF59" s="86">
        <f t="shared" si="14"/>
        <v>241.18464912280703</v>
      </c>
      <c r="AG59" s="126">
        <f>+AF59/(1-Analisis!$E$9)</f>
        <v>301.48081140350877</v>
      </c>
      <c r="AH59" s="128">
        <f t="shared" si="15"/>
        <v>0</v>
      </c>
    </row>
    <row r="60" spans="1:34" s="73" customFormat="1" x14ac:dyDescent="0.25">
      <c r="A60" s="100"/>
      <c r="B60" t="s">
        <v>231</v>
      </c>
      <c r="C60" s="74">
        <f>IFERROR(VLOOKUP(B60,'REQ GALV'!A:B,2,0),0)</f>
        <v>0</v>
      </c>
      <c r="D60" s="116">
        <f t="shared" si="8"/>
        <v>2245.6651157169454</v>
      </c>
      <c r="E60" s="4" t="s">
        <v>47</v>
      </c>
      <c r="F60" s="75" t="s">
        <v>147</v>
      </c>
      <c r="G60" s="90">
        <v>22.85</v>
      </c>
      <c r="H60" s="90">
        <v>35.909999999999997</v>
      </c>
      <c r="I60" s="76">
        <v>0.105</v>
      </c>
      <c r="J60" s="77">
        <v>28.24</v>
      </c>
      <c r="K60" s="78">
        <f t="shared" si="16"/>
        <v>33.210183375199193</v>
      </c>
      <c r="L60" s="58">
        <f>+VLOOKUP(E60,Material!$H$2:$M$17,6,FALSE)*G60*H60*(1+Material!$K$14)</f>
        <v>426.29799023437499</v>
      </c>
      <c r="M60" s="79" t="str">
        <f>+Analisis!$J$5</f>
        <v>T5.0</v>
      </c>
      <c r="N60" s="80">
        <f>+VLOOKUP(M60,Material!$A$3:$B$58,2,FALSE)</f>
        <v>5000</v>
      </c>
      <c r="O60" s="79" t="s">
        <v>42</v>
      </c>
      <c r="P60" s="79" t="s">
        <v>43</v>
      </c>
      <c r="Q60" s="81">
        <f>+IF(O60="ACERO A36",VLOOKUP(P60,'Velocidades Std 1500 w'!$B$2:$F$15,5,FALSE),IF(O60="INOXIDABLE",VLOOKUP(P60,'Velocidades Std 1500 w'!$B$17:$F$28,5,FALSE),IF(O60="ALUMINIO",VLOOKUP(P60,'Velocidades Std 1500 w'!$B$30:$F$38,5,FALSE))))</f>
        <v>4.3859649122807014E-6</v>
      </c>
      <c r="R60" s="82">
        <f t="shared" si="17"/>
        <v>2.1929824561403508E-2</v>
      </c>
      <c r="S60" s="83">
        <f t="shared" si="18"/>
        <v>270.56855368421049</v>
      </c>
      <c r="T60" s="110">
        <f t="shared" si="19"/>
        <v>17136.008399999999</v>
      </c>
      <c r="U60" s="80">
        <f t="shared" si="20"/>
        <v>375.78965789473682</v>
      </c>
      <c r="V60" s="98">
        <v>350</v>
      </c>
      <c r="W60" s="84">
        <f>+IF(O60="ACERO A36",VLOOKUP(P60,'Tiempo Objeto'!$B$2:$C$12,2,FALSE),IF(O60="INOXIDABLE",VLOOKUP(P60,'Tiempo Objeto'!$B$14:$C$22,2,FALSE),IF(O60="ALUMINIO",VLOOKUP(P60,'Tiempo Objeto'!$B$24:$C$32,2,FALSE))))</f>
        <v>1.84</v>
      </c>
      <c r="X60" s="84">
        <f t="shared" si="21"/>
        <v>644</v>
      </c>
      <c r="Y60" s="80">
        <f t="shared" si="22"/>
        <v>894.44444444444446</v>
      </c>
      <c r="Z60" s="100">
        <v>4</v>
      </c>
      <c r="AA60" s="85">
        <f t="shared" si="23"/>
        <v>120</v>
      </c>
      <c r="AB60" s="86">
        <f>+Z60*Analisis!$J$6</f>
        <v>100</v>
      </c>
      <c r="AC60" s="100">
        <v>0</v>
      </c>
      <c r="AD60" s="85">
        <f t="shared" si="24"/>
        <v>0</v>
      </c>
      <c r="AE60" s="86">
        <f>+AD60*Analisis!$J$7</f>
        <v>0</v>
      </c>
      <c r="AF60" s="86">
        <f t="shared" si="14"/>
        <v>1796.5320925735564</v>
      </c>
      <c r="AG60" s="126">
        <f>+AF60/(1-Analisis!$E$9)</f>
        <v>2245.6651157169454</v>
      </c>
      <c r="AH60" s="128">
        <f t="shared" si="15"/>
        <v>0</v>
      </c>
    </row>
    <row r="61" spans="1:34" s="73" customFormat="1" x14ac:dyDescent="0.25">
      <c r="A61" s="100"/>
      <c r="B61" t="s">
        <v>232</v>
      </c>
      <c r="C61" s="74">
        <f>IFERROR(VLOOKUP(B61,'REQ GALV'!A:B,2,0),0)</f>
        <v>0</v>
      </c>
      <c r="D61" s="116">
        <f t="shared" si="8"/>
        <v>515.60763131053534</v>
      </c>
      <c r="E61" s="4" t="s">
        <v>130</v>
      </c>
      <c r="F61" s="75" t="s">
        <v>147</v>
      </c>
      <c r="G61" s="90">
        <v>13.95</v>
      </c>
      <c r="H61" s="90">
        <v>20.21</v>
      </c>
      <c r="I61" s="76">
        <v>0.105</v>
      </c>
      <c r="J61" s="77">
        <v>28.24</v>
      </c>
      <c r="K61" s="78">
        <f t="shared" si="16"/>
        <v>10.649935115306304</v>
      </c>
      <c r="L61" s="58">
        <f>+VLOOKUP(E61,Material!$H$2:$M$17,6,FALSE)*G61*H61*(1+Material!$K$14)</f>
        <v>136.70643984374999</v>
      </c>
      <c r="M61" s="79" t="str">
        <f>+Analisis!$J$5</f>
        <v>T5.0</v>
      </c>
      <c r="N61" s="80">
        <f>+VLOOKUP(M61,Material!$A$3:$B$58,2,FALSE)</f>
        <v>5000</v>
      </c>
      <c r="O61" s="79" t="s">
        <v>42</v>
      </c>
      <c r="P61" s="79" t="s">
        <v>43</v>
      </c>
      <c r="Q61" s="81">
        <f>+IF(O61="ACERO A36",VLOOKUP(P61,'Velocidades Std 1500 w'!$B$2:$F$15,5,FALSE),IF(O61="INOXIDABLE",VLOOKUP(P61,'Velocidades Std 1500 w'!$B$17:$F$28,5,FALSE),IF(O61="ALUMINIO",VLOOKUP(P61,'Velocidades Std 1500 w'!$B$30:$F$38,5,FALSE))))</f>
        <v>4.3859649122807014E-6</v>
      </c>
      <c r="R61" s="82">
        <f t="shared" si="17"/>
        <v>2.1929824561403508E-2</v>
      </c>
      <c r="S61" s="83">
        <f t="shared" si="18"/>
        <v>44.561358947368412</v>
      </c>
      <c r="T61" s="110">
        <f t="shared" si="19"/>
        <v>2822.2193999999995</v>
      </c>
      <c r="U61" s="80">
        <f t="shared" si="20"/>
        <v>61.890776315789459</v>
      </c>
      <c r="V61" s="98">
        <v>25</v>
      </c>
      <c r="W61" s="84">
        <f>+IF(O61="ACERO A36",VLOOKUP(P61,'Tiempo Objeto'!$B$2:$C$12,2,FALSE),IF(O61="INOXIDABLE",VLOOKUP(P61,'Tiempo Objeto'!$B$14:$C$22,2,FALSE),IF(O61="ALUMINIO",VLOOKUP(P61,'Tiempo Objeto'!$B$24:$C$32,2,FALSE))))</f>
        <v>1.84</v>
      </c>
      <c r="X61" s="84">
        <f t="shared" si="21"/>
        <v>46</v>
      </c>
      <c r="Y61" s="80">
        <f t="shared" si="22"/>
        <v>63.888888888888886</v>
      </c>
      <c r="Z61" s="100">
        <v>6</v>
      </c>
      <c r="AA61" s="85">
        <f t="shared" si="23"/>
        <v>180</v>
      </c>
      <c r="AB61" s="86">
        <f>+Z61*Analisis!$J$6</f>
        <v>150</v>
      </c>
      <c r="AC61" s="100">
        <v>0</v>
      </c>
      <c r="AD61" s="85">
        <f t="shared" si="24"/>
        <v>0</v>
      </c>
      <c r="AE61" s="86">
        <f>+AD61*Analisis!$J$7</f>
        <v>0</v>
      </c>
      <c r="AF61" s="86">
        <f t="shared" si="14"/>
        <v>412.48610504842833</v>
      </c>
      <c r="AG61" s="126">
        <f>+AF61/(1-Analisis!$E$9)</f>
        <v>515.60763131053534</v>
      </c>
      <c r="AH61" s="128">
        <f t="shared" si="15"/>
        <v>0</v>
      </c>
    </row>
    <row r="62" spans="1:34" s="73" customFormat="1" x14ac:dyDescent="0.25">
      <c r="A62" s="100"/>
      <c r="B62" t="s">
        <v>238</v>
      </c>
      <c r="C62" s="74">
        <f>IFERROR(VLOOKUP(B62,'REQ GALV'!A:B,2,0),0)</f>
        <v>0</v>
      </c>
      <c r="D62" s="116">
        <f t="shared" si="8"/>
        <v>81.624017726608173</v>
      </c>
      <c r="E62" s="4" t="s">
        <v>137</v>
      </c>
      <c r="F62" s="75" t="s">
        <v>147</v>
      </c>
      <c r="G62" s="90">
        <v>2</v>
      </c>
      <c r="H62" s="90">
        <v>7</v>
      </c>
      <c r="I62" s="76">
        <v>0.105</v>
      </c>
      <c r="J62" s="77">
        <v>28.24</v>
      </c>
      <c r="K62" s="78">
        <f t="shared" si="16"/>
        <v>0.98215444995278589</v>
      </c>
      <c r="L62" s="58">
        <f>+VLOOKUP(E62,Material!$H$2:$M$17,6,FALSE)*G62*H62*(1+Material!$K$14)</f>
        <v>12.607291666666669</v>
      </c>
      <c r="M62" s="79" t="str">
        <f>+Analisis!$J$5</f>
        <v>T5.0</v>
      </c>
      <c r="N62" s="80">
        <f>+VLOOKUP(M62,Material!$A$3:$B$58,2,FALSE)</f>
        <v>5000</v>
      </c>
      <c r="O62" s="79" t="s">
        <v>42</v>
      </c>
      <c r="P62" s="79" t="s">
        <v>43</v>
      </c>
      <c r="Q62" s="81">
        <f>+IF(O62="ACERO A36",VLOOKUP(P62,'Velocidades Std 1500 w'!$B$2:$F$15,5,FALSE),IF(O62="INOXIDABLE",VLOOKUP(P62,'Velocidades Std 1500 w'!$B$17:$F$28,5,FALSE),IF(O62="ALUMINIO",VLOOKUP(P62,'Velocidades Std 1500 w'!$B$30:$F$38,5,FALSE))))</f>
        <v>4.3859649122807014E-6</v>
      </c>
      <c r="R62" s="82">
        <f t="shared" si="17"/>
        <v>2.1929824561403508E-2</v>
      </c>
      <c r="S62" s="83">
        <f t="shared" si="18"/>
        <v>10.738184210526313</v>
      </c>
      <c r="T62" s="110">
        <f t="shared" si="19"/>
        <v>680.08499999999992</v>
      </c>
      <c r="U62" s="80">
        <f t="shared" si="20"/>
        <v>14.914144736842102</v>
      </c>
      <c r="V62" s="98">
        <v>5</v>
      </c>
      <c r="W62" s="84">
        <f>+IF(O62="ACERO A36",VLOOKUP(P62,'Tiempo Objeto'!$B$2:$C$12,2,FALSE),IF(O62="INOXIDABLE",VLOOKUP(P62,'Tiempo Objeto'!$B$14:$C$22,2,FALSE),IF(O62="ALUMINIO",VLOOKUP(P62,'Tiempo Objeto'!$B$24:$C$32,2,FALSE))))</f>
        <v>1.84</v>
      </c>
      <c r="X62" s="84">
        <f t="shared" si="21"/>
        <v>9.2000000000000011</v>
      </c>
      <c r="Y62" s="80">
        <f t="shared" si="22"/>
        <v>12.77777777777778</v>
      </c>
      <c r="Z62" s="100">
        <v>1</v>
      </c>
      <c r="AA62" s="85">
        <f t="shared" si="23"/>
        <v>30</v>
      </c>
      <c r="AB62" s="86">
        <f>+Z62*Analisis!$J$6</f>
        <v>25</v>
      </c>
      <c r="AC62" s="100">
        <v>0</v>
      </c>
      <c r="AD62" s="85">
        <f t="shared" si="24"/>
        <v>0</v>
      </c>
      <c r="AE62" s="86">
        <f>+AD62*Analisis!$J$7</f>
        <v>0</v>
      </c>
      <c r="AF62" s="86">
        <f t="shared" si="14"/>
        <v>65.299214181286544</v>
      </c>
      <c r="AG62" s="126">
        <f>+AF62/(1-Analisis!$E$9)</f>
        <v>81.624017726608173</v>
      </c>
      <c r="AH62" s="128">
        <f t="shared" si="15"/>
        <v>0</v>
      </c>
    </row>
    <row r="63" spans="1:34" s="73" customFormat="1" x14ac:dyDescent="0.25">
      <c r="A63" s="100"/>
      <c r="B63" t="s">
        <v>239</v>
      </c>
      <c r="C63" s="74">
        <f>IFERROR(VLOOKUP(B63,'REQ GALV'!A:B,2,0),0)</f>
        <v>0</v>
      </c>
      <c r="D63" s="116">
        <f t="shared" si="8"/>
        <v>169.38957419590642</v>
      </c>
      <c r="E63" s="4" t="s">
        <v>180</v>
      </c>
      <c r="F63" s="75" t="s">
        <v>147</v>
      </c>
      <c r="G63" s="90">
        <v>1</v>
      </c>
      <c r="H63" s="90">
        <v>9</v>
      </c>
      <c r="I63" s="76">
        <v>0.105</v>
      </c>
      <c r="J63" s="77">
        <v>28.24</v>
      </c>
      <c r="K63" s="78">
        <f t="shared" si="16"/>
        <v>0.51805949008498597</v>
      </c>
      <c r="L63" s="58">
        <f>+VLOOKUP(E63,Material!$H$2:$M$17,6,FALSE)*G63*H63*(1+Material!$K$14)</f>
        <v>6.65</v>
      </c>
      <c r="M63" s="79" t="str">
        <f>+Analisis!$J$5</f>
        <v>T5.0</v>
      </c>
      <c r="N63" s="80">
        <f>+VLOOKUP(M63,Material!$A$3:$B$58,2,FALSE)</f>
        <v>5000</v>
      </c>
      <c r="O63" s="79" t="s">
        <v>42</v>
      </c>
      <c r="P63" s="79" t="s">
        <v>43</v>
      </c>
      <c r="Q63" s="81">
        <f>+IF(O63="ACERO A36",VLOOKUP(P63,'Velocidades Std 1500 w'!$B$2:$F$15,5,FALSE),IF(O63="INOXIDABLE",VLOOKUP(P63,'Velocidades Std 1500 w'!$B$17:$F$28,5,FALSE),IF(O63="ALUMINIO",VLOOKUP(P63,'Velocidades Std 1500 w'!$B$30:$F$38,5,FALSE))))</f>
        <v>4.3859649122807014E-6</v>
      </c>
      <c r="R63" s="82">
        <f t="shared" si="17"/>
        <v>2.1929824561403508E-2</v>
      </c>
      <c r="S63" s="83">
        <f t="shared" si="18"/>
        <v>11.580394736842106</v>
      </c>
      <c r="T63" s="110">
        <f t="shared" si="19"/>
        <v>733.42500000000007</v>
      </c>
      <c r="U63" s="80">
        <f t="shared" si="20"/>
        <v>16.08388157894737</v>
      </c>
      <c r="V63" s="98">
        <v>5</v>
      </c>
      <c r="W63" s="84">
        <f>+IF(O63="ACERO A36",VLOOKUP(P63,'Tiempo Objeto'!$B$2:$C$12,2,FALSE),IF(O63="INOXIDABLE",VLOOKUP(P63,'Tiempo Objeto'!$B$14:$C$22,2,FALSE),IF(O63="ALUMINIO",VLOOKUP(P63,'Tiempo Objeto'!$B$24:$C$32,2,FALSE))))</f>
        <v>1.84</v>
      </c>
      <c r="X63" s="84">
        <f t="shared" si="21"/>
        <v>9.2000000000000011</v>
      </c>
      <c r="Y63" s="80">
        <f t="shared" si="22"/>
        <v>12.77777777777778</v>
      </c>
      <c r="Z63" s="100">
        <v>4</v>
      </c>
      <c r="AA63" s="85">
        <f t="shared" si="23"/>
        <v>120</v>
      </c>
      <c r="AB63" s="86">
        <f>+Z63*Analisis!$J$6</f>
        <v>100</v>
      </c>
      <c r="AC63" s="100">
        <v>0</v>
      </c>
      <c r="AD63" s="85">
        <f t="shared" si="24"/>
        <v>0</v>
      </c>
      <c r="AE63" s="86">
        <f>+AD63*Analisis!$J$7</f>
        <v>0</v>
      </c>
      <c r="AF63" s="86">
        <f t="shared" si="14"/>
        <v>135.51165935672515</v>
      </c>
      <c r="AG63" s="126">
        <f>+AF63/(1-Analisis!$E$9)</f>
        <v>169.38957419590642</v>
      </c>
      <c r="AH63" s="128">
        <f t="shared" si="15"/>
        <v>0</v>
      </c>
    </row>
    <row r="64" spans="1:34" s="73" customFormat="1" x14ac:dyDescent="0.25">
      <c r="A64" s="100"/>
      <c r="B64" t="s">
        <v>240</v>
      </c>
      <c r="C64" s="74">
        <f>IFERROR(VLOOKUP(B64,'REQ GALV'!A:B,2,0),0)</f>
        <v>0</v>
      </c>
      <c r="D64" s="116">
        <f t="shared" si="8"/>
        <v>185.00171692251462</v>
      </c>
      <c r="E64" s="4" t="s">
        <v>180</v>
      </c>
      <c r="F64" s="75" t="s">
        <v>147</v>
      </c>
      <c r="G64" s="90">
        <v>1.75</v>
      </c>
      <c r="H64" s="90">
        <v>11.69</v>
      </c>
      <c r="I64" s="76">
        <v>0.105</v>
      </c>
      <c r="J64" s="77">
        <v>28.24</v>
      </c>
      <c r="K64" s="78">
        <f t="shared" si="16"/>
        <v>1.1775780020459559</v>
      </c>
      <c r="L64" s="58">
        <f>+VLOOKUP(E64,Material!$H$2:$M$17,6,FALSE)*G64*H64*(1+Material!$K$14)</f>
        <v>15.115819444444448</v>
      </c>
      <c r="M64" s="79" t="str">
        <f>+Analisis!$J$5</f>
        <v>T5.0</v>
      </c>
      <c r="N64" s="80">
        <f>+VLOOKUP(M64,Material!$A$3:$B$58,2,FALSE)</f>
        <v>5000</v>
      </c>
      <c r="O64" s="79" t="s">
        <v>42</v>
      </c>
      <c r="P64" s="79" t="s">
        <v>43</v>
      </c>
      <c r="Q64" s="81">
        <f>+IF(O64="ACERO A36",VLOOKUP(P64,'Velocidades Std 1500 w'!$B$2:$F$15,5,FALSE),IF(O64="INOXIDABLE",VLOOKUP(P64,'Velocidades Std 1500 w'!$B$17:$F$28,5,FALSE),IF(O64="ALUMINIO",VLOOKUP(P64,'Velocidades Std 1500 w'!$B$30:$F$38,5,FALSE))))</f>
        <v>4.3859649122807014E-6</v>
      </c>
      <c r="R64" s="82">
        <f t="shared" si="17"/>
        <v>2.1929824561403508E-2</v>
      </c>
      <c r="S64" s="83">
        <f t="shared" si="18"/>
        <v>14.477598947368417</v>
      </c>
      <c r="T64" s="110">
        <f t="shared" si="19"/>
        <v>916.91459999999984</v>
      </c>
      <c r="U64" s="80">
        <f t="shared" si="20"/>
        <v>20.107776315789469</v>
      </c>
      <c r="V64" s="98">
        <v>5</v>
      </c>
      <c r="W64" s="84">
        <f>+IF(O64="ACERO A36",VLOOKUP(P64,'Tiempo Objeto'!$B$2:$C$12,2,FALSE),IF(O64="INOXIDABLE",VLOOKUP(P64,'Tiempo Objeto'!$B$14:$C$22,2,FALSE),IF(O64="ALUMINIO",VLOOKUP(P64,'Tiempo Objeto'!$B$24:$C$32,2,FALSE))))</f>
        <v>1.84</v>
      </c>
      <c r="X64" s="84">
        <f t="shared" si="21"/>
        <v>9.2000000000000011</v>
      </c>
      <c r="Y64" s="80">
        <f t="shared" si="22"/>
        <v>12.77777777777778</v>
      </c>
      <c r="Z64" s="100">
        <v>4</v>
      </c>
      <c r="AA64" s="85">
        <f t="shared" si="23"/>
        <v>120</v>
      </c>
      <c r="AB64" s="86">
        <f>+Z64*Analisis!$J$6</f>
        <v>100</v>
      </c>
      <c r="AC64" s="100">
        <v>0</v>
      </c>
      <c r="AD64" s="85">
        <f t="shared" si="24"/>
        <v>0</v>
      </c>
      <c r="AE64" s="86">
        <f>+AD64*Analisis!$J$7</f>
        <v>0</v>
      </c>
      <c r="AF64" s="86">
        <f t="shared" si="14"/>
        <v>148.00137353801171</v>
      </c>
      <c r="AG64" s="126">
        <f>+AF64/(1-Analisis!$E$9)</f>
        <v>185.00171692251462</v>
      </c>
      <c r="AH64" s="128">
        <f t="shared" si="15"/>
        <v>0</v>
      </c>
    </row>
    <row r="65" spans="1:34" s="73" customFormat="1" x14ac:dyDescent="0.25">
      <c r="A65" s="100"/>
      <c r="B65" t="s">
        <v>241</v>
      </c>
      <c r="C65" s="74">
        <f>IFERROR(VLOOKUP(B65,'REQ GALV'!A:B,2,0),0)</f>
        <v>0</v>
      </c>
      <c r="D65" s="116">
        <f t="shared" si="8"/>
        <v>212.71311312134503</v>
      </c>
      <c r="E65" s="4" t="s">
        <v>180</v>
      </c>
      <c r="F65" s="75" t="s">
        <v>147</v>
      </c>
      <c r="G65" s="90">
        <v>2.75</v>
      </c>
      <c r="H65" s="90">
        <v>10.19</v>
      </c>
      <c r="I65" s="76">
        <v>0.105</v>
      </c>
      <c r="J65" s="77">
        <v>28.24</v>
      </c>
      <c r="K65" s="78">
        <f t="shared" si="16"/>
        <v>1.6130357845451688</v>
      </c>
      <c r="L65" s="58">
        <f>+VLOOKUP(E65,Material!$H$2:$M$17,6,FALSE)*G65*H65*(1+Material!$K$14)</f>
        <v>20.705513888888891</v>
      </c>
      <c r="M65" s="79" t="str">
        <f>+Analisis!$J$5</f>
        <v>T5.0</v>
      </c>
      <c r="N65" s="80">
        <f>+VLOOKUP(M65,Material!$A$3:$B$58,2,FALSE)</f>
        <v>5000</v>
      </c>
      <c r="O65" s="79" t="s">
        <v>42</v>
      </c>
      <c r="P65" s="79" t="s">
        <v>43</v>
      </c>
      <c r="Q65" s="81">
        <f>+IF(O65="ACERO A36",VLOOKUP(P65,'Velocidades Std 1500 w'!$B$2:$F$15,5,FALSE),IF(O65="INOXIDABLE",VLOOKUP(P65,'Velocidades Std 1500 w'!$B$17:$F$28,5,FALSE),IF(O65="ALUMINIO",VLOOKUP(P65,'Velocidades Std 1500 w'!$B$30:$F$38,5,FALSE))))</f>
        <v>4.3859649122807014E-6</v>
      </c>
      <c r="R65" s="82">
        <f t="shared" si="17"/>
        <v>2.1929824561403508E-2</v>
      </c>
      <c r="S65" s="83">
        <f t="shared" si="18"/>
        <v>17.214783157894733</v>
      </c>
      <c r="T65" s="110">
        <f t="shared" si="19"/>
        <v>1090.2695999999999</v>
      </c>
      <c r="U65" s="80">
        <f t="shared" si="20"/>
        <v>23.909421052631576</v>
      </c>
      <c r="V65" s="98">
        <v>10</v>
      </c>
      <c r="W65" s="84">
        <f>+IF(O65="ACERO A36",VLOOKUP(P65,'Tiempo Objeto'!$B$2:$C$12,2,FALSE),IF(O65="INOXIDABLE",VLOOKUP(P65,'Tiempo Objeto'!$B$14:$C$22,2,FALSE),IF(O65="ALUMINIO",VLOOKUP(P65,'Tiempo Objeto'!$B$24:$C$32,2,FALSE))))</f>
        <v>1.84</v>
      </c>
      <c r="X65" s="84">
        <f t="shared" si="21"/>
        <v>18.400000000000002</v>
      </c>
      <c r="Y65" s="80">
        <f t="shared" si="22"/>
        <v>25.555555555555561</v>
      </c>
      <c r="Z65" s="100">
        <v>4</v>
      </c>
      <c r="AA65" s="85">
        <f t="shared" si="23"/>
        <v>120</v>
      </c>
      <c r="AB65" s="86">
        <f>+Z65*Analisis!$J$6</f>
        <v>100</v>
      </c>
      <c r="AC65" s="100">
        <v>0</v>
      </c>
      <c r="AD65" s="85">
        <f t="shared" si="24"/>
        <v>0</v>
      </c>
      <c r="AE65" s="86">
        <f>+AD65*Analisis!$J$7</f>
        <v>0</v>
      </c>
      <c r="AF65" s="86">
        <f t="shared" si="14"/>
        <v>170.17049049707603</v>
      </c>
      <c r="AG65" s="126">
        <f>+AF65/(1-Analisis!$E$9)</f>
        <v>212.71311312134503</v>
      </c>
      <c r="AH65" s="128">
        <f t="shared" si="15"/>
        <v>0</v>
      </c>
    </row>
    <row r="66" spans="1:34" s="73" customFormat="1" x14ac:dyDescent="0.25">
      <c r="A66" s="100"/>
      <c r="B66" t="s">
        <v>242</v>
      </c>
      <c r="C66" s="74">
        <f>IFERROR(VLOOKUP(B66,'REQ GALV'!A:B,2,0),0)</f>
        <v>0</v>
      </c>
      <c r="D66" s="116">
        <f t="shared" si="8"/>
        <v>199.5424890350877</v>
      </c>
      <c r="E66" s="4" t="s">
        <v>180</v>
      </c>
      <c r="F66" s="75" t="s">
        <v>147</v>
      </c>
      <c r="G66" s="90">
        <v>4</v>
      </c>
      <c r="H66" s="90">
        <v>5</v>
      </c>
      <c r="I66" s="76">
        <v>0.105</v>
      </c>
      <c r="J66" s="77">
        <v>28.24</v>
      </c>
      <c r="K66" s="78">
        <f t="shared" si="16"/>
        <v>1.1512433112999687</v>
      </c>
      <c r="L66" s="58">
        <f>+VLOOKUP(E66,Material!$H$2:$M$17,6,FALSE)*G66*H66*(1+Material!$K$14)</f>
        <v>14.777777777777779</v>
      </c>
      <c r="M66" s="79" t="str">
        <f>+Analisis!$J$5</f>
        <v>T5.0</v>
      </c>
      <c r="N66" s="80">
        <f>+VLOOKUP(M66,Material!$A$3:$B$58,2,FALSE)</f>
        <v>5000</v>
      </c>
      <c r="O66" s="79" t="s">
        <v>42</v>
      </c>
      <c r="P66" s="79" t="s">
        <v>43</v>
      </c>
      <c r="Q66" s="81">
        <f>+IF(O66="ACERO A36",VLOOKUP(P66,'Velocidades Std 1500 w'!$B$2:$F$15,5,FALSE),IF(O66="INOXIDABLE",VLOOKUP(P66,'Velocidades Std 1500 w'!$B$17:$F$28,5,FALSE),IF(O66="ALUMINIO",VLOOKUP(P66,'Velocidades Std 1500 w'!$B$30:$F$38,5,FALSE))))</f>
        <v>4.3859649122807014E-6</v>
      </c>
      <c r="R66" s="82">
        <f t="shared" si="17"/>
        <v>2.1929824561403508E-2</v>
      </c>
      <c r="S66" s="83">
        <f t="shared" si="18"/>
        <v>13.896473684210525</v>
      </c>
      <c r="T66" s="110">
        <f t="shared" si="19"/>
        <v>880.11</v>
      </c>
      <c r="U66" s="80">
        <f t="shared" si="20"/>
        <v>19.30065789473684</v>
      </c>
      <c r="V66" s="98">
        <v>10</v>
      </c>
      <c r="W66" s="84">
        <f>+IF(O66="ACERO A36",VLOOKUP(P66,'Tiempo Objeto'!$B$2:$C$12,2,FALSE),IF(O66="INOXIDABLE",VLOOKUP(P66,'Tiempo Objeto'!$B$14:$C$22,2,FALSE),IF(O66="ALUMINIO",VLOOKUP(P66,'Tiempo Objeto'!$B$24:$C$32,2,FALSE))))</f>
        <v>1.84</v>
      </c>
      <c r="X66" s="84">
        <f t="shared" si="21"/>
        <v>18.400000000000002</v>
      </c>
      <c r="Y66" s="80">
        <f t="shared" si="22"/>
        <v>25.555555555555561</v>
      </c>
      <c r="Z66" s="100">
        <v>4</v>
      </c>
      <c r="AA66" s="85">
        <f t="shared" si="23"/>
        <v>120</v>
      </c>
      <c r="AB66" s="86">
        <f>+Z66*Analisis!$J$6</f>
        <v>100</v>
      </c>
      <c r="AC66" s="100">
        <v>0</v>
      </c>
      <c r="AD66" s="85">
        <f t="shared" si="24"/>
        <v>0</v>
      </c>
      <c r="AE66" s="86">
        <f>+AD66*Analisis!$J$7</f>
        <v>0</v>
      </c>
      <c r="AF66" s="86">
        <f t="shared" ref="AF66:AF128" si="110">+L66+U66+Y66+AB66+AE66</f>
        <v>159.63399122807016</v>
      </c>
      <c r="AG66" s="126">
        <f>+AF66/(1-Analisis!$E$9)</f>
        <v>199.5424890350877</v>
      </c>
      <c r="AH66" s="128">
        <f t="shared" si="15"/>
        <v>0</v>
      </c>
    </row>
    <row r="67" spans="1:34" s="73" customFormat="1" x14ac:dyDescent="0.25">
      <c r="A67" s="100"/>
      <c r="B67" t="s">
        <v>243</v>
      </c>
      <c r="C67" s="74">
        <f>IFERROR(VLOOKUP(B67,'REQ GALV'!A:B,2,0),0)</f>
        <v>0</v>
      </c>
      <c r="D67" s="116">
        <f t="shared" ref="D67:D129" si="111">+AG67</f>
        <v>920.95477763157896</v>
      </c>
      <c r="E67" s="4" t="s">
        <v>180</v>
      </c>
      <c r="F67" s="75" t="s">
        <v>147</v>
      </c>
      <c r="G67" s="90">
        <v>7.32</v>
      </c>
      <c r="H67" s="90">
        <v>87.44</v>
      </c>
      <c r="I67" s="76">
        <v>0.105</v>
      </c>
      <c r="J67" s="77">
        <v>28.24</v>
      </c>
      <c r="K67" s="78">
        <f t="shared" si="16"/>
        <v>36.843285741265362</v>
      </c>
      <c r="L67" s="58">
        <f>+VLOOKUP(E67,Material!$H$2:$M$17,6,FALSE)*G67*H67*(1+Material!$K$14)</f>
        <v>472.93381333333343</v>
      </c>
      <c r="M67" s="79" t="str">
        <f>+Analisis!$J$5</f>
        <v>T5.0</v>
      </c>
      <c r="N67" s="80">
        <f>+VLOOKUP(M67,Material!$A$3:$B$58,2,FALSE)</f>
        <v>5000</v>
      </c>
      <c r="O67" s="79" t="s">
        <v>42</v>
      </c>
      <c r="P67" s="79" t="s">
        <v>43</v>
      </c>
      <c r="Q67" s="81">
        <f>+IF(O67="ACERO A36",VLOOKUP(P67,'Velocidades Std 1500 w'!$B$2:$F$15,5,FALSE),IF(O67="INOXIDABLE",VLOOKUP(P67,'Velocidades Std 1500 w'!$B$17:$F$28,5,FALSE),IF(O67="ALUMINIO",VLOOKUP(P67,'Velocidades Std 1500 w'!$B$30:$F$38,5,FALSE))))</f>
        <v>4.3859649122807014E-6</v>
      </c>
      <c r="R67" s="82">
        <f t="shared" si="17"/>
        <v>2.1929824561403508E-2</v>
      </c>
      <c r="S67" s="83">
        <f t="shared" si="18"/>
        <v>98.757606315789459</v>
      </c>
      <c r="T67" s="110">
        <f t="shared" si="19"/>
        <v>6254.6483999999991</v>
      </c>
      <c r="U67" s="80">
        <f t="shared" si="20"/>
        <v>137.16334210526313</v>
      </c>
      <c r="V67" s="98">
        <v>30</v>
      </c>
      <c r="W67" s="84">
        <f>+IF(O67="ACERO A36",VLOOKUP(P67,'Tiempo Objeto'!$B$2:$C$12,2,FALSE),IF(O67="INOXIDABLE",VLOOKUP(P67,'Tiempo Objeto'!$B$14:$C$22,2,FALSE),IF(O67="ALUMINIO",VLOOKUP(P67,'Tiempo Objeto'!$B$24:$C$32,2,FALSE))))</f>
        <v>1.84</v>
      </c>
      <c r="X67" s="84">
        <f t="shared" si="21"/>
        <v>55.2</v>
      </c>
      <c r="Y67" s="80">
        <f t="shared" si="22"/>
        <v>76.666666666666671</v>
      </c>
      <c r="Z67" s="100">
        <v>2</v>
      </c>
      <c r="AA67" s="85">
        <f t="shared" si="23"/>
        <v>60</v>
      </c>
      <c r="AB67" s="86">
        <f>+Z67*Analisis!$J$6</f>
        <v>50</v>
      </c>
      <c r="AC67" s="100">
        <v>0</v>
      </c>
      <c r="AD67" s="85">
        <f t="shared" si="24"/>
        <v>0</v>
      </c>
      <c r="AE67" s="86">
        <f>+AD67*Analisis!$J$7</f>
        <v>0</v>
      </c>
      <c r="AF67" s="86">
        <f t="shared" si="110"/>
        <v>736.76382210526322</v>
      </c>
      <c r="AG67" s="126">
        <f>+AF67/(1-Analisis!$E$9)</f>
        <v>920.95477763157896</v>
      </c>
      <c r="AH67" s="128">
        <f t="shared" ref="AH67:AH129" si="112">+AG67*C67</f>
        <v>0</v>
      </c>
    </row>
    <row r="68" spans="1:34" s="73" customFormat="1" x14ac:dyDescent="0.25">
      <c r="A68" s="100"/>
      <c r="B68" t="s">
        <v>244</v>
      </c>
      <c r="C68" s="74">
        <f>IFERROR(VLOOKUP(B68,'REQ GALV'!A:B,2,0),0)</f>
        <v>0</v>
      </c>
      <c r="D68" s="116">
        <f t="shared" si="111"/>
        <v>1233.0873300438595</v>
      </c>
      <c r="E68" s="4" t="s">
        <v>180</v>
      </c>
      <c r="F68" s="75" t="s">
        <v>147</v>
      </c>
      <c r="G68" s="90">
        <v>9.09</v>
      </c>
      <c r="H68" s="90">
        <v>98</v>
      </c>
      <c r="I68" s="76">
        <v>0.105</v>
      </c>
      <c r="J68" s="77">
        <v>28.24</v>
      </c>
      <c r="K68" s="78">
        <f t="shared" si="16"/>
        <v>51.277528328611908</v>
      </c>
      <c r="L68" s="58">
        <f>+VLOOKUP(E68,Material!$H$2:$M$17,6,FALSE)*G68*H68*(1+Material!$K$14)</f>
        <v>658.21699999999998</v>
      </c>
      <c r="M68" s="79" t="str">
        <f>+Analisis!$J$5</f>
        <v>T5.0</v>
      </c>
      <c r="N68" s="80">
        <f>+VLOOKUP(M68,Material!$A$3:$B$58,2,FALSE)</f>
        <v>5000</v>
      </c>
      <c r="O68" s="79" t="s">
        <v>42</v>
      </c>
      <c r="P68" s="79" t="s">
        <v>43</v>
      </c>
      <c r="Q68" s="81">
        <f>+IF(O68="ACERO A36",VLOOKUP(P68,'Velocidades Std 1500 w'!$B$2:$F$15,5,FALSE),IF(O68="INOXIDABLE",VLOOKUP(P68,'Velocidades Std 1500 w'!$B$17:$F$28,5,FALSE),IF(O68="ALUMINIO",VLOOKUP(P68,'Velocidades Std 1500 w'!$B$30:$F$38,5,FALSE))))</f>
        <v>4.3859649122807014E-6</v>
      </c>
      <c r="R68" s="82">
        <f t="shared" si="17"/>
        <v>2.1929824561403508E-2</v>
      </c>
      <c r="S68" s="83">
        <f t="shared" si="18"/>
        <v>109.14206210526315</v>
      </c>
      <c r="T68" s="110">
        <f t="shared" si="19"/>
        <v>6912.3306000000002</v>
      </c>
      <c r="U68" s="80">
        <f t="shared" si="20"/>
        <v>151.58619736842104</v>
      </c>
      <c r="V68" s="98">
        <v>30</v>
      </c>
      <c r="W68" s="84">
        <f>+IF(O68="ACERO A36",VLOOKUP(P68,'Tiempo Objeto'!$B$2:$C$12,2,FALSE),IF(O68="INOXIDABLE",VLOOKUP(P68,'Tiempo Objeto'!$B$14:$C$22,2,FALSE),IF(O68="ALUMINIO",VLOOKUP(P68,'Tiempo Objeto'!$B$24:$C$32,2,FALSE))))</f>
        <v>1.84</v>
      </c>
      <c r="X68" s="84">
        <f t="shared" si="21"/>
        <v>55.2</v>
      </c>
      <c r="Y68" s="80">
        <f t="shared" si="22"/>
        <v>76.666666666666671</v>
      </c>
      <c r="Z68" s="100">
        <v>4</v>
      </c>
      <c r="AA68" s="85">
        <f t="shared" si="23"/>
        <v>120</v>
      </c>
      <c r="AB68" s="86">
        <f>+Z68*Analisis!$J$6</f>
        <v>100</v>
      </c>
      <c r="AC68" s="100">
        <v>0</v>
      </c>
      <c r="AD68" s="85">
        <f t="shared" si="24"/>
        <v>0</v>
      </c>
      <c r="AE68" s="86">
        <f>+AD68*Analisis!$J$7</f>
        <v>0</v>
      </c>
      <c r="AF68" s="86">
        <f t="shared" si="110"/>
        <v>986.46986403508765</v>
      </c>
      <c r="AG68" s="126">
        <f>+AF68/(1-Analisis!$E$9)</f>
        <v>1233.0873300438595</v>
      </c>
      <c r="AH68" s="128">
        <f t="shared" si="112"/>
        <v>0</v>
      </c>
    </row>
    <row r="69" spans="1:34" s="73" customFormat="1" x14ac:dyDescent="0.25">
      <c r="A69" s="100"/>
      <c r="B69" t="s">
        <v>245</v>
      </c>
      <c r="C69" s="74">
        <f>IFERROR(VLOOKUP(B69,'REQ GALV'!A:B,2,0),0)</f>
        <v>0</v>
      </c>
      <c r="D69" s="116">
        <f t="shared" si="111"/>
        <v>93.36275584795321</v>
      </c>
      <c r="E69" s="4" t="s">
        <v>180</v>
      </c>
      <c r="F69" s="75" t="s">
        <v>147</v>
      </c>
      <c r="G69" s="90">
        <v>3</v>
      </c>
      <c r="H69" s="90">
        <v>3.5</v>
      </c>
      <c r="I69" s="76">
        <v>0.105</v>
      </c>
      <c r="J69" s="77">
        <v>28.24</v>
      </c>
      <c r="K69" s="78">
        <f t="shared" si="16"/>
        <v>0.60440273843248371</v>
      </c>
      <c r="L69" s="58">
        <f>+VLOOKUP(E69,Material!$H$2:$M$17,6,FALSE)*G69*H69*(1+Material!$K$14)</f>
        <v>7.7583333333333346</v>
      </c>
      <c r="M69" s="79" t="str">
        <f>+Analisis!$J$5</f>
        <v>T5.0</v>
      </c>
      <c r="N69" s="80">
        <f>+VLOOKUP(M69,Material!$A$3:$B$58,2,FALSE)</f>
        <v>5000</v>
      </c>
      <c r="O69" s="79" t="s">
        <v>42</v>
      </c>
      <c r="P69" s="79" t="s">
        <v>43</v>
      </c>
      <c r="Q69" s="81">
        <f>+IF(O69="ACERO A36",VLOOKUP(P69,'Velocidades Std 1500 w'!$B$2:$F$15,5,FALSE),IF(O69="INOXIDABLE",VLOOKUP(P69,'Velocidades Std 1500 w'!$B$17:$F$28,5,FALSE),IF(O69="ALUMINIO",VLOOKUP(P69,'Velocidades Std 1500 w'!$B$30:$F$38,5,FALSE))))</f>
        <v>4.3859649122807014E-6</v>
      </c>
      <c r="R69" s="82">
        <f t="shared" si="17"/>
        <v>2.1929824561403508E-2</v>
      </c>
      <c r="S69" s="83">
        <f t="shared" si="18"/>
        <v>11.790947368421051</v>
      </c>
      <c r="T69" s="110">
        <f t="shared" si="19"/>
        <v>746.76</v>
      </c>
      <c r="U69" s="80">
        <f t="shared" si="20"/>
        <v>16.376315789473683</v>
      </c>
      <c r="V69" s="98">
        <v>10</v>
      </c>
      <c r="W69" s="84">
        <f>+IF(O69="ACERO A36",VLOOKUP(P69,'Tiempo Objeto'!$B$2:$C$12,2,FALSE),IF(O69="INOXIDABLE",VLOOKUP(P69,'Tiempo Objeto'!$B$14:$C$22,2,FALSE),IF(O69="ALUMINIO",VLOOKUP(P69,'Tiempo Objeto'!$B$24:$C$32,2,FALSE))))</f>
        <v>1.84</v>
      </c>
      <c r="X69" s="84">
        <f t="shared" si="21"/>
        <v>18.400000000000002</v>
      </c>
      <c r="Y69" s="80">
        <f t="shared" si="22"/>
        <v>25.555555555555561</v>
      </c>
      <c r="Z69" s="100">
        <v>1</v>
      </c>
      <c r="AA69" s="85">
        <f t="shared" si="23"/>
        <v>30</v>
      </c>
      <c r="AB69" s="86">
        <f>+Z69*Analisis!$J$6</f>
        <v>25</v>
      </c>
      <c r="AC69" s="100">
        <v>0</v>
      </c>
      <c r="AD69" s="85">
        <f t="shared" si="24"/>
        <v>0</v>
      </c>
      <c r="AE69" s="86">
        <f>+AD69*Analisis!$J$7</f>
        <v>0</v>
      </c>
      <c r="AF69" s="86">
        <f t="shared" si="110"/>
        <v>74.690204678362576</v>
      </c>
      <c r="AG69" s="126">
        <f>+AF69/(1-Analisis!$E$9)</f>
        <v>93.36275584795321</v>
      </c>
      <c r="AH69" s="128">
        <f t="shared" si="112"/>
        <v>0</v>
      </c>
    </row>
    <row r="70" spans="1:34" s="73" customFormat="1" x14ac:dyDescent="0.25">
      <c r="A70" s="100"/>
      <c r="B70" t="s">
        <v>246</v>
      </c>
      <c r="C70" s="74">
        <f>IFERROR(VLOOKUP(B70,'REQ GALV'!A:B,2,0),0)</f>
        <v>0</v>
      </c>
      <c r="D70" s="116">
        <f t="shared" si="111"/>
        <v>261.52025190058481</v>
      </c>
      <c r="E70" s="4" t="s">
        <v>180</v>
      </c>
      <c r="F70" s="75" t="s">
        <v>147</v>
      </c>
      <c r="G70" s="90">
        <v>4.3899999999999997</v>
      </c>
      <c r="H70" s="90">
        <v>10.14</v>
      </c>
      <c r="I70" s="76">
        <v>0.105</v>
      </c>
      <c r="J70" s="77">
        <v>28.24</v>
      </c>
      <c r="K70" s="78">
        <f t="shared" si="16"/>
        <v>2.5623567752596799</v>
      </c>
      <c r="L70" s="58">
        <f>+VLOOKUP(E70,Material!$H$2:$M$17,6,FALSE)*G70*H70*(1+Material!$K$14)</f>
        <v>32.891343333333339</v>
      </c>
      <c r="M70" s="79" t="str">
        <f>+Analisis!$J$5</f>
        <v>T5.0</v>
      </c>
      <c r="N70" s="80">
        <f>+VLOOKUP(M70,Material!$A$3:$B$58,2,FALSE)</f>
        <v>5000</v>
      </c>
      <c r="O70" s="79" t="s">
        <v>42</v>
      </c>
      <c r="P70" s="79" t="s">
        <v>43</v>
      </c>
      <c r="Q70" s="81">
        <f>+IF(O70="ACERO A36",VLOOKUP(P70,'Velocidades Std 1500 w'!$B$2:$F$15,5,FALSE),IF(O70="INOXIDABLE",VLOOKUP(P70,'Velocidades Std 1500 w'!$B$17:$F$28,5,FALSE),IF(O70="ALUMINIO",VLOOKUP(P70,'Velocidades Std 1500 w'!$B$30:$F$38,5,FALSE))))</f>
        <v>4.3859649122807014E-6</v>
      </c>
      <c r="R70" s="82">
        <f t="shared" si="17"/>
        <v>2.1929824561403508E-2</v>
      </c>
      <c r="S70" s="83">
        <f t="shared" si="18"/>
        <v>18.553897894736842</v>
      </c>
      <c r="T70" s="110">
        <f t="shared" si="19"/>
        <v>1175.0802000000001</v>
      </c>
      <c r="U70" s="80">
        <f t="shared" si="20"/>
        <v>25.769302631578949</v>
      </c>
      <c r="V70" s="98">
        <v>10</v>
      </c>
      <c r="W70" s="84">
        <f>+IF(O70="ACERO A36",VLOOKUP(P70,'Tiempo Objeto'!$B$2:$C$12,2,FALSE),IF(O70="INOXIDABLE",VLOOKUP(P70,'Tiempo Objeto'!$B$14:$C$22,2,FALSE),IF(O70="ALUMINIO",VLOOKUP(P70,'Tiempo Objeto'!$B$24:$C$32,2,FALSE))))</f>
        <v>1.84</v>
      </c>
      <c r="X70" s="84">
        <f t="shared" si="21"/>
        <v>18.400000000000002</v>
      </c>
      <c r="Y70" s="80">
        <f t="shared" si="22"/>
        <v>25.555555555555561</v>
      </c>
      <c r="Z70" s="100">
        <v>5</v>
      </c>
      <c r="AA70" s="85">
        <f t="shared" si="23"/>
        <v>150</v>
      </c>
      <c r="AB70" s="86">
        <f>+Z70*Analisis!$J$6</f>
        <v>125</v>
      </c>
      <c r="AC70" s="100">
        <v>0</v>
      </c>
      <c r="AD70" s="85">
        <f t="shared" si="24"/>
        <v>0</v>
      </c>
      <c r="AE70" s="86">
        <f>+AD70*Analisis!$J$7</f>
        <v>0</v>
      </c>
      <c r="AF70" s="86">
        <f t="shared" si="110"/>
        <v>209.21620152046785</v>
      </c>
      <c r="AG70" s="126">
        <f>+AF70/(1-Analisis!$E$9)</f>
        <v>261.52025190058481</v>
      </c>
      <c r="AH70" s="128">
        <f t="shared" si="112"/>
        <v>0</v>
      </c>
    </row>
    <row r="71" spans="1:34" s="73" customFormat="1" x14ac:dyDescent="0.25">
      <c r="A71" s="100"/>
      <c r="B71" t="s">
        <v>247</v>
      </c>
      <c r="C71" s="74">
        <f>IFERROR(VLOOKUP(B71,'REQ GALV'!A:B,2,0),0)</f>
        <v>0</v>
      </c>
      <c r="D71" s="116">
        <f t="shared" si="111"/>
        <v>136.52025190058481</v>
      </c>
      <c r="E71" s="4" t="s">
        <v>180</v>
      </c>
      <c r="F71" s="75" t="s">
        <v>147</v>
      </c>
      <c r="G71" s="90">
        <v>4.3899999999999997</v>
      </c>
      <c r="H71" s="90">
        <v>10.14</v>
      </c>
      <c r="I71" s="76">
        <v>0.105</v>
      </c>
      <c r="J71" s="77">
        <v>28.24</v>
      </c>
      <c r="K71" s="78">
        <f t="shared" ref="K71" si="113">+L71*2.2/J71</f>
        <v>2.5623567752596799</v>
      </c>
      <c r="L71" s="58">
        <f>+VLOOKUP(E71,Material!$H$2:$M$17,6,FALSE)*G71*H71*(1+Material!$K$14)</f>
        <v>32.891343333333339</v>
      </c>
      <c r="M71" s="79" t="str">
        <f>+Analisis!$J$5</f>
        <v>T5.0</v>
      </c>
      <c r="N71" s="80">
        <f>+VLOOKUP(M71,Material!$A$3:$B$58,2,FALSE)</f>
        <v>5000</v>
      </c>
      <c r="O71" s="79" t="s">
        <v>42</v>
      </c>
      <c r="P71" s="79" t="s">
        <v>43</v>
      </c>
      <c r="Q71" s="81">
        <f>+IF(O71="ACERO A36",VLOOKUP(P71,'Velocidades Std 1500 w'!$B$2:$F$15,5,FALSE),IF(O71="INOXIDABLE",VLOOKUP(P71,'Velocidades Std 1500 w'!$B$17:$F$28,5,FALSE),IF(O71="ALUMINIO",VLOOKUP(P71,'Velocidades Std 1500 w'!$B$30:$F$38,5,FALSE))))</f>
        <v>4.3859649122807014E-6</v>
      </c>
      <c r="R71" s="82">
        <f t="shared" ref="R71" si="114">+Q71*N71</f>
        <v>2.1929824561403508E-2</v>
      </c>
      <c r="S71" s="83">
        <f t="shared" ref="S71" si="115">+Q71*T71*3600</f>
        <v>18.553897894736842</v>
      </c>
      <c r="T71" s="110">
        <f t="shared" ref="T71" si="116">(+H71*2+G71*2+V71*1.5)*25.4*1.05</f>
        <v>1175.0802000000001</v>
      </c>
      <c r="U71" s="80">
        <f t="shared" ref="U71" si="117">+T71*R71</f>
        <v>25.769302631578949</v>
      </c>
      <c r="V71" s="98">
        <v>10</v>
      </c>
      <c r="W71" s="84">
        <f>+IF(O71="ACERO A36",VLOOKUP(P71,'Tiempo Objeto'!$B$2:$C$12,2,FALSE),IF(O71="INOXIDABLE",VLOOKUP(P71,'Tiempo Objeto'!$B$14:$C$22,2,FALSE),IF(O71="ALUMINIO",VLOOKUP(P71,'Tiempo Objeto'!$B$24:$C$32,2,FALSE))))</f>
        <v>1.84</v>
      </c>
      <c r="X71" s="84">
        <f t="shared" ref="X71" si="118">+W71*V71</f>
        <v>18.400000000000002</v>
      </c>
      <c r="Y71" s="80">
        <f t="shared" ref="Y71" si="119">+X71*N71/3600</f>
        <v>25.555555555555561</v>
      </c>
      <c r="Z71" s="100">
        <v>1</v>
      </c>
      <c r="AA71" s="85">
        <f t="shared" si="23"/>
        <v>30</v>
      </c>
      <c r="AB71" s="86">
        <f>+Z71*Analisis!$J$6</f>
        <v>25</v>
      </c>
      <c r="AC71" s="100">
        <v>0</v>
      </c>
      <c r="AD71" s="85">
        <f t="shared" si="24"/>
        <v>0</v>
      </c>
      <c r="AE71" s="86">
        <f>+AD71*Analisis!$J$7</f>
        <v>0</v>
      </c>
      <c r="AF71" s="86">
        <f t="shared" si="110"/>
        <v>109.21620152046785</v>
      </c>
      <c r="AG71" s="126">
        <f>+AF71/(1-Analisis!$E$9)</f>
        <v>136.52025190058481</v>
      </c>
      <c r="AH71" s="128">
        <f t="shared" si="112"/>
        <v>0</v>
      </c>
    </row>
    <row r="72" spans="1:34" s="73" customFormat="1" x14ac:dyDescent="0.25">
      <c r="A72" s="100"/>
      <c r="B72" t="s">
        <v>248</v>
      </c>
      <c r="C72" s="74">
        <f>IFERROR(VLOOKUP(B72,'REQ GALV'!A:B,2,0),0)</f>
        <v>0</v>
      </c>
      <c r="D72" s="116">
        <f t="shared" si="111"/>
        <v>280.26784970760229</v>
      </c>
      <c r="E72" s="4" t="s">
        <v>180</v>
      </c>
      <c r="F72" s="75" t="s">
        <v>147</v>
      </c>
      <c r="G72" s="90">
        <v>5.22</v>
      </c>
      <c r="H72" s="90">
        <v>6.72</v>
      </c>
      <c r="I72" s="76">
        <v>0.105</v>
      </c>
      <c r="J72" s="77">
        <v>28.24</v>
      </c>
      <c r="K72" s="78">
        <f t="shared" si="16"/>
        <v>2.0191886685552412</v>
      </c>
      <c r="L72" s="58">
        <f>+VLOOKUP(E72,Material!$H$2:$M$17,6,FALSE)*G72*H72*(1+Material!$K$14)</f>
        <v>25.919040000000003</v>
      </c>
      <c r="M72" s="79" t="str">
        <f>+Analisis!$J$5</f>
        <v>T5.0</v>
      </c>
      <c r="N72" s="80">
        <f>+VLOOKUP(M72,Material!$A$3:$B$58,2,FALSE)</f>
        <v>5000</v>
      </c>
      <c r="O72" s="79" t="s">
        <v>42</v>
      </c>
      <c r="P72" s="79" t="s">
        <v>43</v>
      </c>
      <c r="Q72" s="81">
        <f>+IF(O72="ACERO A36",VLOOKUP(P72,'Velocidades Std 1500 w'!$B$2:$F$15,5,FALSE),IF(O72="INOXIDABLE",VLOOKUP(P72,'Velocidades Std 1500 w'!$B$17:$F$28,5,FALSE),IF(O72="ALUMINIO",VLOOKUP(P72,'Velocidades Std 1500 w'!$B$30:$F$38,5,FALSE))))</f>
        <v>4.3859649122807014E-6</v>
      </c>
      <c r="R72" s="82">
        <f t="shared" si="17"/>
        <v>2.1929824561403508E-2</v>
      </c>
      <c r="S72" s="83">
        <f t="shared" si="18"/>
        <v>16.372572631578947</v>
      </c>
      <c r="T72" s="110">
        <f t="shared" si="19"/>
        <v>1036.9295999999999</v>
      </c>
      <c r="U72" s="80">
        <f t="shared" si="20"/>
        <v>22.739684210526313</v>
      </c>
      <c r="V72" s="98">
        <v>10</v>
      </c>
      <c r="W72" s="84">
        <f>+IF(O72="ACERO A36",VLOOKUP(P72,'Tiempo Objeto'!$B$2:$C$12,2,FALSE),IF(O72="INOXIDABLE",VLOOKUP(P72,'Tiempo Objeto'!$B$14:$C$22,2,FALSE),IF(O72="ALUMINIO",VLOOKUP(P72,'Tiempo Objeto'!$B$24:$C$32,2,FALSE))))</f>
        <v>1.84</v>
      </c>
      <c r="X72" s="84">
        <f t="shared" si="21"/>
        <v>18.400000000000002</v>
      </c>
      <c r="Y72" s="80">
        <f t="shared" si="22"/>
        <v>25.555555555555561</v>
      </c>
      <c r="Z72" s="100">
        <v>6</v>
      </c>
      <c r="AA72" s="85">
        <f t="shared" si="23"/>
        <v>180</v>
      </c>
      <c r="AB72" s="86">
        <f>+Z72*Analisis!$J$6</f>
        <v>150</v>
      </c>
      <c r="AC72" s="100">
        <v>0</v>
      </c>
      <c r="AD72" s="85">
        <f t="shared" si="24"/>
        <v>0</v>
      </c>
      <c r="AE72" s="86">
        <f>+AD72*Analisis!$J$7</f>
        <v>0</v>
      </c>
      <c r="AF72" s="86">
        <f t="shared" si="110"/>
        <v>224.21427976608186</v>
      </c>
      <c r="AG72" s="126">
        <f>+AF72/(1-Analisis!$E$9)</f>
        <v>280.26784970760229</v>
      </c>
      <c r="AH72" s="128">
        <f t="shared" si="112"/>
        <v>0</v>
      </c>
    </row>
    <row r="73" spans="1:34" s="73" customFormat="1" x14ac:dyDescent="0.25">
      <c r="A73" s="100"/>
      <c r="B73" t="s">
        <v>249</v>
      </c>
      <c r="C73" s="74">
        <f>IFERROR(VLOOKUP(B73,'REQ GALV'!A:B,2,0),0)</f>
        <v>0</v>
      </c>
      <c r="D73" s="116">
        <f t="shared" si="111"/>
        <v>1387.6928910818715</v>
      </c>
      <c r="E73" s="4" t="s">
        <v>180</v>
      </c>
      <c r="F73" s="75" t="s">
        <v>147</v>
      </c>
      <c r="G73" s="90">
        <v>28</v>
      </c>
      <c r="H73" s="90">
        <v>30</v>
      </c>
      <c r="I73" s="76">
        <v>0.105</v>
      </c>
      <c r="J73" s="77">
        <v>28.24</v>
      </c>
      <c r="K73" s="78">
        <f t="shared" si="16"/>
        <v>48.3522190745987</v>
      </c>
      <c r="L73" s="58">
        <f>+VLOOKUP(E73,Material!$H$2:$M$17,6,FALSE)*G73*H73*(1+Material!$K$14)</f>
        <v>620.66666666666686</v>
      </c>
      <c r="M73" s="79" t="str">
        <f>+Analisis!$J$5</f>
        <v>T5.0</v>
      </c>
      <c r="N73" s="80">
        <f>+VLOOKUP(M73,Material!$A$3:$B$58,2,FALSE)</f>
        <v>5000</v>
      </c>
      <c r="O73" s="79" t="s">
        <v>42</v>
      </c>
      <c r="P73" s="79" t="s">
        <v>43</v>
      </c>
      <c r="Q73" s="81">
        <f>+IF(O73="ACERO A36",VLOOKUP(P73,'Velocidades Std 1500 w'!$B$2:$F$15,5,FALSE),IF(O73="INOXIDABLE",VLOOKUP(P73,'Velocidades Std 1500 w'!$B$17:$F$28,5,FALSE),IF(O73="ALUMINIO",VLOOKUP(P73,'Velocidades Std 1500 w'!$B$30:$F$38,5,FALSE))))</f>
        <v>4.3859649122807014E-6</v>
      </c>
      <c r="R73" s="82">
        <f t="shared" si="17"/>
        <v>2.1929824561403508E-2</v>
      </c>
      <c r="S73" s="83">
        <f t="shared" si="18"/>
        <v>80.431105263157889</v>
      </c>
      <c r="T73" s="110">
        <f t="shared" si="19"/>
        <v>5093.97</v>
      </c>
      <c r="U73" s="80">
        <f t="shared" si="20"/>
        <v>111.70986842105263</v>
      </c>
      <c r="V73" s="98">
        <v>50</v>
      </c>
      <c r="W73" s="84">
        <f>+IF(O73="ACERO A36",VLOOKUP(P73,'Tiempo Objeto'!$B$2:$C$12,2,FALSE),IF(O73="INOXIDABLE",VLOOKUP(P73,'Tiempo Objeto'!$B$14:$C$22,2,FALSE),IF(O73="ALUMINIO",VLOOKUP(P73,'Tiempo Objeto'!$B$24:$C$32,2,FALSE))))</f>
        <v>1.84</v>
      </c>
      <c r="X73" s="84">
        <f t="shared" si="21"/>
        <v>92</v>
      </c>
      <c r="Y73" s="80">
        <f t="shared" si="22"/>
        <v>127.77777777777777</v>
      </c>
      <c r="Z73" s="100">
        <v>10</v>
      </c>
      <c r="AA73" s="85">
        <f t="shared" si="23"/>
        <v>300</v>
      </c>
      <c r="AB73" s="86">
        <f>+Z73*Analisis!$J$6</f>
        <v>250</v>
      </c>
      <c r="AC73" s="100">
        <v>0</v>
      </c>
      <c r="AD73" s="85">
        <f t="shared" si="24"/>
        <v>0</v>
      </c>
      <c r="AE73" s="86">
        <f>+AD73*Analisis!$J$7</f>
        <v>0</v>
      </c>
      <c r="AF73" s="86">
        <f t="shared" si="110"/>
        <v>1110.1543128654973</v>
      </c>
      <c r="AG73" s="126">
        <f>+AF73/(1-Analisis!$E$9)</f>
        <v>1387.6928910818715</v>
      </c>
      <c r="AH73" s="128">
        <f t="shared" si="112"/>
        <v>0</v>
      </c>
    </row>
    <row r="74" spans="1:34" s="73" customFormat="1" x14ac:dyDescent="0.25">
      <c r="A74" s="100"/>
      <c r="B74" t="s">
        <v>250</v>
      </c>
      <c r="C74" s="74">
        <f>IFERROR(VLOOKUP(B74,'REQ GALV'!A:B,2,0),0)</f>
        <v>0</v>
      </c>
      <c r="D74" s="116">
        <f t="shared" si="111"/>
        <v>1636.3309353289474</v>
      </c>
      <c r="E74" s="4" t="s">
        <v>180</v>
      </c>
      <c r="F74" s="75" t="s">
        <v>147</v>
      </c>
      <c r="G74" s="90">
        <v>29.062000000000001</v>
      </c>
      <c r="H74" s="90">
        <v>37.69</v>
      </c>
      <c r="I74" s="76">
        <v>0.105</v>
      </c>
      <c r="J74" s="77">
        <v>28.24</v>
      </c>
      <c r="K74" s="78">
        <f t="shared" si="16"/>
        <v>63.050532701447921</v>
      </c>
      <c r="L74" s="58">
        <f>+VLOOKUP(E74,Material!$H$2:$M$17,6,FALSE)*G74*H74*(1+Material!$K$14)</f>
        <v>809.33956522222229</v>
      </c>
      <c r="M74" s="79" t="str">
        <f>+Analisis!$J$5</f>
        <v>T5.0</v>
      </c>
      <c r="N74" s="80">
        <f>+VLOOKUP(M74,Material!$A$3:$B$58,2,FALSE)</f>
        <v>5000</v>
      </c>
      <c r="O74" s="79" t="s">
        <v>42</v>
      </c>
      <c r="P74" s="79" t="s">
        <v>43</v>
      </c>
      <c r="Q74" s="81">
        <f>+IF(O74="ACERO A36",VLOOKUP(P74,'Velocidades Std 1500 w'!$B$2:$F$15,5,FALSE),IF(O74="INOXIDABLE",VLOOKUP(P74,'Velocidades Std 1500 w'!$B$17:$F$28,5,FALSE),IF(O74="ALUMINIO",VLOOKUP(P74,'Velocidades Std 1500 w'!$B$30:$F$38,5,FALSE))))</f>
        <v>4.3859649122807014E-6</v>
      </c>
      <c r="R74" s="82">
        <f t="shared" si="17"/>
        <v>2.1929824561403508E-2</v>
      </c>
      <c r="S74" s="83">
        <f t="shared" si="18"/>
        <v>87.802131789473663</v>
      </c>
      <c r="T74" s="110">
        <f t="shared" si="19"/>
        <v>5560.8016799999996</v>
      </c>
      <c r="U74" s="80">
        <f t="shared" si="20"/>
        <v>121.94740526315788</v>
      </c>
      <c r="V74" s="98">
        <v>50</v>
      </c>
      <c r="W74" s="84">
        <f>+IF(O74="ACERO A36",VLOOKUP(P74,'Tiempo Objeto'!$B$2:$C$12,2,FALSE),IF(O74="INOXIDABLE",VLOOKUP(P74,'Tiempo Objeto'!$B$14:$C$22,2,FALSE),IF(O74="ALUMINIO",VLOOKUP(P74,'Tiempo Objeto'!$B$24:$C$32,2,FALSE))))</f>
        <v>1.84</v>
      </c>
      <c r="X74" s="84">
        <f t="shared" si="21"/>
        <v>92</v>
      </c>
      <c r="Y74" s="80">
        <f t="shared" si="22"/>
        <v>127.77777777777777</v>
      </c>
      <c r="Z74" s="100">
        <v>10</v>
      </c>
      <c r="AA74" s="85">
        <f t="shared" si="23"/>
        <v>300</v>
      </c>
      <c r="AB74" s="86">
        <f>+Z74*Analisis!$J$6</f>
        <v>250</v>
      </c>
      <c r="AC74" s="100">
        <v>0</v>
      </c>
      <c r="AD74" s="85">
        <f t="shared" si="24"/>
        <v>0</v>
      </c>
      <c r="AE74" s="86">
        <f>+AD74*Analisis!$J$7</f>
        <v>0</v>
      </c>
      <c r="AF74" s="86">
        <f t="shared" si="110"/>
        <v>1309.064748263158</v>
      </c>
      <c r="AG74" s="126">
        <f>+AF74/(1-Analisis!$E$9)</f>
        <v>1636.3309353289474</v>
      </c>
      <c r="AH74" s="128">
        <f t="shared" si="112"/>
        <v>0</v>
      </c>
    </row>
    <row r="75" spans="1:34" s="73" customFormat="1" x14ac:dyDescent="0.25">
      <c r="A75" s="100"/>
      <c r="B75" t="s">
        <v>251</v>
      </c>
      <c r="C75" s="74">
        <f>IFERROR(VLOOKUP(B75,'REQ GALV'!A:B,2,0),0)</f>
        <v>0</v>
      </c>
      <c r="D75" s="116">
        <f t="shared" si="111"/>
        <v>1001.1830856725147</v>
      </c>
      <c r="E75" s="4" t="s">
        <v>180</v>
      </c>
      <c r="F75" s="75" t="s">
        <v>147</v>
      </c>
      <c r="G75" s="90">
        <v>32.119999999999997</v>
      </c>
      <c r="H75" s="90">
        <v>25.26</v>
      </c>
      <c r="I75" s="76">
        <v>0.105</v>
      </c>
      <c r="J75" s="77">
        <v>28.24</v>
      </c>
      <c r="K75" s="78">
        <f t="shared" si="16"/>
        <v>46.703132105760169</v>
      </c>
      <c r="L75" s="58">
        <f>+VLOOKUP(E75,Material!$H$2:$M$17,6,FALSE)*G75*H75*(1+Material!$K$14)</f>
        <v>599.49838666666676</v>
      </c>
      <c r="M75" s="79" t="str">
        <f>+Analisis!$J$5</f>
        <v>T5.0</v>
      </c>
      <c r="N75" s="80">
        <f>+VLOOKUP(M75,Material!$A$3:$B$58,2,FALSE)</f>
        <v>5000</v>
      </c>
      <c r="O75" s="79" t="s">
        <v>42</v>
      </c>
      <c r="P75" s="79" t="s">
        <v>43</v>
      </c>
      <c r="Q75" s="81">
        <f>+IF(O75="ACERO A36",VLOOKUP(P75,'Velocidades Std 1500 w'!$B$2:$F$15,5,FALSE),IF(O75="INOXIDABLE",VLOOKUP(P75,'Velocidades Std 1500 w'!$B$17:$F$28,5,FALSE),IF(O75="ALUMINIO",VLOOKUP(P75,'Velocidades Std 1500 w'!$B$30:$F$38,5,FALSE))))</f>
        <v>4.3859649122807014E-6</v>
      </c>
      <c r="R75" s="82">
        <f t="shared" si="17"/>
        <v>2.1929824561403508E-2</v>
      </c>
      <c r="S75" s="83">
        <f t="shared" si="18"/>
        <v>54.642618947368412</v>
      </c>
      <c r="T75" s="110">
        <f t="shared" si="19"/>
        <v>3460.6991999999996</v>
      </c>
      <c r="U75" s="80">
        <f t="shared" si="20"/>
        <v>75.892526315789453</v>
      </c>
      <c r="V75" s="98">
        <v>10</v>
      </c>
      <c r="W75" s="84">
        <f>+IF(O75="ACERO A36",VLOOKUP(P75,'Tiempo Objeto'!$B$2:$C$12,2,FALSE),IF(O75="INOXIDABLE",VLOOKUP(P75,'Tiempo Objeto'!$B$14:$C$22,2,FALSE),IF(O75="ALUMINIO",VLOOKUP(P75,'Tiempo Objeto'!$B$24:$C$32,2,FALSE))))</f>
        <v>1.84</v>
      </c>
      <c r="X75" s="84">
        <f t="shared" si="21"/>
        <v>18.400000000000002</v>
      </c>
      <c r="Y75" s="80">
        <f t="shared" si="22"/>
        <v>25.555555555555561</v>
      </c>
      <c r="Z75" s="100">
        <v>4</v>
      </c>
      <c r="AA75" s="85">
        <f t="shared" si="23"/>
        <v>120</v>
      </c>
      <c r="AB75" s="86">
        <f>+Z75*Analisis!$J$6</f>
        <v>100</v>
      </c>
      <c r="AC75" s="100">
        <v>0</v>
      </c>
      <c r="AD75" s="85">
        <f t="shared" si="24"/>
        <v>0</v>
      </c>
      <c r="AE75" s="86">
        <f>+AD75*Analisis!$J$7</f>
        <v>0</v>
      </c>
      <c r="AF75" s="86">
        <f t="shared" si="110"/>
        <v>800.9464685380118</v>
      </c>
      <c r="AG75" s="126">
        <f>+AF75/(1-Analisis!$E$9)</f>
        <v>1001.1830856725147</v>
      </c>
      <c r="AH75" s="128">
        <f t="shared" si="112"/>
        <v>0</v>
      </c>
    </row>
    <row r="76" spans="1:34" s="73" customFormat="1" x14ac:dyDescent="0.25">
      <c r="A76" s="100"/>
      <c r="B76" t="s">
        <v>252</v>
      </c>
      <c r="C76" s="74">
        <f>IFERROR(VLOOKUP(B76,'REQ GALV'!A:B,2,0),0)</f>
        <v>0</v>
      </c>
      <c r="D76" s="116">
        <f t="shared" si="111"/>
        <v>552.10439510233925</v>
      </c>
      <c r="E76" s="4" t="s">
        <v>46</v>
      </c>
      <c r="F76" s="75" t="s">
        <v>147</v>
      </c>
      <c r="G76" s="90">
        <v>5.5</v>
      </c>
      <c r="H76" s="90">
        <v>40</v>
      </c>
      <c r="I76" s="76">
        <v>0.105</v>
      </c>
      <c r="J76" s="77">
        <v>28.24</v>
      </c>
      <c r="K76" s="78">
        <f t="shared" si="16"/>
        <v>18.995514636449489</v>
      </c>
      <c r="L76" s="58">
        <f>+VLOOKUP(E76,Material!$H$2:$M$17,6,FALSE)*G76*H76*(1+Material!$K$14)</f>
        <v>243.8333333333334</v>
      </c>
      <c r="M76" s="79" t="str">
        <f>+Analisis!$J$5</f>
        <v>T5.0</v>
      </c>
      <c r="N76" s="80">
        <f>+VLOOKUP(M76,Material!$A$3:$B$58,2,FALSE)</f>
        <v>5000</v>
      </c>
      <c r="O76" s="79" t="s">
        <v>42</v>
      </c>
      <c r="P76" s="79" t="s">
        <v>43</v>
      </c>
      <c r="Q76" s="81">
        <f>+IF(O76="ACERO A36",VLOOKUP(P76,'Velocidades Std 1500 w'!$B$2:$F$15,5,FALSE),IF(O76="INOXIDABLE",VLOOKUP(P76,'Velocidades Std 1500 w'!$B$17:$F$28,5,FALSE),IF(O76="ALUMINIO",VLOOKUP(P76,'Velocidades Std 1500 w'!$B$30:$F$38,5,FALSE))))</f>
        <v>4.3859649122807014E-6</v>
      </c>
      <c r="R76" s="82">
        <f t="shared" si="17"/>
        <v>2.1929824561403508E-2</v>
      </c>
      <c r="S76" s="83">
        <f t="shared" si="18"/>
        <v>46.532131578947357</v>
      </c>
      <c r="T76" s="110">
        <f t="shared" si="19"/>
        <v>2947.0349999999999</v>
      </c>
      <c r="U76" s="80">
        <f t="shared" si="20"/>
        <v>64.627960526315789</v>
      </c>
      <c r="V76" s="98">
        <v>13</v>
      </c>
      <c r="W76" s="84">
        <f>+IF(O76="ACERO A36",VLOOKUP(P76,'Tiempo Objeto'!$B$2:$C$12,2,FALSE),IF(O76="INOXIDABLE",VLOOKUP(P76,'Tiempo Objeto'!$B$14:$C$22,2,FALSE),IF(O76="ALUMINIO",VLOOKUP(P76,'Tiempo Objeto'!$B$24:$C$32,2,FALSE))))</f>
        <v>1.84</v>
      </c>
      <c r="X76" s="84">
        <f t="shared" si="21"/>
        <v>23.92</v>
      </c>
      <c r="Y76" s="80">
        <f t="shared" si="22"/>
        <v>33.222222222222229</v>
      </c>
      <c r="Z76" s="100">
        <v>4</v>
      </c>
      <c r="AA76" s="85">
        <f t="shared" si="23"/>
        <v>120</v>
      </c>
      <c r="AB76" s="86">
        <f>+Z76*Analisis!$J$6</f>
        <v>100</v>
      </c>
      <c r="AC76" s="100">
        <v>0</v>
      </c>
      <c r="AD76" s="85">
        <f t="shared" si="24"/>
        <v>0</v>
      </c>
      <c r="AE76" s="86">
        <f>+AD76*Analisis!$J$7</f>
        <v>0</v>
      </c>
      <c r="AF76" s="86">
        <f t="shared" si="110"/>
        <v>441.6835160818714</v>
      </c>
      <c r="AG76" s="126">
        <f>+AF76/(1-Analisis!$E$9)</f>
        <v>552.10439510233925</v>
      </c>
      <c r="AH76" s="128">
        <f t="shared" si="112"/>
        <v>0</v>
      </c>
    </row>
    <row r="77" spans="1:34" s="73" customFormat="1" x14ac:dyDescent="0.25">
      <c r="A77" s="100"/>
      <c r="B77" t="s">
        <v>253</v>
      </c>
      <c r="C77" s="74">
        <f>IFERROR(VLOOKUP(B77,'REQ GALV'!A:B,2,0),0)</f>
        <v>0</v>
      </c>
      <c r="D77" s="116">
        <f t="shared" si="111"/>
        <v>289.01842653508777</v>
      </c>
      <c r="E77" s="4" t="s">
        <v>180</v>
      </c>
      <c r="F77" s="75" t="s">
        <v>147</v>
      </c>
      <c r="G77" s="90">
        <v>10.82</v>
      </c>
      <c r="H77" s="90">
        <v>17</v>
      </c>
      <c r="I77" s="76">
        <v>0.105</v>
      </c>
      <c r="J77" s="77">
        <v>28.24</v>
      </c>
      <c r="K77" s="78">
        <f t="shared" si="16"/>
        <v>10.587984734025813</v>
      </c>
      <c r="L77" s="58">
        <f>+VLOOKUP(E77,Material!$H$2:$M$17,6,FALSE)*G77*H77*(1+Material!$K$14)</f>
        <v>135.91122222222225</v>
      </c>
      <c r="M77" s="79" t="str">
        <f>+Analisis!$J$5</f>
        <v>T5.0</v>
      </c>
      <c r="N77" s="80">
        <f>+VLOOKUP(M77,Material!$A$3:$B$58,2,FALSE)</f>
        <v>5000</v>
      </c>
      <c r="O77" s="79" t="s">
        <v>42</v>
      </c>
      <c r="P77" s="79" t="s">
        <v>43</v>
      </c>
      <c r="Q77" s="81">
        <f>+IF(O77="ACERO A36",VLOOKUP(P77,'Velocidades Std 1500 w'!$B$2:$F$15,5,FALSE),IF(O77="INOXIDABLE",VLOOKUP(P77,'Velocidades Std 1500 w'!$B$17:$F$28,5,FALSE),IF(O77="ALUMINIO",VLOOKUP(P77,'Velocidades Std 1500 w'!$B$30:$F$38,5,FALSE))))</f>
        <v>4.3859649122807014E-6</v>
      </c>
      <c r="R77" s="82">
        <f t="shared" si="17"/>
        <v>2.1929824561403508E-2</v>
      </c>
      <c r="S77" s="83">
        <f t="shared" si="18"/>
        <v>30.37853368421052</v>
      </c>
      <c r="T77" s="110">
        <f t="shared" si="19"/>
        <v>1923.9738</v>
      </c>
      <c r="U77" s="80">
        <f t="shared" si="20"/>
        <v>42.192407894736839</v>
      </c>
      <c r="V77" s="98">
        <v>11</v>
      </c>
      <c r="W77" s="84">
        <f>+IF(O77="ACERO A36",VLOOKUP(P77,'Tiempo Objeto'!$B$2:$C$12,2,FALSE),IF(O77="INOXIDABLE",VLOOKUP(P77,'Tiempo Objeto'!$B$14:$C$22,2,FALSE),IF(O77="ALUMINIO",VLOOKUP(P77,'Tiempo Objeto'!$B$24:$C$32,2,FALSE))))</f>
        <v>1.84</v>
      </c>
      <c r="X77" s="84">
        <f t="shared" si="21"/>
        <v>20.240000000000002</v>
      </c>
      <c r="Y77" s="80">
        <f t="shared" si="22"/>
        <v>28.111111111111114</v>
      </c>
      <c r="Z77" s="100">
        <v>1</v>
      </c>
      <c r="AA77" s="85">
        <f t="shared" si="23"/>
        <v>30</v>
      </c>
      <c r="AB77" s="86">
        <f>+Z77*Analisis!$J$6</f>
        <v>25</v>
      </c>
      <c r="AC77" s="100">
        <v>0</v>
      </c>
      <c r="AD77" s="85">
        <f t="shared" si="24"/>
        <v>0</v>
      </c>
      <c r="AE77" s="86">
        <f>+AD77*Analisis!$J$7</f>
        <v>0</v>
      </c>
      <c r="AF77" s="86">
        <f t="shared" si="110"/>
        <v>231.21474122807021</v>
      </c>
      <c r="AG77" s="126">
        <f>+AF77/(1-Analisis!$E$9)</f>
        <v>289.01842653508777</v>
      </c>
      <c r="AH77" s="128">
        <f t="shared" si="112"/>
        <v>0</v>
      </c>
    </row>
    <row r="78" spans="1:34" s="73" customFormat="1" x14ac:dyDescent="0.25">
      <c r="A78" s="100"/>
      <c r="B78" t="s">
        <v>254</v>
      </c>
      <c r="C78" s="74">
        <f>IFERROR(VLOOKUP(B78,'REQ GALV'!A:B,2,0),0)</f>
        <v>0</v>
      </c>
      <c r="D78" s="116">
        <f t="shared" si="111"/>
        <v>403.57485928362576</v>
      </c>
      <c r="E78" s="4" t="s">
        <v>180</v>
      </c>
      <c r="F78" s="75" t="s">
        <v>147</v>
      </c>
      <c r="G78" s="90">
        <v>10.82</v>
      </c>
      <c r="H78" s="90">
        <v>27</v>
      </c>
      <c r="I78" s="76">
        <v>0.105</v>
      </c>
      <c r="J78" s="77">
        <v>28.24</v>
      </c>
      <c r="K78" s="78">
        <f t="shared" si="16"/>
        <v>16.816211048158646</v>
      </c>
      <c r="L78" s="58">
        <f>+VLOOKUP(E78,Material!$H$2:$M$17,6,FALSE)*G78*H78*(1+Material!$K$14)</f>
        <v>215.85900000000004</v>
      </c>
      <c r="M78" s="79" t="str">
        <f>+Analisis!$J$5</f>
        <v>T5.0</v>
      </c>
      <c r="N78" s="80">
        <f>+VLOOKUP(M78,Material!$A$3:$B$58,2,FALSE)</f>
        <v>5000</v>
      </c>
      <c r="O78" s="79" t="s">
        <v>42</v>
      </c>
      <c r="P78" s="79" t="s">
        <v>43</v>
      </c>
      <c r="Q78" s="81">
        <f>+IF(O78="ACERO A36",VLOOKUP(P78,'Velocidades Std 1500 w'!$B$2:$F$15,5,FALSE),IF(O78="INOXIDABLE",VLOOKUP(P78,'Velocidades Std 1500 w'!$B$17:$F$28,5,FALSE),IF(O78="ALUMINIO",VLOOKUP(P78,'Velocidades Std 1500 w'!$B$30:$F$38,5,FALSE))))</f>
        <v>4.3859649122807014E-6</v>
      </c>
      <c r="R78" s="82">
        <f t="shared" si="17"/>
        <v>2.1929824561403508E-2</v>
      </c>
      <c r="S78" s="83">
        <f t="shared" si="18"/>
        <v>38.800638947368419</v>
      </c>
      <c r="T78" s="110">
        <f t="shared" si="19"/>
        <v>2457.3737999999998</v>
      </c>
      <c r="U78" s="80">
        <f t="shared" si="20"/>
        <v>53.889776315789469</v>
      </c>
      <c r="V78" s="98">
        <v>11</v>
      </c>
      <c r="W78" s="84">
        <f>+IF(O78="ACERO A36",VLOOKUP(P78,'Tiempo Objeto'!$B$2:$C$12,2,FALSE),IF(O78="INOXIDABLE",VLOOKUP(P78,'Tiempo Objeto'!$B$14:$C$22,2,FALSE),IF(O78="ALUMINIO",VLOOKUP(P78,'Tiempo Objeto'!$B$24:$C$32,2,FALSE))))</f>
        <v>1.84</v>
      </c>
      <c r="X78" s="84">
        <f t="shared" si="21"/>
        <v>20.240000000000002</v>
      </c>
      <c r="Y78" s="80">
        <f t="shared" si="22"/>
        <v>28.111111111111114</v>
      </c>
      <c r="Z78" s="100">
        <v>1</v>
      </c>
      <c r="AA78" s="85">
        <f t="shared" si="23"/>
        <v>30</v>
      </c>
      <c r="AB78" s="86">
        <f>+Z78*Analisis!$J$6</f>
        <v>25</v>
      </c>
      <c r="AC78" s="100">
        <v>0</v>
      </c>
      <c r="AD78" s="85">
        <f t="shared" si="24"/>
        <v>0</v>
      </c>
      <c r="AE78" s="86">
        <f>+AD78*Analisis!$J$7</f>
        <v>0</v>
      </c>
      <c r="AF78" s="86">
        <f t="shared" si="110"/>
        <v>322.85988742690063</v>
      </c>
      <c r="AG78" s="126">
        <f>+AF78/(1-Analisis!$E$9)</f>
        <v>403.57485928362576</v>
      </c>
      <c r="AH78" s="128">
        <f t="shared" si="112"/>
        <v>0</v>
      </c>
    </row>
    <row r="79" spans="1:34" s="73" customFormat="1" x14ac:dyDescent="0.25">
      <c r="A79" s="100"/>
      <c r="B79" t="s">
        <v>255</v>
      </c>
      <c r="C79" s="74">
        <f>IFERROR(VLOOKUP(B79,'REQ GALV'!A:B,2,0),0)</f>
        <v>0</v>
      </c>
      <c r="D79" s="116">
        <f t="shared" si="111"/>
        <v>63.503093932748534</v>
      </c>
      <c r="E79" s="4" t="s">
        <v>46</v>
      </c>
      <c r="F79" s="75" t="s">
        <v>147</v>
      </c>
      <c r="G79" s="90">
        <v>2</v>
      </c>
      <c r="H79" s="90">
        <v>1.86</v>
      </c>
      <c r="I79" s="76">
        <v>0.105</v>
      </c>
      <c r="J79" s="77">
        <v>28.24</v>
      </c>
      <c r="K79" s="78">
        <f t="shared" si="16"/>
        <v>0.32119688385269124</v>
      </c>
      <c r="L79" s="58">
        <f>+VLOOKUP(E79,Material!$H$2:$M$17,6,FALSE)*G79*H79*(1+Material!$K$14)</f>
        <v>4.1230000000000002</v>
      </c>
      <c r="M79" s="79" t="str">
        <f>+Analisis!$J$5</f>
        <v>T5.0</v>
      </c>
      <c r="N79" s="80">
        <f>+VLOOKUP(M79,Material!$A$3:$B$58,2,FALSE)</f>
        <v>5000</v>
      </c>
      <c r="O79" s="79" t="s">
        <v>42</v>
      </c>
      <c r="P79" s="79" t="s">
        <v>43</v>
      </c>
      <c r="Q79" s="81">
        <f>+IF(O79="ACERO A36",VLOOKUP(P79,'Velocidades Std 1500 w'!$B$2:$F$15,5,FALSE),IF(O79="INOXIDABLE",VLOOKUP(P79,'Velocidades Std 1500 w'!$B$17:$F$28,5,FALSE),IF(O79="ALUMINIO",VLOOKUP(P79,'Velocidades Std 1500 w'!$B$30:$F$38,5,FALSE))))</f>
        <v>4.3859649122807014E-6</v>
      </c>
      <c r="R79" s="82">
        <f t="shared" si="17"/>
        <v>2.1929824561403508E-2</v>
      </c>
      <c r="S79" s="83">
        <f t="shared" si="18"/>
        <v>6.4092221052631579</v>
      </c>
      <c r="T79" s="110">
        <f t="shared" si="19"/>
        <v>405.91740000000004</v>
      </c>
      <c r="U79" s="80">
        <f t="shared" si="20"/>
        <v>8.9016973684210523</v>
      </c>
      <c r="V79" s="98">
        <v>5</v>
      </c>
      <c r="W79" s="84">
        <f>+IF(O79="ACERO A36",VLOOKUP(P79,'Tiempo Objeto'!$B$2:$C$12,2,FALSE),IF(O79="INOXIDABLE",VLOOKUP(P79,'Tiempo Objeto'!$B$14:$C$22,2,FALSE),IF(O79="ALUMINIO",VLOOKUP(P79,'Tiempo Objeto'!$B$24:$C$32,2,FALSE))))</f>
        <v>1.84</v>
      </c>
      <c r="X79" s="84">
        <f t="shared" si="21"/>
        <v>9.2000000000000011</v>
      </c>
      <c r="Y79" s="80">
        <f t="shared" si="22"/>
        <v>12.77777777777778</v>
      </c>
      <c r="Z79" s="100">
        <v>1</v>
      </c>
      <c r="AA79" s="85">
        <f t="shared" si="23"/>
        <v>30</v>
      </c>
      <c r="AB79" s="86">
        <f>+Z79*Analisis!$J$6</f>
        <v>25</v>
      </c>
      <c r="AC79" s="100">
        <v>0</v>
      </c>
      <c r="AD79" s="85">
        <f t="shared" si="24"/>
        <v>0</v>
      </c>
      <c r="AE79" s="86">
        <f>+AD79*Analisis!$J$7</f>
        <v>0</v>
      </c>
      <c r="AF79" s="86">
        <f t="shared" si="110"/>
        <v>50.80247514619883</v>
      </c>
      <c r="AG79" s="126">
        <f>+AF79/(1-Analisis!$E$9)</f>
        <v>63.503093932748534</v>
      </c>
      <c r="AH79" s="128">
        <f t="shared" si="112"/>
        <v>0</v>
      </c>
    </row>
    <row r="80" spans="1:34" s="73" customFormat="1" x14ac:dyDescent="0.25">
      <c r="A80" s="100"/>
      <c r="B80" s="1" t="s">
        <v>256</v>
      </c>
      <c r="C80" s="74">
        <f>IFERROR(VLOOKUP(B80,'REQ GALV'!A:B,2,0),0)</f>
        <v>0</v>
      </c>
      <c r="D80" s="116">
        <f t="shared" si="111"/>
        <v>181.59362390350879</v>
      </c>
      <c r="E80" s="4" t="s">
        <v>180</v>
      </c>
      <c r="F80" s="75" t="s">
        <v>147</v>
      </c>
      <c r="G80" s="90">
        <v>4</v>
      </c>
      <c r="H80" s="90">
        <v>5.68</v>
      </c>
      <c r="I80" s="76">
        <v>0.105</v>
      </c>
      <c r="J80" s="77">
        <v>28.24</v>
      </c>
      <c r="K80" s="78">
        <f t="shared" si="16"/>
        <v>1.3078124016367645</v>
      </c>
      <c r="L80" s="58">
        <f>+VLOOKUP(E80,Material!$H$2:$M$17,6,FALSE)*G80*H80*(1+Material!$K$14)</f>
        <v>16.787555555555556</v>
      </c>
      <c r="M80" s="79" t="str">
        <f>+Analisis!$J$5</f>
        <v>T5.0</v>
      </c>
      <c r="N80" s="80">
        <f>+VLOOKUP(M80,Material!$A$3:$B$58,2,FALSE)</f>
        <v>5000</v>
      </c>
      <c r="O80" s="79" t="s">
        <v>42</v>
      </c>
      <c r="P80" s="79" t="s">
        <v>43</v>
      </c>
      <c r="Q80" s="81">
        <f>+IF(O80="ACERO A36",VLOOKUP(P80,'Velocidades Std 1500 w'!$B$2:$F$15,5,FALSE),IF(O80="INOXIDABLE",VLOOKUP(P80,'Velocidades Std 1500 w'!$B$17:$F$28,5,FALSE),IF(O80="ALUMINIO",VLOOKUP(P80,'Velocidades Std 1500 w'!$B$30:$F$38,5,FALSE))))</f>
        <v>4.3859649122807014E-6</v>
      </c>
      <c r="R80" s="82">
        <f t="shared" si="17"/>
        <v>2.1929824561403508E-2</v>
      </c>
      <c r="S80" s="83">
        <f t="shared" si="18"/>
        <v>11.310887368421051</v>
      </c>
      <c r="T80" s="110">
        <f t="shared" si="19"/>
        <v>716.35619999999994</v>
      </c>
      <c r="U80" s="80">
        <f t="shared" si="20"/>
        <v>15.709565789473682</v>
      </c>
      <c r="V80" s="98">
        <v>5</v>
      </c>
      <c r="W80" s="84">
        <f>+IF(O80="ACERO A36",VLOOKUP(P80,'Tiempo Objeto'!$B$2:$C$12,2,FALSE),IF(O80="INOXIDABLE",VLOOKUP(P80,'Tiempo Objeto'!$B$14:$C$22,2,FALSE),IF(O80="ALUMINIO",VLOOKUP(P80,'Tiempo Objeto'!$B$24:$C$32,2,FALSE))))</f>
        <v>1.84</v>
      </c>
      <c r="X80" s="84">
        <f t="shared" si="21"/>
        <v>9.2000000000000011</v>
      </c>
      <c r="Y80" s="80">
        <f t="shared" si="22"/>
        <v>12.77777777777778</v>
      </c>
      <c r="Z80" s="100">
        <v>4</v>
      </c>
      <c r="AA80" s="85">
        <f t="shared" si="23"/>
        <v>120</v>
      </c>
      <c r="AB80" s="86">
        <f>+Z80*Analisis!$J$6</f>
        <v>100</v>
      </c>
      <c r="AC80" s="100">
        <v>0</v>
      </c>
      <c r="AD80" s="85">
        <f t="shared" si="24"/>
        <v>0</v>
      </c>
      <c r="AE80" s="86">
        <f>+AD80*Analisis!$J$7</f>
        <v>0</v>
      </c>
      <c r="AF80" s="86">
        <f t="shared" si="110"/>
        <v>145.27489912280703</v>
      </c>
      <c r="AG80" s="126">
        <f>+AF80/(1-Analisis!$E$9)</f>
        <v>181.59362390350879</v>
      </c>
      <c r="AH80" s="128">
        <f t="shared" si="112"/>
        <v>0</v>
      </c>
    </row>
    <row r="81" spans="1:34" s="73" customFormat="1" x14ac:dyDescent="0.25">
      <c r="A81" s="100"/>
      <c r="B81" s="1" t="s">
        <v>257</v>
      </c>
      <c r="C81" s="74">
        <f>IFERROR(VLOOKUP(B81,'REQ GALV'!A:B,2,0),0)</f>
        <v>0</v>
      </c>
      <c r="D81" s="116">
        <f t="shared" si="111"/>
        <v>209.18570423976607</v>
      </c>
      <c r="E81" s="4" t="s">
        <v>180</v>
      </c>
      <c r="F81" s="75" t="s">
        <v>147</v>
      </c>
      <c r="G81" s="90">
        <v>5.22</v>
      </c>
      <c r="H81" s="90">
        <v>6.72</v>
      </c>
      <c r="I81" s="76">
        <v>0.105</v>
      </c>
      <c r="J81" s="77">
        <v>28.24</v>
      </c>
      <c r="K81" s="78">
        <f t="shared" si="16"/>
        <v>2.0191886685552412</v>
      </c>
      <c r="L81" s="58">
        <f>+VLOOKUP(E81,Material!$H$2:$M$17,6,FALSE)*G81*H81*(1+Material!$K$14)</f>
        <v>25.919040000000003</v>
      </c>
      <c r="M81" s="79" t="str">
        <f>+Analisis!$J$5</f>
        <v>T5.0</v>
      </c>
      <c r="N81" s="80">
        <f>+VLOOKUP(M81,Material!$A$3:$B$58,2,FALSE)</f>
        <v>5000</v>
      </c>
      <c r="O81" s="79" t="s">
        <v>42</v>
      </c>
      <c r="P81" s="79" t="s">
        <v>43</v>
      </c>
      <c r="Q81" s="81">
        <f>+IF(O81="ACERO A36",VLOOKUP(P81,'Velocidades Std 1500 w'!$B$2:$F$15,5,FALSE),IF(O81="INOXIDABLE",VLOOKUP(P81,'Velocidades Std 1500 w'!$B$17:$F$28,5,FALSE),IF(O81="ALUMINIO",VLOOKUP(P81,'Velocidades Std 1500 w'!$B$30:$F$38,5,FALSE))))</f>
        <v>4.3859649122807014E-6</v>
      </c>
      <c r="R81" s="82">
        <f t="shared" si="17"/>
        <v>2.1929824561403508E-2</v>
      </c>
      <c r="S81" s="83">
        <f t="shared" si="18"/>
        <v>15.10925684210526</v>
      </c>
      <c r="T81" s="110">
        <f t="shared" si="19"/>
        <v>956.91959999999995</v>
      </c>
      <c r="U81" s="80">
        <f t="shared" si="20"/>
        <v>20.985078947368418</v>
      </c>
      <c r="V81" s="98">
        <v>8</v>
      </c>
      <c r="W81" s="84">
        <f>+IF(O81="ACERO A36",VLOOKUP(P81,'Tiempo Objeto'!$B$2:$C$12,2,FALSE),IF(O81="INOXIDABLE",VLOOKUP(P81,'Tiempo Objeto'!$B$14:$C$22,2,FALSE),IF(O81="ALUMINIO",VLOOKUP(P81,'Tiempo Objeto'!$B$24:$C$32,2,FALSE))))</f>
        <v>1.84</v>
      </c>
      <c r="X81" s="84">
        <f t="shared" si="21"/>
        <v>14.72</v>
      </c>
      <c r="Y81" s="80">
        <f t="shared" si="22"/>
        <v>20.444444444444443</v>
      </c>
      <c r="Z81" s="100">
        <v>4</v>
      </c>
      <c r="AA81" s="85">
        <f t="shared" si="23"/>
        <v>120</v>
      </c>
      <c r="AB81" s="86">
        <f>+Z81*Analisis!$J$6</f>
        <v>100</v>
      </c>
      <c r="AC81" s="100">
        <v>0</v>
      </c>
      <c r="AD81" s="85">
        <f t="shared" si="24"/>
        <v>0</v>
      </c>
      <c r="AE81" s="86">
        <f>+AD81*Analisis!$J$7</f>
        <v>0</v>
      </c>
      <c r="AF81" s="86">
        <f t="shared" si="110"/>
        <v>167.34856339181286</v>
      </c>
      <c r="AG81" s="126">
        <f>+AF81/(1-Analisis!$E$9)</f>
        <v>209.18570423976607</v>
      </c>
      <c r="AH81" s="128">
        <f t="shared" si="112"/>
        <v>0</v>
      </c>
    </row>
    <row r="82" spans="1:34" s="73" customFormat="1" x14ac:dyDescent="0.25">
      <c r="A82" s="100"/>
      <c r="B82" s="108" t="s">
        <v>258</v>
      </c>
      <c r="C82" s="74">
        <f>IFERROR(VLOOKUP(B82,'REQ GALV'!A:B,2,0),0)</f>
        <v>0</v>
      </c>
      <c r="D82" s="116">
        <f t="shared" si="111"/>
        <v>316.22414666141265</v>
      </c>
      <c r="E82" s="103" t="s">
        <v>44</v>
      </c>
      <c r="F82" s="75" t="s">
        <v>264</v>
      </c>
      <c r="G82" s="90">
        <v>8.3789999999999996</v>
      </c>
      <c r="H82" s="90">
        <v>13.5</v>
      </c>
      <c r="I82" s="76">
        <v>0.105</v>
      </c>
      <c r="J82" s="77">
        <v>28.24</v>
      </c>
      <c r="K82" s="78">
        <f t="shared" ref="K82:K147" si="120">+L82*2.2/J82</f>
        <v>7.9355624170060199</v>
      </c>
      <c r="L82" s="58">
        <f>+VLOOKUP(E82,Material!$H$2:$M$17,6,FALSE)*G82*H82*(1+Material!$K$14)</f>
        <v>101.86376484374999</v>
      </c>
      <c r="M82" s="79" t="str">
        <f>+Analisis!$J$5</f>
        <v>T5.0</v>
      </c>
      <c r="N82" s="80">
        <f>+VLOOKUP(M82,Material!$A$3:$B$58,2,FALSE)</f>
        <v>5000</v>
      </c>
      <c r="O82" s="79" t="s">
        <v>42</v>
      </c>
      <c r="P82" s="79" t="s">
        <v>43</v>
      </c>
      <c r="Q82" s="81">
        <f>+IF(O82="ACERO A36",VLOOKUP(P82,'Velocidades Std 1500 w'!$B$2:$F$15,5,FALSE),IF(O82="INOXIDABLE",VLOOKUP(P82,'Velocidades Std 1500 w'!$B$17:$F$28,5,FALSE),IF(O82="ALUMINIO",VLOOKUP(P82,'Velocidades Std 1500 w'!$B$30:$F$38,5,FALSE))))</f>
        <v>4.3859649122807014E-6</v>
      </c>
      <c r="R82" s="82">
        <f t="shared" ref="R82:R147" si="121">+Q82*N82</f>
        <v>2.1929824561403508E-2</v>
      </c>
      <c r="S82" s="83">
        <f t="shared" ref="S82:S147" si="122">+Q82*T82*3600</f>
        <v>32.323197789473681</v>
      </c>
      <c r="T82" s="110">
        <f t="shared" ref="T82:T147" si="123">(+H82*2+G82*2+V82*1.5)*25.4*1.05</f>
        <v>2047.1358599999999</v>
      </c>
      <c r="U82" s="80">
        <f t="shared" ref="U82:U147" si="124">+T82*R82</f>
        <v>44.893330263157893</v>
      </c>
      <c r="V82" s="98">
        <v>22</v>
      </c>
      <c r="W82" s="84">
        <f>+IF(O82="ACERO A36",VLOOKUP(P82,'Tiempo Objeto'!$B$2:$C$12,2,FALSE),IF(O82="INOXIDABLE",VLOOKUP(P82,'Tiempo Objeto'!$B$14:$C$22,2,FALSE),IF(O82="ALUMINIO",VLOOKUP(P82,'Tiempo Objeto'!$B$24:$C$32,2,FALSE))))</f>
        <v>1.84</v>
      </c>
      <c r="X82" s="84">
        <f t="shared" ref="X82:X147" si="125">+W82*V82</f>
        <v>40.480000000000004</v>
      </c>
      <c r="Y82" s="80">
        <f t="shared" ref="Y82:Y147" si="126">+X82*N82/3600</f>
        <v>56.222222222222229</v>
      </c>
      <c r="Z82" s="100">
        <v>2</v>
      </c>
      <c r="AA82" s="85">
        <f t="shared" ref="AA82:AA147" si="127">30*Z82+Z82*$C82*1.5</f>
        <v>60</v>
      </c>
      <c r="AB82" s="86">
        <f>+Z82*Analisis!$J$6</f>
        <v>50</v>
      </c>
      <c r="AC82" s="100">
        <v>0</v>
      </c>
      <c r="AD82" s="85">
        <f t="shared" ref="AD82:AD147" si="128">30*AC82+AC82*$C82*1.5</f>
        <v>0</v>
      </c>
      <c r="AE82" s="86">
        <f>+AD82*Analisis!$J$7</f>
        <v>0</v>
      </c>
      <c r="AF82" s="86">
        <f t="shared" si="110"/>
        <v>252.97931732913011</v>
      </c>
      <c r="AG82" s="126">
        <f>+AF82/(1-Analisis!$E$9)</f>
        <v>316.22414666141265</v>
      </c>
      <c r="AH82" s="128">
        <f t="shared" si="112"/>
        <v>0</v>
      </c>
    </row>
    <row r="83" spans="1:34" s="73" customFormat="1" x14ac:dyDescent="0.25">
      <c r="A83" s="100"/>
      <c r="B83" s="108" t="s">
        <v>259</v>
      </c>
      <c r="C83" s="74">
        <f>IFERROR(VLOOKUP(B83,'REQ GALV'!A:B,2,0),0)</f>
        <v>0</v>
      </c>
      <c r="D83" s="116">
        <f t="shared" si="111"/>
        <v>332.88260677654421</v>
      </c>
      <c r="E83" s="103" t="s">
        <v>44</v>
      </c>
      <c r="F83" s="75" t="s">
        <v>264</v>
      </c>
      <c r="G83" s="90">
        <v>9.3789999999999996</v>
      </c>
      <c r="H83" s="90">
        <v>13.5</v>
      </c>
      <c r="I83" s="76">
        <v>0.105</v>
      </c>
      <c r="J83" s="77">
        <v>28.24</v>
      </c>
      <c r="K83" s="78">
        <f t="shared" si="120"/>
        <v>8.8826399223176367</v>
      </c>
      <c r="L83" s="58">
        <f>+VLOOKUP(E83,Material!$H$2:$M$17,6,FALSE)*G83*H83*(1+Material!$K$14)</f>
        <v>114.02079609375001</v>
      </c>
      <c r="M83" s="79" t="str">
        <f>+Analisis!$J$5</f>
        <v>T5.0</v>
      </c>
      <c r="N83" s="80">
        <f>+VLOOKUP(M83,Material!$A$3:$B$58,2,FALSE)</f>
        <v>5000</v>
      </c>
      <c r="O83" s="79" t="s">
        <v>42</v>
      </c>
      <c r="P83" s="79" t="s">
        <v>43</v>
      </c>
      <c r="Q83" s="81">
        <f>+IF(O83="ACERO A36",VLOOKUP(P83,'Velocidades Std 1500 w'!$B$2:$F$15,5,FALSE),IF(O83="INOXIDABLE",VLOOKUP(P83,'Velocidades Std 1500 w'!$B$17:$F$28,5,FALSE),IF(O83="ALUMINIO",VLOOKUP(P83,'Velocidades Std 1500 w'!$B$30:$F$38,5,FALSE))))</f>
        <v>4.3859649122807014E-6</v>
      </c>
      <c r="R83" s="82">
        <f t="shared" si="121"/>
        <v>2.1929824561403508E-2</v>
      </c>
      <c r="S83" s="83">
        <f t="shared" si="122"/>
        <v>33.165408315789463</v>
      </c>
      <c r="T83" s="110">
        <f t="shared" si="123"/>
        <v>2100.4758599999996</v>
      </c>
      <c r="U83" s="80">
        <f t="shared" si="124"/>
        <v>46.063067105263144</v>
      </c>
      <c r="V83" s="98">
        <v>22</v>
      </c>
      <c r="W83" s="84">
        <f>+IF(O83="ACERO A36",VLOOKUP(P83,'Tiempo Objeto'!$B$2:$C$12,2,FALSE),IF(O83="INOXIDABLE",VLOOKUP(P83,'Tiempo Objeto'!$B$14:$C$22,2,FALSE),IF(O83="ALUMINIO",VLOOKUP(P83,'Tiempo Objeto'!$B$24:$C$32,2,FALSE))))</f>
        <v>1.84</v>
      </c>
      <c r="X83" s="84">
        <f t="shared" si="125"/>
        <v>40.480000000000004</v>
      </c>
      <c r="Y83" s="80">
        <f t="shared" si="126"/>
        <v>56.222222222222229</v>
      </c>
      <c r="Z83" s="100">
        <v>2</v>
      </c>
      <c r="AA83" s="85">
        <f t="shared" si="127"/>
        <v>60</v>
      </c>
      <c r="AB83" s="86">
        <f>+Z83*Analisis!$J$6</f>
        <v>50</v>
      </c>
      <c r="AC83" s="100">
        <v>0</v>
      </c>
      <c r="AD83" s="85">
        <f t="shared" si="128"/>
        <v>0</v>
      </c>
      <c r="AE83" s="86">
        <f>+AD83*Analisis!$J$7</f>
        <v>0</v>
      </c>
      <c r="AF83" s="86">
        <f t="shared" si="110"/>
        <v>266.30608542123537</v>
      </c>
      <c r="AG83" s="126">
        <f>+AF83/(1-Analisis!$E$9)</f>
        <v>332.88260677654421</v>
      </c>
      <c r="AH83" s="128">
        <f t="shared" si="112"/>
        <v>0</v>
      </c>
    </row>
    <row r="84" spans="1:34" s="73" customFormat="1" x14ac:dyDescent="0.25">
      <c r="A84" s="100"/>
      <c r="B84" s="108" t="s">
        <v>260</v>
      </c>
      <c r="C84" s="74">
        <f>IFERROR(VLOOKUP(B84,'REQ GALV'!A:B,2,0),0)</f>
        <v>0</v>
      </c>
      <c r="D84" s="116">
        <f t="shared" si="111"/>
        <v>964.12913311403508</v>
      </c>
      <c r="E84" s="103" t="s">
        <v>41</v>
      </c>
      <c r="F84" s="75" t="s">
        <v>264</v>
      </c>
      <c r="G84" s="90">
        <v>5.39</v>
      </c>
      <c r="H84" s="90">
        <v>62.44</v>
      </c>
      <c r="I84" s="76">
        <v>0.105</v>
      </c>
      <c r="J84" s="77">
        <v>28.24</v>
      </c>
      <c r="K84" s="78">
        <f t="shared" si="120"/>
        <v>19.37263892036513</v>
      </c>
      <c r="L84" s="58">
        <f>+VLOOKUP(E84,Material!$H$2:$M$17,6,FALSE)*G84*H84*(1+Material!$K$14)</f>
        <v>248.67423777777779</v>
      </c>
      <c r="M84" s="79" t="str">
        <f>+Analisis!$J$5</f>
        <v>T5.0</v>
      </c>
      <c r="N84" s="80">
        <f>+VLOOKUP(M84,Material!$A$3:$B$58,2,FALSE)</f>
        <v>5000</v>
      </c>
      <c r="O84" s="79" t="s">
        <v>42</v>
      </c>
      <c r="P84" s="79" t="s">
        <v>43</v>
      </c>
      <c r="Q84" s="81">
        <f>+IF(O84="ACERO A36",VLOOKUP(P84,'Velocidades Std 1500 w'!$B$2:$F$15,5,FALSE),IF(O84="INOXIDABLE",VLOOKUP(P84,'Velocidades Std 1500 w'!$B$17:$F$28,5,FALSE),IF(O84="ALUMINIO",VLOOKUP(P84,'Velocidades Std 1500 w'!$B$30:$F$38,5,FALSE))))</f>
        <v>4.3859649122807014E-6</v>
      </c>
      <c r="R84" s="82">
        <f t="shared" si="121"/>
        <v>2.1929824561403508E-2</v>
      </c>
      <c r="S84" s="83">
        <f t="shared" si="122"/>
        <v>120.29292947368418</v>
      </c>
      <c r="T84" s="110">
        <f t="shared" si="123"/>
        <v>7618.5521999999992</v>
      </c>
      <c r="U84" s="80">
        <f t="shared" si="124"/>
        <v>167.07351315789472</v>
      </c>
      <c r="V84" s="98">
        <v>100</v>
      </c>
      <c r="W84" s="84">
        <f>+IF(O84="ACERO A36",VLOOKUP(P84,'Tiempo Objeto'!$B$2:$C$12,2,FALSE),IF(O84="INOXIDABLE",VLOOKUP(P84,'Tiempo Objeto'!$B$14:$C$22,2,FALSE),IF(O84="ALUMINIO",VLOOKUP(P84,'Tiempo Objeto'!$B$24:$C$32,2,FALSE))))</f>
        <v>1.84</v>
      </c>
      <c r="X84" s="84">
        <f t="shared" si="125"/>
        <v>184</v>
      </c>
      <c r="Y84" s="80">
        <f t="shared" si="126"/>
        <v>255.55555555555554</v>
      </c>
      <c r="Z84" s="100">
        <v>4</v>
      </c>
      <c r="AA84" s="85">
        <f t="shared" si="127"/>
        <v>120</v>
      </c>
      <c r="AB84" s="86">
        <f>+Z84*Analisis!$J$6</f>
        <v>100</v>
      </c>
      <c r="AC84" s="100">
        <v>0</v>
      </c>
      <c r="AD84" s="85">
        <f t="shared" si="128"/>
        <v>0</v>
      </c>
      <c r="AE84" s="86">
        <f>+AD84*Analisis!$J$7</f>
        <v>0</v>
      </c>
      <c r="AF84" s="86">
        <f t="shared" si="110"/>
        <v>771.30330649122811</v>
      </c>
      <c r="AG84" s="126">
        <f>+AF84/(1-Analisis!$E$9)</f>
        <v>964.12913311403508</v>
      </c>
      <c r="AH84" s="128">
        <f t="shared" si="112"/>
        <v>0</v>
      </c>
    </row>
    <row r="85" spans="1:34" s="73" customFormat="1" x14ac:dyDescent="0.25">
      <c r="A85" s="100"/>
      <c r="B85" s="108" t="s">
        <v>258</v>
      </c>
      <c r="C85" s="74">
        <f>IFERROR(VLOOKUP(B85,'REQ GALV'!A:B,2,0),0)</f>
        <v>0</v>
      </c>
      <c r="D85" s="116">
        <f t="shared" si="111"/>
        <v>316.22414666141265</v>
      </c>
      <c r="E85" s="103" t="s">
        <v>44</v>
      </c>
      <c r="F85" s="75" t="s">
        <v>264</v>
      </c>
      <c r="G85" s="90">
        <v>8.3789999999999996</v>
      </c>
      <c r="H85" s="90">
        <v>13.5</v>
      </c>
      <c r="I85" s="76">
        <v>0.105</v>
      </c>
      <c r="J85" s="77">
        <v>28.24</v>
      </c>
      <c r="K85" s="78">
        <f t="shared" ref="K85:K86" si="129">+L85*2.2/J85</f>
        <v>7.9355624170060199</v>
      </c>
      <c r="L85" s="58">
        <f>+VLOOKUP(E85,Material!$H$2:$M$17,6,FALSE)*G85*H85*(1+Material!$K$14)</f>
        <v>101.86376484374999</v>
      </c>
      <c r="M85" s="79" t="str">
        <f>+Analisis!$J$5</f>
        <v>T5.0</v>
      </c>
      <c r="N85" s="80">
        <f>+VLOOKUP(M85,Material!$A$3:$B$58,2,FALSE)</f>
        <v>5000</v>
      </c>
      <c r="O85" s="79" t="s">
        <v>42</v>
      </c>
      <c r="P85" s="79" t="s">
        <v>43</v>
      </c>
      <c r="Q85" s="81">
        <f>+IF(O85="ACERO A36",VLOOKUP(P85,'Velocidades Std 1500 w'!$B$2:$F$15,5,FALSE),IF(O85="INOXIDABLE",VLOOKUP(P85,'Velocidades Std 1500 w'!$B$17:$F$28,5,FALSE),IF(O85="ALUMINIO",VLOOKUP(P85,'Velocidades Std 1500 w'!$B$30:$F$38,5,FALSE))))</f>
        <v>4.3859649122807014E-6</v>
      </c>
      <c r="R85" s="82">
        <f t="shared" ref="R85:R86" si="130">+Q85*N85</f>
        <v>2.1929824561403508E-2</v>
      </c>
      <c r="S85" s="83">
        <f t="shared" ref="S85:S86" si="131">+Q85*T85*3600</f>
        <v>32.323197789473681</v>
      </c>
      <c r="T85" s="110">
        <f t="shared" ref="T85:T86" si="132">(+H85*2+G85*2+V85*1.5)*25.4*1.05</f>
        <v>2047.1358599999999</v>
      </c>
      <c r="U85" s="80">
        <f t="shared" ref="U85:U86" si="133">+T85*R85</f>
        <v>44.893330263157893</v>
      </c>
      <c r="V85" s="98">
        <v>22</v>
      </c>
      <c r="W85" s="84">
        <f>+IF(O85="ACERO A36",VLOOKUP(P85,'Tiempo Objeto'!$B$2:$C$12,2,FALSE),IF(O85="INOXIDABLE",VLOOKUP(P85,'Tiempo Objeto'!$B$14:$C$22,2,FALSE),IF(O85="ALUMINIO",VLOOKUP(P85,'Tiempo Objeto'!$B$24:$C$32,2,FALSE))))</f>
        <v>1.84</v>
      </c>
      <c r="X85" s="84">
        <f t="shared" ref="X85:X86" si="134">+W85*V85</f>
        <v>40.480000000000004</v>
      </c>
      <c r="Y85" s="80">
        <f t="shared" ref="Y85:Y86" si="135">+X85*N85/3600</f>
        <v>56.222222222222229</v>
      </c>
      <c r="Z85" s="100">
        <v>2</v>
      </c>
      <c r="AA85" s="85">
        <f t="shared" ref="AA85:AA86" si="136">30*Z85+Z85*$C85*1.5</f>
        <v>60</v>
      </c>
      <c r="AB85" s="86">
        <f>+Z85*Analisis!$J$6</f>
        <v>50</v>
      </c>
      <c r="AC85" s="100">
        <v>0</v>
      </c>
      <c r="AD85" s="85">
        <f t="shared" si="128"/>
        <v>0</v>
      </c>
      <c r="AE85" s="86">
        <f>+AD85*Analisis!$J$7</f>
        <v>0</v>
      </c>
      <c r="AF85" s="86">
        <f t="shared" si="110"/>
        <v>252.97931732913011</v>
      </c>
      <c r="AG85" s="126">
        <f>+AF85/(1-Analisis!$E$9)</f>
        <v>316.22414666141265</v>
      </c>
      <c r="AH85" s="128">
        <f t="shared" si="112"/>
        <v>0</v>
      </c>
    </row>
    <row r="86" spans="1:34" s="73" customFormat="1" x14ac:dyDescent="0.25">
      <c r="A86" s="100"/>
      <c r="B86" s="108" t="s">
        <v>259</v>
      </c>
      <c r="C86" s="74">
        <f>IFERROR(VLOOKUP(B86,'REQ GALV'!A:B,2,0),0)</f>
        <v>0</v>
      </c>
      <c r="D86" s="116">
        <f t="shared" si="111"/>
        <v>332.88260677654421</v>
      </c>
      <c r="E86" s="103" t="s">
        <v>44</v>
      </c>
      <c r="F86" s="75" t="s">
        <v>264</v>
      </c>
      <c r="G86" s="90">
        <v>9.3789999999999996</v>
      </c>
      <c r="H86" s="90">
        <v>13.5</v>
      </c>
      <c r="I86" s="76">
        <v>0.105</v>
      </c>
      <c r="J86" s="77">
        <v>28.24</v>
      </c>
      <c r="K86" s="78">
        <f t="shared" si="129"/>
        <v>8.8826399223176367</v>
      </c>
      <c r="L86" s="58">
        <f>+VLOOKUP(E86,Material!$H$2:$M$17,6,FALSE)*G86*H86*(1+Material!$K$14)</f>
        <v>114.02079609375001</v>
      </c>
      <c r="M86" s="79" t="str">
        <f>+Analisis!$J$5</f>
        <v>T5.0</v>
      </c>
      <c r="N86" s="80">
        <f>+VLOOKUP(M86,Material!$A$3:$B$58,2,FALSE)</f>
        <v>5000</v>
      </c>
      <c r="O86" s="79" t="s">
        <v>42</v>
      </c>
      <c r="P86" s="79" t="s">
        <v>43</v>
      </c>
      <c r="Q86" s="81">
        <f>+IF(O86="ACERO A36",VLOOKUP(P86,'Velocidades Std 1500 w'!$B$2:$F$15,5,FALSE),IF(O86="INOXIDABLE",VLOOKUP(P86,'Velocidades Std 1500 w'!$B$17:$F$28,5,FALSE),IF(O86="ALUMINIO",VLOOKUP(P86,'Velocidades Std 1500 w'!$B$30:$F$38,5,FALSE))))</f>
        <v>4.3859649122807014E-6</v>
      </c>
      <c r="R86" s="82">
        <f t="shared" si="130"/>
        <v>2.1929824561403508E-2</v>
      </c>
      <c r="S86" s="83">
        <f t="shared" si="131"/>
        <v>33.165408315789463</v>
      </c>
      <c r="T86" s="110">
        <f t="shared" si="132"/>
        <v>2100.4758599999996</v>
      </c>
      <c r="U86" s="80">
        <f t="shared" si="133"/>
        <v>46.063067105263144</v>
      </c>
      <c r="V86" s="98">
        <v>22</v>
      </c>
      <c r="W86" s="84">
        <f>+IF(O86="ACERO A36",VLOOKUP(P86,'Tiempo Objeto'!$B$2:$C$12,2,FALSE),IF(O86="INOXIDABLE",VLOOKUP(P86,'Tiempo Objeto'!$B$14:$C$22,2,FALSE),IF(O86="ALUMINIO",VLOOKUP(P86,'Tiempo Objeto'!$B$24:$C$32,2,FALSE))))</f>
        <v>1.84</v>
      </c>
      <c r="X86" s="84">
        <f t="shared" si="134"/>
        <v>40.480000000000004</v>
      </c>
      <c r="Y86" s="80">
        <f t="shared" si="135"/>
        <v>56.222222222222229</v>
      </c>
      <c r="Z86" s="100">
        <v>2</v>
      </c>
      <c r="AA86" s="85">
        <f t="shared" si="136"/>
        <v>60</v>
      </c>
      <c r="AB86" s="86">
        <f>+Z86*Analisis!$J$6</f>
        <v>50</v>
      </c>
      <c r="AC86" s="100">
        <v>0</v>
      </c>
      <c r="AD86" s="85">
        <f t="shared" si="128"/>
        <v>0</v>
      </c>
      <c r="AE86" s="86">
        <f>+AD86*Analisis!$J$7</f>
        <v>0</v>
      </c>
      <c r="AF86" s="86">
        <f t="shared" si="110"/>
        <v>266.30608542123537</v>
      </c>
      <c r="AG86" s="126">
        <f>+AF86/(1-Analisis!$E$9)</f>
        <v>332.88260677654421</v>
      </c>
      <c r="AH86" s="128">
        <f t="shared" si="112"/>
        <v>0</v>
      </c>
    </row>
    <row r="87" spans="1:34" s="73" customFormat="1" x14ac:dyDescent="0.25">
      <c r="A87" s="100"/>
      <c r="B87" s="108" t="s">
        <v>261</v>
      </c>
      <c r="C87" s="74">
        <f>IFERROR(VLOOKUP(B87,'REQ GALV'!A:B,2,0),0)</f>
        <v>0</v>
      </c>
      <c r="D87" s="116">
        <f t="shared" si="111"/>
        <v>109.81080592105261</v>
      </c>
      <c r="E87" s="103" t="s">
        <v>41</v>
      </c>
      <c r="F87" s="75" t="s">
        <v>264</v>
      </c>
      <c r="G87" s="90">
        <v>4</v>
      </c>
      <c r="H87" s="90">
        <v>9.94</v>
      </c>
      <c r="I87" s="76">
        <v>0.105</v>
      </c>
      <c r="J87" s="77">
        <v>28.24</v>
      </c>
      <c r="K87" s="78">
        <f t="shared" si="120"/>
        <v>2.2886717028643382</v>
      </c>
      <c r="L87" s="58">
        <f>+VLOOKUP(E87,Material!$H$2:$M$17,6,FALSE)*G87*H87*(1+Material!$K$14)</f>
        <v>29.378222222222224</v>
      </c>
      <c r="M87" s="79" t="str">
        <f>+Analisis!$J$5</f>
        <v>T5.0</v>
      </c>
      <c r="N87" s="80">
        <f>+VLOOKUP(M87,Material!$A$3:$B$58,2,FALSE)</f>
        <v>5000</v>
      </c>
      <c r="O87" s="79" t="s">
        <v>42</v>
      </c>
      <c r="P87" s="79" t="s">
        <v>43</v>
      </c>
      <c r="Q87" s="81">
        <f>+IF(O87="ACERO A36",VLOOKUP(P87,'Velocidades Std 1500 w'!$B$2:$F$15,5,FALSE),IF(O87="INOXIDABLE",VLOOKUP(P87,'Velocidades Std 1500 w'!$B$17:$F$28,5,FALSE),IF(O87="ALUMINIO",VLOOKUP(P87,'Velocidades Std 1500 w'!$B$30:$F$38,5,FALSE))))</f>
        <v>4.3859649122807014E-6</v>
      </c>
      <c r="R87" s="82">
        <f t="shared" si="121"/>
        <v>2.1929824561403508E-2</v>
      </c>
      <c r="S87" s="83">
        <f t="shared" si="122"/>
        <v>14.898704210526311</v>
      </c>
      <c r="T87" s="110">
        <f t="shared" si="123"/>
        <v>943.5845999999998</v>
      </c>
      <c r="U87" s="80">
        <f t="shared" si="124"/>
        <v>20.692644736842098</v>
      </c>
      <c r="V87" s="98">
        <v>5</v>
      </c>
      <c r="W87" s="84">
        <f>+IF(O87="ACERO A36",VLOOKUP(P87,'Tiempo Objeto'!$B$2:$C$12,2,FALSE),IF(O87="INOXIDABLE",VLOOKUP(P87,'Tiempo Objeto'!$B$14:$C$22,2,FALSE),IF(O87="ALUMINIO",VLOOKUP(P87,'Tiempo Objeto'!$B$24:$C$32,2,FALSE))))</f>
        <v>1.84</v>
      </c>
      <c r="X87" s="84">
        <f t="shared" si="125"/>
        <v>9.2000000000000011</v>
      </c>
      <c r="Y87" s="80">
        <f t="shared" si="126"/>
        <v>12.77777777777778</v>
      </c>
      <c r="Z87" s="100">
        <v>1</v>
      </c>
      <c r="AA87" s="85">
        <f t="shared" si="127"/>
        <v>30</v>
      </c>
      <c r="AB87" s="86">
        <f>+Z87*Analisis!$J$6</f>
        <v>25</v>
      </c>
      <c r="AC87" s="100">
        <v>0</v>
      </c>
      <c r="AD87" s="85">
        <f t="shared" si="128"/>
        <v>0</v>
      </c>
      <c r="AE87" s="86">
        <f>+AD87*Analisis!$J$7</f>
        <v>0</v>
      </c>
      <c r="AF87" s="86">
        <f t="shared" si="110"/>
        <v>87.84864473684209</v>
      </c>
      <c r="AG87" s="126">
        <f>+AF87/(1-Analisis!$E$9)</f>
        <v>109.81080592105261</v>
      </c>
      <c r="AH87" s="128">
        <f t="shared" si="112"/>
        <v>0</v>
      </c>
    </row>
    <row r="88" spans="1:34" s="73" customFormat="1" x14ac:dyDescent="0.25">
      <c r="A88" s="100"/>
      <c r="B88" s="108" t="s">
        <v>262</v>
      </c>
      <c r="C88" s="74">
        <f>IFERROR(VLOOKUP(B88,'REQ GALV'!A:B,2,0),0)</f>
        <v>0</v>
      </c>
      <c r="D88" s="116">
        <f t="shared" si="111"/>
        <v>312.71153874269004</v>
      </c>
      <c r="E88" s="103" t="s">
        <v>41</v>
      </c>
      <c r="F88" s="75" t="s">
        <v>264</v>
      </c>
      <c r="G88" s="90">
        <v>3</v>
      </c>
      <c r="H88" s="90">
        <v>28.83</v>
      </c>
      <c r="I88" s="76">
        <v>0.105</v>
      </c>
      <c r="J88" s="77">
        <v>28.24</v>
      </c>
      <c r="K88" s="78">
        <f t="shared" si="120"/>
        <v>4.9785516997167143</v>
      </c>
      <c r="L88" s="58">
        <f>+VLOOKUP(E88,Material!$H$2:$M$17,6,FALSE)*G88*H88*(1+Material!$K$14)</f>
        <v>63.906500000000001</v>
      </c>
      <c r="M88" s="79" t="str">
        <f>+Analisis!$J$5</f>
        <v>T5.0</v>
      </c>
      <c r="N88" s="80">
        <f>+VLOOKUP(M88,Material!$A$3:$B$58,2,FALSE)</f>
        <v>5000</v>
      </c>
      <c r="O88" s="79" t="s">
        <v>42</v>
      </c>
      <c r="P88" s="79" t="s">
        <v>43</v>
      </c>
      <c r="Q88" s="81">
        <f>+IF(O88="ACERO A36",VLOOKUP(P88,'Velocidades Std 1500 w'!$B$2:$F$15,5,FALSE),IF(O88="INOXIDABLE",VLOOKUP(P88,'Velocidades Std 1500 w'!$B$17:$F$28,5,FALSE),IF(O88="ALUMINIO",VLOOKUP(P88,'Velocidades Std 1500 w'!$B$30:$F$38,5,FALSE))))</f>
        <v>4.3859649122807014E-6</v>
      </c>
      <c r="R88" s="82">
        <f t="shared" si="121"/>
        <v>2.1929824561403508E-2</v>
      </c>
      <c r="S88" s="83">
        <f t="shared" si="122"/>
        <v>31.229166315789474</v>
      </c>
      <c r="T88" s="110">
        <f t="shared" si="123"/>
        <v>1977.8471999999999</v>
      </c>
      <c r="U88" s="80">
        <f t="shared" si="124"/>
        <v>43.373842105263151</v>
      </c>
      <c r="V88" s="98">
        <v>7</v>
      </c>
      <c r="W88" s="84">
        <f>+IF(O88="ACERO A36",VLOOKUP(P88,'Tiempo Objeto'!$B$2:$C$12,2,FALSE),IF(O88="INOXIDABLE",VLOOKUP(P88,'Tiempo Objeto'!$B$14:$C$22,2,FALSE),IF(O88="ALUMINIO",VLOOKUP(P88,'Tiempo Objeto'!$B$24:$C$32,2,FALSE))))</f>
        <v>1.84</v>
      </c>
      <c r="X88" s="84">
        <f t="shared" si="125"/>
        <v>12.88</v>
      </c>
      <c r="Y88" s="80">
        <f t="shared" si="126"/>
        <v>17.888888888888889</v>
      </c>
      <c r="Z88" s="100">
        <v>5</v>
      </c>
      <c r="AA88" s="85">
        <f t="shared" si="127"/>
        <v>150</v>
      </c>
      <c r="AB88" s="86">
        <f>+Z88*Analisis!$J$6</f>
        <v>125</v>
      </c>
      <c r="AC88" s="100">
        <v>0</v>
      </c>
      <c r="AD88" s="85">
        <f t="shared" si="128"/>
        <v>0</v>
      </c>
      <c r="AE88" s="86">
        <f>+AD88*Analisis!$J$7</f>
        <v>0</v>
      </c>
      <c r="AF88" s="86">
        <f t="shared" si="110"/>
        <v>250.16923099415203</v>
      </c>
      <c r="AG88" s="126">
        <f>+AF88/(1-Analisis!$E$9)</f>
        <v>312.71153874269004</v>
      </c>
      <c r="AH88" s="128">
        <f t="shared" si="112"/>
        <v>0</v>
      </c>
    </row>
    <row r="89" spans="1:34" s="73" customFormat="1" x14ac:dyDescent="0.25">
      <c r="A89" s="100"/>
      <c r="B89" s="108" t="s">
        <v>263</v>
      </c>
      <c r="C89" s="74">
        <f>IFERROR(VLOOKUP(B89,'REQ GALV'!A:B,2,0),0)</f>
        <v>0</v>
      </c>
      <c r="D89" s="116">
        <f t="shared" si="111"/>
        <v>109.81080592105261</v>
      </c>
      <c r="E89" s="103" t="s">
        <v>41</v>
      </c>
      <c r="F89" s="75" t="s">
        <v>264</v>
      </c>
      <c r="G89" s="90">
        <v>4</v>
      </c>
      <c r="H89" s="90">
        <v>9.94</v>
      </c>
      <c r="I89" s="76">
        <v>0.105</v>
      </c>
      <c r="J89" s="77">
        <v>28.24</v>
      </c>
      <c r="K89" s="78">
        <f t="shared" si="120"/>
        <v>2.2886717028643382</v>
      </c>
      <c r="L89" s="58">
        <f>+VLOOKUP(E89,Material!$H$2:$M$17,6,FALSE)*G89*H89*(1+Material!$K$14)</f>
        <v>29.378222222222224</v>
      </c>
      <c r="M89" s="79" t="str">
        <f>+Analisis!$J$5</f>
        <v>T5.0</v>
      </c>
      <c r="N89" s="80">
        <f>+VLOOKUP(M89,Material!$A$3:$B$58,2,FALSE)</f>
        <v>5000</v>
      </c>
      <c r="O89" s="79" t="s">
        <v>42</v>
      </c>
      <c r="P89" s="79" t="s">
        <v>43</v>
      </c>
      <c r="Q89" s="81">
        <f>+IF(O89="ACERO A36",VLOOKUP(P89,'Velocidades Std 1500 w'!$B$2:$F$15,5,FALSE),IF(O89="INOXIDABLE",VLOOKUP(P89,'Velocidades Std 1500 w'!$B$17:$F$28,5,FALSE),IF(O89="ALUMINIO",VLOOKUP(P89,'Velocidades Std 1500 w'!$B$30:$F$38,5,FALSE))))</f>
        <v>4.3859649122807014E-6</v>
      </c>
      <c r="R89" s="82">
        <f t="shared" si="121"/>
        <v>2.1929824561403508E-2</v>
      </c>
      <c r="S89" s="83">
        <f t="shared" si="122"/>
        <v>14.898704210526311</v>
      </c>
      <c r="T89" s="110">
        <f t="shared" si="123"/>
        <v>943.5845999999998</v>
      </c>
      <c r="U89" s="80">
        <f t="shared" si="124"/>
        <v>20.692644736842098</v>
      </c>
      <c r="V89" s="98">
        <v>5</v>
      </c>
      <c r="W89" s="84">
        <f>+IF(O89="ACERO A36",VLOOKUP(P89,'Tiempo Objeto'!$B$2:$C$12,2,FALSE),IF(O89="INOXIDABLE",VLOOKUP(P89,'Tiempo Objeto'!$B$14:$C$22,2,FALSE),IF(O89="ALUMINIO",VLOOKUP(P89,'Tiempo Objeto'!$B$24:$C$32,2,FALSE))))</f>
        <v>1.84</v>
      </c>
      <c r="X89" s="84">
        <f t="shared" si="125"/>
        <v>9.2000000000000011</v>
      </c>
      <c r="Y89" s="80">
        <f t="shared" si="126"/>
        <v>12.77777777777778</v>
      </c>
      <c r="Z89" s="100">
        <v>1</v>
      </c>
      <c r="AA89" s="85">
        <f t="shared" si="127"/>
        <v>30</v>
      </c>
      <c r="AB89" s="86">
        <f>+Z89*Analisis!$J$6</f>
        <v>25</v>
      </c>
      <c r="AC89" s="100">
        <v>0</v>
      </c>
      <c r="AD89" s="85">
        <f t="shared" si="128"/>
        <v>0</v>
      </c>
      <c r="AE89" s="86">
        <f>+AD89*Analisis!$J$7</f>
        <v>0</v>
      </c>
      <c r="AF89" s="86">
        <f t="shared" si="110"/>
        <v>87.84864473684209</v>
      </c>
      <c r="AG89" s="126">
        <f>+AF89/(1-Analisis!$E$9)</f>
        <v>109.81080592105261</v>
      </c>
      <c r="AH89" s="128">
        <f t="shared" si="112"/>
        <v>0</v>
      </c>
    </row>
    <row r="90" spans="1:34" s="73" customFormat="1" x14ac:dyDescent="0.25">
      <c r="A90" s="100"/>
      <c r="B90" s="108" t="s">
        <v>258</v>
      </c>
      <c r="C90" s="74">
        <f>IFERROR(VLOOKUP(B90,'REQ GALV'!A:B,2,0),0)</f>
        <v>0</v>
      </c>
      <c r="D90" s="116">
        <f t="shared" si="111"/>
        <v>316.22414666141265</v>
      </c>
      <c r="E90" s="103" t="s">
        <v>44</v>
      </c>
      <c r="F90" s="75" t="s">
        <v>264</v>
      </c>
      <c r="G90" s="90">
        <v>8.3789999999999996</v>
      </c>
      <c r="H90" s="90">
        <v>13.5</v>
      </c>
      <c r="I90" s="76">
        <v>0.105</v>
      </c>
      <c r="J90" s="77">
        <v>28.24</v>
      </c>
      <c r="K90" s="78">
        <f t="shared" ref="K90:K91" si="137">+L90*2.2/J90</f>
        <v>7.9355624170060199</v>
      </c>
      <c r="L90" s="58">
        <f>+VLOOKUP(E90,Material!$H$2:$M$17,6,FALSE)*G90*H90*(1+Material!$K$14)</f>
        <v>101.86376484374999</v>
      </c>
      <c r="M90" s="79" t="str">
        <f>+Analisis!$J$5</f>
        <v>T5.0</v>
      </c>
      <c r="N90" s="80">
        <f>+VLOOKUP(M90,Material!$A$3:$B$58,2,FALSE)</f>
        <v>5000</v>
      </c>
      <c r="O90" s="79" t="s">
        <v>42</v>
      </c>
      <c r="P90" s="79" t="s">
        <v>43</v>
      </c>
      <c r="Q90" s="81">
        <f>+IF(O90="ACERO A36",VLOOKUP(P90,'Velocidades Std 1500 w'!$B$2:$F$15,5,FALSE),IF(O90="INOXIDABLE",VLOOKUP(P90,'Velocidades Std 1500 w'!$B$17:$F$28,5,FALSE),IF(O90="ALUMINIO",VLOOKUP(P90,'Velocidades Std 1500 w'!$B$30:$F$38,5,FALSE))))</f>
        <v>4.3859649122807014E-6</v>
      </c>
      <c r="R90" s="82">
        <f t="shared" ref="R90:R91" si="138">+Q90*N90</f>
        <v>2.1929824561403508E-2</v>
      </c>
      <c r="S90" s="83">
        <f t="shared" ref="S90:S91" si="139">+Q90*T90*3600</f>
        <v>32.323197789473681</v>
      </c>
      <c r="T90" s="110">
        <f t="shared" ref="T90:T91" si="140">(+H90*2+G90*2+V90*1.5)*25.4*1.05</f>
        <v>2047.1358599999999</v>
      </c>
      <c r="U90" s="80">
        <f t="shared" ref="U90:U91" si="141">+T90*R90</f>
        <v>44.893330263157893</v>
      </c>
      <c r="V90" s="98">
        <v>22</v>
      </c>
      <c r="W90" s="84">
        <f>+IF(O90="ACERO A36",VLOOKUP(P90,'Tiempo Objeto'!$B$2:$C$12,2,FALSE),IF(O90="INOXIDABLE",VLOOKUP(P90,'Tiempo Objeto'!$B$14:$C$22,2,FALSE),IF(O90="ALUMINIO",VLOOKUP(P90,'Tiempo Objeto'!$B$24:$C$32,2,FALSE))))</f>
        <v>1.84</v>
      </c>
      <c r="X90" s="84">
        <f t="shared" ref="X90:X91" si="142">+W90*V90</f>
        <v>40.480000000000004</v>
      </c>
      <c r="Y90" s="80">
        <f t="shared" ref="Y90:Y91" si="143">+X90*N90/3600</f>
        <v>56.222222222222229</v>
      </c>
      <c r="Z90" s="100">
        <v>2</v>
      </c>
      <c r="AA90" s="85">
        <f t="shared" si="127"/>
        <v>60</v>
      </c>
      <c r="AB90" s="86">
        <f>+Z90*Analisis!$J$6</f>
        <v>50</v>
      </c>
      <c r="AC90" s="100">
        <v>0</v>
      </c>
      <c r="AD90" s="85">
        <f t="shared" si="128"/>
        <v>0</v>
      </c>
      <c r="AE90" s="86">
        <f>+AD90*Analisis!$J$7</f>
        <v>0</v>
      </c>
      <c r="AF90" s="86">
        <f t="shared" si="110"/>
        <v>252.97931732913011</v>
      </c>
      <c r="AG90" s="126">
        <f>+AF90/(1-Analisis!$E$9)</f>
        <v>316.22414666141265</v>
      </c>
      <c r="AH90" s="128">
        <f t="shared" si="112"/>
        <v>0</v>
      </c>
    </row>
    <row r="91" spans="1:34" s="73" customFormat="1" x14ac:dyDescent="0.25">
      <c r="A91" s="100"/>
      <c r="B91" s="108" t="s">
        <v>259</v>
      </c>
      <c r="C91" s="74">
        <f>IFERROR(VLOOKUP(B91,'REQ GALV'!A:B,2,0),0)</f>
        <v>0</v>
      </c>
      <c r="D91" s="116">
        <f t="shared" si="111"/>
        <v>332.88260677654421</v>
      </c>
      <c r="E91" s="103" t="s">
        <v>44</v>
      </c>
      <c r="F91" s="75" t="s">
        <v>264</v>
      </c>
      <c r="G91" s="90">
        <v>9.3789999999999996</v>
      </c>
      <c r="H91" s="90">
        <v>13.5</v>
      </c>
      <c r="I91" s="76">
        <v>0.105</v>
      </c>
      <c r="J91" s="77">
        <v>28.24</v>
      </c>
      <c r="K91" s="78">
        <f t="shared" si="137"/>
        <v>8.8826399223176367</v>
      </c>
      <c r="L91" s="58">
        <f>+VLOOKUP(E91,Material!$H$2:$M$17,6,FALSE)*G91*H91*(1+Material!$K$14)</f>
        <v>114.02079609375001</v>
      </c>
      <c r="M91" s="79" t="str">
        <f>+Analisis!$J$5</f>
        <v>T5.0</v>
      </c>
      <c r="N91" s="80">
        <f>+VLOOKUP(M91,Material!$A$3:$B$58,2,FALSE)</f>
        <v>5000</v>
      </c>
      <c r="O91" s="79" t="s">
        <v>42</v>
      </c>
      <c r="P91" s="79" t="s">
        <v>43</v>
      </c>
      <c r="Q91" s="81">
        <f>+IF(O91="ACERO A36",VLOOKUP(P91,'Velocidades Std 1500 w'!$B$2:$F$15,5,FALSE),IF(O91="INOXIDABLE",VLOOKUP(P91,'Velocidades Std 1500 w'!$B$17:$F$28,5,FALSE),IF(O91="ALUMINIO",VLOOKUP(P91,'Velocidades Std 1500 w'!$B$30:$F$38,5,FALSE))))</f>
        <v>4.3859649122807014E-6</v>
      </c>
      <c r="R91" s="82">
        <f t="shared" si="138"/>
        <v>2.1929824561403508E-2</v>
      </c>
      <c r="S91" s="83">
        <f t="shared" si="139"/>
        <v>33.165408315789463</v>
      </c>
      <c r="T91" s="110">
        <f t="shared" si="140"/>
        <v>2100.4758599999996</v>
      </c>
      <c r="U91" s="80">
        <f t="shared" si="141"/>
        <v>46.063067105263144</v>
      </c>
      <c r="V91" s="98">
        <v>22</v>
      </c>
      <c r="W91" s="84">
        <f>+IF(O91="ACERO A36",VLOOKUP(P91,'Tiempo Objeto'!$B$2:$C$12,2,FALSE),IF(O91="INOXIDABLE",VLOOKUP(P91,'Tiempo Objeto'!$B$14:$C$22,2,FALSE),IF(O91="ALUMINIO",VLOOKUP(P91,'Tiempo Objeto'!$B$24:$C$32,2,FALSE))))</f>
        <v>1.84</v>
      </c>
      <c r="X91" s="84">
        <f t="shared" si="142"/>
        <v>40.480000000000004</v>
      </c>
      <c r="Y91" s="80">
        <f t="shared" si="143"/>
        <v>56.222222222222229</v>
      </c>
      <c r="Z91" s="100">
        <v>2</v>
      </c>
      <c r="AA91" s="85">
        <f t="shared" si="127"/>
        <v>60</v>
      </c>
      <c r="AB91" s="86">
        <f>+Z91*Analisis!$J$6</f>
        <v>50</v>
      </c>
      <c r="AC91" s="100">
        <v>0</v>
      </c>
      <c r="AD91" s="85">
        <f t="shared" si="128"/>
        <v>0</v>
      </c>
      <c r="AE91" s="86">
        <f>+AD91*Analisis!$J$7</f>
        <v>0</v>
      </c>
      <c r="AF91" s="86">
        <f t="shared" si="110"/>
        <v>266.30608542123537</v>
      </c>
      <c r="AG91" s="126">
        <f>+AF91/(1-Analisis!$E$9)</f>
        <v>332.88260677654421</v>
      </c>
      <c r="AH91" s="128">
        <f t="shared" si="112"/>
        <v>0</v>
      </c>
    </row>
    <row r="92" spans="1:34" s="73" customFormat="1" x14ac:dyDescent="0.25">
      <c r="A92" s="100"/>
      <c r="B92" t="s">
        <v>265</v>
      </c>
      <c r="C92" s="74">
        <f>IFERROR(VLOOKUP(B92,'REQ GALV'!A:B,2,0),0)</f>
        <v>0</v>
      </c>
      <c r="D92" s="116">
        <f t="shared" si="111"/>
        <v>181.79633836348685</v>
      </c>
      <c r="E92" s="103" t="s">
        <v>44</v>
      </c>
      <c r="F92" s="75" t="s">
        <v>147</v>
      </c>
      <c r="G92" s="90">
        <v>5.38</v>
      </c>
      <c r="H92" s="90">
        <v>6.26</v>
      </c>
      <c r="I92" s="76">
        <v>0.105</v>
      </c>
      <c r="J92" s="77">
        <v>28.24</v>
      </c>
      <c r="K92" s="78">
        <f t="shared" si="120"/>
        <v>2.3626988063621348</v>
      </c>
      <c r="L92" s="58">
        <f>+VLOOKUP(E92,Material!$H$2:$M$17,6,FALSE)*G92*H92*(1+Material!$K$14)</f>
        <v>30.328461041666671</v>
      </c>
      <c r="M92" s="79" t="str">
        <f>+Analisis!$J$5</f>
        <v>T5.0</v>
      </c>
      <c r="N92" s="80">
        <f>+VLOOKUP(M92,Material!$A$3:$B$58,2,FALSE)</f>
        <v>5000</v>
      </c>
      <c r="O92" s="79" t="s">
        <v>42</v>
      </c>
      <c r="P92" s="79" t="s">
        <v>43</v>
      </c>
      <c r="Q92" s="81">
        <f>+IF(O92="ACERO A36",VLOOKUP(P92,'Velocidades Std 1500 w'!$B$2:$F$15,5,FALSE),IF(O92="INOXIDABLE",VLOOKUP(P92,'Velocidades Std 1500 w'!$B$17:$F$28,5,FALSE),IF(O92="ALUMINIO",VLOOKUP(P92,'Velocidades Std 1500 w'!$B$30:$F$38,5,FALSE))))</f>
        <v>4.3859649122807014E-6</v>
      </c>
      <c r="R92" s="82">
        <f t="shared" si="121"/>
        <v>2.1929824561403508E-2</v>
      </c>
      <c r="S92" s="83">
        <f t="shared" si="122"/>
        <v>19.27819894736842</v>
      </c>
      <c r="T92" s="110">
        <f t="shared" si="123"/>
        <v>1220.9525999999998</v>
      </c>
      <c r="U92" s="80">
        <f t="shared" si="124"/>
        <v>26.775276315789469</v>
      </c>
      <c r="V92" s="98">
        <v>15</v>
      </c>
      <c r="W92" s="84">
        <f>+IF(O92="ACERO A36",VLOOKUP(P92,'Tiempo Objeto'!$B$2:$C$12,2,FALSE),IF(O92="INOXIDABLE",VLOOKUP(P92,'Tiempo Objeto'!$B$14:$C$22,2,FALSE),IF(O92="ALUMINIO",VLOOKUP(P92,'Tiempo Objeto'!$B$24:$C$32,2,FALSE))))</f>
        <v>1.84</v>
      </c>
      <c r="X92" s="84">
        <f t="shared" si="125"/>
        <v>27.6</v>
      </c>
      <c r="Y92" s="80">
        <f t="shared" si="126"/>
        <v>38.333333333333336</v>
      </c>
      <c r="Z92" s="100">
        <v>2</v>
      </c>
      <c r="AA92" s="85">
        <f t="shared" si="127"/>
        <v>60</v>
      </c>
      <c r="AB92" s="86">
        <f>+Z92*Analisis!$J$6</f>
        <v>50</v>
      </c>
      <c r="AC92" s="100">
        <v>0</v>
      </c>
      <c r="AD92" s="85">
        <f t="shared" si="128"/>
        <v>0</v>
      </c>
      <c r="AE92" s="86">
        <f>+AD92*Analisis!$J$7</f>
        <v>0</v>
      </c>
      <c r="AF92" s="86">
        <f t="shared" si="110"/>
        <v>145.43707069078948</v>
      </c>
      <c r="AG92" s="126">
        <f>+AF92/(1-Analisis!$E$9)</f>
        <v>181.79633836348685</v>
      </c>
      <c r="AH92" s="128">
        <f t="shared" si="112"/>
        <v>0</v>
      </c>
    </row>
    <row r="93" spans="1:34" s="73" customFormat="1" x14ac:dyDescent="0.25">
      <c r="A93" s="100"/>
      <c r="B93" t="s">
        <v>266</v>
      </c>
      <c r="C93" s="74">
        <f>IFERROR(VLOOKUP(B93,'REQ GALV'!A:B,2,0),0)</f>
        <v>0</v>
      </c>
      <c r="D93" s="116">
        <f t="shared" si="111"/>
        <v>181.79633836348685</v>
      </c>
      <c r="E93" s="103" t="s">
        <v>44</v>
      </c>
      <c r="F93" s="75" t="s">
        <v>147</v>
      </c>
      <c r="G93" s="90">
        <v>5.38</v>
      </c>
      <c r="H93" s="90">
        <v>6.26</v>
      </c>
      <c r="I93" s="76">
        <v>0.105</v>
      </c>
      <c r="J93" s="77">
        <v>28.24</v>
      </c>
      <c r="K93" s="78">
        <f t="shared" ref="K93" si="144">+L93*2.2/J93</f>
        <v>2.3626988063621348</v>
      </c>
      <c r="L93" s="58">
        <f>+VLOOKUP(E93,Material!$H$2:$M$17,6,FALSE)*G93*H93*(1+Material!$K$14)</f>
        <v>30.328461041666671</v>
      </c>
      <c r="M93" s="79" t="str">
        <f>+Analisis!$J$5</f>
        <v>T5.0</v>
      </c>
      <c r="N93" s="80">
        <f>+VLOOKUP(M93,Material!$A$3:$B$58,2,FALSE)</f>
        <v>5000</v>
      </c>
      <c r="O93" s="79" t="s">
        <v>42</v>
      </c>
      <c r="P93" s="79" t="s">
        <v>43</v>
      </c>
      <c r="Q93" s="81">
        <f>+IF(O93="ACERO A36",VLOOKUP(P93,'Velocidades Std 1500 w'!$B$2:$F$15,5,FALSE),IF(O93="INOXIDABLE",VLOOKUP(P93,'Velocidades Std 1500 w'!$B$17:$F$28,5,FALSE),IF(O93="ALUMINIO",VLOOKUP(P93,'Velocidades Std 1500 w'!$B$30:$F$38,5,FALSE))))</f>
        <v>4.3859649122807014E-6</v>
      </c>
      <c r="R93" s="82">
        <f t="shared" ref="R93" si="145">+Q93*N93</f>
        <v>2.1929824561403508E-2</v>
      </c>
      <c r="S93" s="83">
        <f t="shared" ref="S93" si="146">+Q93*T93*3600</f>
        <v>19.27819894736842</v>
      </c>
      <c r="T93" s="110">
        <f t="shared" ref="T93" si="147">(+H93*2+G93*2+V93*1.5)*25.4*1.05</f>
        <v>1220.9525999999998</v>
      </c>
      <c r="U93" s="80">
        <f t="shared" ref="U93" si="148">+T93*R93</f>
        <v>26.775276315789469</v>
      </c>
      <c r="V93" s="98">
        <v>15</v>
      </c>
      <c r="W93" s="84">
        <f>+IF(O93="ACERO A36",VLOOKUP(P93,'Tiempo Objeto'!$B$2:$C$12,2,FALSE),IF(O93="INOXIDABLE",VLOOKUP(P93,'Tiempo Objeto'!$B$14:$C$22,2,FALSE),IF(O93="ALUMINIO",VLOOKUP(P93,'Tiempo Objeto'!$B$24:$C$32,2,FALSE))))</f>
        <v>1.84</v>
      </c>
      <c r="X93" s="84">
        <f t="shared" ref="X93" si="149">+W93*V93</f>
        <v>27.6</v>
      </c>
      <c r="Y93" s="80">
        <f t="shared" ref="Y93" si="150">+X93*N93/3600</f>
        <v>38.333333333333336</v>
      </c>
      <c r="Z93" s="100">
        <v>2</v>
      </c>
      <c r="AA93" s="85">
        <f t="shared" si="127"/>
        <v>60</v>
      </c>
      <c r="AB93" s="86">
        <f>+Z93*Analisis!$J$6</f>
        <v>50</v>
      </c>
      <c r="AC93" s="100">
        <v>0</v>
      </c>
      <c r="AD93" s="85">
        <f t="shared" si="128"/>
        <v>0</v>
      </c>
      <c r="AE93" s="86">
        <f>+AD93*Analisis!$J$7</f>
        <v>0</v>
      </c>
      <c r="AF93" s="86">
        <f t="shared" si="110"/>
        <v>145.43707069078948</v>
      </c>
      <c r="AG93" s="126">
        <f>+AF93/(1-Analisis!$E$9)</f>
        <v>181.79633836348685</v>
      </c>
      <c r="AH93" s="128">
        <f t="shared" si="112"/>
        <v>0</v>
      </c>
    </row>
    <row r="94" spans="1:34" s="73" customFormat="1" x14ac:dyDescent="0.25">
      <c r="A94" s="100"/>
      <c r="B94" t="s">
        <v>267</v>
      </c>
      <c r="C94" s="74">
        <f>IFERROR(VLOOKUP(B94,'REQ GALV'!A:B,2,0),0)</f>
        <v>0</v>
      </c>
      <c r="D94" s="116">
        <f t="shared" si="111"/>
        <v>623.17183306834795</v>
      </c>
      <c r="E94" s="103" t="s">
        <v>44</v>
      </c>
      <c r="F94" s="75" t="s">
        <v>147</v>
      </c>
      <c r="G94" s="90">
        <v>21.94</v>
      </c>
      <c r="H94" s="90">
        <v>14.84</v>
      </c>
      <c r="I94" s="76">
        <v>0.105</v>
      </c>
      <c r="J94" s="77">
        <v>28.24</v>
      </c>
      <c r="K94" s="78">
        <f t="shared" si="120"/>
        <v>22.84137674988197</v>
      </c>
      <c r="L94" s="58">
        <f>+VLOOKUP(E94,Material!$H$2:$M$17,6,FALSE)*G94*H94*(1+Material!$K$14)</f>
        <v>293.2002179166667</v>
      </c>
      <c r="M94" s="79" t="str">
        <f>+Analisis!$J$5</f>
        <v>T5.0</v>
      </c>
      <c r="N94" s="80">
        <f>+VLOOKUP(M94,Material!$A$3:$B$58,2,FALSE)</f>
        <v>5000</v>
      </c>
      <c r="O94" s="79" t="s">
        <v>42</v>
      </c>
      <c r="P94" s="79" t="s">
        <v>43</v>
      </c>
      <c r="Q94" s="81">
        <f>+IF(O94="ACERO A36",VLOOKUP(P94,'Velocidades Std 1500 w'!$B$2:$F$15,5,FALSE),IF(O94="INOXIDABLE",VLOOKUP(P94,'Velocidades Std 1500 w'!$B$17:$F$28,5,FALSE),IF(O94="ALUMINIO",VLOOKUP(P94,'Velocidades Std 1500 w'!$B$30:$F$38,5,FALSE))))</f>
        <v>4.3859649122807014E-6</v>
      </c>
      <c r="R94" s="82">
        <f t="shared" si="121"/>
        <v>2.1929824561403508E-2</v>
      </c>
      <c r="S94" s="83">
        <f t="shared" si="122"/>
        <v>56.24281894736842</v>
      </c>
      <c r="T94" s="110">
        <f t="shared" si="123"/>
        <v>3562.0452</v>
      </c>
      <c r="U94" s="80">
        <f t="shared" si="124"/>
        <v>78.115026315789464</v>
      </c>
      <c r="V94" s="98">
        <v>40</v>
      </c>
      <c r="W94" s="84">
        <f>+IF(O94="ACERO A36",VLOOKUP(P94,'Tiempo Objeto'!$B$2:$C$12,2,FALSE),IF(O94="INOXIDABLE",VLOOKUP(P94,'Tiempo Objeto'!$B$14:$C$22,2,FALSE),IF(O94="ALUMINIO",VLOOKUP(P94,'Tiempo Objeto'!$B$24:$C$32,2,FALSE))))</f>
        <v>1.84</v>
      </c>
      <c r="X94" s="84">
        <f t="shared" si="125"/>
        <v>73.600000000000009</v>
      </c>
      <c r="Y94" s="80">
        <f t="shared" si="126"/>
        <v>102.22222222222224</v>
      </c>
      <c r="Z94" s="100">
        <v>1</v>
      </c>
      <c r="AA94" s="85">
        <f t="shared" si="127"/>
        <v>30</v>
      </c>
      <c r="AB94" s="86">
        <f>+Z94*Analisis!$J$6</f>
        <v>25</v>
      </c>
      <c r="AC94" s="100">
        <v>0</v>
      </c>
      <c r="AD94" s="85">
        <f t="shared" si="128"/>
        <v>0</v>
      </c>
      <c r="AE94" s="86">
        <f>+AD94*Analisis!$J$7</f>
        <v>0</v>
      </c>
      <c r="AF94" s="86">
        <f t="shared" si="110"/>
        <v>498.53746645467839</v>
      </c>
      <c r="AG94" s="126">
        <f>+AF94/(1-Analisis!$E$9)</f>
        <v>623.17183306834795</v>
      </c>
      <c r="AH94" s="128">
        <f t="shared" si="112"/>
        <v>0</v>
      </c>
    </row>
    <row r="95" spans="1:34" s="73" customFormat="1" x14ac:dyDescent="0.25">
      <c r="A95" s="100"/>
      <c r="B95" t="s">
        <v>280</v>
      </c>
      <c r="C95" s="74">
        <f>IFERROR(VLOOKUP(B95,'REQ GALV'!A:B,2,0),0)</f>
        <v>0</v>
      </c>
      <c r="D95" s="116">
        <f t="shared" si="111"/>
        <v>695.83916311220776</v>
      </c>
      <c r="E95" s="103" t="s">
        <v>44</v>
      </c>
      <c r="F95" s="75" t="s">
        <v>147</v>
      </c>
      <c r="G95" s="90">
        <v>25.94</v>
      </c>
      <c r="H95" s="90">
        <v>14.84</v>
      </c>
      <c r="I95" s="76">
        <v>0.105</v>
      </c>
      <c r="J95" s="77">
        <v>28.24</v>
      </c>
      <c r="K95" s="78">
        <f t="shared" ref="K95:K102" si="151">+L95*2.2/J95</f>
        <v>27.005711617681783</v>
      </c>
      <c r="L95" s="58">
        <f>+VLOOKUP(E95,Material!$H$2:$M$17,6,FALSE)*G95*H95*(1+Material!$K$14)</f>
        <v>346.65513458333339</v>
      </c>
      <c r="M95" s="79" t="str">
        <f>+Analisis!$J$5</f>
        <v>T5.0</v>
      </c>
      <c r="N95" s="80">
        <f>+VLOOKUP(M95,Material!$A$3:$B$58,2,FALSE)</f>
        <v>5000</v>
      </c>
      <c r="O95" s="79" t="s">
        <v>42</v>
      </c>
      <c r="P95" s="79" t="s">
        <v>43</v>
      </c>
      <c r="Q95" s="81">
        <f>+IF(O95="ACERO A36",VLOOKUP(P95,'Velocidades Std 1500 w'!$B$2:$F$15,5,FALSE),IF(O95="INOXIDABLE",VLOOKUP(P95,'Velocidades Std 1500 w'!$B$17:$F$28,5,FALSE),IF(O95="ALUMINIO",VLOOKUP(P95,'Velocidades Std 1500 w'!$B$30:$F$38,5,FALSE))))</f>
        <v>4.3859649122807014E-6</v>
      </c>
      <c r="R95" s="82">
        <f t="shared" ref="R95:R102" si="152">+Q95*N95</f>
        <v>2.1929824561403508E-2</v>
      </c>
      <c r="S95" s="83">
        <f t="shared" ref="S95:S102" si="153">+Q95*T95*3600</f>
        <v>59.611661052631582</v>
      </c>
      <c r="T95" s="110">
        <f t="shared" ref="T95:T102" si="154">(+H95*2+G95*2+V95*1.5)*25.4*1.05</f>
        <v>3775.4052000000001</v>
      </c>
      <c r="U95" s="80">
        <f t="shared" ref="U95:U102" si="155">+T95*R95</f>
        <v>82.793973684210528</v>
      </c>
      <c r="V95" s="98">
        <v>40</v>
      </c>
      <c r="W95" s="84">
        <f>+IF(O95="ACERO A36",VLOOKUP(P95,'Tiempo Objeto'!$B$2:$C$12,2,FALSE),IF(O95="INOXIDABLE",VLOOKUP(P95,'Tiempo Objeto'!$B$14:$C$22,2,FALSE),IF(O95="ALUMINIO",VLOOKUP(P95,'Tiempo Objeto'!$B$24:$C$32,2,FALSE))))</f>
        <v>1.84</v>
      </c>
      <c r="X95" s="84">
        <f t="shared" ref="X95:X102" si="156">+W95*V95</f>
        <v>73.600000000000009</v>
      </c>
      <c r="Y95" s="80">
        <f t="shared" ref="Y95:Y102" si="157">+X95*N95/3600</f>
        <v>102.22222222222224</v>
      </c>
      <c r="Z95" s="100">
        <v>1</v>
      </c>
      <c r="AA95" s="85">
        <f t="shared" ref="AA95:AA102" si="158">30*Z95+Z95*$C95*1.5</f>
        <v>30</v>
      </c>
      <c r="AB95" s="86">
        <f>+Z95*Analisis!$J$6</f>
        <v>25</v>
      </c>
      <c r="AC95" s="100">
        <v>0</v>
      </c>
      <c r="AD95" s="85">
        <f t="shared" ref="AD95:AD102" si="159">30*AC95+AC95*$C95*1.5</f>
        <v>0</v>
      </c>
      <c r="AE95" s="86">
        <f>+AD95*Analisis!$J$7</f>
        <v>0</v>
      </c>
      <c r="AF95" s="86">
        <f t="shared" si="110"/>
        <v>556.67133048976621</v>
      </c>
      <c r="AG95" s="126">
        <f>+AF95/(1-Analisis!$E$9)</f>
        <v>695.83916311220776</v>
      </c>
      <c r="AH95" s="128">
        <f t="shared" si="112"/>
        <v>0</v>
      </c>
    </row>
    <row r="96" spans="1:34" s="73" customFormat="1" x14ac:dyDescent="0.25">
      <c r="A96" s="100"/>
      <c r="B96" t="s">
        <v>281</v>
      </c>
      <c r="C96" s="74">
        <f>IFERROR(VLOOKUP(B96,'REQ GALV'!A:B,2,0),0)</f>
        <v>0</v>
      </c>
      <c r="D96" s="116">
        <f t="shared" si="111"/>
        <v>768.50649315606722</v>
      </c>
      <c r="E96" s="103" t="s">
        <v>44</v>
      </c>
      <c r="F96" s="75" t="s">
        <v>147</v>
      </c>
      <c r="G96" s="90">
        <v>29.94</v>
      </c>
      <c r="H96" s="90">
        <v>14.84</v>
      </c>
      <c r="I96" s="76">
        <v>0.105</v>
      </c>
      <c r="J96" s="77">
        <v>28.24</v>
      </c>
      <c r="K96" s="78">
        <f t="shared" si="151"/>
        <v>31.170046485481596</v>
      </c>
      <c r="L96" s="58">
        <f>+VLOOKUP(E96,Material!$H$2:$M$17,6,FALSE)*G96*H96*(1+Material!$K$14)</f>
        <v>400.11005125000003</v>
      </c>
      <c r="M96" s="79" t="str">
        <f>+Analisis!$J$5</f>
        <v>T5.0</v>
      </c>
      <c r="N96" s="80">
        <f>+VLOOKUP(M96,Material!$A$3:$B$58,2,FALSE)</f>
        <v>5000</v>
      </c>
      <c r="O96" s="79" t="s">
        <v>42</v>
      </c>
      <c r="P96" s="79" t="s">
        <v>43</v>
      </c>
      <c r="Q96" s="81">
        <f>+IF(O96="ACERO A36",VLOOKUP(P96,'Velocidades Std 1500 w'!$B$2:$F$15,5,FALSE),IF(O96="INOXIDABLE",VLOOKUP(P96,'Velocidades Std 1500 w'!$B$17:$F$28,5,FALSE),IF(O96="ALUMINIO",VLOOKUP(P96,'Velocidades Std 1500 w'!$B$30:$F$38,5,FALSE))))</f>
        <v>4.3859649122807014E-6</v>
      </c>
      <c r="R96" s="82">
        <f t="shared" si="152"/>
        <v>2.1929824561403508E-2</v>
      </c>
      <c r="S96" s="83">
        <f t="shared" si="153"/>
        <v>62.980503157894738</v>
      </c>
      <c r="T96" s="110">
        <f t="shared" si="154"/>
        <v>3988.7652000000003</v>
      </c>
      <c r="U96" s="80">
        <f t="shared" si="155"/>
        <v>87.472921052631577</v>
      </c>
      <c r="V96" s="98">
        <v>40</v>
      </c>
      <c r="W96" s="84">
        <f>+IF(O96="ACERO A36",VLOOKUP(P96,'Tiempo Objeto'!$B$2:$C$12,2,FALSE),IF(O96="INOXIDABLE",VLOOKUP(P96,'Tiempo Objeto'!$B$14:$C$22,2,FALSE),IF(O96="ALUMINIO",VLOOKUP(P96,'Tiempo Objeto'!$B$24:$C$32,2,FALSE))))</f>
        <v>1.84</v>
      </c>
      <c r="X96" s="84">
        <f t="shared" si="156"/>
        <v>73.600000000000009</v>
      </c>
      <c r="Y96" s="80">
        <f t="shared" si="157"/>
        <v>102.22222222222224</v>
      </c>
      <c r="Z96" s="100">
        <v>1</v>
      </c>
      <c r="AA96" s="85">
        <f t="shared" si="158"/>
        <v>30</v>
      </c>
      <c r="AB96" s="86">
        <f>+Z96*Analisis!$J$6</f>
        <v>25</v>
      </c>
      <c r="AC96" s="100">
        <v>0</v>
      </c>
      <c r="AD96" s="85">
        <f t="shared" si="159"/>
        <v>0</v>
      </c>
      <c r="AE96" s="86">
        <f>+AD96*Analisis!$J$7</f>
        <v>0</v>
      </c>
      <c r="AF96" s="86">
        <f t="shared" si="110"/>
        <v>614.80519452485385</v>
      </c>
      <c r="AG96" s="126">
        <f>+AF96/(1-Analisis!$E$9)</f>
        <v>768.50649315606722</v>
      </c>
      <c r="AH96" s="128">
        <f t="shared" si="112"/>
        <v>0</v>
      </c>
    </row>
    <row r="97" spans="1:34" s="73" customFormat="1" x14ac:dyDescent="0.25">
      <c r="A97" s="100"/>
      <c r="B97" t="s">
        <v>282</v>
      </c>
      <c r="C97" s="74">
        <f>IFERROR(VLOOKUP(B97,'REQ GALV'!A:B,2,0),0)</f>
        <v>0</v>
      </c>
      <c r="D97" s="116">
        <f t="shared" si="111"/>
        <v>804.8401581779973</v>
      </c>
      <c r="E97" s="103" t="s">
        <v>44</v>
      </c>
      <c r="F97" s="75" t="s">
        <v>147</v>
      </c>
      <c r="G97" s="90">
        <v>31.94</v>
      </c>
      <c r="H97" s="90">
        <v>14.84</v>
      </c>
      <c r="I97" s="76">
        <v>0.105</v>
      </c>
      <c r="J97" s="77">
        <v>28.24</v>
      </c>
      <c r="K97" s="78">
        <f t="shared" si="151"/>
        <v>33.252213919381504</v>
      </c>
      <c r="L97" s="58">
        <f>+VLOOKUP(E97,Material!$H$2:$M$17,6,FALSE)*G97*H97*(1+Material!$K$14)</f>
        <v>426.83750958333343</v>
      </c>
      <c r="M97" s="79" t="str">
        <f>+Analisis!$J$5</f>
        <v>T5.0</v>
      </c>
      <c r="N97" s="80">
        <f>+VLOOKUP(M97,Material!$A$3:$B$58,2,FALSE)</f>
        <v>5000</v>
      </c>
      <c r="O97" s="79" t="s">
        <v>42</v>
      </c>
      <c r="P97" s="79" t="s">
        <v>43</v>
      </c>
      <c r="Q97" s="81">
        <f>+IF(O97="ACERO A36",VLOOKUP(P97,'Velocidades Std 1500 w'!$B$2:$F$15,5,FALSE),IF(O97="INOXIDABLE",VLOOKUP(P97,'Velocidades Std 1500 w'!$B$17:$F$28,5,FALSE),IF(O97="ALUMINIO",VLOOKUP(P97,'Velocidades Std 1500 w'!$B$30:$F$38,5,FALSE))))</f>
        <v>4.3859649122807014E-6</v>
      </c>
      <c r="R97" s="82">
        <f t="shared" si="152"/>
        <v>2.1929824561403508E-2</v>
      </c>
      <c r="S97" s="83">
        <f t="shared" si="153"/>
        <v>64.664924210526308</v>
      </c>
      <c r="T97" s="110">
        <f t="shared" si="154"/>
        <v>4095.4452000000001</v>
      </c>
      <c r="U97" s="80">
        <f t="shared" si="155"/>
        <v>89.812394736842109</v>
      </c>
      <c r="V97" s="98">
        <v>40</v>
      </c>
      <c r="W97" s="84">
        <f>+IF(O97="ACERO A36",VLOOKUP(P97,'Tiempo Objeto'!$B$2:$C$12,2,FALSE),IF(O97="INOXIDABLE",VLOOKUP(P97,'Tiempo Objeto'!$B$14:$C$22,2,FALSE),IF(O97="ALUMINIO",VLOOKUP(P97,'Tiempo Objeto'!$B$24:$C$32,2,FALSE))))</f>
        <v>1.84</v>
      </c>
      <c r="X97" s="84">
        <f t="shared" si="156"/>
        <v>73.600000000000009</v>
      </c>
      <c r="Y97" s="80">
        <f t="shared" si="157"/>
        <v>102.22222222222224</v>
      </c>
      <c r="Z97" s="100">
        <v>1</v>
      </c>
      <c r="AA97" s="85">
        <f t="shared" si="158"/>
        <v>30</v>
      </c>
      <c r="AB97" s="86">
        <f>+Z97*Analisis!$J$6</f>
        <v>25</v>
      </c>
      <c r="AC97" s="100">
        <v>0</v>
      </c>
      <c r="AD97" s="85">
        <f t="shared" si="159"/>
        <v>0</v>
      </c>
      <c r="AE97" s="86">
        <f>+AD97*Analisis!$J$7</f>
        <v>0</v>
      </c>
      <c r="AF97" s="86">
        <f t="shared" si="110"/>
        <v>643.87212654239784</v>
      </c>
      <c r="AG97" s="126">
        <f>+AF97/(1-Analisis!$E$9)</f>
        <v>804.8401581779973</v>
      </c>
      <c r="AH97" s="128">
        <f t="shared" si="112"/>
        <v>0</v>
      </c>
    </row>
    <row r="98" spans="1:34" s="73" customFormat="1" x14ac:dyDescent="0.25">
      <c r="A98" s="100"/>
      <c r="B98" t="s">
        <v>283</v>
      </c>
      <c r="C98" s="74">
        <f>IFERROR(VLOOKUP(B98,'REQ GALV'!A:B,2,0),0)</f>
        <v>0</v>
      </c>
      <c r="D98" s="116">
        <f t="shared" si="111"/>
        <v>877.50748822185676</v>
      </c>
      <c r="E98" s="103" t="s">
        <v>44</v>
      </c>
      <c r="F98" s="75" t="s">
        <v>147</v>
      </c>
      <c r="G98" s="90">
        <v>35.94</v>
      </c>
      <c r="H98" s="90">
        <v>14.84</v>
      </c>
      <c r="I98" s="76">
        <v>0.105</v>
      </c>
      <c r="J98" s="77">
        <v>28.24</v>
      </c>
      <c r="K98" s="78">
        <f t="shared" si="151"/>
        <v>37.416548787181313</v>
      </c>
      <c r="L98" s="58">
        <f>+VLOOKUP(E98,Material!$H$2:$M$17,6,FALSE)*G98*H98*(1+Material!$K$14)</f>
        <v>480.29242625000006</v>
      </c>
      <c r="M98" s="79" t="str">
        <f>+Analisis!$J$5</f>
        <v>T5.0</v>
      </c>
      <c r="N98" s="80">
        <f>+VLOOKUP(M98,Material!$A$3:$B$58,2,FALSE)</f>
        <v>5000</v>
      </c>
      <c r="O98" s="79" t="s">
        <v>42</v>
      </c>
      <c r="P98" s="79" t="s">
        <v>43</v>
      </c>
      <c r="Q98" s="81">
        <f>+IF(O98="ACERO A36",VLOOKUP(P98,'Velocidades Std 1500 w'!$B$2:$F$15,5,FALSE),IF(O98="INOXIDABLE",VLOOKUP(P98,'Velocidades Std 1500 w'!$B$17:$F$28,5,FALSE),IF(O98="ALUMINIO",VLOOKUP(P98,'Velocidades Std 1500 w'!$B$30:$F$38,5,FALSE))))</f>
        <v>4.3859649122807014E-6</v>
      </c>
      <c r="R98" s="82">
        <f t="shared" si="152"/>
        <v>2.1929824561403508E-2</v>
      </c>
      <c r="S98" s="83">
        <f t="shared" si="153"/>
        <v>68.033766315789464</v>
      </c>
      <c r="T98" s="110">
        <f t="shared" si="154"/>
        <v>4308.8051999999998</v>
      </c>
      <c r="U98" s="80">
        <f t="shared" si="155"/>
        <v>94.491342105263143</v>
      </c>
      <c r="V98" s="98">
        <v>40</v>
      </c>
      <c r="W98" s="84">
        <f>+IF(O98="ACERO A36",VLOOKUP(P98,'Tiempo Objeto'!$B$2:$C$12,2,FALSE),IF(O98="INOXIDABLE",VLOOKUP(P98,'Tiempo Objeto'!$B$14:$C$22,2,FALSE),IF(O98="ALUMINIO",VLOOKUP(P98,'Tiempo Objeto'!$B$24:$C$32,2,FALSE))))</f>
        <v>1.84</v>
      </c>
      <c r="X98" s="84">
        <f t="shared" si="156"/>
        <v>73.600000000000009</v>
      </c>
      <c r="Y98" s="80">
        <f t="shared" si="157"/>
        <v>102.22222222222224</v>
      </c>
      <c r="Z98" s="100">
        <v>1</v>
      </c>
      <c r="AA98" s="85">
        <f t="shared" si="158"/>
        <v>30</v>
      </c>
      <c r="AB98" s="86">
        <f>+Z98*Analisis!$J$6</f>
        <v>25</v>
      </c>
      <c r="AC98" s="100">
        <v>0</v>
      </c>
      <c r="AD98" s="85">
        <f t="shared" si="159"/>
        <v>0</v>
      </c>
      <c r="AE98" s="86">
        <f>+AD98*Analisis!$J$7</f>
        <v>0</v>
      </c>
      <c r="AF98" s="86">
        <f t="shared" si="110"/>
        <v>702.00599057748548</v>
      </c>
      <c r="AG98" s="126">
        <f>+AF98/(1-Analisis!$E$9)</f>
        <v>877.50748822185676</v>
      </c>
      <c r="AH98" s="128">
        <f t="shared" si="112"/>
        <v>0</v>
      </c>
    </row>
    <row r="99" spans="1:34" s="73" customFormat="1" x14ac:dyDescent="0.25">
      <c r="A99" s="100"/>
      <c r="B99" t="s">
        <v>284</v>
      </c>
      <c r="C99" s="74">
        <f>IFERROR(VLOOKUP(B99,'REQ GALV'!A:B,2,0),0)</f>
        <v>0</v>
      </c>
      <c r="D99" s="116">
        <f t="shared" si="111"/>
        <v>913.84115324378661</v>
      </c>
      <c r="E99" s="103" t="s">
        <v>44</v>
      </c>
      <c r="F99" s="75" t="s">
        <v>147</v>
      </c>
      <c r="G99" s="90">
        <v>37.94</v>
      </c>
      <c r="H99" s="90">
        <v>14.84</v>
      </c>
      <c r="I99" s="76">
        <v>0.105</v>
      </c>
      <c r="J99" s="77">
        <v>28.24</v>
      </c>
      <c r="K99" s="78">
        <f t="shared" si="151"/>
        <v>39.498716221081217</v>
      </c>
      <c r="L99" s="58">
        <f>+VLOOKUP(E99,Material!$H$2:$M$17,6,FALSE)*G99*H99*(1+Material!$K$14)</f>
        <v>507.01988458333335</v>
      </c>
      <c r="M99" s="79" t="str">
        <f>+Analisis!$J$5</f>
        <v>T5.0</v>
      </c>
      <c r="N99" s="80">
        <f>+VLOOKUP(M99,Material!$A$3:$B$58,2,FALSE)</f>
        <v>5000</v>
      </c>
      <c r="O99" s="79" t="s">
        <v>42</v>
      </c>
      <c r="P99" s="79" t="s">
        <v>43</v>
      </c>
      <c r="Q99" s="81">
        <f>+IF(O99="ACERO A36",VLOOKUP(P99,'Velocidades Std 1500 w'!$B$2:$F$15,5,FALSE),IF(O99="INOXIDABLE",VLOOKUP(P99,'Velocidades Std 1500 w'!$B$17:$F$28,5,FALSE),IF(O99="ALUMINIO",VLOOKUP(P99,'Velocidades Std 1500 w'!$B$30:$F$38,5,FALSE))))</f>
        <v>4.3859649122807014E-6</v>
      </c>
      <c r="R99" s="82">
        <f t="shared" si="152"/>
        <v>2.1929824561403508E-2</v>
      </c>
      <c r="S99" s="83">
        <f t="shared" si="153"/>
        <v>69.718187368421042</v>
      </c>
      <c r="T99" s="110">
        <f t="shared" si="154"/>
        <v>4415.4852000000001</v>
      </c>
      <c r="U99" s="80">
        <f t="shared" si="155"/>
        <v>96.830815789473675</v>
      </c>
      <c r="V99" s="98">
        <v>40</v>
      </c>
      <c r="W99" s="84">
        <f>+IF(O99="ACERO A36",VLOOKUP(P99,'Tiempo Objeto'!$B$2:$C$12,2,FALSE),IF(O99="INOXIDABLE",VLOOKUP(P99,'Tiempo Objeto'!$B$14:$C$22,2,FALSE),IF(O99="ALUMINIO",VLOOKUP(P99,'Tiempo Objeto'!$B$24:$C$32,2,FALSE))))</f>
        <v>1.84</v>
      </c>
      <c r="X99" s="84">
        <f t="shared" si="156"/>
        <v>73.600000000000009</v>
      </c>
      <c r="Y99" s="80">
        <f t="shared" si="157"/>
        <v>102.22222222222224</v>
      </c>
      <c r="Z99" s="100">
        <v>1</v>
      </c>
      <c r="AA99" s="85">
        <f t="shared" si="158"/>
        <v>30</v>
      </c>
      <c r="AB99" s="86">
        <f>+Z99*Analisis!$J$6</f>
        <v>25</v>
      </c>
      <c r="AC99" s="100">
        <v>0</v>
      </c>
      <c r="AD99" s="85">
        <f t="shared" si="159"/>
        <v>0</v>
      </c>
      <c r="AE99" s="86">
        <f>+AD99*Analisis!$J$7</f>
        <v>0</v>
      </c>
      <c r="AF99" s="86">
        <f t="shared" si="110"/>
        <v>731.07292259502935</v>
      </c>
      <c r="AG99" s="126">
        <f>+AF99/(1-Analisis!$E$9)</f>
        <v>913.84115324378661</v>
      </c>
      <c r="AH99" s="128">
        <f t="shared" si="112"/>
        <v>0</v>
      </c>
    </row>
    <row r="100" spans="1:34" s="73" customFormat="1" x14ac:dyDescent="0.25">
      <c r="A100" s="100"/>
      <c r="B100" t="s">
        <v>285</v>
      </c>
      <c r="C100" s="74">
        <f>IFERROR(VLOOKUP(B100,'REQ GALV'!A:B,2,0),0)</f>
        <v>0</v>
      </c>
      <c r="D100" s="116">
        <f t="shared" si="111"/>
        <v>950.17481826571634</v>
      </c>
      <c r="E100" s="103" t="s">
        <v>44</v>
      </c>
      <c r="F100" s="75" t="s">
        <v>147</v>
      </c>
      <c r="G100" s="90">
        <v>39.94</v>
      </c>
      <c r="H100" s="90">
        <v>14.84</v>
      </c>
      <c r="I100" s="76">
        <v>0.105</v>
      </c>
      <c r="J100" s="77">
        <v>28.24</v>
      </c>
      <c r="K100" s="78">
        <f t="shared" si="151"/>
        <v>41.580883654981122</v>
      </c>
      <c r="L100" s="58">
        <f>+VLOOKUP(E100,Material!$H$2:$M$17,6,FALSE)*G100*H100*(1+Material!$K$14)</f>
        <v>533.74734291666664</v>
      </c>
      <c r="M100" s="79" t="str">
        <f>+Analisis!$J$5</f>
        <v>T5.0</v>
      </c>
      <c r="N100" s="80">
        <f>+VLOOKUP(M100,Material!$A$3:$B$58,2,FALSE)</f>
        <v>5000</v>
      </c>
      <c r="O100" s="79" t="s">
        <v>42</v>
      </c>
      <c r="P100" s="79" t="s">
        <v>43</v>
      </c>
      <c r="Q100" s="81">
        <f>+IF(O100="ACERO A36",VLOOKUP(P100,'Velocidades Std 1500 w'!$B$2:$F$15,5,FALSE),IF(O100="INOXIDABLE",VLOOKUP(P100,'Velocidades Std 1500 w'!$B$17:$F$28,5,FALSE),IF(O100="ALUMINIO",VLOOKUP(P100,'Velocidades Std 1500 w'!$B$30:$F$38,5,FALSE))))</f>
        <v>4.3859649122807014E-6</v>
      </c>
      <c r="R100" s="82">
        <f t="shared" si="152"/>
        <v>2.1929824561403508E-2</v>
      </c>
      <c r="S100" s="83">
        <f t="shared" si="153"/>
        <v>71.402608421052619</v>
      </c>
      <c r="T100" s="110">
        <f t="shared" si="154"/>
        <v>4522.1651999999995</v>
      </c>
      <c r="U100" s="80">
        <f t="shared" si="155"/>
        <v>99.170289473684193</v>
      </c>
      <c r="V100" s="98">
        <v>40</v>
      </c>
      <c r="W100" s="84">
        <f>+IF(O100="ACERO A36",VLOOKUP(P100,'Tiempo Objeto'!$B$2:$C$12,2,FALSE),IF(O100="INOXIDABLE",VLOOKUP(P100,'Tiempo Objeto'!$B$14:$C$22,2,FALSE),IF(O100="ALUMINIO",VLOOKUP(P100,'Tiempo Objeto'!$B$24:$C$32,2,FALSE))))</f>
        <v>1.84</v>
      </c>
      <c r="X100" s="84">
        <f t="shared" si="156"/>
        <v>73.600000000000009</v>
      </c>
      <c r="Y100" s="80">
        <f t="shared" si="157"/>
        <v>102.22222222222224</v>
      </c>
      <c r="Z100" s="100">
        <v>1</v>
      </c>
      <c r="AA100" s="85">
        <f t="shared" si="158"/>
        <v>30</v>
      </c>
      <c r="AB100" s="86">
        <f>+Z100*Analisis!$J$6</f>
        <v>25</v>
      </c>
      <c r="AC100" s="100">
        <v>0</v>
      </c>
      <c r="AD100" s="85">
        <f t="shared" si="159"/>
        <v>0</v>
      </c>
      <c r="AE100" s="86">
        <f>+AD100*Analisis!$J$7</f>
        <v>0</v>
      </c>
      <c r="AF100" s="86">
        <f t="shared" si="110"/>
        <v>760.13985461257312</v>
      </c>
      <c r="AG100" s="126">
        <f>+AF100/(1-Analisis!$E$9)</f>
        <v>950.17481826571634</v>
      </c>
      <c r="AH100" s="128">
        <f t="shared" si="112"/>
        <v>0</v>
      </c>
    </row>
    <row r="101" spans="1:34" s="73" customFormat="1" x14ac:dyDescent="0.25">
      <c r="A101" s="100"/>
      <c r="B101" t="s">
        <v>286</v>
      </c>
      <c r="C101" s="74">
        <f>IFERROR(VLOOKUP(B101,'REQ GALV'!A:B,2,0),0)</f>
        <v>0</v>
      </c>
      <c r="D101" s="116">
        <f t="shared" si="111"/>
        <v>986.5084832876463</v>
      </c>
      <c r="E101" s="103" t="s">
        <v>44</v>
      </c>
      <c r="F101" s="75" t="s">
        <v>147</v>
      </c>
      <c r="G101" s="90">
        <v>41.94</v>
      </c>
      <c r="H101" s="90">
        <v>14.84</v>
      </c>
      <c r="I101" s="76">
        <v>0.105</v>
      </c>
      <c r="J101" s="77">
        <v>28.24</v>
      </c>
      <c r="K101" s="78">
        <f t="shared" si="151"/>
        <v>43.663051088881033</v>
      </c>
      <c r="L101" s="58">
        <f>+VLOOKUP(E101,Material!$H$2:$M$17,6,FALSE)*G101*H101*(1+Material!$K$14)</f>
        <v>560.47480125000004</v>
      </c>
      <c r="M101" s="79" t="str">
        <f>+Analisis!$J$5</f>
        <v>T5.0</v>
      </c>
      <c r="N101" s="80">
        <f>+VLOOKUP(M101,Material!$A$3:$B$58,2,FALSE)</f>
        <v>5000</v>
      </c>
      <c r="O101" s="79" t="s">
        <v>42</v>
      </c>
      <c r="P101" s="79" t="s">
        <v>43</v>
      </c>
      <c r="Q101" s="81">
        <f>+IF(O101="ACERO A36",VLOOKUP(P101,'Velocidades Std 1500 w'!$B$2:$F$15,5,FALSE),IF(O101="INOXIDABLE",VLOOKUP(P101,'Velocidades Std 1500 w'!$B$17:$F$28,5,FALSE),IF(O101="ALUMINIO",VLOOKUP(P101,'Velocidades Std 1500 w'!$B$30:$F$38,5,FALSE))))</f>
        <v>4.3859649122807014E-6</v>
      </c>
      <c r="R101" s="82">
        <f t="shared" si="152"/>
        <v>2.1929824561403508E-2</v>
      </c>
      <c r="S101" s="83">
        <f t="shared" si="153"/>
        <v>73.087029473684197</v>
      </c>
      <c r="T101" s="110">
        <f t="shared" si="154"/>
        <v>4628.8451999999997</v>
      </c>
      <c r="U101" s="80">
        <f t="shared" si="155"/>
        <v>101.50976315789472</v>
      </c>
      <c r="V101" s="98">
        <v>40</v>
      </c>
      <c r="W101" s="84">
        <f>+IF(O101="ACERO A36",VLOOKUP(P101,'Tiempo Objeto'!$B$2:$C$12,2,FALSE),IF(O101="INOXIDABLE",VLOOKUP(P101,'Tiempo Objeto'!$B$14:$C$22,2,FALSE),IF(O101="ALUMINIO",VLOOKUP(P101,'Tiempo Objeto'!$B$24:$C$32,2,FALSE))))</f>
        <v>1.84</v>
      </c>
      <c r="X101" s="84">
        <f t="shared" si="156"/>
        <v>73.600000000000009</v>
      </c>
      <c r="Y101" s="80">
        <f t="shared" si="157"/>
        <v>102.22222222222224</v>
      </c>
      <c r="Z101" s="100">
        <v>1</v>
      </c>
      <c r="AA101" s="85">
        <f t="shared" si="158"/>
        <v>30</v>
      </c>
      <c r="AB101" s="86">
        <f>+Z101*Analisis!$J$6</f>
        <v>25</v>
      </c>
      <c r="AC101" s="100">
        <v>0</v>
      </c>
      <c r="AD101" s="85">
        <f t="shared" si="159"/>
        <v>0</v>
      </c>
      <c r="AE101" s="86">
        <f>+AD101*Analisis!$J$7</f>
        <v>0</v>
      </c>
      <c r="AF101" s="86">
        <f t="shared" si="110"/>
        <v>789.20678663011711</v>
      </c>
      <c r="AG101" s="126">
        <f>+AF101/(1-Analisis!$E$9)</f>
        <v>986.5084832876463</v>
      </c>
      <c r="AH101" s="128">
        <f t="shared" si="112"/>
        <v>0</v>
      </c>
    </row>
    <row r="102" spans="1:34" s="73" customFormat="1" x14ac:dyDescent="0.25">
      <c r="A102" s="100"/>
      <c r="B102" t="s">
        <v>287</v>
      </c>
      <c r="C102" s="74">
        <f>IFERROR(VLOOKUP(B102,'REQ GALV'!A:B,2,0),0)</f>
        <v>0</v>
      </c>
      <c r="D102" s="116">
        <f t="shared" si="111"/>
        <v>1059.1758133315061</v>
      </c>
      <c r="E102" s="103" t="s">
        <v>44</v>
      </c>
      <c r="F102" s="75" t="s">
        <v>147</v>
      </c>
      <c r="G102" s="90">
        <v>45.94</v>
      </c>
      <c r="H102" s="90">
        <v>14.84</v>
      </c>
      <c r="I102" s="76">
        <v>0.105</v>
      </c>
      <c r="J102" s="77">
        <v>28.24</v>
      </c>
      <c r="K102" s="78">
        <f t="shared" si="151"/>
        <v>47.827385956680843</v>
      </c>
      <c r="L102" s="58">
        <f>+VLOOKUP(E102,Material!$H$2:$M$17,6,FALSE)*G102*H102*(1+Material!$K$14)</f>
        <v>613.92971791666673</v>
      </c>
      <c r="M102" s="79" t="str">
        <f>+Analisis!$J$5</f>
        <v>T5.0</v>
      </c>
      <c r="N102" s="80">
        <f>+VLOOKUP(M102,Material!$A$3:$B$58,2,FALSE)</f>
        <v>5000</v>
      </c>
      <c r="O102" s="79" t="s">
        <v>42</v>
      </c>
      <c r="P102" s="79" t="s">
        <v>43</v>
      </c>
      <c r="Q102" s="81">
        <f>+IF(O102="ACERO A36",VLOOKUP(P102,'Velocidades Std 1500 w'!$B$2:$F$15,5,FALSE),IF(O102="INOXIDABLE",VLOOKUP(P102,'Velocidades Std 1500 w'!$B$17:$F$28,5,FALSE),IF(O102="ALUMINIO",VLOOKUP(P102,'Velocidades Std 1500 w'!$B$30:$F$38,5,FALSE))))</f>
        <v>4.3859649122807014E-6</v>
      </c>
      <c r="R102" s="82">
        <f t="shared" si="152"/>
        <v>2.1929824561403508E-2</v>
      </c>
      <c r="S102" s="83">
        <f t="shared" si="153"/>
        <v>76.455871578947367</v>
      </c>
      <c r="T102" s="110">
        <f t="shared" si="154"/>
        <v>4842.2052000000003</v>
      </c>
      <c r="U102" s="80">
        <f t="shared" si="155"/>
        <v>106.18871052631579</v>
      </c>
      <c r="V102" s="98">
        <v>40</v>
      </c>
      <c r="W102" s="84">
        <f>+IF(O102="ACERO A36",VLOOKUP(P102,'Tiempo Objeto'!$B$2:$C$12,2,FALSE),IF(O102="INOXIDABLE",VLOOKUP(P102,'Tiempo Objeto'!$B$14:$C$22,2,FALSE),IF(O102="ALUMINIO",VLOOKUP(P102,'Tiempo Objeto'!$B$24:$C$32,2,FALSE))))</f>
        <v>1.84</v>
      </c>
      <c r="X102" s="84">
        <f t="shared" si="156"/>
        <v>73.600000000000009</v>
      </c>
      <c r="Y102" s="80">
        <f t="shared" si="157"/>
        <v>102.22222222222224</v>
      </c>
      <c r="Z102" s="100">
        <v>1</v>
      </c>
      <c r="AA102" s="85">
        <f t="shared" si="158"/>
        <v>30</v>
      </c>
      <c r="AB102" s="86">
        <f>+Z102*Analisis!$J$6</f>
        <v>25</v>
      </c>
      <c r="AC102" s="100">
        <v>0</v>
      </c>
      <c r="AD102" s="85">
        <f t="shared" si="159"/>
        <v>0</v>
      </c>
      <c r="AE102" s="86">
        <f>+AD102*Analisis!$J$7</f>
        <v>0</v>
      </c>
      <c r="AF102" s="86">
        <f t="shared" si="110"/>
        <v>847.34065066520486</v>
      </c>
      <c r="AG102" s="126">
        <f>+AF102/(1-Analisis!$E$9)</f>
        <v>1059.1758133315061</v>
      </c>
      <c r="AH102" s="128">
        <f t="shared" si="112"/>
        <v>0</v>
      </c>
    </row>
    <row r="103" spans="1:34" s="73" customFormat="1" x14ac:dyDescent="0.25">
      <c r="A103" s="100"/>
      <c r="B103" t="s">
        <v>268</v>
      </c>
      <c r="C103" s="74">
        <f>IFERROR(VLOOKUP(B103,'REQ GALV'!A:B,2,0),0)</f>
        <v>0</v>
      </c>
      <c r="D103" s="116">
        <f t="shared" si="111"/>
        <v>216.25413737664476</v>
      </c>
      <c r="E103" s="103" t="s">
        <v>44</v>
      </c>
      <c r="F103" s="75" t="s">
        <v>147</v>
      </c>
      <c r="G103" s="90">
        <v>4.58</v>
      </c>
      <c r="H103" s="90">
        <v>21.94</v>
      </c>
      <c r="I103" s="76">
        <v>0.105</v>
      </c>
      <c r="J103" s="77">
        <v>28.24</v>
      </c>
      <c r="K103" s="78">
        <f t="shared" si="120"/>
        <v>7.0494275953139764</v>
      </c>
      <c r="L103" s="58">
        <f>+VLOOKUP(E103,Material!$H$2:$M$17,6,FALSE)*G103*H103*(1+Material!$K$14)</f>
        <v>90.489016041666673</v>
      </c>
      <c r="M103" s="79" t="str">
        <f>+Analisis!$J$5</f>
        <v>T5.0</v>
      </c>
      <c r="N103" s="80">
        <f>+VLOOKUP(M103,Material!$A$3:$B$58,2,FALSE)</f>
        <v>5000</v>
      </c>
      <c r="O103" s="79" t="s">
        <v>42</v>
      </c>
      <c r="P103" s="79" t="s">
        <v>43</v>
      </c>
      <c r="Q103" s="81">
        <f>+IF(O103="ACERO A36",VLOOKUP(P103,'Velocidades Std 1500 w'!$B$2:$F$15,5,FALSE),IF(O103="INOXIDABLE",VLOOKUP(P103,'Velocidades Std 1500 w'!$B$17:$F$28,5,FALSE),IF(O103="ALUMINIO",VLOOKUP(P103,'Velocidades Std 1500 w'!$B$30:$F$38,5,FALSE))))</f>
        <v>4.3859649122807014E-6</v>
      </c>
      <c r="R103" s="82">
        <f t="shared" si="121"/>
        <v>2.1929824561403508E-2</v>
      </c>
      <c r="S103" s="83">
        <f t="shared" si="122"/>
        <v>31.810291578947371</v>
      </c>
      <c r="T103" s="110">
        <f t="shared" si="123"/>
        <v>2014.6518000000003</v>
      </c>
      <c r="U103" s="80">
        <f t="shared" si="124"/>
        <v>44.180960526315793</v>
      </c>
      <c r="V103" s="98">
        <v>15</v>
      </c>
      <c r="W103" s="84">
        <f>+IF(O103="ACERO A36",VLOOKUP(P103,'Tiempo Objeto'!$B$2:$C$12,2,FALSE),IF(O103="INOXIDABLE",VLOOKUP(P103,'Tiempo Objeto'!$B$14:$C$22,2,FALSE),IF(O103="ALUMINIO",VLOOKUP(P103,'Tiempo Objeto'!$B$24:$C$32,2,FALSE))))</f>
        <v>1.84</v>
      </c>
      <c r="X103" s="84">
        <f t="shared" si="125"/>
        <v>27.6</v>
      </c>
      <c r="Y103" s="80">
        <f t="shared" si="126"/>
        <v>38.333333333333336</v>
      </c>
      <c r="Z103" s="100">
        <v>0</v>
      </c>
      <c r="AA103" s="85">
        <f t="shared" si="127"/>
        <v>0</v>
      </c>
      <c r="AB103" s="86">
        <f>+Z103*Analisis!$J$6</f>
        <v>0</v>
      </c>
      <c r="AC103" s="100">
        <v>0</v>
      </c>
      <c r="AD103" s="85">
        <f t="shared" si="128"/>
        <v>0</v>
      </c>
      <c r="AE103" s="86">
        <f>+AD103*Analisis!$J$7</f>
        <v>0</v>
      </c>
      <c r="AF103" s="86">
        <f t="shared" si="110"/>
        <v>173.00330990131582</v>
      </c>
      <c r="AG103" s="126">
        <f>+AF103/(1-Analisis!$E$9)</f>
        <v>216.25413737664476</v>
      </c>
      <c r="AH103" s="128">
        <f t="shared" si="112"/>
        <v>0</v>
      </c>
    </row>
    <row r="104" spans="1:34" s="73" customFormat="1" x14ac:dyDescent="0.25">
      <c r="A104" s="100"/>
      <c r="B104" t="s">
        <v>288</v>
      </c>
      <c r="C104" s="74">
        <f>IFERROR(VLOOKUP(B104,'REQ GALV'!A:B,2,0),0)</f>
        <v>0</v>
      </c>
      <c r="D104" s="116">
        <f t="shared" si="111"/>
        <v>242.7247486705044</v>
      </c>
      <c r="E104" s="103" t="s">
        <v>44</v>
      </c>
      <c r="F104" s="75" t="s">
        <v>147</v>
      </c>
      <c r="G104" s="90">
        <v>4.58</v>
      </c>
      <c r="H104" s="90">
        <v>25.94</v>
      </c>
      <c r="I104" s="76">
        <v>0.105</v>
      </c>
      <c r="J104" s="77">
        <v>28.24</v>
      </c>
      <c r="K104" s="78">
        <f t="shared" ref="K104:K111" si="160">+L104*2.2/J104</f>
        <v>8.3346468469664803</v>
      </c>
      <c r="L104" s="58">
        <f>+VLOOKUP(E104,Material!$H$2:$M$17,6,FALSE)*G104*H104*(1+Material!$K$14)</f>
        <v>106.98655770833335</v>
      </c>
      <c r="M104" s="79" t="str">
        <f>+Analisis!$J$5</f>
        <v>T5.0</v>
      </c>
      <c r="N104" s="80">
        <f>+VLOOKUP(M104,Material!$A$3:$B$58,2,FALSE)</f>
        <v>5000</v>
      </c>
      <c r="O104" s="79" t="s">
        <v>42</v>
      </c>
      <c r="P104" s="79" t="s">
        <v>43</v>
      </c>
      <c r="Q104" s="81">
        <f>+IF(O104="ACERO A36",VLOOKUP(P104,'Velocidades Std 1500 w'!$B$2:$F$15,5,FALSE),IF(O104="INOXIDABLE",VLOOKUP(P104,'Velocidades Std 1500 w'!$B$17:$F$28,5,FALSE),IF(O104="ALUMINIO",VLOOKUP(P104,'Velocidades Std 1500 w'!$B$30:$F$38,5,FALSE))))</f>
        <v>4.3859649122807014E-6</v>
      </c>
      <c r="R104" s="82">
        <f t="shared" ref="R104:R111" si="161">+Q104*N104</f>
        <v>2.1929824561403508E-2</v>
      </c>
      <c r="S104" s="83">
        <f t="shared" ref="S104:S111" si="162">+Q104*T104*3600</f>
        <v>35.179133684210527</v>
      </c>
      <c r="T104" s="110">
        <f t="shared" ref="T104:T111" si="163">(+H104*2+G104*2+V104*1.5)*25.4*1.05</f>
        <v>2228.0118000000002</v>
      </c>
      <c r="U104" s="80">
        <f t="shared" ref="U104:U111" si="164">+T104*R104</f>
        <v>48.859907894736843</v>
      </c>
      <c r="V104" s="98">
        <v>15</v>
      </c>
      <c r="W104" s="84">
        <f>+IF(O104="ACERO A36",VLOOKUP(P104,'Tiempo Objeto'!$B$2:$C$12,2,FALSE),IF(O104="INOXIDABLE",VLOOKUP(P104,'Tiempo Objeto'!$B$14:$C$22,2,FALSE),IF(O104="ALUMINIO",VLOOKUP(P104,'Tiempo Objeto'!$B$24:$C$32,2,FALSE))))</f>
        <v>1.84</v>
      </c>
      <c r="X104" s="84">
        <f t="shared" ref="X104:X111" si="165">+W104*V104</f>
        <v>27.6</v>
      </c>
      <c r="Y104" s="80">
        <f t="shared" ref="Y104:Y111" si="166">+X104*N104/3600</f>
        <v>38.333333333333336</v>
      </c>
      <c r="Z104" s="100">
        <v>0</v>
      </c>
      <c r="AA104" s="85">
        <f t="shared" ref="AA104:AA111" si="167">30*Z104+Z104*$C104*1.5</f>
        <v>0</v>
      </c>
      <c r="AB104" s="86">
        <f>+Z104*Analisis!$J$6</f>
        <v>0</v>
      </c>
      <c r="AC104" s="100">
        <v>0</v>
      </c>
      <c r="AD104" s="85">
        <f t="shared" ref="AD104:AD111" si="168">30*AC104+AC104*$C104*1.5</f>
        <v>0</v>
      </c>
      <c r="AE104" s="86">
        <f>+AD104*Analisis!$J$7</f>
        <v>0</v>
      </c>
      <c r="AF104" s="86">
        <f t="shared" si="110"/>
        <v>194.17979893640353</v>
      </c>
      <c r="AG104" s="126">
        <f>+AF104/(1-Analisis!$E$9)</f>
        <v>242.7247486705044</v>
      </c>
      <c r="AH104" s="128">
        <f t="shared" si="112"/>
        <v>0</v>
      </c>
    </row>
    <row r="105" spans="1:34" s="73" customFormat="1" x14ac:dyDescent="0.25">
      <c r="A105" s="100"/>
      <c r="B105" t="s">
        <v>289</v>
      </c>
      <c r="C105" s="74">
        <f>IFERROR(VLOOKUP(B105,'REQ GALV'!A:B,2,0),0)</f>
        <v>0</v>
      </c>
      <c r="D105" s="116">
        <f t="shared" si="111"/>
        <v>269.19535996436406</v>
      </c>
      <c r="E105" s="103" t="s">
        <v>44</v>
      </c>
      <c r="F105" s="75" t="s">
        <v>147</v>
      </c>
      <c r="G105" s="90">
        <v>4.58</v>
      </c>
      <c r="H105" s="90">
        <v>29.94</v>
      </c>
      <c r="I105" s="76">
        <v>0.105</v>
      </c>
      <c r="J105" s="77">
        <v>28.24</v>
      </c>
      <c r="K105" s="78">
        <f t="shared" si="160"/>
        <v>9.6198660986189832</v>
      </c>
      <c r="L105" s="58">
        <f>+VLOOKUP(E105,Material!$H$2:$M$17,6,FALSE)*G105*H105*(1+Material!$K$14)</f>
        <v>123.48409937500001</v>
      </c>
      <c r="M105" s="79" t="str">
        <f>+Analisis!$J$5</f>
        <v>T5.0</v>
      </c>
      <c r="N105" s="80">
        <f>+VLOOKUP(M105,Material!$A$3:$B$58,2,FALSE)</f>
        <v>5000</v>
      </c>
      <c r="O105" s="79" t="s">
        <v>42</v>
      </c>
      <c r="P105" s="79" t="s">
        <v>43</v>
      </c>
      <c r="Q105" s="81">
        <f>+IF(O105="ACERO A36",VLOOKUP(P105,'Velocidades Std 1500 w'!$B$2:$F$15,5,FALSE),IF(O105="INOXIDABLE",VLOOKUP(P105,'Velocidades Std 1500 w'!$B$17:$F$28,5,FALSE),IF(O105="ALUMINIO",VLOOKUP(P105,'Velocidades Std 1500 w'!$B$30:$F$38,5,FALSE))))</f>
        <v>4.3859649122807014E-6</v>
      </c>
      <c r="R105" s="82">
        <f t="shared" si="161"/>
        <v>2.1929824561403508E-2</v>
      </c>
      <c r="S105" s="83">
        <f t="shared" si="162"/>
        <v>38.547975789473682</v>
      </c>
      <c r="T105" s="110">
        <f t="shared" si="163"/>
        <v>2441.3717999999999</v>
      </c>
      <c r="U105" s="80">
        <f t="shared" si="164"/>
        <v>53.538855263157892</v>
      </c>
      <c r="V105" s="98">
        <v>15</v>
      </c>
      <c r="W105" s="84">
        <f>+IF(O105="ACERO A36",VLOOKUP(P105,'Tiempo Objeto'!$B$2:$C$12,2,FALSE),IF(O105="INOXIDABLE",VLOOKUP(P105,'Tiempo Objeto'!$B$14:$C$22,2,FALSE),IF(O105="ALUMINIO",VLOOKUP(P105,'Tiempo Objeto'!$B$24:$C$32,2,FALSE))))</f>
        <v>1.84</v>
      </c>
      <c r="X105" s="84">
        <f t="shared" si="165"/>
        <v>27.6</v>
      </c>
      <c r="Y105" s="80">
        <f t="shared" si="166"/>
        <v>38.333333333333336</v>
      </c>
      <c r="Z105" s="100">
        <v>0</v>
      </c>
      <c r="AA105" s="85">
        <f t="shared" si="167"/>
        <v>0</v>
      </c>
      <c r="AB105" s="86">
        <f>+Z105*Analisis!$J$6</f>
        <v>0</v>
      </c>
      <c r="AC105" s="100">
        <v>0</v>
      </c>
      <c r="AD105" s="85">
        <f t="shared" si="168"/>
        <v>0</v>
      </c>
      <c r="AE105" s="86">
        <f>+AD105*Analisis!$J$7</f>
        <v>0</v>
      </c>
      <c r="AF105" s="86">
        <f t="shared" si="110"/>
        <v>215.35628797149124</v>
      </c>
      <c r="AG105" s="126">
        <f>+AF105/(1-Analisis!$E$9)</f>
        <v>269.19535996436406</v>
      </c>
      <c r="AH105" s="128">
        <f t="shared" si="112"/>
        <v>0</v>
      </c>
    </row>
    <row r="106" spans="1:34" s="73" customFormat="1" x14ac:dyDescent="0.25">
      <c r="A106" s="100"/>
      <c r="B106" t="s">
        <v>290</v>
      </c>
      <c r="C106" s="74">
        <f>IFERROR(VLOOKUP(B106,'REQ GALV'!A:B,2,0),0)</f>
        <v>0</v>
      </c>
      <c r="D106" s="116">
        <f t="shared" si="111"/>
        <v>282.43066561129393</v>
      </c>
      <c r="E106" s="103" t="s">
        <v>44</v>
      </c>
      <c r="F106" s="75" t="s">
        <v>147</v>
      </c>
      <c r="G106" s="90">
        <v>4.58</v>
      </c>
      <c r="H106" s="90">
        <v>31.94</v>
      </c>
      <c r="I106" s="76">
        <v>0.105</v>
      </c>
      <c r="J106" s="77">
        <v>28.24</v>
      </c>
      <c r="K106" s="78">
        <f t="shared" si="160"/>
        <v>10.262475724445236</v>
      </c>
      <c r="L106" s="58">
        <f>+VLOOKUP(E106,Material!$H$2:$M$17,6,FALSE)*G106*H106*(1+Material!$K$14)</f>
        <v>131.73287020833337</v>
      </c>
      <c r="M106" s="79" t="str">
        <f>+Analisis!$J$5</f>
        <v>T5.0</v>
      </c>
      <c r="N106" s="80">
        <f>+VLOOKUP(M106,Material!$A$3:$B$58,2,FALSE)</f>
        <v>5000</v>
      </c>
      <c r="O106" s="79" t="s">
        <v>42</v>
      </c>
      <c r="P106" s="79" t="s">
        <v>43</v>
      </c>
      <c r="Q106" s="81">
        <f>+IF(O106="ACERO A36",VLOOKUP(P106,'Velocidades Std 1500 w'!$B$2:$F$15,5,FALSE),IF(O106="INOXIDABLE",VLOOKUP(P106,'Velocidades Std 1500 w'!$B$17:$F$28,5,FALSE),IF(O106="ALUMINIO",VLOOKUP(P106,'Velocidades Std 1500 w'!$B$30:$F$38,5,FALSE))))</f>
        <v>4.3859649122807014E-6</v>
      </c>
      <c r="R106" s="82">
        <f t="shared" si="161"/>
        <v>2.1929824561403508E-2</v>
      </c>
      <c r="S106" s="83">
        <f t="shared" si="162"/>
        <v>40.23239684210526</v>
      </c>
      <c r="T106" s="110">
        <f t="shared" si="163"/>
        <v>2548.0518000000002</v>
      </c>
      <c r="U106" s="80">
        <f t="shared" si="164"/>
        <v>55.878328947368423</v>
      </c>
      <c r="V106" s="98">
        <v>15</v>
      </c>
      <c r="W106" s="84">
        <f>+IF(O106="ACERO A36",VLOOKUP(P106,'Tiempo Objeto'!$B$2:$C$12,2,FALSE),IF(O106="INOXIDABLE",VLOOKUP(P106,'Tiempo Objeto'!$B$14:$C$22,2,FALSE),IF(O106="ALUMINIO",VLOOKUP(P106,'Tiempo Objeto'!$B$24:$C$32,2,FALSE))))</f>
        <v>1.84</v>
      </c>
      <c r="X106" s="84">
        <f t="shared" si="165"/>
        <v>27.6</v>
      </c>
      <c r="Y106" s="80">
        <f t="shared" si="166"/>
        <v>38.333333333333336</v>
      </c>
      <c r="Z106" s="100">
        <v>0</v>
      </c>
      <c r="AA106" s="85">
        <f t="shared" si="167"/>
        <v>0</v>
      </c>
      <c r="AB106" s="86">
        <f>+Z106*Analisis!$J$6</f>
        <v>0</v>
      </c>
      <c r="AC106" s="100">
        <v>0</v>
      </c>
      <c r="AD106" s="85">
        <f t="shared" si="168"/>
        <v>0</v>
      </c>
      <c r="AE106" s="86">
        <f>+AD106*Analisis!$J$7</f>
        <v>0</v>
      </c>
      <c r="AF106" s="86">
        <f t="shared" si="110"/>
        <v>225.94453248903514</v>
      </c>
      <c r="AG106" s="126">
        <f>+AF106/(1-Analisis!$E$9)</f>
        <v>282.43066561129393</v>
      </c>
      <c r="AH106" s="128">
        <f t="shared" si="112"/>
        <v>0</v>
      </c>
    </row>
    <row r="107" spans="1:34" s="73" customFormat="1" x14ac:dyDescent="0.25">
      <c r="A107" s="100"/>
      <c r="B107" t="s">
        <v>291</v>
      </c>
      <c r="C107" s="74">
        <f>IFERROR(VLOOKUP(B107,'REQ GALV'!A:B,2,0),0)</f>
        <v>0</v>
      </c>
      <c r="D107" s="116">
        <f t="shared" si="111"/>
        <v>308.90127690515351</v>
      </c>
      <c r="E107" s="103" t="s">
        <v>44</v>
      </c>
      <c r="F107" s="75" t="s">
        <v>147</v>
      </c>
      <c r="G107" s="90">
        <v>4.58</v>
      </c>
      <c r="H107" s="90">
        <v>35.94</v>
      </c>
      <c r="I107" s="76">
        <v>0.105</v>
      </c>
      <c r="J107" s="77">
        <v>28.24</v>
      </c>
      <c r="K107" s="78">
        <f t="shared" si="160"/>
        <v>11.547694976097738</v>
      </c>
      <c r="L107" s="58">
        <f>+VLOOKUP(E107,Material!$H$2:$M$17,6,FALSE)*G107*H107*(1+Material!$K$14)</f>
        <v>148.23041187500002</v>
      </c>
      <c r="M107" s="79" t="str">
        <f>+Analisis!$J$5</f>
        <v>T5.0</v>
      </c>
      <c r="N107" s="80">
        <f>+VLOOKUP(M107,Material!$A$3:$B$58,2,FALSE)</f>
        <v>5000</v>
      </c>
      <c r="O107" s="79" t="s">
        <v>42</v>
      </c>
      <c r="P107" s="79" t="s">
        <v>43</v>
      </c>
      <c r="Q107" s="81">
        <f>+IF(O107="ACERO A36",VLOOKUP(P107,'Velocidades Std 1500 w'!$B$2:$F$15,5,FALSE),IF(O107="INOXIDABLE",VLOOKUP(P107,'Velocidades Std 1500 w'!$B$17:$F$28,5,FALSE),IF(O107="ALUMINIO",VLOOKUP(P107,'Velocidades Std 1500 w'!$B$30:$F$38,5,FALSE))))</f>
        <v>4.3859649122807014E-6</v>
      </c>
      <c r="R107" s="82">
        <f t="shared" si="161"/>
        <v>2.1929824561403508E-2</v>
      </c>
      <c r="S107" s="83">
        <f t="shared" si="162"/>
        <v>43.601238947368415</v>
      </c>
      <c r="T107" s="110">
        <f t="shared" si="163"/>
        <v>2761.4117999999999</v>
      </c>
      <c r="U107" s="80">
        <f t="shared" si="164"/>
        <v>60.557276315789466</v>
      </c>
      <c r="V107" s="98">
        <v>15</v>
      </c>
      <c r="W107" s="84">
        <f>+IF(O107="ACERO A36",VLOOKUP(P107,'Tiempo Objeto'!$B$2:$C$12,2,FALSE),IF(O107="INOXIDABLE",VLOOKUP(P107,'Tiempo Objeto'!$B$14:$C$22,2,FALSE),IF(O107="ALUMINIO",VLOOKUP(P107,'Tiempo Objeto'!$B$24:$C$32,2,FALSE))))</f>
        <v>1.84</v>
      </c>
      <c r="X107" s="84">
        <f t="shared" si="165"/>
        <v>27.6</v>
      </c>
      <c r="Y107" s="80">
        <f t="shared" si="166"/>
        <v>38.333333333333336</v>
      </c>
      <c r="Z107" s="100">
        <v>0</v>
      </c>
      <c r="AA107" s="85">
        <f t="shared" si="167"/>
        <v>0</v>
      </c>
      <c r="AB107" s="86">
        <f>+Z107*Analisis!$J$6</f>
        <v>0</v>
      </c>
      <c r="AC107" s="100">
        <v>0</v>
      </c>
      <c r="AD107" s="85">
        <f t="shared" si="168"/>
        <v>0</v>
      </c>
      <c r="AE107" s="86">
        <f>+AD107*Analisis!$J$7</f>
        <v>0</v>
      </c>
      <c r="AF107" s="86">
        <f t="shared" si="110"/>
        <v>247.12102152412282</v>
      </c>
      <c r="AG107" s="126">
        <f>+AF107/(1-Analisis!$E$9)</f>
        <v>308.90127690515351</v>
      </c>
      <c r="AH107" s="128">
        <f t="shared" si="112"/>
        <v>0</v>
      </c>
    </row>
    <row r="108" spans="1:34" s="73" customFormat="1" x14ac:dyDescent="0.25">
      <c r="A108" s="100"/>
      <c r="B108" t="s">
        <v>292</v>
      </c>
      <c r="C108" s="74">
        <f>IFERROR(VLOOKUP(B108,'REQ GALV'!A:B,2,0),0)</f>
        <v>0</v>
      </c>
      <c r="D108" s="116">
        <f t="shared" si="111"/>
        <v>322.13658255208327</v>
      </c>
      <c r="E108" s="103" t="s">
        <v>44</v>
      </c>
      <c r="F108" s="75" t="s">
        <v>147</v>
      </c>
      <c r="G108" s="90">
        <v>4.58</v>
      </c>
      <c r="H108" s="90">
        <v>37.94</v>
      </c>
      <c r="I108" s="76">
        <v>0.105</v>
      </c>
      <c r="J108" s="77">
        <v>28.24</v>
      </c>
      <c r="K108" s="78">
        <f t="shared" si="160"/>
        <v>12.190304601923986</v>
      </c>
      <c r="L108" s="58">
        <f>+VLOOKUP(E108,Material!$H$2:$M$17,6,FALSE)*G108*H108*(1+Material!$K$14)</f>
        <v>156.47918270833333</v>
      </c>
      <c r="M108" s="79" t="str">
        <f>+Analisis!$J$5</f>
        <v>T5.0</v>
      </c>
      <c r="N108" s="80">
        <f>+VLOOKUP(M108,Material!$A$3:$B$58,2,FALSE)</f>
        <v>5000</v>
      </c>
      <c r="O108" s="79" t="s">
        <v>42</v>
      </c>
      <c r="P108" s="79" t="s">
        <v>43</v>
      </c>
      <c r="Q108" s="81">
        <f>+IF(O108="ACERO A36",VLOOKUP(P108,'Velocidades Std 1500 w'!$B$2:$F$15,5,FALSE),IF(O108="INOXIDABLE",VLOOKUP(P108,'Velocidades Std 1500 w'!$B$17:$F$28,5,FALSE),IF(O108="ALUMINIO",VLOOKUP(P108,'Velocidades Std 1500 w'!$B$30:$F$38,5,FALSE))))</f>
        <v>4.3859649122807014E-6</v>
      </c>
      <c r="R108" s="82">
        <f t="shared" si="161"/>
        <v>2.1929824561403508E-2</v>
      </c>
      <c r="S108" s="83">
        <f t="shared" si="162"/>
        <v>45.285659999999993</v>
      </c>
      <c r="T108" s="110">
        <f t="shared" si="163"/>
        <v>2868.0917999999997</v>
      </c>
      <c r="U108" s="80">
        <f t="shared" si="164"/>
        <v>62.89674999999999</v>
      </c>
      <c r="V108" s="98">
        <v>15</v>
      </c>
      <c r="W108" s="84">
        <f>+IF(O108="ACERO A36",VLOOKUP(P108,'Tiempo Objeto'!$B$2:$C$12,2,FALSE),IF(O108="INOXIDABLE",VLOOKUP(P108,'Tiempo Objeto'!$B$14:$C$22,2,FALSE),IF(O108="ALUMINIO",VLOOKUP(P108,'Tiempo Objeto'!$B$24:$C$32,2,FALSE))))</f>
        <v>1.84</v>
      </c>
      <c r="X108" s="84">
        <f t="shared" si="165"/>
        <v>27.6</v>
      </c>
      <c r="Y108" s="80">
        <f t="shared" si="166"/>
        <v>38.333333333333336</v>
      </c>
      <c r="Z108" s="100">
        <v>0</v>
      </c>
      <c r="AA108" s="85">
        <f t="shared" si="167"/>
        <v>0</v>
      </c>
      <c r="AB108" s="86">
        <f>+Z108*Analisis!$J$6</f>
        <v>0</v>
      </c>
      <c r="AC108" s="100">
        <v>0</v>
      </c>
      <c r="AD108" s="85">
        <f t="shared" si="168"/>
        <v>0</v>
      </c>
      <c r="AE108" s="86">
        <f>+AD108*Analisis!$J$7</f>
        <v>0</v>
      </c>
      <c r="AF108" s="86">
        <f t="shared" si="110"/>
        <v>257.70926604166664</v>
      </c>
      <c r="AG108" s="126">
        <f>+AF108/(1-Analisis!$E$9)</f>
        <v>322.13658255208327</v>
      </c>
      <c r="AH108" s="128">
        <f t="shared" si="112"/>
        <v>0</v>
      </c>
    </row>
    <row r="109" spans="1:34" s="73" customFormat="1" x14ac:dyDescent="0.25">
      <c r="A109" s="100"/>
      <c r="B109" t="s">
        <v>293</v>
      </c>
      <c r="C109" s="74">
        <f>IFERROR(VLOOKUP(B109,'REQ GALV'!A:B,2,0),0)</f>
        <v>0</v>
      </c>
      <c r="D109" s="116">
        <f t="shared" si="111"/>
        <v>335.37188819901309</v>
      </c>
      <c r="E109" s="103" t="s">
        <v>44</v>
      </c>
      <c r="F109" s="75" t="s">
        <v>147</v>
      </c>
      <c r="G109" s="90">
        <v>4.58</v>
      </c>
      <c r="H109" s="90">
        <v>39.94</v>
      </c>
      <c r="I109" s="76">
        <v>0.105</v>
      </c>
      <c r="J109" s="77">
        <v>28.24</v>
      </c>
      <c r="K109" s="78">
        <f t="shared" si="160"/>
        <v>12.832914227750239</v>
      </c>
      <c r="L109" s="58">
        <f>+VLOOKUP(E109,Material!$H$2:$M$17,6,FALSE)*G109*H109*(1+Material!$K$14)</f>
        <v>164.72795354166666</v>
      </c>
      <c r="M109" s="79" t="str">
        <f>+Analisis!$J$5</f>
        <v>T5.0</v>
      </c>
      <c r="N109" s="80">
        <f>+VLOOKUP(M109,Material!$A$3:$B$58,2,FALSE)</f>
        <v>5000</v>
      </c>
      <c r="O109" s="79" t="s">
        <v>42</v>
      </c>
      <c r="P109" s="79" t="s">
        <v>43</v>
      </c>
      <c r="Q109" s="81">
        <f>+IF(O109="ACERO A36",VLOOKUP(P109,'Velocidades Std 1500 w'!$B$2:$F$15,5,FALSE),IF(O109="INOXIDABLE",VLOOKUP(P109,'Velocidades Std 1500 w'!$B$17:$F$28,5,FALSE),IF(O109="ALUMINIO",VLOOKUP(P109,'Velocidades Std 1500 w'!$B$30:$F$38,5,FALSE))))</f>
        <v>4.3859649122807014E-6</v>
      </c>
      <c r="R109" s="82">
        <f t="shared" si="161"/>
        <v>2.1929824561403508E-2</v>
      </c>
      <c r="S109" s="83">
        <f t="shared" si="162"/>
        <v>46.970081052631571</v>
      </c>
      <c r="T109" s="110">
        <f t="shared" si="163"/>
        <v>2974.7717999999995</v>
      </c>
      <c r="U109" s="80">
        <f t="shared" si="164"/>
        <v>65.236223684210515</v>
      </c>
      <c r="V109" s="98">
        <v>15</v>
      </c>
      <c r="W109" s="84">
        <f>+IF(O109="ACERO A36",VLOOKUP(P109,'Tiempo Objeto'!$B$2:$C$12,2,FALSE),IF(O109="INOXIDABLE",VLOOKUP(P109,'Tiempo Objeto'!$B$14:$C$22,2,FALSE),IF(O109="ALUMINIO",VLOOKUP(P109,'Tiempo Objeto'!$B$24:$C$32,2,FALSE))))</f>
        <v>1.84</v>
      </c>
      <c r="X109" s="84">
        <f t="shared" si="165"/>
        <v>27.6</v>
      </c>
      <c r="Y109" s="80">
        <f t="shared" si="166"/>
        <v>38.333333333333336</v>
      </c>
      <c r="Z109" s="100">
        <v>0</v>
      </c>
      <c r="AA109" s="85">
        <f t="shared" si="167"/>
        <v>0</v>
      </c>
      <c r="AB109" s="86">
        <f>+Z109*Analisis!$J$6</f>
        <v>0</v>
      </c>
      <c r="AC109" s="100">
        <v>0</v>
      </c>
      <c r="AD109" s="85">
        <f t="shared" si="168"/>
        <v>0</v>
      </c>
      <c r="AE109" s="86">
        <f>+AD109*Analisis!$J$7</f>
        <v>0</v>
      </c>
      <c r="AF109" s="86">
        <f t="shared" si="110"/>
        <v>268.29751055921048</v>
      </c>
      <c r="AG109" s="126">
        <f>+AF109/(1-Analisis!$E$9)</f>
        <v>335.37188819901309</v>
      </c>
      <c r="AH109" s="128">
        <f t="shared" si="112"/>
        <v>0</v>
      </c>
    </row>
    <row r="110" spans="1:34" s="73" customFormat="1" x14ac:dyDescent="0.25">
      <c r="A110" s="100"/>
      <c r="B110" t="s">
        <v>294</v>
      </c>
      <c r="C110" s="74">
        <f>IFERROR(VLOOKUP(B110,'REQ GALV'!A:B,2,0),0)</f>
        <v>0</v>
      </c>
      <c r="D110" s="116">
        <f t="shared" si="111"/>
        <v>348.60719384594296</v>
      </c>
      <c r="E110" s="103" t="s">
        <v>44</v>
      </c>
      <c r="F110" s="75" t="s">
        <v>147</v>
      </c>
      <c r="G110" s="90">
        <v>4.58</v>
      </c>
      <c r="H110" s="90">
        <v>41.94</v>
      </c>
      <c r="I110" s="76">
        <v>0.105</v>
      </c>
      <c r="J110" s="77">
        <v>28.24</v>
      </c>
      <c r="K110" s="78">
        <f t="shared" si="160"/>
        <v>13.475523853576489</v>
      </c>
      <c r="L110" s="58">
        <f>+VLOOKUP(E110,Material!$H$2:$M$17,6,FALSE)*G110*H110*(1+Material!$K$14)</f>
        <v>172.976724375</v>
      </c>
      <c r="M110" s="79" t="str">
        <f>+Analisis!$J$5</f>
        <v>T5.0</v>
      </c>
      <c r="N110" s="80">
        <f>+VLOOKUP(M110,Material!$A$3:$B$58,2,FALSE)</f>
        <v>5000</v>
      </c>
      <c r="O110" s="79" t="s">
        <v>42</v>
      </c>
      <c r="P110" s="79" t="s">
        <v>43</v>
      </c>
      <c r="Q110" s="81">
        <f>+IF(O110="ACERO A36",VLOOKUP(P110,'Velocidades Std 1500 w'!$B$2:$F$15,5,FALSE),IF(O110="INOXIDABLE",VLOOKUP(P110,'Velocidades Std 1500 w'!$B$17:$F$28,5,FALSE),IF(O110="ALUMINIO",VLOOKUP(P110,'Velocidades Std 1500 w'!$B$30:$F$38,5,FALSE))))</f>
        <v>4.3859649122807014E-6</v>
      </c>
      <c r="R110" s="82">
        <f t="shared" si="161"/>
        <v>2.1929824561403508E-2</v>
      </c>
      <c r="S110" s="83">
        <f t="shared" si="162"/>
        <v>48.654502105263148</v>
      </c>
      <c r="T110" s="110">
        <f t="shared" si="163"/>
        <v>3081.4517999999994</v>
      </c>
      <c r="U110" s="80">
        <f t="shared" si="164"/>
        <v>67.575697368421032</v>
      </c>
      <c r="V110" s="98">
        <v>15</v>
      </c>
      <c r="W110" s="84">
        <f>+IF(O110="ACERO A36",VLOOKUP(P110,'Tiempo Objeto'!$B$2:$C$12,2,FALSE),IF(O110="INOXIDABLE",VLOOKUP(P110,'Tiempo Objeto'!$B$14:$C$22,2,FALSE),IF(O110="ALUMINIO",VLOOKUP(P110,'Tiempo Objeto'!$B$24:$C$32,2,FALSE))))</f>
        <v>1.84</v>
      </c>
      <c r="X110" s="84">
        <f t="shared" si="165"/>
        <v>27.6</v>
      </c>
      <c r="Y110" s="80">
        <f t="shared" si="166"/>
        <v>38.333333333333336</v>
      </c>
      <c r="Z110" s="100">
        <v>0</v>
      </c>
      <c r="AA110" s="85">
        <f t="shared" si="167"/>
        <v>0</v>
      </c>
      <c r="AB110" s="86">
        <f>+Z110*Analisis!$J$6</f>
        <v>0</v>
      </c>
      <c r="AC110" s="100">
        <v>0</v>
      </c>
      <c r="AD110" s="85">
        <f t="shared" si="168"/>
        <v>0</v>
      </c>
      <c r="AE110" s="86">
        <f>+AD110*Analisis!$J$7</f>
        <v>0</v>
      </c>
      <c r="AF110" s="86">
        <f t="shared" si="110"/>
        <v>278.88575507675438</v>
      </c>
      <c r="AG110" s="126">
        <f>+AF110/(1-Analisis!$E$9)</f>
        <v>348.60719384594296</v>
      </c>
      <c r="AH110" s="128">
        <f t="shared" si="112"/>
        <v>0</v>
      </c>
    </row>
    <row r="111" spans="1:34" s="73" customFormat="1" x14ac:dyDescent="0.25">
      <c r="A111" s="100"/>
      <c r="B111" t="s">
        <v>295</v>
      </c>
      <c r="C111" s="74">
        <f>IFERROR(VLOOKUP(B111,'REQ GALV'!A:B,2,0),0)</f>
        <v>0</v>
      </c>
      <c r="D111" s="116">
        <f t="shared" si="111"/>
        <v>375.07780513980254</v>
      </c>
      <c r="E111" s="103" t="s">
        <v>44</v>
      </c>
      <c r="F111" s="75" t="s">
        <v>147</v>
      </c>
      <c r="G111" s="90">
        <v>4.58</v>
      </c>
      <c r="H111" s="90">
        <v>45.94</v>
      </c>
      <c r="I111" s="76">
        <v>0.105</v>
      </c>
      <c r="J111" s="77">
        <v>28.24</v>
      </c>
      <c r="K111" s="78">
        <f t="shared" si="160"/>
        <v>14.76074310522899</v>
      </c>
      <c r="L111" s="58">
        <f>+VLOOKUP(E111,Material!$H$2:$M$17,6,FALSE)*G111*H111*(1+Material!$K$14)</f>
        <v>189.47426604166665</v>
      </c>
      <c r="M111" s="79" t="str">
        <f>+Analisis!$J$5</f>
        <v>T5.0</v>
      </c>
      <c r="N111" s="80">
        <f>+VLOOKUP(M111,Material!$A$3:$B$58,2,FALSE)</f>
        <v>5000</v>
      </c>
      <c r="O111" s="79" t="s">
        <v>42</v>
      </c>
      <c r="P111" s="79" t="s">
        <v>43</v>
      </c>
      <c r="Q111" s="81">
        <f>+IF(O111="ACERO A36",VLOOKUP(P111,'Velocidades Std 1500 w'!$B$2:$F$15,5,FALSE),IF(O111="INOXIDABLE",VLOOKUP(P111,'Velocidades Std 1500 w'!$B$17:$F$28,5,FALSE),IF(O111="ALUMINIO",VLOOKUP(P111,'Velocidades Std 1500 w'!$B$30:$F$38,5,FALSE))))</f>
        <v>4.3859649122807014E-6</v>
      </c>
      <c r="R111" s="82">
        <f t="shared" si="161"/>
        <v>2.1929824561403508E-2</v>
      </c>
      <c r="S111" s="83">
        <f t="shared" si="162"/>
        <v>52.023344210526311</v>
      </c>
      <c r="T111" s="110">
        <f t="shared" si="163"/>
        <v>3294.8117999999999</v>
      </c>
      <c r="U111" s="80">
        <f t="shared" si="164"/>
        <v>72.254644736842096</v>
      </c>
      <c r="V111" s="98">
        <v>15</v>
      </c>
      <c r="W111" s="84">
        <f>+IF(O111="ACERO A36",VLOOKUP(P111,'Tiempo Objeto'!$B$2:$C$12,2,FALSE),IF(O111="INOXIDABLE",VLOOKUP(P111,'Tiempo Objeto'!$B$14:$C$22,2,FALSE),IF(O111="ALUMINIO",VLOOKUP(P111,'Tiempo Objeto'!$B$24:$C$32,2,FALSE))))</f>
        <v>1.84</v>
      </c>
      <c r="X111" s="84">
        <f t="shared" si="165"/>
        <v>27.6</v>
      </c>
      <c r="Y111" s="80">
        <f t="shared" si="166"/>
        <v>38.333333333333336</v>
      </c>
      <c r="Z111" s="100">
        <v>0</v>
      </c>
      <c r="AA111" s="85">
        <f t="shared" si="167"/>
        <v>0</v>
      </c>
      <c r="AB111" s="86">
        <f>+Z111*Analisis!$J$6</f>
        <v>0</v>
      </c>
      <c r="AC111" s="100">
        <v>0</v>
      </c>
      <c r="AD111" s="85">
        <f t="shared" si="168"/>
        <v>0</v>
      </c>
      <c r="AE111" s="86">
        <f>+AD111*Analisis!$J$7</f>
        <v>0</v>
      </c>
      <c r="AF111" s="86">
        <f t="shared" si="110"/>
        <v>300.06224411184206</v>
      </c>
      <c r="AG111" s="126">
        <f>+AF111/(1-Analisis!$E$9)</f>
        <v>375.07780513980254</v>
      </c>
      <c r="AH111" s="128">
        <f t="shared" si="112"/>
        <v>0</v>
      </c>
    </row>
    <row r="112" spans="1:34" s="73" customFormat="1" x14ac:dyDescent="0.25">
      <c r="A112" s="100"/>
      <c r="B112" t="s">
        <v>269</v>
      </c>
      <c r="C112" s="74">
        <f>IFERROR(VLOOKUP(B112,'REQ GALV'!A:B,2,0),0)</f>
        <v>0</v>
      </c>
      <c r="D112" s="116">
        <f t="shared" si="111"/>
        <v>335.78567971948104</v>
      </c>
      <c r="E112" s="103" t="s">
        <v>44</v>
      </c>
      <c r="F112" s="75" t="s">
        <v>147</v>
      </c>
      <c r="G112" s="90">
        <v>21.94</v>
      </c>
      <c r="H112" s="90">
        <v>5.94</v>
      </c>
      <c r="I112" s="76">
        <v>0.105</v>
      </c>
      <c r="J112" s="77">
        <v>28.24</v>
      </c>
      <c r="K112" s="78">
        <f t="shared" si="120"/>
        <v>9.1427074052762087</v>
      </c>
      <c r="L112" s="58">
        <f>+VLOOKUP(E112,Material!$H$2:$M$17,6,FALSE)*G112*H112*(1+Material!$K$14)</f>
        <v>117.35911687500004</v>
      </c>
      <c r="M112" s="79" t="str">
        <f>+Analisis!$J$5</f>
        <v>T5.0</v>
      </c>
      <c r="N112" s="80">
        <f>+VLOOKUP(M112,Material!$A$3:$B$58,2,FALSE)</f>
        <v>5000</v>
      </c>
      <c r="O112" s="79" t="s">
        <v>42</v>
      </c>
      <c r="P112" s="79" t="s">
        <v>43</v>
      </c>
      <c r="Q112" s="81">
        <f>+IF(O112="ACERO A36",VLOOKUP(P112,'Velocidades Std 1500 w'!$B$2:$F$15,5,FALSE),IF(O112="INOXIDABLE",VLOOKUP(P112,'Velocidades Std 1500 w'!$B$17:$F$28,5,FALSE),IF(O112="ALUMINIO",VLOOKUP(P112,'Velocidades Std 1500 w'!$B$30:$F$38,5,FALSE))))</f>
        <v>4.3859649122807014E-6</v>
      </c>
      <c r="R112" s="82">
        <f t="shared" si="121"/>
        <v>2.1929824561403508E-2</v>
      </c>
      <c r="S112" s="83">
        <f t="shared" si="122"/>
        <v>36.11398736842105</v>
      </c>
      <c r="T112" s="110">
        <f t="shared" si="123"/>
        <v>2287.2192</v>
      </c>
      <c r="U112" s="80">
        <f t="shared" si="124"/>
        <v>50.158315789473683</v>
      </c>
      <c r="V112" s="98">
        <v>20</v>
      </c>
      <c r="W112" s="84">
        <f>+IF(O112="ACERO A36",VLOOKUP(P112,'Tiempo Objeto'!$B$2:$C$12,2,FALSE),IF(O112="INOXIDABLE",VLOOKUP(P112,'Tiempo Objeto'!$B$14:$C$22,2,FALSE),IF(O112="ALUMINIO",VLOOKUP(P112,'Tiempo Objeto'!$B$24:$C$32,2,FALSE))))</f>
        <v>1.84</v>
      </c>
      <c r="X112" s="84">
        <f t="shared" si="125"/>
        <v>36.800000000000004</v>
      </c>
      <c r="Y112" s="80">
        <f t="shared" si="126"/>
        <v>51.111111111111121</v>
      </c>
      <c r="Z112" s="100">
        <v>2</v>
      </c>
      <c r="AA112" s="85">
        <f t="shared" si="127"/>
        <v>60</v>
      </c>
      <c r="AB112" s="86">
        <f>+Z112*Analisis!$J$6</f>
        <v>50</v>
      </c>
      <c r="AC112" s="100">
        <v>0</v>
      </c>
      <c r="AD112" s="85">
        <f t="shared" si="128"/>
        <v>0</v>
      </c>
      <c r="AE112" s="86">
        <f>+AD112*Analisis!$J$7</f>
        <v>0</v>
      </c>
      <c r="AF112" s="86">
        <f t="shared" si="110"/>
        <v>268.62854377558483</v>
      </c>
      <c r="AG112" s="126">
        <f>+AF112/(1-Analisis!$E$9)</f>
        <v>335.78567971948104</v>
      </c>
      <c r="AH112" s="128">
        <f t="shared" si="112"/>
        <v>0</v>
      </c>
    </row>
    <row r="113" spans="1:34" s="73" customFormat="1" x14ac:dyDescent="0.25">
      <c r="A113" s="100"/>
      <c r="B113" t="s">
        <v>296</v>
      </c>
      <c r="C113" s="74">
        <f>IFERROR(VLOOKUP(B113,'REQ GALV'!A:B,2,0),0)</f>
        <v>0</v>
      </c>
      <c r="D113" s="116">
        <f t="shared" si="111"/>
        <v>368.37983268000733</v>
      </c>
      <c r="E113" s="103" t="s">
        <v>44</v>
      </c>
      <c r="F113" s="75" t="s">
        <v>147</v>
      </c>
      <c r="G113" s="90">
        <v>25.94</v>
      </c>
      <c r="H113" s="90">
        <v>5.94</v>
      </c>
      <c r="I113" s="76">
        <v>0.105</v>
      </c>
      <c r="J113" s="77">
        <v>28.24</v>
      </c>
      <c r="K113" s="78">
        <f t="shared" ref="K113:K120" si="169">+L113*2.2/J113</f>
        <v>10.809563814624649</v>
      </c>
      <c r="L113" s="58">
        <f>+VLOOKUP(E113,Material!$H$2:$M$17,6,FALSE)*G113*H113*(1+Material!$K$14)</f>
        <v>138.75549187500002</v>
      </c>
      <c r="M113" s="79" t="str">
        <f>+Analisis!$J$5</f>
        <v>T5.0</v>
      </c>
      <c r="N113" s="80">
        <f>+VLOOKUP(M113,Material!$A$3:$B$58,2,FALSE)</f>
        <v>5000</v>
      </c>
      <c r="O113" s="79" t="s">
        <v>42</v>
      </c>
      <c r="P113" s="79" t="s">
        <v>43</v>
      </c>
      <c r="Q113" s="81">
        <f>+IF(O113="ACERO A36",VLOOKUP(P113,'Velocidades Std 1500 w'!$B$2:$F$15,5,FALSE),IF(O113="INOXIDABLE",VLOOKUP(P113,'Velocidades Std 1500 w'!$B$17:$F$28,5,FALSE),IF(O113="ALUMINIO",VLOOKUP(P113,'Velocidades Std 1500 w'!$B$30:$F$38,5,FALSE))))</f>
        <v>4.3859649122807014E-6</v>
      </c>
      <c r="R113" s="82">
        <f t="shared" ref="R113:R120" si="170">+Q113*N113</f>
        <v>2.1929824561403508E-2</v>
      </c>
      <c r="S113" s="83">
        <f t="shared" ref="S113:S120" si="171">+Q113*T113*3600</f>
        <v>39.482829473684212</v>
      </c>
      <c r="T113" s="110">
        <f t="shared" ref="T113:T120" si="172">(+H113*2+G113*2+V113*1.5)*25.4*1.05</f>
        <v>2500.5792000000001</v>
      </c>
      <c r="U113" s="80">
        <f t="shared" ref="U113:U120" si="173">+T113*R113</f>
        <v>54.837263157894739</v>
      </c>
      <c r="V113" s="98">
        <v>20</v>
      </c>
      <c r="W113" s="84">
        <f>+IF(O113="ACERO A36",VLOOKUP(P113,'Tiempo Objeto'!$B$2:$C$12,2,FALSE),IF(O113="INOXIDABLE",VLOOKUP(P113,'Tiempo Objeto'!$B$14:$C$22,2,FALSE),IF(O113="ALUMINIO",VLOOKUP(P113,'Tiempo Objeto'!$B$24:$C$32,2,FALSE))))</f>
        <v>1.84</v>
      </c>
      <c r="X113" s="84">
        <f t="shared" ref="X113:X120" si="174">+W113*V113</f>
        <v>36.800000000000004</v>
      </c>
      <c r="Y113" s="80">
        <f t="shared" ref="Y113:Y120" si="175">+X113*N113/3600</f>
        <v>51.111111111111121</v>
      </c>
      <c r="Z113" s="100">
        <v>2</v>
      </c>
      <c r="AA113" s="85">
        <f t="shared" ref="AA113:AA120" si="176">30*Z113+Z113*$C113*1.5</f>
        <v>60</v>
      </c>
      <c r="AB113" s="86">
        <f>+Z113*Analisis!$J$6</f>
        <v>50</v>
      </c>
      <c r="AC113" s="100">
        <v>0</v>
      </c>
      <c r="AD113" s="85">
        <f t="shared" ref="AD113:AD120" si="177">30*AC113+AC113*$C113*1.5</f>
        <v>0</v>
      </c>
      <c r="AE113" s="86">
        <f>+AD113*Analisis!$J$7</f>
        <v>0</v>
      </c>
      <c r="AF113" s="86">
        <f t="shared" si="110"/>
        <v>294.70386614400587</v>
      </c>
      <c r="AG113" s="126">
        <f>+AF113/(1-Analisis!$E$9)</f>
        <v>368.37983268000733</v>
      </c>
      <c r="AH113" s="128">
        <f t="shared" si="112"/>
        <v>0</v>
      </c>
    </row>
    <row r="114" spans="1:34" s="73" customFormat="1" x14ac:dyDescent="0.25">
      <c r="A114" s="100"/>
      <c r="B114" t="s">
        <v>297</v>
      </c>
      <c r="C114" s="74">
        <f>IFERROR(VLOOKUP(B114,'REQ GALV'!A:B,2,0),0)</f>
        <v>0</v>
      </c>
      <c r="D114" s="116">
        <f t="shared" si="111"/>
        <v>400.97398564053367</v>
      </c>
      <c r="E114" s="103" t="s">
        <v>44</v>
      </c>
      <c r="F114" s="75" t="s">
        <v>147</v>
      </c>
      <c r="G114" s="90">
        <v>29.94</v>
      </c>
      <c r="H114" s="90">
        <v>5.94</v>
      </c>
      <c r="I114" s="76">
        <v>0.105</v>
      </c>
      <c r="J114" s="77">
        <v>28.24</v>
      </c>
      <c r="K114" s="78">
        <f t="shared" si="169"/>
        <v>12.47642022397309</v>
      </c>
      <c r="L114" s="58">
        <f>+VLOOKUP(E114,Material!$H$2:$M$17,6,FALSE)*G114*H114*(1+Material!$K$14)</f>
        <v>160.15186687500002</v>
      </c>
      <c r="M114" s="79" t="str">
        <f>+Analisis!$J$5</f>
        <v>T5.0</v>
      </c>
      <c r="N114" s="80">
        <f>+VLOOKUP(M114,Material!$A$3:$B$58,2,FALSE)</f>
        <v>5000</v>
      </c>
      <c r="O114" s="79" t="s">
        <v>42</v>
      </c>
      <c r="P114" s="79" t="s">
        <v>43</v>
      </c>
      <c r="Q114" s="81">
        <f>+IF(O114="ACERO A36",VLOOKUP(P114,'Velocidades Std 1500 w'!$B$2:$F$15,5,FALSE),IF(O114="INOXIDABLE",VLOOKUP(P114,'Velocidades Std 1500 w'!$B$17:$F$28,5,FALSE),IF(O114="ALUMINIO",VLOOKUP(P114,'Velocidades Std 1500 w'!$B$30:$F$38,5,FALSE))))</f>
        <v>4.3859649122807014E-6</v>
      </c>
      <c r="R114" s="82">
        <f t="shared" si="170"/>
        <v>2.1929824561403508E-2</v>
      </c>
      <c r="S114" s="83">
        <f t="shared" si="171"/>
        <v>42.851671578947375</v>
      </c>
      <c r="T114" s="110">
        <f t="shared" si="172"/>
        <v>2713.9392000000003</v>
      </c>
      <c r="U114" s="80">
        <f t="shared" si="173"/>
        <v>59.516210526315788</v>
      </c>
      <c r="V114" s="98">
        <v>20</v>
      </c>
      <c r="W114" s="84">
        <f>+IF(O114="ACERO A36",VLOOKUP(P114,'Tiempo Objeto'!$B$2:$C$12,2,FALSE),IF(O114="INOXIDABLE",VLOOKUP(P114,'Tiempo Objeto'!$B$14:$C$22,2,FALSE),IF(O114="ALUMINIO",VLOOKUP(P114,'Tiempo Objeto'!$B$24:$C$32,2,FALSE))))</f>
        <v>1.84</v>
      </c>
      <c r="X114" s="84">
        <f t="shared" si="174"/>
        <v>36.800000000000004</v>
      </c>
      <c r="Y114" s="80">
        <f t="shared" si="175"/>
        <v>51.111111111111121</v>
      </c>
      <c r="Z114" s="100">
        <v>2</v>
      </c>
      <c r="AA114" s="85">
        <f t="shared" si="176"/>
        <v>60</v>
      </c>
      <c r="AB114" s="86">
        <f>+Z114*Analisis!$J$6</f>
        <v>50</v>
      </c>
      <c r="AC114" s="100">
        <v>0</v>
      </c>
      <c r="AD114" s="85">
        <f t="shared" si="177"/>
        <v>0</v>
      </c>
      <c r="AE114" s="86">
        <f>+AD114*Analisis!$J$7</f>
        <v>0</v>
      </c>
      <c r="AF114" s="86">
        <f t="shared" si="110"/>
        <v>320.77918851242697</v>
      </c>
      <c r="AG114" s="126">
        <f>+AF114/(1-Analisis!$E$9)</f>
        <v>400.97398564053367</v>
      </c>
      <c r="AH114" s="128">
        <f t="shared" si="112"/>
        <v>0</v>
      </c>
    </row>
    <row r="115" spans="1:34" s="73" customFormat="1" x14ac:dyDescent="0.25">
      <c r="A115" s="100"/>
      <c r="B115" t="s">
        <v>298</v>
      </c>
      <c r="C115" s="74">
        <f>IFERROR(VLOOKUP(B115,'REQ GALV'!A:B,2,0),0)</f>
        <v>0</v>
      </c>
      <c r="D115" s="116">
        <f t="shared" si="111"/>
        <v>417.27106212079678</v>
      </c>
      <c r="E115" s="103" t="s">
        <v>44</v>
      </c>
      <c r="F115" s="75" t="s">
        <v>147</v>
      </c>
      <c r="G115" s="90">
        <v>31.94</v>
      </c>
      <c r="H115" s="90">
        <v>5.94</v>
      </c>
      <c r="I115" s="76">
        <v>0.105</v>
      </c>
      <c r="J115" s="77">
        <v>28.24</v>
      </c>
      <c r="K115" s="78">
        <f t="shared" si="169"/>
        <v>13.309848428647314</v>
      </c>
      <c r="L115" s="58">
        <f>+VLOOKUP(E115,Material!$H$2:$M$17,6,FALSE)*G115*H115*(1+Material!$K$14)</f>
        <v>170.85005437500004</v>
      </c>
      <c r="M115" s="79" t="str">
        <f>+Analisis!$J$5</f>
        <v>T5.0</v>
      </c>
      <c r="N115" s="80">
        <f>+VLOOKUP(M115,Material!$A$3:$B$58,2,FALSE)</f>
        <v>5000</v>
      </c>
      <c r="O115" s="79" t="s">
        <v>42</v>
      </c>
      <c r="P115" s="79" t="s">
        <v>43</v>
      </c>
      <c r="Q115" s="81">
        <f>+IF(O115="ACERO A36",VLOOKUP(P115,'Velocidades Std 1500 w'!$B$2:$F$15,5,FALSE),IF(O115="INOXIDABLE",VLOOKUP(P115,'Velocidades Std 1500 w'!$B$17:$F$28,5,FALSE),IF(O115="ALUMINIO",VLOOKUP(P115,'Velocidades Std 1500 w'!$B$30:$F$38,5,FALSE))))</f>
        <v>4.3859649122807014E-6</v>
      </c>
      <c r="R115" s="82">
        <f t="shared" si="170"/>
        <v>2.1929824561403508E-2</v>
      </c>
      <c r="S115" s="83">
        <f t="shared" si="171"/>
        <v>44.536092631578946</v>
      </c>
      <c r="T115" s="110">
        <f t="shared" si="172"/>
        <v>2820.6192000000001</v>
      </c>
      <c r="U115" s="80">
        <f t="shared" si="173"/>
        <v>61.855684210526313</v>
      </c>
      <c r="V115" s="98">
        <v>20</v>
      </c>
      <c r="W115" s="84">
        <f>+IF(O115="ACERO A36",VLOOKUP(P115,'Tiempo Objeto'!$B$2:$C$12,2,FALSE),IF(O115="INOXIDABLE",VLOOKUP(P115,'Tiempo Objeto'!$B$14:$C$22,2,FALSE),IF(O115="ALUMINIO",VLOOKUP(P115,'Tiempo Objeto'!$B$24:$C$32,2,FALSE))))</f>
        <v>1.84</v>
      </c>
      <c r="X115" s="84">
        <f t="shared" si="174"/>
        <v>36.800000000000004</v>
      </c>
      <c r="Y115" s="80">
        <f t="shared" si="175"/>
        <v>51.111111111111121</v>
      </c>
      <c r="Z115" s="100">
        <v>2</v>
      </c>
      <c r="AA115" s="85">
        <f t="shared" si="176"/>
        <v>60</v>
      </c>
      <c r="AB115" s="86">
        <f>+Z115*Analisis!$J$6</f>
        <v>50</v>
      </c>
      <c r="AC115" s="100">
        <v>0</v>
      </c>
      <c r="AD115" s="85">
        <f t="shared" si="177"/>
        <v>0</v>
      </c>
      <c r="AE115" s="86">
        <f>+AD115*Analisis!$J$7</f>
        <v>0</v>
      </c>
      <c r="AF115" s="86">
        <f t="shared" si="110"/>
        <v>333.81684969663746</v>
      </c>
      <c r="AG115" s="126">
        <f>+AF115/(1-Analisis!$E$9)</f>
        <v>417.27106212079678</v>
      </c>
      <c r="AH115" s="128">
        <f t="shared" si="112"/>
        <v>0</v>
      </c>
    </row>
    <row r="116" spans="1:34" s="73" customFormat="1" x14ac:dyDescent="0.25">
      <c r="A116" s="100"/>
      <c r="B116" t="s">
        <v>299</v>
      </c>
      <c r="C116" s="74">
        <f>IFERROR(VLOOKUP(B116,'REQ GALV'!A:B,2,0),0)</f>
        <v>0</v>
      </c>
      <c r="D116" s="116">
        <f t="shared" si="111"/>
        <v>449.86521508132319</v>
      </c>
      <c r="E116" s="103" t="s">
        <v>44</v>
      </c>
      <c r="F116" s="75" t="s">
        <v>147</v>
      </c>
      <c r="G116" s="90">
        <v>35.94</v>
      </c>
      <c r="H116" s="90">
        <v>5.94</v>
      </c>
      <c r="I116" s="76">
        <v>0.105</v>
      </c>
      <c r="J116" s="77">
        <v>28.24</v>
      </c>
      <c r="K116" s="78">
        <f t="shared" si="169"/>
        <v>14.976704837995756</v>
      </c>
      <c r="L116" s="58">
        <f>+VLOOKUP(E116,Material!$H$2:$M$17,6,FALSE)*G116*H116*(1+Material!$K$14)</f>
        <v>192.24642937500005</v>
      </c>
      <c r="M116" s="79" t="str">
        <f>+Analisis!$J$5</f>
        <v>T5.0</v>
      </c>
      <c r="N116" s="80">
        <f>+VLOOKUP(M116,Material!$A$3:$B$58,2,FALSE)</f>
        <v>5000</v>
      </c>
      <c r="O116" s="79" t="s">
        <v>42</v>
      </c>
      <c r="P116" s="79" t="s">
        <v>43</v>
      </c>
      <c r="Q116" s="81">
        <f>+IF(O116="ACERO A36",VLOOKUP(P116,'Velocidades Std 1500 w'!$B$2:$F$15,5,FALSE),IF(O116="INOXIDABLE",VLOOKUP(P116,'Velocidades Std 1500 w'!$B$17:$F$28,5,FALSE),IF(O116="ALUMINIO",VLOOKUP(P116,'Velocidades Std 1500 w'!$B$30:$F$38,5,FALSE))))</f>
        <v>4.3859649122807014E-6</v>
      </c>
      <c r="R116" s="82">
        <f t="shared" si="170"/>
        <v>2.1929824561403508E-2</v>
      </c>
      <c r="S116" s="83">
        <f t="shared" si="171"/>
        <v>47.904934736842094</v>
      </c>
      <c r="T116" s="110">
        <f t="shared" si="172"/>
        <v>3033.9791999999998</v>
      </c>
      <c r="U116" s="80">
        <f t="shared" si="173"/>
        <v>66.534631578947355</v>
      </c>
      <c r="V116" s="98">
        <v>20</v>
      </c>
      <c r="W116" s="84">
        <f>+IF(O116="ACERO A36",VLOOKUP(P116,'Tiempo Objeto'!$B$2:$C$12,2,FALSE),IF(O116="INOXIDABLE",VLOOKUP(P116,'Tiempo Objeto'!$B$14:$C$22,2,FALSE),IF(O116="ALUMINIO",VLOOKUP(P116,'Tiempo Objeto'!$B$24:$C$32,2,FALSE))))</f>
        <v>1.84</v>
      </c>
      <c r="X116" s="84">
        <f t="shared" si="174"/>
        <v>36.800000000000004</v>
      </c>
      <c r="Y116" s="80">
        <f t="shared" si="175"/>
        <v>51.111111111111121</v>
      </c>
      <c r="Z116" s="100">
        <v>2</v>
      </c>
      <c r="AA116" s="85">
        <f t="shared" si="176"/>
        <v>60</v>
      </c>
      <c r="AB116" s="86">
        <f>+Z116*Analisis!$J$6</f>
        <v>50</v>
      </c>
      <c r="AC116" s="100">
        <v>0</v>
      </c>
      <c r="AD116" s="85">
        <f t="shared" si="177"/>
        <v>0</v>
      </c>
      <c r="AE116" s="86">
        <f>+AD116*Analisis!$J$7</f>
        <v>0</v>
      </c>
      <c r="AF116" s="86">
        <f t="shared" si="110"/>
        <v>359.89217206505856</v>
      </c>
      <c r="AG116" s="126">
        <f>+AF116/(1-Analisis!$E$9)</f>
        <v>449.86521508132319</v>
      </c>
      <c r="AH116" s="128">
        <f t="shared" si="112"/>
        <v>0</v>
      </c>
    </row>
    <row r="117" spans="1:34" s="73" customFormat="1" x14ac:dyDescent="0.25">
      <c r="A117" s="100"/>
      <c r="B117" t="s">
        <v>300</v>
      </c>
      <c r="C117" s="74">
        <f>IFERROR(VLOOKUP(B117,'REQ GALV'!A:B,2,0),0)</f>
        <v>0</v>
      </c>
      <c r="D117" s="116">
        <f t="shared" si="111"/>
        <v>466.1622915615863</v>
      </c>
      <c r="E117" s="103" t="s">
        <v>44</v>
      </c>
      <c r="F117" s="75" t="s">
        <v>147</v>
      </c>
      <c r="G117" s="90">
        <v>37.94</v>
      </c>
      <c r="H117" s="90">
        <v>5.94</v>
      </c>
      <c r="I117" s="76">
        <v>0.105</v>
      </c>
      <c r="J117" s="77">
        <v>28.24</v>
      </c>
      <c r="K117" s="78">
        <f t="shared" si="169"/>
        <v>15.810133042669975</v>
      </c>
      <c r="L117" s="58">
        <f>+VLOOKUP(E117,Material!$H$2:$M$17,6,FALSE)*G117*H117*(1+Material!$K$14)</f>
        <v>202.94461687500001</v>
      </c>
      <c r="M117" s="79" t="str">
        <f>+Analisis!$J$5</f>
        <v>T5.0</v>
      </c>
      <c r="N117" s="80">
        <f>+VLOOKUP(M117,Material!$A$3:$B$58,2,FALSE)</f>
        <v>5000</v>
      </c>
      <c r="O117" s="79" t="s">
        <v>42</v>
      </c>
      <c r="P117" s="79" t="s">
        <v>43</v>
      </c>
      <c r="Q117" s="81">
        <f>+IF(O117="ACERO A36",VLOOKUP(P117,'Velocidades Std 1500 w'!$B$2:$F$15,5,FALSE),IF(O117="INOXIDABLE",VLOOKUP(P117,'Velocidades Std 1500 w'!$B$17:$F$28,5,FALSE),IF(O117="ALUMINIO",VLOOKUP(P117,'Velocidades Std 1500 w'!$B$30:$F$38,5,FALSE))))</f>
        <v>4.3859649122807014E-6</v>
      </c>
      <c r="R117" s="82">
        <f t="shared" si="170"/>
        <v>2.1929824561403508E-2</v>
      </c>
      <c r="S117" s="83">
        <f t="shared" si="171"/>
        <v>49.589355789473679</v>
      </c>
      <c r="T117" s="110">
        <f t="shared" si="172"/>
        <v>3140.6592000000001</v>
      </c>
      <c r="U117" s="80">
        <f t="shared" si="173"/>
        <v>68.874105263157887</v>
      </c>
      <c r="V117" s="98">
        <v>20</v>
      </c>
      <c r="W117" s="84">
        <f>+IF(O117="ACERO A36",VLOOKUP(P117,'Tiempo Objeto'!$B$2:$C$12,2,FALSE),IF(O117="INOXIDABLE",VLOOKUP(P117,'Tiempo Objeto'!$B$14:$C$22,2,FALSE),IF(O117="ALUMINIO",VLOOKUP(P117,'Tiempo Objeto'!$B$24:$C$32,2,FALSE))))</f>
        <v>1.84</v>
      </c>
      <c r="X117" s="84">
        <f t="shared" si="174"/>
        <v>36.800000000000004</v>
      </c>
      <c r="Y117" s="80">
        <f t="shared" si="175"/>
        <v>51.111111111111121</v>
      </c>
      <c r="Z117" s="100">
        <v>2</v>
      </c>
      <c r="AA117" s="85">
        <f t="shared" si="176"/>
        <v>60</v>
      </c>
      <c r="AB117" s="86">
        <f>+Z117*Analisis!$J$6</f>
        <v>50</v>
      </c>
      <c r="AC117" s="100">
        <v>0</v>
      </c>
      <c r="AD117" s="85">
        <f t="shared" si="177"/>
        <v>0</v>
      </c>
      <c r="AE117" s="86">
        <f>+AD117*Analisis!$J$7</f>
        <v>0</v>
      </c>
      <c r="AF117" s="86">
        <f t="shared" si="110"/>
        <v>372.92983324926905</v>
      </c>
      <c r="AG117" s="126">
        <f>+AF117/(1-Analisis!$E$9)</f>
        <v>466.1622915615863</v>
      </c>
      <c r="AH117" s="128">
        <f t="shared" si="112"/>
        <v>0</v>
      </c>
    </row>
    <row r="118" spans="1:34" s="73" customFormat="1" x14ac:dyDescent="0.25">
      <c r="A118" s="100"/>
      <c r="B118" t="s">
        <v>301</v>
      </c>
      <c r="C118" s="74">
        <f>IFERROR(VLOOKUP(B118,'REQ GALV'!A:B,2,0),0)</f>
        <v>0</v>
      </c>
      <c r="D118" s="116">
        <f t="shared" si="111"/>
        <v>482.45936804184947</v>
      </c>
      <c r="E118" s="103" t="s">
        <v>44</v>
      </c>
      <c r="F118" s="75" t="s">
        <v>147</v>
      </c>
      <c r="G118" s="90">
        <v>39.94</v>
      </c>
      <c r="H118" s="90">
        <v>5.94</v>
      </c>
      <c r="I118" s="76">
        <v>0.105</v>
      </c>
      <c r="J118" s="77">
        <v>28.24</v>
      </c>
      <c r="K118" s="78">
        <f t="shared" si="169"/>
        <v>16.643561247344195</v>
      </c>
      <c r="L118" s="58">
        <f>+VLOOKUP(E118,Material!$H$2:$M$17,6,FALSE)*G118*H118*(1+Material!$K$14)</f>
        <v>213.64280437500003</v>
      </c>
      <c r="M118" s="79" t="str">
        <f>+Analisis!$J$5</f>
        <v>T5.0</v>
      </c>
      <c r="N118" s="80">
        <f>+VLOOKUP(M118,Material!$A$3:$B$58,2,FALSE)</f>
        <v>5000</v>
      </c>
      <c r="O118" s="79" t="s">
        <v>42</v>
      </c>
      <c r="P118" s="79" t="s">
        <v>43</v>
      </c>
      <c r="Q118" s="81">
        <f>+IF(O118="ACERO A36",VLOOKUP(P118,'Velocidades Std 1500 w'!$B$2:$F$15,5,FALSE),IF(O118="INOXIDABLE",VLOOKUP(P118,'Velocidades Std 1500 w'!$B$17:$F$28,5,FALSE),IF(O118="ALUMINIO",VLOOKUP(P118,'Velocidades Std 1500 w'!$B$30:$F$38,5,FALSE))))</f>
        <v>4.3859649122807014E-6</v>
      </c>
      <c r="R118" s="82">
        <f t="shared" si="170"/>
        <v>2.1929824561403508E-2</v>
      </c>
      <c r="S118" s="83">
        <f t="shared" si="171"/>
        <v>51.273776842105256</v>
      </c>
      <c r="T118" s="110">
        <f t="shared" si="172"/>
        <v>3247.3391999999999</v>
      </c>
      <c r="U118" s="80">
        <f t="shared" si="173"/>
        <v>71.213578947368418</v>
      </c>
      <c r="V118" s="98">
        <v>20</v>
      </c>
      <c r="W118" s="84">
        <f>+IF(O118="ACERO A36",VLOOKUP(P118,'Tiempo Objeto'!$B$2:$C$12,2,FALSE),IF(O118="INOXIDABLE",VLOOKUP(P118,'Tiempo Objeto'!$B$14:$C$22,2,FALSE),IF(O118="ALUMINIO",VLOOKUP(P118,'Tiempo Objeto'!$B$24:$C$32,2,FALSE))))</f>
        <v>1.84</v>
      </c>
      <c r="X118" s="84">
        <f t="shared" si="174"/>
        <v>36.800000000000004</v>
      </c>
      <c r="Y118" s="80">
        <f t="shared" si="175"/>
        <v>51.111111111111121</v>
      </c>
      <c r="Z118" s="100">
        <v>2</v>
      </c>
      <c r="AA118" s="85">
        <f t="shared" si="176"/>
        <v>60</v>
      </c>
      <c r="AB118" s="86">
        <f>+Z118*Analisis!$J$6</f>
        <v>50</v>
      </c>
      <c r="AC118" s="100">
        <v>0</v>
      </c>
      <c r="AD118" s="85">
        <f t="shared" si="177"/>
        <v>0</v>
      </c>
      <c r="AE118" s="86">
        <f>+AD118*Analisis!$J$7</f>
        <v>0</v>
      </c>
      <c r="AF118" s="86">
        <f t="shared" si="110"/>
        <v>385.9674944334796</v>
      </c>
      <c r="AG118" s="126">
        <f>+AF118/(1-Analisis!$E$9)</f>
        <v>482.45936804184947</v>
      </c>
      <c r="AH118" s="128">
        <f t="shared" si="112"/>
        <v>0</v>
      </c>
    </row>
    <row r="119" spans="1:34" s="73" customFormat="1" x14ac:dyDescent="0.25">
      <c r="A119" s="100"/>
      <c r="B119" t="s">
        <v>302</v>
      </c>
      <c r="C119" s="74">
        <f>IFERROR(VLOOKUP(B119,'REQ GALV'!A:B,2,0),0)</f>
        <v>0</v>
      </c>
      <c r="D119" s="116">
        <f t="shared" si="111"/>
        <v>498.75644452211264</v>
      </c>
      <c r="E119" s="103" t="s">
        <v>44</v>
      </c>
      <c r="F119" s="75" t="s">
        <v>147</v>
      </c>
      <c r="G119" s="90">
        <v>41.94</v>
      </c>
      <c r="H119" s="90">
        <v>5.94</v>
      </c>
      <c r="I119" s="76">
        <v>0.105</v>
      </c>
      <c r="J119" s="77">
        <v>28.24</v>
      </c>
      <c r="K119" s="78">
        <f t="shared" si="169"/>
        <v>17.476989452018419</v>
      </c>
      <c r="L119" s="58">
        <f>+VLOOKUP(E119,Material!$H$2:$M$17,6,FALSE)*G119*H119*(1+Material!$K$14)</f>
        <v>224.34099187500004</v>
      </c>
      <c r="M119" s="79" t="str">
        <f>+Analisis!$J$5</f>
        <v>T5.0</v>
      </c>
      <c r="N119" s="80">
        <f>+VLOOKUP(M119,Material!$A$3:$B$58,2,FALSE)</f>
        <v>5000</v>
      </c>
      <c r="O119" s="79" t="s">
        <v>42</v>
      </c>
      <c r="P119" s="79" t="s">
        <v>43</v>
      </c>
      <c r="Q119" s="81">
        <f>+IF(O119="ACERO A36",VLOOKUP(P119,'Velocidades Std 1500 w'!$B$2:$F$15,5,FALSE),IF(O119="INOXIDABLE",VLOOKUP(P119,'Velocidades Std 1500 w'!$B$17:$F$28,5,FALSE),IF(O119="ALUMINIO",VLOOKUP(P119,'Velocidades Std 1500 w'!$B$30:$F$38,5,FALSE))))</f>
        <v>4.3859649122807014E-6</v>
      </c>
      <c r="R119" s="82">
        <f t="shared" si="170"/>
        <v>2.1929824561403508E-2</v>
      </c>
      <c r="S119" s="83">
        <f t="shared" si="171"/>
        <v>52.958197894736834</v>
      </c>
      <c r="T119" s="110">
        <f t="shared" si="172"/>
        <v>3354.0191999999997</v>
      </c>
      <c r="U119" s="80">
        <f t="shared" si="173"/>
        <v>73.553052631578936</v>
      </c>
      <c r="V119" s="98">
        <v>20</v>
      </c>
      <c r="W119" s="84">
        <f>+IF(O119="ACERO A36",VLOOKUP(P119,'Tiempo Objeto'!$B$2:$C$12,2,FALSE),IF(O119="INOXIDABLE",VLOOKUP(P119,'Tiempo Objeto'!$B$14:$C$22,2,FALSE),IF(O119="ALUMINIO",VLOOKUP(P119,'Tiempo Objeto'!$B$24:$C$32,2,FALSE))))</f>
        <v>1.84</v>
      </c>
      <c r="X119" s="84">
        <f t="shared" si="174"/>
        <v>36.800000000000004</v>
      </c>
      <c r="Y119" s="80">
        <f t="shared" si="175"/>
        <v>51.111111111111121</v>
      </c>
      <c r="Z119" s="100">
        <v>2</v>
      </c>
      <c r="AA119" s="85">
        <f t="shared" si="176"/>
        <v>60</v>
      </c>
      <c r="AB119" s="86">
        <f>+Z119*Analisis!$J$6</f>
        <v>50</v>
      </c>
      <c r="AC119" s="100">
        <v>0</v>
      </c>
      <c r="AD119" s="85">
        <f t="shared" si="177"/>
        <v>0</v>
      </c>
      <c r="AE119" s="86">
        <f>+AD119*Analisis!$J$7</f>
        <v>0</v>
      </c>
      <c r="AF119" s="86">
        <f t="shared" si="110"/>
        <v>399.00515561769015</v>
      </c>
      <c r="AG119" s="126">
        <f>+AF119/(1-Analisis!$E$9)</f>
        <v>498.75644452211264</v>
      </c>
      <c r="AH119" s="128">
        <f t="shared" si="112"/>
        <v>0</v>
      </c>
    </row>
    <row r="120" spans="1:34" s="73" customFormat="1" x14ac:dyDescent="0.25">
      <c r="A120" s="100"/>
      <c r="B120" t="s">
        <v>303</v>
      </c>
      <c r="C120" s="74">
        <f>IFERROR(VLOOKUP(B120,'REQ GALV'!A:B,2,0),0)</f>
        <v>0</v>
      </c>
      <c r="D120" s="116">
        <f t="shared" si="111"/>
        <v>531.35059748263893</v>
      </c>
      <c r="E120" s="103" t="s">
        <v>44</v>
      </c>
      <c r="F120" s="75" t="s">
        <v>147</v>
      </c>
      <c r="G120" s="90">
        <v>45.94</v>
      </c>
      <c r="H120" s="90">
        <v>5.94</v>
      </c>
      <c r="I120" s="76">
        <v>0.105</v>
      </c>
      <c r="J120" s="77">
        <v>28.24</v>
      </c>
      <c r="K120" s="78">
        <f t="shared" si="169"/>
        <v>19.143845861366859</v>
      </c>
      <c r="L120" s="58">
        <f>+VLOOKUP(E120,Material!$H$2:$M$17,6,FALSE)*G120*H120*(1+Material!$K$14)</f>
        <v>245.73736687500002</v>
      </c>
      <c r="M120" s="79" t="str">
        <f>+Analisis!$J$5</f>
        <v>T5.0</v>
      </c>
      <c r="N120" s="80">
        <f>+VLOOKUP(M120,Material!$A$3:$B$58,2,FALSE)</f>
        <v>5000</v>
      </c>
      <c r="O120" s="79" t="s">
        <v>42</v>
      </c>
      <c r="P120" s="79" t="s">
        <v>43</v>
      </c>
      <c r="Q120" s="81">
        <f>+IF(O120="ACERO A36",VLOOKUP(P120,'Velocidades Std 1500 w'!$B$2:$F$15,5,FALSE),IF(O120="INOXIDABLE",VLOOKUP(P120,'Velocidades Std 1500 w'!$B$17:$F$28,5,FALSE),IF(O120="ALUMINIO",VLOOKUP(P120,'Velocidades Std 1500 w'!$B$30:$F$38,5,FALSE))))</f>
        <v>4.3859649122807014E-6</v>
      </c>
      <c r="R120" s="82">
        <f t="shared" si="170"/>
        <v>2.1929824561403508E-2</v>
      </c>
      <c r="S120" s="83">
        <f t="shared" si="171"/>
        <v>56.32703999999999</v>
      </c>
      <c r="T120" s="110">
        <f t="shared" si="172"/>
        <v>3567.3791999999994</v>
      </c>
      <c r="U120" s="80">
        <f t="shared" si="173"/>
        <v>78.231999999999985</v>
      </c>
      <c r="V120" s="98">
        <v>20</v>
      </c>
      <c r="W120" s="84">
        <f>+IF(O120="ACERO A36",VLOOKUP(P120,'Tiempo Objeto'!$B$2:$C$12,2,FALSE),IF(O120="INOXIDABLE",VLOOKUP(P120,'Tiempo Objeto'!$B$14:$C$22,2,FALSE),IF(O120="ALUMINIO",VLOOKUP(P120,'Tiempo Objeto'!$B$24:$C$32,2,FALSE))))</f>
        <v>1.84</v>
      </c>
      <c r="X120" s="84">
        <f t="shared" si="174"/>
        <v>36.800000000000004</v>
      </c>
      <c r="Y120" s="80">
        <f t="shared" si="175"/>
        <v>51.111111111111121</v>
      </c>
      <c r="Z120" s="100">
        <v>2</v>
      </c>
      <c r="AA120" s="85">
        <f t="shared" si="176"/>
        <v>60</v>
      </c>
      <c r="AB120" s="86">
        <f>+Z120*Analisis!$J$6</f>
        <v>50</v>
      </c>
      <c r="AC120" s="100">
        <v>0</v>
      </c>
      <c r="AD120" s="85">
        <f t="shared" si="177"/>
        <v>0</v>
      </c>
      <c r="AE120" s="86">
        <f>+AD120*Analisis!$J$7</f>
        <v>0</v>
      </c>
      <c r="AF120" s="86">
        <f t="shared" si="110"/>
        <v>425.08047798611113</v>
      </c>
      <c r="AG120" s="126">
        <f>+AF120/(1-Analisis!$E$9)</f>
        <v>531.35059748263893</v>
      </c>
      <c r="AH120" s="128">
        <f t="shared" si="112"/>
        <v>0</v>
      </c>
    </row>
    <row r="121" spans="1:34" s="73" customFormat="1" x14ac:dyDescent="0.25">
      <c r="A121" s="100"/>
      <c r="B121" t="s">
        <v>304</v>
      </c>
      <c r="C121" s="74">
        <f>IFERROR(VLOOKUP(B121,'REQ GALV'!A:B,2,0),0)</f>
        <v>0</v>
      </c>
      <c r="D121" s="116">
        <f t="shared" si="111"/>
        <v>695.19391173245617</v>
      </c>
      <c r="E121" s="103" t="s">
        <v>44</v>
      </c>
      <c r="F121" s="75" t="s">
        <v>147</v>
      </c>
      <c r="G121" s="90">
        <v>19</v>
      </c>
      <c r="H121" s="90">
        <v>14.32</v>
      </c>
      <c r="I121" s="76">
        <v>0.105</v>
      </c>
      <c r="J121" s="77">
        <v>28.24</v>
      </c>
      <c r="K121" s="78">
        <f t="shared" si="120"/>
        <v>19.087470195939567</v>
      </c>
      <c r="L121" s="58">
        <f>+VLOOKUP(E121,Material!$H$2:$M$17,6,FALSE)*G121*H121*(1+Material!$K$14)</f>
        <v>245.01370833333334</v>
      </c>
      <c r="M121" s="79" t="str">
        <f>+Analisis!$J$5</f>
        <v>T5.0</v>
      </c>
      <c r="N121" s="80">
        <f>+VLOOKUP(M121,Material!$A$3:$B$58,2,FALSE)</f>
        <v>5000</v>
      </c>
      <c r="O121" s="79" t="s">
        <v>42</v>
      </c>
      <c r="P121" s="79" t="s">
        <v>43</v>
      </c>
      <c r="Q121" s="81">
        <f>+IF(O121="ACERO A36",VLOOKUP(P121,'Velocidades Std 1500 w'!$B$2:$F$15,5,FALSE),IF(O121="INOXIDABLE",VLOOKUP(P121,'Velocidades Std 1500 w'!$B$17:$F$28,5,FALSE),IF(O121="ALUMINIO",VLOOKUP(P121,'Velocidades Std 1500 w'!$B$30:$F$38,5,FALSE))))</f>
        <v>4.3859649122807014E-6</v>
      </c>
      <c r="R121" s="82">
        <f t="shared" si="121"/>
        <v>2.1929824561403508E-2</v>
      </c>
      <c r="S121" s="83">
        <f t="shared" si="122"/>
        <v>73.541823157894726</v>
      </c>
      <c r="T121" s="110">
        <f t="shared" si="123"/>
        <v>4657.6487999999999</v>
      </c>
      <c r="U121" s="80">
        <f t="shared" si="124"/>
        <v>102.14142105263157</v>
      </c>
      <c r="V121" s="98">
        <v>72</v>
      </c>
      <c r="W121" s="84">
        <f>+IF(O121="ACERO A36",VLOOKUP(P121,'Tiempo Objeto'!$B$2:$C$12,2,FALSE),IF(O121="INOXIDABLE",VLOOKUP(P121,'Tiempo Objeto'!$B$14:$C$22,2,FALSE),IF(O121="ALUMINIO",VLOOKUP(P121,'Tiempo Objeto'!$B$24:$C$32,2,FALSE))))</f>
        <v>1.84</v>
      </c>
      <c r="X121" s="84">
        <f t="shared" si="125"/>
        <v>132.48000000000002</v>
      </c>
      <c r="Y121" s="80">
        <f t="shared" si="126"/>
        <v>184.00000000000003</v>
      </c>
      <c r="Z121" s="100">
        <v>1</v>
      </c>
      <c r="AA121" s="85">
        <f t="shared" si="127"/>
        <v>30</v>
      </c>
      <c r="AB121" s="86">
        <f>+Z121*Analisis!$J$6</f>
        <v>25</v>
      </c>
      <c r="AC121" s="100">
        <v>0</v>
      </c>
      <c r="AD121" s="85">
        <f t="shared" si="128"/>
        <v>0</v>
      </c>
      <c r="AE121" s="86">
        <f>+AD121*Analisis!$J$7</f>
        <v>0</v>
      </c>
      <c r="AF121" s="86">
        <f t="shared" si="110"/>
        <v>556.15512938596498</v>
      </c>
      <c r="AG121" s="126">
        <f>+AF121/(1-Analisis!$E$9)</f>
        <v>695.19391173245617</v>
      </c>
      <c r="AH121" s="128">
        <f t="shared" si="112"/>
        <v>0</v>
      </c>
    </row>
    <row r="122" spans="1:34" s="73" customFormat="1" x14ac:dyDescent="0.25">
      <c r="A122" s="100"/>
      <c r="B122" t="s">
        <v>270</v>
      </c>
      <c r="C122" s="74">
        <f>IFERROR(VLOOKUP(B122,'REQ GALV'!A:B,2,0),0)</f>
        <v>0</v>
      </c>
      <c r="D122" s="116">
        <f t="shared" si="111"/>
        <v>871.00885142543859</v>
      </c>
      <c r="E122" s="103" t="s">
        <v>44</v>
      </c>
      <c r="F122" s="75" t="s">
        <v>147</v>
      </c>
      <c r="G122" s="90">
        <v>29</v>
      </c>
      <c r="H122" s="90">
        <v>14.32</v>
      </c>
      <c r="I122" s="76">
        <v>0.105</v>
      </c>
      <c r="J122" s="77">
        <v>28.24</v>
      </c>
      <c r="K122" s="78">
        <f t="shared" ref="K122:K124" si="178">+L122*2.2/J122</f>
        <v>29.13350714117092</v>
      </c>
      <c r="L122" s="58">
        <f>+VLOOKUP(E122,Material!$H$2:$M$17,6,FALSE)*G122*H122*(1+Material!$K$14)</f>
        <v>373.96829166666669</v>
      </c>
      <c r="M122" s="79" t="str">
        <f>+Analisis!$J$5</f>
        <v>T5.0</v>
      </c>
      <c r="N122" s="80">
        <f>+VLOOKUP(M122,Material!$A$3:$B$58,2,FALSE)</f>
        <v>5000</v>
      </c>
      <c r="O122" s="79" t="s">
        <v>42</v>
      </c>
      <c r="P122" s="79" t="s">
        <v>43</v>
      </c>
      <c r="Q122" s="81">
        <f>+IF(O122="ACERO A36",VLOOKUP(P122,'Velocidades Std 1500 w'!$B$2:$F$15,5,FALSE),IF(O122="INOXIDABLE",VLOOKUP(P122,'Velocidades Std 1500 w'!$B$17:$F$28,5,FALSE),IF(O122="ALUMINIO",VLOOKUP(P122,'Velocidades Std 1500 w'!$B$30:$F$38,5,FALSE))))</f>
        <v>4.3859649122807014E-6</v>
      </c>
      <c r="R122" s="82">
        <f t="shared" ref="R122:R124" si="179">+Q122*N122</f>
        <v>2.1929824561403508E-2</v>
      </c>
      <c r="S122" s="83">
        <f t="shared" ref="S122:S124" si="180">+Q122*T122*3600</f>
        <v>81.963928421052628</v>
      </c>
      <c r="T122" s="110">
        <f t="shared" ref="T122:T124" si="181">(+H122*2+G122*2+V122*1.5)*25.4*1.05</f>
        <v>5191.0487999999996</v>
      </c>
      <c r="U122" s="80">
        <f t="shared" ref="U122:U124" si="182">+T122*R122</f>
        <v>113.8387894736842</v>
      </c>
      <c r="V122" s="98">
        <v>72</v>
      </c>
      <c r="W122" s="84">
        <f>+IF(O122="ACERO A36",VLOOKUP(P122,'Tiempo Objeto'!$B$2:$C$12,2,FALSE),IF(O122="INOXIDABLE",VLOOKUP(P122,'Tiempo Objeto'!$B$14:$C$22,2,FALSE),IF(O122="ALUMINIO",VLOOKUP(P122,'Tiempo Objeto'!$B$24:$C$32,2,FALSE))))</f>
        <v>1.84</v>
      </c>
      <c r="X122" s="84">
        <f t="shared" ref="X122:X124" si="183">+W122*V122</f>
        <v>132.48000000000002</v>
      </c>
      <c r="Y122" s="80">
        <f t="shared" ref="Y122:Y124" si="184">+X122*N122/3600</f>
        <v>184.00000000000003</v>
      </c>
      <c r="Z122" s="100">
        <v>1</v>
      </c>
      <c r="AA122" s="85">
        <f t="shared" ref="AA122:AA124" si="185">30*Z122+Z122*$C122*1.5</f>
        <v>30</v>
      </c>
      <c r="AB122" s="86">
        <f>+Z122*Analisis!$J$6</f>
        <v>25</v>
      </c>
      <c r="AC122" s="100">
        <v>0</v>
      </c>
      <c r="AD122" s="85">
        <f t="shared" ref="AD122:AD124" si="186">30*AC122+AC122*$C122*1.5</f>
        <v>0</v>
      </c>
      <c r="AE122" s="86">
        <f>+AD122*Analisis!$J$7</f>
        <v>0</v>
      </c>
      <c r="AF122" s="86">
        <f t="shared" si="110"/>
        <v>696.80708114035087</v>
      </c>
      <c r="AG122" s="126">
        <f>+AF122/(1-Analisis!$E$9)</f>
        <v>871.00885142543859</v>
      </c>
      <c r="AH122" s="128">
        <f t="shared" si="112"/>
        <v>0</v>
      </c>
    </row>
    <row r="123" spans="1:34" s="73" customFormat="1" x14ac:dyDescent="0.25">
      <c r="A123" s="100"/>
      <c r="B123" t="s">
        <v>305</v>
      </c>
      <c r="C123" s="74">
        <f>IFERROR(VLOOKUP(B123,'REQ GALV'!A:B,2,0),0)</f>
        <v>0</v>
      </c>
      <c r="D123" s="116">
        <f t="shared" si="111"/>
        <v>958.91632127192986</v>
      </c>
      <c r="E123" s="103" t="s">
        <v>44</v>
      </c>
      <c r="F123" s="75" t="s">
        <v>147</v>
      </c>
      <c r="G123" s="90">
        <v>34</v>
      </c>
      <c r="H123" s="90">
        <v>14.32</v>
      </c>
      <c r="I123" s="76">
        <v>0.105</v>
      </c>
      <c r="J123" s="77">
        <v>28.24</v>
      </c>
      <c r="K123" s="78">
        <f t="shared" si="178"/>
        <v>34.156525613786599</v>
      </c>
      <c r="L123" s="58">
        <f>+VLOOKUP(E123,Material!$H$2:$M$17,6,FALSE)*G123*H123*(1+Material!$K$14)</f>
        <v>438.44558333333339</v>
      </c>
      <c r="M123" s="79" t="str">
        <f>+Analisis!$J$5</f>
        <v>T5.0</v>
      </c>
      <c r="N123" s="80">
        <f>+VLOOKUP(M123,Material!$A$3:$B$58,2,FALSE)</f>
        <v>5000</v>
      </c>
      <c r="O123" s="79" t="s">
        <v>42</v>
      </c>
      <c r="P123" s="79" t="s">
        <v>43</v>
      </c>
      <c r="Q123" s="81">
        <f>+IF(O123="ACERO A36",VLOOKUP(P123,'Velocidades Std 1500 w'!$B$2:$F$15,5,FALSE),IF(O123="INOXIDABLE",VLOOKUP(P123,'Velocidades Std 1500 w'!$B$17:$F$28,5,FALSE),IF(O123="ALUMINIO",VLOOKUP(P123,'Velocidades Std 1500 w'!$B$30:$F$38,5,FALSE))))</f>
        <v>4.3859649122807014E-6</v>
      </c>
      <c r="R123" s="82">
        <f t="shared" si="179"/>
        <v>2.1929824561403508E-2</v>
      </c>
      <c r="S123" s="83">
        <f t="shared" si="180"/>
        <v>86.17498105263158</v>
      </c>
      <c r="T123" s="110">
        <f t="shared" si="181"/>
        <v>5457.7488000000003</v>
      </c>
      <c r="U123" s="80">
        <f t="shared" si="182"/>
        <v>119.68747368421053</v>
      </c>
      <c r="V123" s="98">
        <v>72</v>
      </c>
      <c r="W123" s="84">
        <f>+IF(O123="ACERO A36",VLOOKUP(P123,'Tiempo Objeto'!$B$2:$C$12,2,FALSE),IF(O123="INOXIDABLE",VLOOKUP(P123,'Tiempo Objeto'!$B$14:$C$22,2,FALSE),IF(O123="ALUMINIO",VLOOKUP(P123,'Tiempo Objeto'!$B$24:$C$32,2,FALSE))))</f>
        <v>1.84</v>
      </c>
      <c r="X123" s="84">
        <f t="shared" si="183"/>
        <v>132.48000000000002</v>
      </c>
      <c r="Y123" s="80">
        <f t="shared" si="184"/>
        <v>184.00000000000003</v>
      </c>
      <c r="Z123" s="100">
        <v>1</v>
      </c>
      <c r="AA123" s="85">
        <f t="shared" si="185"/>
        <v>30</v>
      </c>
      <c r="AB123" s="86">
        <f>+Z123*Analisis!$J$6</f>
        <v>25</v>
      </c>
      <c r="AC123" s="100">
        <v>0</v>
      </c>
      <c r="AD123" s="85">
        <f t="shared" si="186"/>
        <v>0</v>
      </c>
      <c r="AE123" s="86">
        <f>+AD123*Analisis!$J$7</f>
        <v>0</v>
      </c>
      <c r="AF123" s="86">
        <f t="shared" si="110"/>
        <v>767.13305701754393</v>
      </c>
      <c r="AG123" s="126">
        <f>+AF123/(1-Analisis!$E$9)</f>
        <v>958.91632127192986</v>
      </c>
      <c r="AH123" s="128">
        <f t="shared" si="112"/>
        <v>0</v>
      </c>
    </row>
    <row r="124" spans="1:34" s="73" customFormat="1" x14ac:dyDescent="0.25">
      <c r="A124" s="100"/>
      <c r="B124" t="s">
        <v>306</v>
      </c>
      <c r="C124" s="74">
        <f>IFERROR(VLOOKUP(B124,'REQ GALV'!A:B,2,0),0)</f>
        <v>0</v>
      </c>
      <c r="D124" s="116">
        <f t="shared" si="111"/>
        <v>1046.823791118421</v>
      </c>
      <c r="E124" s="103" t="s">
        <v>44</v>
      </c>
      <c r="F124" s="75" t="s">
        <v>147</v>
      </c>
      <c r="G124" s="90">
        <v>39</v>
      </c>
      <c r="H124" s="90">
        <v>14.32</v>
      </c>
      <c r="I124" s="76">
        <v>0.105</v>
      </c>
      <c r="J124" s="77">
        <v>28.24</v>
      </c>
      <c r="K124" s="78">
        <f t="shared" si="178"/>
        <v>39.179544086402281</v>
      </c>
      <c r="L124" s="58">
        <f>+VLOOKUP(E124,Material!$H$2:$M$17,6,FALSE)*G124*H124*(1+Material!$K$14)</f>
        <v>502.92287500000003</v>
      </c>
      <c r="M124" s="79" t="str">
        <f>+Analisis!$J$5</f>
        <v>T5.0</v>
      </c>
      <c r="N124" s="80">
        <f>+VLOOKUP(M124,Material!$A$3:$B$58,2,FALSE)</f>
        <v>5000</v>
      </c>
      <c r="O124" s="79" t="s">
        <v>42</v>
      </c>
      <c r="P124" s="79" t="s">
        <v>43</v>
      </c>
      <c r="Q124" s="81">
        <f>+IF(O124="ACERO A36",VLOOKUP(P124,'Velocidades Std 1500 w'!$B$2:$F$15,5,FALSE),IF(O124="INOXIDABLE",VLOOKUP(P124,'Velocidades Std 1500 w'!$B$17:$F$28,5,FALSE),IF(O124="ALUMINIO",VLOOKUP(P124,'Velocidades Std 1500 w'!$B$30:$F$38,5,FALSE))))</f>
        <v>4.3859649122807014E-6</v>
      </c>
      <c r="R124" s="82">
        <f t="shared" si="179"/>
        <v>2.1929824561403508E-2</v>
      </c>
      <c r="S124" s="83">
        <f t="shared" si="180"/>
        <v>90.386033684210517</v>
      </c>
      <c r="T124" s="110">
        <f t="shared" si="181"/>
        <v>5724.4488000000001</v>
      </c>
      <c r="U124" s="80">
        <f t="shared" si="182"/>
        <v>125.53615789473683</v>
      </c>
      <c r="V124" s="98">
        <v>72</v>
      </c>
      <c r="W124" s="84">
        <f>+IF(O124="ACERO A36",VLOOKUP(P124,'Tiempo Objeto'!$B$2:$C$12,2,FALSE),IF(O124="INOXIDABLE",VLOOKUP(P124,'Tiempo Objeto'!$B$14:$C$22,2,FALSE),IF(O124="ALUMINIO",VLOOKUP(P124,'Tiempo Objeto'!$B$24:$C$32,2,FALSE))))</f>
        <v>1.84</v>
      </c>
      <c r="X124" s="84">
        <f t="shared" si="183"/>
        <v>132.48000000000002</v>
      </c>
      <c r="Y124" s="80">
        <f t="shared" si="184"/>
        <v>184.00000000000003</v>
      </c>
      <c r="Z124" s="100">
        <v>1</v>
      </c>
      <c r="AA124" s="85">
        <f t="shared" si="185"/>
        <v>30</v>
      </c>
      <c r="AB124" s="86">
        <f>+Z124*Analisis!$J$6</f>
        <v>25</v>
      </c>
      <c r="AC124" s="100">
        <v>0</v>
      </c>
      <c r="AD124" s="85">
        <f t="shared" si="186"/>
        <v>0</v>
      </c>
      <c r="AE124" s="86">
        <f>+AD124*Analisis!$J$7</f>
        <v>0</v>
      </c>
      <c r="AF124" s="86">
        <f t="shared" si="110"/>
        <v>837.45903289473688</v>
      </c>
      <c r="AG124" s="126">
        <f>+AF124/(1-Analisis!$E$9)</f>
        <v>1046.823791118421</v>
      </c>
      <c r="AH124" s="128">
        <f t="shared" si="112"/>
        <v>0</v>
      </c>
    </row>
    <row r="125" spans="1:34" s="73" customFormat="1" x14ac:dyDescent="0.25">
      <c r="A125" s="100"/>
      <c r="B125" t="s">
        <v>307</v>
      </c>
      <c r="C125" s="74">
        <f>IFERROR(VLOOKUP(B125,'REQ GALV'!A:B,2,0),0)</f>
        <v>0</v>
      </c>
      <c r="D125" s="116">
        <f t="shared" si="111"/>
        <v>1316.7446799616228</v>
      </c>
      <c r="E125" s="103" t="s">
        <v>44</v>
      </c>
      <c r="F125" s="75" t="s">
        <v>147</v>
      </c>
      <c r="G125" s="90">
        <v>19</v>
      </c>
      <c r="H125" s="90">
        <v>31.14</v>
      </c>
      <c r="I125" s="76">
        <v>0.105</v>
      </c>
      <c r="J125" s="77">
        <v>28.24</v>
      </c>
      <c r="K125" s="78">
        <f t="shared" si="120"/>
        <v>41.507250132790382</v>
      </c>
      <c r="L125" s="58">
        <f>+VLOOKUP(E125,Material!$H$2:$M$17,6,FALSE)*G125*H125*(1+Material!$K$14)</f>
        <v>532.80215625000005</v>
      </c>
      <c r="M125" s="79" t="str">
        <f>+Analisis!$J$5</f>
        <v>T5.0</v>
      </c>
      <c r="N125" s="80">
        <f>+VLOOKUP(M125,Material!$A$3:$B$58,2,FALSE)</f>
        <v>5000</v>
      </c>
      <c r="O125" s="79" t="s">
        <v>42</v>
      </c>
      <c r="P125" s="79" t="s">
        <v>43</v>
      </c>
      <c r="Q125" s="81">
        <f>+IF(O125="ACERO A36",VLOOKUP(P125,'Velocidades Std 1500 w'!$B$2:$F$15,5,FALSE),IF(O125="INOXIDABLE",VLOOKUP(P125,'Velocidades Std 1500 w'!$B$17:$F$28,5,FALSE),IF(O125="ALUMINIO",VLOOKUP(P125,'Velocidades Std 1500 w'!$B$30:$F$38,5,FALSE))))</f>
        <v>4.3859649122807014E-6</v>
      </c>
      <c r="R125" s="82">
        <f t="shared" si="121"/>
        <v>2.1929824561403508E-2</v>
      </c>
      <c r="S125" s="83">
        <f t="shared" si="122"/>
        <v>118.02738315789472</v>
      </c>
      <c r="T125" s="110">
        <f t="shared" si="123"/>
        <v>7475.0675999999994</v>
      </c>
      <c r="U125" s="80">
        <f t="shared" si="124"/>
        <v>163.92692105263157</v>
      </c>
      <c r="V125" s="98">
        <v>120</v>
      </c>
      <c r="W125" s="84">
        <f>+IF(O125="ACERO A36",VLOOKUP(P125,'Tiempo Objeto'!$B$2:$C$12,2,FALSE),IF(O125="INOXIDABLE",VLOOKUP(P125,'Tiempo Objeto'!$B$14:$C$22,2,FALSE),IF(O125="ALUMINIO",VLOOKUP(P125,'Tiempo Objeto'!$B$24:$C$32,2,FALSE))))</f>
        <v>1.84</v>
      </c>
      <c r="X125" s="84">
        <f t="shared" si="125"/>
        <v>220.8</v>
      </c>
      <c r="Y125" s="80">
        <f t="shared" si="126"/>
        <v>306.66666666666669</v>
      </c>
      <c r="Z125" s="100">
        <v>2</v>
      </c>
      <c r="AA125" s="85">
        <f t="shared" si="127"/>
        <v>60</v>
      </c>
      <c r="AB125" s="86">
        <f>+Z125*Analisis!$J$6</f>
        <v>50</v>
      </c>
      <c r="AC125" s="100">
        <v>0</v>
      </c>
      <c r="AD125" s="85">
        <f t="shared" si="128"/>
        <v>0</v>
      </c>
      <c r="AE125" s="86">
        <f>+AD125*Analisis!$J$7</f>
        <v>0</v>
      </c>
      <c r="AF125" s="86">
        <f t="shared" si="110"/>
        <v>1053.3957439692983</v>
      </c>
      <c r="AG125" s="126">
        <f>+AF125/(1-Analisis!$E$9)</f>
        <v>1316.7446799616228</v>
      </c>
      <c r="AH125" s="128">
        <f t="shared" si="112"/>
        <v>0</v>
      </c>
    </row>
    <row r="126" spans="1:34" s="73" customFormat="1" x14ac:dyDescent="0.25">
      <c r="A126" s="100"/>
      <c r="B126" t="s">
        <v>271</v>
      </c>
      <c r="C126" s="74">
        <f>IFERROR(VLOOKUP(B126,'REQ GALV'!A:B,2,0),0)</f>
        <v>0</v>
      </c>
      <c r="D126" s="116">
        <f t="shared" si="111"/>
        <v>1681.8941248629385</v>
      </c>
      <c r="E126" s="103" t="s">
        <v>44</v>
      </c>
      <c r="F126" s="75" t="s">
        <v>147</v>
      </c>
      <c r="G126" s="90">
        <v>29</v>
      </c>
      <c r="H126" s="90">
        <v>31.14</v>
      </c>
      <c r="I126" s="76">
        <v>0.105</v>
      </c>
      <c r="J126" s="77">
        <v>28.24</v>
      </c>
      <c r="K126" s="78">
        <f t="shared" ref="K126:K128" si="187">+L126*2.2/J126</f>
        <v>63.353171255311629</v>
      </c>
      <c r="L126" s="58">
        <f>+VLOOKUP(E126,Material!$H$2:$M$17,6,FALSE)*G126*H126*(1+Material!$K$14)</f>
        <v>813.22434375000012</v>
      </c>
      <c r="M126" s="79" t="str">
        <f>+Analisis!$J$5</f>
        <v>T5.0</v>
      </c>
      <c r="N126" s="80">
        <f>+VLOOKUP(M126,Material!$A$3:$B$58,2,FALSE)</f>
        <v>5000</v>
      </c>
      <c r="O126" s="79" t="s">
        <v>42</v>
      </c>
      <c r="P126" s="79" t="s">
        <v>43</v>
      </c>
      <c r="Q126" s="81">
        <f>+IF(O126="ACERO A36",VLOOKUP(P126,'Velocidades Std 1500 w'!$B$2:$F$15,5,FALSE),IF(O126="INOXIDABLE",VLOOKUP(P126,'Velocidades Std 1500 w'!$B$17:$F$28,5,FALSE),IF(O126="ALUMINIO",VLOOKUP(P126,'Velocidades Std 1500 w'!$B$30:$F$38,5,FALSE))))</f>
        <v>4.3859649122807014E-6</v>
      </c>
      <c r="R126" s="82">
        <f t="shared" ref="R126:R128" si="188">+Q126*N126</f>
        <v>2.1929824561403508E-2</v>
      </c>
      <c r="S126" s="83">
        <f t="shared" ref="S126:S128" si="189">+Q126*T126*3600</f>
        <v>126.44948842105261</v>
      </c>
      <c r="T126" s="110">
        <f t="shared" ref="T126:T128" si="190">(+H126*2+G126*2+V126*1.5)*25.4*1.05</f>
        <v>8008.467599999999</v>
      </c>
      <c r="U126" s="80">
        <f t="shared" ref="U126:U128" si="191">+T126*R126</f>
        <v>175.62428947368417</v>
      </c>
      <c r="V126" s="98">
        <v>120</v>
      </c>
      <c r="W126" s="84">
        <f>+IF(O126="ACERO A36",VLOOKUP(P126,'Tiempo Objeto'!$B$2:$C$12,2,FALSE),IF(O126="INOXIDABLE",VLOOKUP(P126,'Tiempo Objeto'!$B$14:$C$22,2,FALSE),IF(O126="ALUMINIO",VLOOKUP(P126,'Tiempo Objeto'!$B$24:$C$32,2,FALSE))))</f>
        <v>1.84</v>
      </c>
      <c r="X126" s="84">
        <f t="shared" ref="X126:X128" si="192">+W126*V126</f>
        <v>220.8</v>
      </c>
      <c r="Y126" s="80">
        <f t="shared" ref="Y126:Y128" si="193">+X126*N126/3600</f>
        <v>306.66666666666669</v>
      </c>
      <c r="Z126" s="100">
        <v>2</v>
      </c>
      <c r="AA126" s="85">
        <f t="shared" ref="AA126:AA128" si="194">30*Z126+Z126*$C126*1.5</f>
        <v>60</v>
      </c>
      <c r="AB126" s="86">
        <f>+Z126*Analisis!$J$6</f>
        <v>50</v>
      </c>
      <c r="AC126" s="100">
        <v>0</v>
      </c>
      <c r="AD126" s="85">
        <f t="shared" ref="AD126:AD128" si="195">30*AC126+AC126*$C126*1.5</f>
        <v>0</v>
      </c>
      <c r="AE126" s="86">
        <f>+AD126*Analisis!$J$7</f>
        <v>0</v>
      </c>
      <c r="AF126" s="86">
        <f t="shared" si="110"/>
        <v>1345.5152998903509</v>
      </c>
      <c r="AG126" s="126">
        <f>+AF126/(1-Analisis!$E$9)</f>
        <v>1681.8941248629385</v>
      </c>
      <c r="AH126" s="128">
        <f t="shared" si="112"/>
        <v>0</v>
      </c>
    </row>
    <row r="127" spans="1:34" s="73" customFormat="1" x14ac:dyDescent="0.25">
      <c r="A127" s="100"/>
      <c r="B127" t="s">
        <v>308</v>
      </c>
      <c r="C127" s="74">
        <f>IFERROR(VLOOKUP(B127,'REQ GALV'!A:B,2,0),0)</f>
        <v>0</v>
      </c>
      <c r="D127" s="116">
        <f t="shared" si="111"/>
        <v>1864.4688473135968</v>
      </c>
      <c r="E127" s="103" t="s">
        <v>44</v>
      </c>
      <c r="F127" s="75" t="s">
        <v>147</v>
      </c>
      <c r="G127" s="90">
        <v>34</v>
      </c>
      <c r="H127" s="90">
        <v>31.14</v>
      </c>
      <c r="I127" s="76">
        <v>0.105</v>
      </c>
      <c r="J127" s="77">
        <v>28.24</v>
      </c>
      <c r="K127" s="78">
        <f t="shared" si="187"/>
        <v>74.27613181657226</v>
      </c>
      <c r="L127" s="58">
        <f>+VLOOKUP(E127,Material!$H$2:$M$17,6,FALSE)*G127*H127*(1+Material!$K$14)</f>
        <v>953.43543750000015</v>
      </c>
      <c r="M127" s="79" t="str">
        <f>+Analisis!$J$5</f>
        <v>T5.0</v>
      </c>
      <c r="N127" s="80">
        <f>+VLOOKUP(M127,Material!$A$3:$B$58,2,FALSE)</f>
        <v>5000</v>
      </c>
      <c r="O127" s="79" t="s">
        <v>42</v>
      </c>
      <c r="P127" s="79" t="s">
        <v>43</v>
      </c>
      <c r="Q127" s="81">
        <f>+IF(O127="ACERO A36",VLOOKUP(P127,'Velocidades Std 1500 w'!$B$2:$F$15,5,FALSE),IF(O127="INOXIDABLE",VLOOKUP(P127,'Velocidades Std 1500 w'!$B$17:$F$28,5,FALSE),IF(O127="ALUMINIO",VLOOKUP(P127,'Velocidades Std 1500 w'!$B$30:$F$38,5,FALSE))))</f>
        <v>4.3859649122807014E-6</v>
      </c>
      <c r="R127" s="82">
        <f t="shared" si="188"/>
        <v>2.1929824561403508E-2</v>
      </c>
      <c r="S127" s="83">
        <f t="shared" si="189"/>
        <v>130.66054105263157</v>
      </c>
      <c r="T127" s="110">
        <f t="shared" si="190"/>
        <v>8275.1675999999989</v>
      </c>
      <c r="U127" s="80">
        <f t="shared" si="191"/>
        <v>181.4729736842105</v>
      </c>
      <c r="V127" s="98">
        <v>120</v>
      </c>
      <c r="W127" s="84">
        <f>+IF(O127="ACERO A36",VLOOKUP(P127,'Tiempo Objeto'!$B$2:$C$12,2,FALSE),IF(O127="INOXIDABLE",VLOOKUP(P127,'Tiempo Objeto'!$B$14:$C$22,2,FALSE),IF(O127="ALUMINIO",VLOOKUP(P127,'Tiempo Objeto'!$B$24:$C$32,2,FALSE))))</f>
        <v>1.84</v>
      </c>
      <c r="X127" s="84">
        <f t="shared" si="192"/>
        <v>220.8</v>
      </c>
      <c r="Y127" s="80">
        <f t="shared" si="193"/>
        <v>306.66666666666669</v>
      </c>
      <c r="Z127" s="100">
        <v>2</v>
      </c>
      <c r="AA127" s="85">
        <f t="shared" si="194"/>
        <v>60</v>
      </c>
      <c r="AB127" s="86">
        <f>+Z127*Analisis!$J$6</f>
        <v>50</v>
      </c>
      <c r="AC127" s="100">
        <v>0</v>
      </c>
      <c r="AD127" s="85">
        <f t="shared" si="195"/>
        <v>0</v>
      </c>
      <c r="AE127" s="86">
        <f>+AD127*Analisis!$J$7</f>
        <v>0</v>
      </c>
      <c r="AF127" s="86">
        <f t="shared" si="110"/>
        <v>1491.5750778508775</v>
      </c>
      <c r="AG127" s="126">
        <f>+AF127/(1-Analisis!$E$9)</f>
        <v>1864.4688473135968</v>
      </c>
      <c r="AH127" s="128">
        <f t="shared" si="112"/>
        <v>0</v>
      </c>
    </row>
    <row r="128" spans="1:34" s="73" customFormat="1" x14ac:dyDescent="0.25">
      <c r="A128" s="100"/>
      <c r="B128" t="s">
        <v>309</v>
      </c>
      <c r="C128" s="74">
        <f>IFERROR(VLOOKUP(B128,'REQ GALV'!A:B,2,0),0)</f>
        <v>0</v>
      </c>
      <c r="D128" s="116">
        <f t="shared" si="111"/>
        <v>2047.0435697642542</v>
      </c>
      <c r="E128" s="103" t="s">
        <v>44</v>
      </c>
      <c r="F128" s="75" t="s">
        <v>147</v>
      </c>
      <c r="G128" s="90">
        <v>39</v>
      </c>
      <c r="H128" s="90">
        <v>31.14</v>
      </c>
      <c r="I128" s="76">
        <v>0.105</v>
      </c>
      <c r="J128" s="77">
        <v>28.24</v>
      </c>
      <c r="K128" s="78">
        <f t="shared" si="187"/>
        <v>85.199092377832869</v>
      </c>
      <c r="L128" s="58">
        <f>+VLOOKUP(E128,Material!$H$2:$M$17,6,FALSE)*G128*H128*(1+Material!$K$14)</f>
        <v>1093.64653125</v>
      </c>
      <c r="M128" s="79" t="str">
        <f>+Analisis!$J$5</f>
        <v>T5.0</v>
      </c>
      <c r="N128" s="80">
        <f>+VLOOKUP(M128,Material!$A$3:$B$58,2,FALSE)</f>
        <v>5000</v>
      </c>
      <c r="O128" s="79" t="s">
        <v>42</v>
      </c>
      <c r="P128" s="79" t="s">
        <v>43</v>
      </c>
      <c r="Q128" s="81">
        <f>+IF(O128="ACERO A36",VLOOKUP(P128,'Velocidades Std 1500 w'!$B$2:$F$15,5,FALSE),IF(O128="INOXIDABLE",VLOOKUP(P128,'Velocidades Std 1500 w'!$B$17:$F$28,5,FALSE),IF(O128="ALUMINIO",VLOOKUP(P128,'Velocidades Std 1500 w'!$B$30:$F$38,5,FALSE))))</f>
        <v>4.3859649122807014E-6</v>
      </c>
      <c r="R128" s="82">
        <f t="shared" si="188"/>
        <v>2.1929824561403508E-2</v>
      </c>
      <c r="S128" s="83">
        <f t="shared" si="189"/>
        <v>134.87159368421052</v>
      </c>
      <c r="T128" s="110">
        <f t="shared" si="190"/>
        <v>8541.8675999999996</v>
      </c>
      <c r="U128" s="80">
        <f t="shared" si="191"/>
        <v>187.32165789473683</v>
      </c>
      <c r="V128" s="98">
        <v>120</v>
      </c>
      <c r="W128" s="84">
        <f>+IF(O128="ACERO A36",VLOOKUP(P128,'Tiempo Objeto'!$B$2:$C$12,2,FALSE),IF(O128="INOXIDABLE",VLOOKUP(P128,'Tiempo Objeto'!$B$14:$C$22,2,FALSE),IF(O128="ALUMINIO",VLOOKUP(P128,'Tiempo Objeto'!$B$24:$C$32,2,FALSE))))</f>
        <v>1.84</v>
      </c>
      <c r="X128" s="84">
        <f t="shared" si="192"/>
        <v>220.8</v>
      </c>
      <c r="Y128" s="80">
        <f t="shared" si="193"/>
        <v>306.66666666666669</v>
      </c>
      <c r="Z128" s="100">
        <v>2</v>
      </c>
      <c r="AA128" s="85">
        <f t="shared" si="194"/>
        <v>60</v>
      </c>
      <c r="AB128" s="86">
        <f>+Z128*Analisis!$J$6</f>
        <v>50</v>
      </c>
      <c r="AC128" s="100">
        <v>0</v>
      </c>
      <c r="AD128" s="85">
        <f t="shared" si="195"/>
        <v>0</v>
      </c>
      <c r="AE128" s="86">
        <f>+AD128*Analisis!$J$7</f>
        <v>0</v>
      </c>
      <c r="AF128" s="86">
        <f t="shared" si="110"/>
        <v>1637.6348558114034</v>
      </c>
      <c r="AG128" s="126">
        <f>+AF128/(1-Analisis!$E$9)</f>
        <v>2047.0435697642542</v>
      </c>
      <c r="AH128" s="128">
        <f t="shared" si="112"/>
        <v>0</v>
      </c>
    </row>
    <row r="129" spans="1:34" s="73" customFormat="1" x14ac:dyDescent="0.25">
      <c r="A129" s="100"/>
      <c r="B129" t="s">
        <v>272</v>
      </c>
      <c r="C129" s="74">
        <f>IFERROR(VLOOKUP(B129,'REQ GALV'!A:B,2,0),0)</f>
        <v>0</v>
      </c>
      <c r="D129" s="116">
        <f t="shared" si="111"/>
        <v>1681.8941248629385</v>
      </c>
      <c r="E129" s="103" t="s">
        <v>44</v>
      </c>
      <c r="F129" s="75" t="s">
        <v>147</v>
      </c>
      <c r="G129" s="90">
        <v>29</v>
      </c>
      <c r="H129" s="90">
        <v>31.14</v>
      </c>
      <c r="I129" s="76">
        <v>0.105</v>
      </c>
      <c r="J129" s="77">
        <v>28.24</v>
      </c>
      <c r="K129" s="78">
        <f t="shared" ref="K129" si="196">+L129*2.2/J129</f>
        <v>63.353171255311629</v>
      </c>
      <c r="L129" s="58">
        <f>+VLOOKUP(E129,Material!$H$2:$M$17,6,FALSE)*G129*H129*(1+Material!$K$14)</f>
        <v>813.22434375000012</v>
      </c>
      <c r="M129" s="79" t="str">
        <f>+Analisis!$J$5</f>
        <v>T5.0</v>
      </c>
      <c r="N129" s="80">
        <f>+VLOOKUP(M129,Material!$A$3:$B$58,2,FALSE)</f>
        <v>5000</v>
      </c>
      <c r="O129" s="79" t="s">
        <v>42</v>
      </c>
      <c r="P129" s="79" t="s">
        <v>43</v>
      </c>
      <c r="Q129" s="81">
        <f>+IF(O129="ACERO A36",VLOOKUP(P129,'Velocidades Std 1500 w'!$B$2:$F$15,5,FALSE),IF(O129="INOXIDABLE",VLOOKUP(P129,'Velocidades Std 1500 w'!$B$17:$F$28,5,FALSE),IF(O129="ALUMINIO",VLOOKUP(P129,'Velocidades Std 1500 w'!$B$30:$F$38,5,FALSE))))</f>
        <v>4.3859649122807014E-6</v>
      </c>
      <c r="R129" s="82">
        <f t="shared" ref="R129" si="197">+Q129*N129</f>
        <v>2.1929824561403508E-2</v>
      </c>
      <c r="S129" s="83">
        <f t="shared" ref="S129" si="198">+Q129*T129*3600</f>
        <v>126.44948842105261</v>
      </c>
      <c r="T129" s="110">
        <f t="shared" ref="T129" si="199">(+H129*2+G129*2+V129*1.5)*25.4*1.05</f>
        <v>8008.467599999999</v>
      </c>
      <c r="U129" s="80">
        <f t="shared" ref="U129" si="200">+T129*R129</f>
        <v>175.62428947368417</v>
      </c>
      <c r="V129" s="98">
        <v>120</v>
      </c>
      <c r="W129" s="84">
        <f>+IF(O129="ACERO A36",VLOOKUP(P129,'Tiempo Objeto'!$B$2:$C$12,2,FALSE),IF(O129="INOXIDABLE",VLOOKUP(P129,'Tiempo Objeto'!$B$14:$C$22,2,FALSE),IF(O129="ALUMINIO",VLOOKUP(P129,'Tiempo Objeto'!$B$24:$C$32,2,FALSE))))</f>
        <v>1.84</v>
      </c>
      <c r="X129" s="84">
        <f t="shared" ref="X129" si="201">+W129*V129</f>
        <v>220.8</v>
      </c>
      <c r="Y129" s="80">
        <f t="shared" ref="Y129" si="202">+X129*N129/3600</f>
        <v>306.66666666666669</v>
      </c>
      <c r="Z129" s="100">
        <v>2</v>
      </c>
      <c r="AA129" s="85">
        <f t="shared" si="127"/>
        <v>60</v>
      </c>
      <c r="AB129" s="86">
        <f>+Z129*Analisis!$J$6</f>
        <v>50</v>
      </c>
      <c r="AC129" s="100">
        <v>0</v>
      </c>
      <c r="AD129" s="85">
        <f t="shared" si="128"/>
        <v>0</v>
      </c>
      <c r="AE129" s="86">
        <f>+AD129*Analisis!$J$7</f>
        <v>0</v>
      </c>
      <c r="AF129" s="86">
        <f t="shared" ref="AF129:AF190" si="203">+L129+U129+Y129+AB129+AE129</f>
        <v>1345.5152998903509</v>
      </c>
      <c r="AG129" s="126">
        <f>+AF129/(1-Analisis!$E$9)</f>
        <v>1681.8941248629385</v>
      </c>
      <c r="AH129" s="128">
        <f t="shared" si="112"/>
        <v>0</v>
      </c>
    </row>
    <row r="130" spans="1:34" s="73" customFormat="1" x14ac:dyDescent="0.25">
      <c r="A130" s="100"/>
      <c r="B130" t="s">
        <v>310</v>
      </c>
      <c r="C130" s="74">
        <f>IFERROR(VLOOKUP(B130,'REQ GALV'!A:B,2,0),0)</f>
        <v>0</v>
      </c>
      <c r="D130" s="116">
        <f t="shared" ref="D130:D191" si="204">+AG130</f>
        <v>695.19391173245617</v>
      </c>
      <c r="E130" s="103" t="s">
        <v>44</v>
      </c>
      <c r="F130" s="75" t="s">
        <v>147</v>
      </c>
      <c r="G130" s="90">
        <v>19</v>
      </c>
      <c r="H130" s="90">
        <v>14.32</v>
      </c>
      <c r="I130" s="76">
        <v>0.105</v>
      </c>
      <c r="J130" s="77">
        <v>28.24</v>
      </c>
      <c r="K130" s="78">
        <f t="shared" si="120"/>
        <v>19.087470195939567</v>
      </c>
      <c r="L130" s="58">
        <f>+VLOOKUP(E130,Material!$H$2:$M$17,6,FALSE)*G130*H130*(1+Material!$K$14)</f>
        <v>245.01370833333334</v>
      </c>
      <c r="M130" s="79" t="str">
        <f>+Analisis!$J$5</f>
        <v>T5.0</v>
      </c>
      <c r="N130" s="80">
        <f>+VLOOKUP(M130,Material!$A$3:$B$58,2,FALSE)</f>
        <v>5000</v>
      </c>
      <c r="O130" s="79" t="s">
        <v>42</v>
      </c>
      <c r="P130" s="79" t="s">
        <v>43</v>
      </c>
      <c r="Q130" s="81">
        <f>+IF(O130="ACERO A36",VLOOKUP(P130,'Velocidades Std 1500 w'!$B$2:$F$15,5,FALSE),IF(O130="INOXIDABLE",VLOOKUP(P130,'Velocidades Std 1500 w'!$B$17:$F$28,5,FALSE),IF(O130="ALUMINIO",VLOOKUP(P130,'Velocidades Std 1500 w'!$B$30:$F$38,5,FALSE))))</f>
        <v>4.3859649122807014E-6</v>
      </c>
      <c r="R130" s="82">
        <f t="shared" si="121"/>
        <v>2.1929824561403508E-2</v>
      </c>
      <c r="S130" s="83">
        <f t="shared" si="122"/>
        <v>73.541823157894726</v>
      </c>
      <c r="T130" s="110">
        <f t="shared" si="123"/>
        <v>4657.6487999999999</v>
      </c>
      <c r="U130" s="80">
        <f t="shared" si="124"/>
        <v>102.14142105263157</v>
      </c>
      <c r="V130" s="98">
        <v>72</v>
      </c>
      <c r="W130" s="84">
        <f>+IF(O130="ACERO A36",VLOOKUP(P130,'Tiempo Objeto'!$B$2:$C$12,2,FALSE),IF(O130="INOXIDABLE",VLOOKUP(P130,'Tiempo Objeto'!$B$14:$C$22,2,FALSE),IF(O130="ALUMINIO",VLOOKUP(P130,'Tiempo Objeto'!$B$24:$C$32,2,FALSE))))</f>
        <v>1.84</v>
      </c>
      <c r="X130" s="84">
        <f t="shared" si="125"/>
        <v>132.48000000000002</v>
      </c>
      <c r="Y130" s="80">
        <f t="shared" si="126"/>
        <v>184.00000000000003</v>
      </c>
      <c r="Z130" s="100">
        <v>1</v>
      </c>
      <c r="AA130" s="85">
        <f t="shared" si="127"/>
        <v>30</v>
      </c>
      <c r="AB130" s="86">
        <f>+Z130*Analisis!$J$6</f>
        <v>25</v>
      </c>
      <c r="AC130" s="100">
        <v>0</v>
      </c>
      <c r="AD130" s="85">
        <f t="shared" si="128"/>
        <v>0</v>
      </c>
      <c r="AE130" s="86">
        <f>+AD130*Analisis!$J$7</f>
        <v>0</v>
      </c>
      <c r="AF130" s="86">
        <f t="shared" si="203"/>
        <v>556.15512938596498</v>
      </c>
      <c r="AG130" s="126">
        <f>+AF130/(1-Analisis!$E$9)</f>
        <v>695.19391173245617</v>
      </c>
      <c r="AH130" s="128">
        <f t="shared" ref="AH130:AH191" si="205">+AG130*C130</f>
        <v>0</v>
      </c>
    </row>
    <row r="131" spans="1:34" s="73" customFormat="1" x14ac:dyDescent="0.25">
      <c r="A131" s="100"/>
      <c r="B131" t="s">
        <v>273</v>
      </c>
      <c r="C131" s="74">
        <f>IFERROR(VLOOKUP(B131,'REQ GALV'!A:B,2,0),0)</f>
        <v>0</v>
      </c>
      <c r="D131" s="116">
        <f t="shared" si="204"/>
        <v>871.00885142543859</v>
      </c>
      <c r="E131" s="103" t="s">
        <v>44</v>
      </c>
      <c r="F131" s="75" t="s">
        <v>147</v>
      </c>
      <c r="G131" s="90">
        <v>29</v>
      </c>
      <c r="H131" s="90">
        <v>14.32</v>
      </c>
      <c r="I131" s="76">
        <v>0.105</v>
      </c>
      <c r="J131" s="77">
        <v>28.24</v>
      </c>
      <c r="K131" s="78">
        <f t="shared" ref="K131:K133" si="206">+L131*2.2/J131</f>
        <v>29.13350714117092</v>
      </c>
      <c r="L131" s="58">
        <f>+VLOOKUP(E131,Material!$H$2:$M$17,6,FALSE)*G131*H131*(1+Material!$K$14)</f>
        <v>373.96829166666669</v>
      </c>
      <c r="M131" s="79" t="str">
        <f>+Analisis!$J$5</f>
        <v>T5.0</v>
      </c>
      <c r="N131" s="80">
        <f>+VLOOKUP(M131,Material!$A$3:$B$58,2,FALSE)</f>
        <v>5000</v>
      </c>
      <c r="O131" s="79" t="s">
        <v>42</v>
      </c>
      <c r="P131" s="79" t="s">
        <v>43</v>
      </c>
      <c r="Q131" s="81">
        <f>+IF(O131="ACERO A36",VLOOKUP(P131,'Velocidades Std 1500 w'!$B$2:$F$15,5,FALSE),IF(O131="INOXIDABLE",VLOOKUP(P131,'Velocidades Std 1500 w'!$B$17:$F$28,5,FALSE),IF(O131="ALUMINIO",VLOOKUP(P131,'Velocidades Std 1500 w'!$B$30:$F$38,5,FALSE))))</f>
        <v>4.3859649122807014E-6</v>
      </c>
      <c r="R131" s="82">
        <f t="shared" ref="R131:R133" si="207">+Q131*N131</f>
        <v>2.1929824561403508E-2</v>
      </c>
      <c r="S131" s="83">
        <f t="shared" ref="S131:S133" si="208">+Q131*T131*3600</f>
        <v>81.963928421052628</v>
      </c>
      <c r="T131" s="110">
        <f t="shared" ref="T131:T133" si="209">(+H131*2+G131*2+V131*1.5)*25.4*1.05</f>
        <v>5191.0487999999996</v>
      </c>
      <c r="U131" s="80">
        <f t="shared" ref="U131:U133" si="210">+T131*R131</f>
        <v>113.8387894736842</v>
      </c>
      <c r="V131" s="98">
        <v>72</v>
      </c>
      <c r="W131" s="84">
        <f>+IF(O131="ACERO A36",VLOOKUP(P131,'Tiempo Objeto'!$B$2:$C$12,2,FALSE),IF(O131="INOXIDABLE",VLOOKUP(P131,'Tiempo Objeto'!$B$14:$C$22,2,FALSE),IF(O131="ALUMINIO",VLOOKUP(P131,'Tiempo Objeto'!$B$24:$C$32,2,FALSE))))</f>
        <v>1.84</v>
      </c>
      <c r="X131" s="84">
        <f t="shared" ref="X131:X133" si="211">+W131*V131</f>
        <v>132.48000000000002</v>
      </c>
      <c r="Y131" s="80">
        <f t="shared" ref="Y131:Y133" si="212">+X131*N131/3600</f>
        <v>184.00000000000003</v>
      </c>
      <c r="Z131" s="100">
        <v>1</v>
      </c>
      <c r="AA131" s="85">
        <f t="shared" ref="AA131:AA133" si="213">30*Z131+Z131*$C131*1.5</f>
        <v>30</v>
      </c>
      <c r="AB131" s="86">
        <f>+Z131*Analisis!$J$6</f>
        <v>25</v>
      </c>
      <c r="AC131" s="100">
        <v>0</v>
      </c>
      <c r="AD131" s="85">
        <f t="shared" ref="AD131:AD133" si="214">30*AC131+AC131*$C131*1.5</f>
        <v>0</v>
      </c>
      <c r="AE131" s="86">
        <f>+AD131*Analisis!$J$7</f>
        <v>0</v>
      </c>
      <c r="AF131" s="86">
        <f t="shared" si="203"/>
        <v>696.80708114035087</v>
      </c>
      <c r="AG131" s="126">
        <f>+AF131/(1-Analisis!$E$9)</f>
        <v>871.00885142543859</v>
      </c>
      <c r="AH131" s="128">
        <f t="shared" si="205"/>
        <v>0</v>
      </c>
    </row>
    <row r="132" spans="1:34" s="73" customFormat="1" x14ac:dyDescent="0.25">
      <c r="A132" s="100"/>
      <c r="B132" t="s">
        <v>311</v>
      </c>
      <c r="C132" s="74">
        <f>IFERROR(VLOOKUP(B132,'REQ GALV'!A:B,2,0),0)</f>
        <v>0</v>
      </c>
      <c r="D132" s="116">
        <f t="shared" si="204"/>
        <v>958.91632127192986</v>
      </c>
      <c r="E132" s="103" t="s">
        <v>44</v>
      </c>
      <c r="F132" s="75" t="s">
        <v>147</v>
      </c>
      <c r="G132" s="90">
        <v>34</v>
      </c>
      <c r="H132" s="90">
        <v>14.32</v>
      </c>
      <c r="I132" s="76">
        <v>0.105</v>
      </c>
      <c r="J132" s="77">
        <v>28.24</v>
      </c>
      <c r="K132" s="78">
        <f t="shared" si="206"/>
        <v>34.156525613786599</v>
      </c>
      <c r="L132" s="58">
        <f>+VLOOKUP(E132,Material!$H$2:$M$17,6,FALSE)*G132*H132*(1+Material!$K$14)</f>
        <v>438.44558333333339</v>
      </c>
      <c r="M132" s="79" t="str">
        <f>+Analisis!$J$5</f>
        <v>T5.0</v>
      </c>
      <c r="N132" s="80">
        <f>+VLOOKUP(M132,Material!$A$3:$B$58,2,FALSE)</f>
        <v>5000</v>
      </c>
      <c r="O132" s="79" t="s">
        <v>42</v>
      </c>
      <c r="P132" s="79" t="s">
        <v>43</v>
      </c>
      <c r="Q132" s="81">
        <f>+IF(O132="ACERO A36",VLOOKUP(P132,'Velocidades Std 1500 w'!$B$2:$F$15,5,FALSE),IF(O132="INOXIDABLE",VLOOKUP(P132,'Velocidades Std 1500 w'!$B$17:$F$28,5,FALSE),IF(O132="ALUMINIO",VLOOKUP(P132,'Velocidades Std 1500 w'!$B$30:$F$38,5,FALSE))))</f>
        <v>4.3859649122807014E-6</v>
      </c>
      <c r="R132" s="82">
        <f t="shared" si="207"/>
        <v>2.1929824561403508E-2</v>
      </c>
      <c r="S132" s="83">
        <f t="shared" si="208"/>
        <v>86.17498105263158</v>
      </c>
      <c r="T132" s="110">
        <f t="shared" si="209"/>
        <v>5457.7488000000003</v>
      </c>
      <c r="U132" s="80">
        <f t="shared" si="210"/>
        <v>119.68747368421053</v>
      </c>
      <c r="V132" s="98">
        <v>72</v>
      </c>
      <c r="W132" s="84">
        <f>+IF(O132="ACERO A36",VLOOKUP(P132,'Tiempo Objeto'!$B$2:$C$12,2,FALSE),IF(O132="INOXIDABLE",VLOOKUP(P132,'Tiempo Objeto'!$B$14:$C$22,2,FALSE),IF(O132="ALUMINIO",VLOOKUP(P132,'Tiempo Objeto'!$B$24:$C$32,2,FALSE))))</f>
        <v>1.84</v>
      </c>
      <c r="X132" s="84">
        <f t="shared" si="211"/>
        <v>132.48000000000002</v>
      </c>
      <c r="Y132" s="80">
        <f t="shared" si="212"/>
        <v>184.00000000000003</v>
      </c>
      <c r="Z132" s="100">
        <v>1</v>
      </c>
      <c r="AA132" s="85">
        <f t="shared" si="213"/>
        <v>30</v>
      </c>
      <c r="AB132" s="86">
        <f>+Z132*Analisis!$J$6</f>
        <v>25</v>
      </c>
      <c r="AC132" s="100">
        <v>0</v>
      </c>
      <c r="AD132" s="85">
        <f t="shared" si="214"/>
        <v>0</v>
      </c>
      <c r="AE132" s="86">
        <f>+AD132*Analisis!$J$7</f>
        <v>0</v>
      </c>
      <c r="AF132" s="86">
        <f t="shared" si="203"/>
        <v>767.13305701754393</v>
      </c>
      <c r="AG132" s="126">
        <f>+AF132/(1-Analisis!$E$9)</f>
        <v>958.91632127192986</v>
      </c>
      <c r="AH132" s="128">
        <f t="shared" si="205"/>
        <v>0</v>
      </c>
    </row>
    <row r="133" spans="1:34" s="73" customFormat="1" x14ac:dyDescent="0.25">
      <c r="A133" s="100"/>
      <c r="B133" t="s">
        <v>312</v>
      </c>
      <c r="C133" s="74">
        <f>IFERROR(VLOOKUP(B133,'REQ GALV'!A:B,2,0),0)</f>
        <v>0</v>
      </c>
      <c r="D133" s="116">
        <f t="shared" si="204"/>
        <v>1046.823791118421</v>
      </c>
      <c r="E133" s="103" t="s">
        <v>44</v>
      </c>
      <c r="F133" s="75" t="s">
        <v>147</v>
      </c>
      <c r="G133" s="90">
        <v>39</v>
      </c>
      <c r="H133" s="90">
        <v>14.32</v>
      </c>
      <c r="I133" s="76">
        <v>0.105</v>
      </c>
      <c r="J133" s="77">
        <v>28.24</v>
      </c>
      <c r="K133" s="78">
        <f t="shared" si="206"/>
        <v>39.179544086402281</v>
      </c>
      <c r="L133" s="58">
        <f>+VLOOKUP(E133,Material!$H$2:$M$17,6,FALSE)*G133*H133*(1+Material!$K$14)</f>
        <v>502.92287500000003</v>
      </c>
      <c r="M133" s="79" t="str">
        <f>+Analisis!$J$5</f>
        <v>T5.0</v>
      </c>
      <c r="N133" s="80">
        <f>+VLOOKUP(M133,Material!$A$3:$B$58,2,FALSE)</f>
        <v>5000</v>
      </c>
      <c r="O133" s="79" t="s">
        <v>42</v>
      </c>
      <c r="P133" s="79" t="s">
        <v>43</v>
      </c>
      <c r="Q133" s="81">
        <f>+IF(O133="ACERO A36",VLOOKUP(P133,'Velocidades Std 1500 w'!$B$2:$F$15,5,FALSE),IF(O133="INOXIDABLE",VLOOKUP(P133,'Velocidades Std 1500 w'!$B$17:$F$28,5,FALSE),IF(O133="ALUMINIO",VLOOKUP(P133,'Velocidades Std 1500 w'!$B$30:$F$38,5,FALSE))))</f>
        <v>4.3859649122807014E-6</v>
      </c>
      <c r="R133" s="82">
        <f t="shared" si="207"/>
        <v>2.1929824561403508E-2</v>
      </c>
      <c r="S133" s="83">
        <f t="shared" si="208"/>
        <v>90.386033684210517</v>
      </c>
      <c r="T133" s="110">
        <f t="shared" si="209"/>
        <v>5724.4488000000001</v>
      </c>
      <c r="U133" s="80">
        <f t="shared" si="210"/>
        <v>125.53615789473683</v>
      </c>
      <c r="V133" s="98">
        <v>72</v>
      </c>
      <c r="W133" s="84">
        <f>+IF(O133="ACERO A36",VLOOKUP(P133,'Tiempo Objeto'!$B$2:$C$12,2,FALSE),IF(O133="INOXIDABLE",VLOOKUP(P133,'Tiempo Objeto'!$B$14:$C$22,2,FALSE),IF(O133="ALUMINIO",VLOOKUP(P133,'Tiempo Objeto'!$B$24:$C$32,2,FALSE))))</f>
        <v>1.84</v>
      </c>
      <c r="X133" s="84">
        <f t="shared" si="211"/>
        <v>132.48000000000002</v>
      </c>
      <c r="Y133" s="80">
        <f t="shared" si="212"/>
        <v>184.00000000000003</v>
      </c>
      <c r="Z133" s="100">
        <v>1</v>
      </c>
      <c r="AA133" s="85">
        <f t="shared" si="213"/>
        <v>30</v>
      </c>
      <c r="AB133" s="86">
        <f>+Z133*Analisis!$J$6</f>
        <v>25</v>
      </c>
      <c r="AC133" s="100">
        <v>0</v>
      </c>
      <c r="AD133" s="85">
        <f t="shared" si="214"/>
        <v>0</v>
      </c>
      <c r="AE133" s="86">
        <f>+AD133*Analisis!$J$7</f>
        <v>0</v>
      </c>
      <c r="AF133" s="86">
        <f t="shared" si="203"/>
        <v>837.45903289473688</v>
      </c>
      <c r="AG133" s="126">
        <f>+AF133/(1-Analisis!$E$9)</f>
        <v>1046.823791118421</v>
      </c>
      <c r="AH133" s="128">
        <f t="shared" si="205"/>
        <v>0</v>
      </c>
    </row>
    <row r="134" spans="1:34" s="73" customFormat="1" x14ac:dyDescent="0.25">
      <c r="A134" s="100"/>
      <c r="B134" t="s">
        <v>274</v>
      </c>
      <c r="C134" s="74">
        <f>IFERROR(VLOOKUP(B134,'REQ GALV'!A:B,2,0),0)</f>
        <v>0</v>
      </c>
      <c r="D134" s="116">
        <f t="shared" si="204"/>
        <v>246.48656798245617</v>
      </c>
      <c r="E134" s="103" t="s">
        <v>41</v>
      </c>
      <c r="F134" s="75" t="s">
        <v>147</v>
      </c>
      <c r="G134" s="90">
        <v>22</v>
      </c>
      <c r="H134" s="90">
        <v>5</v>
      </c>
      <c r="I134" s="76">
        <v>0.105</v>
      </c>
      <c r="J134" s="77">
        <v>28.24</v>
      </c>
      <c r="K134" s="78">
        <f t="shared" si="120"/>
        <v>6.3318382121498278</v>
      </c>
      <c r="L134" s="58">
        <f>+VLOOKUP(E134,Material!$H$2:$M$17,6,FALSE)*G134*H134*(1+Material!$K$14)</f>
        <v>81.277777777777786</v>
      </c>
      <c r="M134" s="79" t="str">
        <f>+Analisis!$J$5</f>
        <v>T5.0</v>
      </c>
      <c r="N134" s="80">
        <f>+VLOOKUP(M134,Material!$A$3:$B$58,2,FALSE)</f>
        <v>5000</v>
      </c>
      <c r="O134" s="79" t="s">
        <v>42</v>
      </c>
      <c r="P134" s="79" t="s">
        <v>43</v>
      </c>
      <c r="Q134" s="81">
        <f>+IF(O134="ACERO A36",VLOOKUP(P134,'Velocidades Std 1500 w'!$B$2:$F$15,5,FALSE),IF(O134="INOXIDABLE",VLOOKUP(P134,'Velocidades Std 1500 w'!$B$17:$F$28,5,FALSE),IF(O134="ALUMINIO",VLOOKUP(P134,'Velocidades Std 1500 w'!$B$30:$F$38,5,FALSE))))</f>
        <v>4.3859649122807014E-6</v>
      </c>
      <c r="R134" s="82">
        <f t="shared" si="121"/>
        <v>2.1929824561403508E-2</v>
      </c>
      <c r="S134" s="83">
        <f t="shared" si="122"/>
        <v>29.056263157894737</v>
      </c>
      <c r="T134" s="110">
        <f t="shared" si="123"/>
        <v>1840.23</v>
      </c>
      <c r="U134" s="80">
        <f t="shared" si="124"/>
        <v>40.355921052631579</v>
      </c>
      <c r="V134" s="98">
        <v>10</v>
      </c>
      <c r="W134" s="84">
        <f>+IF(O134="ACERO A36",VLOOKUP(P134,'Tiempo Objeto'!$B$2:$C$12,2,FALSE),IF(O134="INOXIDABLE",VLOOKUP(P134,'Tiempo Objeto'!$B$14:$C$22,2,FALSE),IF(O134="ALUMINIO",VLOOKUP(P134,'Tiempo Objeto'!$B$24:$C$32,2,FALSE))))</f>
        <v>1.84</v>
      </c>
      <c r="X134" s="84">
        <f t="shared" si="125"/>
        <v>18.400000000000002</v>
      </c>
      <c r="Y134" s="80">
        <f t="shared" si="126"/>
        <v>25.555555555555561</v>
      </c>
      <c r="Z134" s="100">
        <v>2</v>
      </c>
      <c r="AA134" s="85">
        <f t="shared" si="127"/>
        <v>60</v>
      </c>
      <c r="AB134" s="86">
        <f>+Z134*Analisis!$J$6</f>
        <v>50</v>
      </c>
      <c r="AC134" s="100">
        <v>0</v>
      </c>
      <c r="AD134" s="85">
        <f t="shared" si="128"/>
        <v>0</v>
      </c>
      <c r="AE134" s="86">
        <f>+AD134*Analisis!$J$7</f>
        <v>0</v>
      </c>
      <c r="AF134" s="86">
        <f t="shared" si="203"/>
        <v>197.18925438596494</v>
      </c>
      <c r="AG134" s="126">
        <f>+AF134/(1-Analisis!$E$9)</f>
        <v>246.48656798245617</v>
      </c>
      <c r="AH134" s="128">
        <f t="shared" si="205"/>
        <v>0</v>
      </c>
    </row>
    <row r="135" spans="1:34" s="73" customFormat="1" x14ac:dyDescent="0.25">
      <c r="A135" s="100"/>
      <c r="B135" t="s">
        <v>148</v>
      </c>
      <c r="C135" s="74">
        <f>IFERROR(VLOOKUP(B135,'REQ GALV'!A:B,2,0),0)</f>
        <v>0</v>
      </c>
      <c r="D135" s="116">
        <f t="shared" si="204"/>
        <v>351.99274214181287</v>
      </c>
      <c r="E135" s="103" t="s">
        <v>41</v>
      </c>
      <c r="F135" s="75" t="s">
        <v>147</v>
      </c>
      <c r="G135" s="90">
        <v>1.89</v>
      </c>
      <c r="H135" s="90">
        <v>85.75</v>
      </c>
      <c r="I135" s="76">
        <v>0.105</v>
      </c>
      <c r="J135" s="77">
        <v>28.24</v>
      </c>
      <c r="K135" s="78">
        <f t="shared" ref="K135:K136" si="215">+L135*2.2/J135</f>
        <v>9.3289562677053848</v>
      </c>
      <c r="L135" s="58">
        <f>+VLOOKUP(E135,Material!$H$2:$M$17,6,FALSE)*G135*H135*(1+Material!$K$14)</f>
        <v>119.74987500000002</v>
      </c>
      <c r="M135" s="79" t="str">
        <f>+Analisis!$J$5</f>
        <v>T5.0</v>
      </c>
      <c r="N135" s="80">
        <f>+VLOOKUP(M135,Material!$A$3:$B$58,2,FALSE)</f>
        <v>5000</v>
      </c>
      <c r="O135" s="79" t="s">
        <v>42</v>
      </c>
      <c r="P135" s="79" t="s">
        <v>43</v>
      </c>
      <c r="Q135" s="81">
        <f>+IF(O135="ACERO A36",VLOOKUP(P135,'Velocidades Std 1500 w'!$B$2:$F$15,5,FALSE),IF(O135="INOXIDABLE",VLOOKUP(P135,'Velocidades Std 1500 w'!$B$17:$F$28,5,FALSE),IF(O135="ALUMINIO",VLOOKUP(P135,'Velocidades Std 1500 w'!$B$30:$F$38,5,FALSE))))</f>
        <v>4.3859649122807014E-6</v>
      </c>
      <c r="R135" s="82">
        <f t="shared" ref="R135:R136" si="216">+Q135*N135</f>
        <v>2.1929824561403508E-2</v>
      </c>
      <c r="S135" s="83">
        <f t="shared" ref="S135:S136" si="217">+Q135*T135*3600</f>
        <v>80.127909473684213</v>
      </c>
      <c r="T135" s="110">
        <f t="shared" ref="T135:T136" si="218">(+H135*2+G135*2+V135*1.5)*25.4*1.05</f>
        <v>5074.7676000000001</v>
      </c>
      <c r="U135" s="80">
        <f t="shared" ref="U135:U136" si="219">+T135*R135</f>
        <v>111.28876315789473</v>
      </c>
      <c r="V135" s="98">
        <v>10</v>
      </c>
      <c r="W135" s="84">
        <f>+IF(O135="ACERO A36",VLOOKUP(P135,'Tiempo Objeto'!$B$2:$C$12,2,FALSE),IF(O135="INOXIDABLE",VLOOKUP(P135,'Tiempo Objeto'!$B$14:$C$22,2,FALSE),IF(O135="ALUMINIO",VLOOKUP(P135,'Tiempo Objeto'!$B$24:$C$32,2,FALSE))))</f>
        <v>1.84</v>
      </c>
      <c r="X135" s="84">
        <f t="shared" ref="X135:X136" si="220">+W135*V135</f>
        <v>18.400000000000002</v>
      </c>
      <c r="Y135" s="80">
        <f t="shared" ref="Y135:Y136" si="221">+X135*N135/3600</f>
        <v>25.555555555555561</v>
      </c>
      <c r="Z135" s="100">
        <v>1</v>
      </c>
      <c r="AA135" s="85">
        <f t="shared" si="127"/>
        <v>30</v>
      </c>
      <c r="AB135" s="86">
        <f>+Z135*Analisis!$J$6</f>
        <v>25</v>
      </c>
      <c r="AC135" s="100">
        <v>0</v>
      </c>
      <c r="AD135" s="85">
        <f t="shared" si="128"/>
        <v>0</v>
      </c>
      <c r="AE135" s="86">
        <f>+AD135*Analisis!$J$7</f>
        <v>0</v>
      </c>
      <c r="AF135" s="86">
        <f t="shared" si="203"/>
        <v>281.5941937134503</v>
      </c>
      <c r="AG135" s="126">
        <f>+AF135/(1-Analisis!$E$9)</f>
        <v>351.99274214181287</v>
      </c>
      <c r="AH135" s="128">
        <f t="shared" si="205"/>
        <v>0</v>
      </c>
    </row>
    <row r="136" spans="1:34" s="73" customFormat="1" ht="16.5" customHeight="1" x14ac:dyDescent="0.25">
      <c r="A136" s="100"/>
      <c r="B136" t="s">
        <v>143</v>
      </c>
      <c r="C136" s="74">
        <f>IFERROR(VLOOKUP(B136,'REQ GALV'!A:B,2,0),0)</f>
        <v>0</v>
      </c>
      <c r="D136" s="116">
        <f t="shared" si="204"/>
        <v>416.52220120614032</v>
      </c>
      <c r="E136" s="103" t="s">
        <v>41</v>
      </c>
      <c r="F136" s="75" t="s">
        <v>147</v>
      </c>
      <c r="G136" s="90">
        <v>2.69</v>
      </c>
      <c r="H136" s="90">
        <v>85.75</v>
      </c>
      <c r="I136" s="76">
        <v>0.105</v>
      </c>
      <c r="J136" s="77">
        <v>28.24</v>
      </c>
      <c r="K136" s="78">
        <f t="shared" si="215"/>
        <v>13.277720825464275</v>
      </c>
      <c r="L136" s="58">
        <f>+VLOOKUP(E136,Material!$H$2:$M$17,6,FALSE)*G136*H136*(1+Material!$K$14)</f>
        <v>170.43765277777777</v>
      </c>
      <c r="M136" s="79" t="str">
        <f>+Analisis!$J$5</f>
        <v>T5.0</v>
      </c>
      <c r="N136" s="80">
        <f>+VLOOKUP(M136,Material!$A$3:$B$58,2,FALSE)</f>
        <v>5000</v>
      </c>
      <c r="O136" s="79" t="s">
        <v>42</v>
      </c>
      <c r="P136" s="79" t="s">
        <v>43</v>
      </c>
      <c r="Q136" s="81">
        <f>+IF(O136="ACERO A36",VLOOKUP(P136,'Velocidades Std 1500 w'!$B$2:$F$15,5,FALSE),IF(O136="INOXIDABLE",VLOOKUP(P136,'Velocidades Std 1500 w'!$B$17:$F$28,5,FALSE),IF(O136="ALUMINIO",VLOOKUP(P136,'Velocidades Std 1500 w'!$B$30:$F$38,5,FALSE))))</f>
        <v>4.3859649122807014E-6</v>
      </c>
      <c r="R136" s="82">
        <f t="shared" si="216"/>
        <v>2.1929824561403508E-2</v>
      </c>
      <c r="S136" s="83">
        <f t="shared" si="217"/>
        <v>80.801677894736841</v>
      </c>
      <c r="T136" s="110">
        <f t="shared" si="218"/>
        <v>5117.4395999999997</v>
      </c>
      <c r="U136" s="80">
        <f t="shared" si="219"/>
        <v>112.22455263157893</v>
      </c>
      <c r="V136" s="98">
        <v>10</v>
      </c>
      <c r="W136" s="84">
        <f>+IF(O136="ACERO A36",VLOOKUP(P136,'Tiempo Objeto'!$B$2:$C$12,2,FALSE),IF(O136="INOXIDABLE",VLOOKUP(P136,'Tiempo Objeto'!$B$14:$C$22,2,FALSE),IF(O136="ALUMINIO",VLOOKUP(P136,'Tiempo Objeto'!$B$24:$C$32,2,FALSE))))</f>
        <v>1.84</v>
      </c>
      <c r="X136" s="84">
        <f t="shared" si="220"/>
        <v>18.400000000000002</v>
      </c>
      <c r="Y136" s="80">
        <f t="shared" si="221"/>
        <v>25.555555555555561</v>
      </c>
      <c r="Z136" s="100">
        <v>1</v>
      </c>
      <c r="AA136" s="85">
        <f t="shared" ref="AA136" si="222">30*Z136+Z136*$C136*1.5</f>
        <v>30</v>
      </c>
      <c r="AB136" s="86">
        <f>+Z136*Analisis!$J$6</f>
        <v>25</v>
      </c>
      <c r="AC136" s="100">
        <v>0</v>
      </c>
      <c r="AD136" s="85">
        <f t="shared" ref="AD136" si="223">30*AC136+AC136*$C136*1.5</f>
        <v>0</v>
      </c>
      <c r="AE136" s="86">
        <f>+AD136*Analisis!$J$7</f>
        <v>0</v>
      </c>
      <c r="AF136" s="86">
        <f t="shared" si="203"/>
        <v>333.21776096491226</v>
      </c>
      <c r="AG136" s="126">
        <f>+AF136/(1-Analisis!$E$9)</f>
        <v>416.52220120614032</v>
      </c>
      <c r="AH136" s="128">
        <f t="shared" si="205"/>
        <v>0</v>
      </c>
    </row>
    <row r="137" spans="1:34" s="73" customFormat="1" ht="16.5" customHeight="1" x14ac:dyDescent="0.25">
      <c r="A137" s="100"/>
      <c r="B137" t="s">
        <v>275</v>
      </c>
      <c r="C137" s="74">
        <f>IFERROR(VLOOKUP(B137,'REQ GALV'!A:B,2,0),0)</f>
        <v>0</v>
      </c>
      <c r="D137" s="116">
        <f t="shared" si="204"/>
        <v>416.52220120614032</v>
      </c>
      <c r="E137" s="103" t="s">
        <v>41</v>
      </c>
      <c r="F137" s="75" t="s">
        <v>147</v>
      </c>
      <c r="G137" s="90">
        <v>2.69</v>
      </c>
      <c r="H137" s="90">
        <v>85.75</v>
      </c>
      <c r="I137" s="76">
        <v>0.105</v>
      </c>
      <c r="J137" s="77">
        <v>28.24</v>
      </c>
      <c r="K137" s="78">
        <f t="shared" ref="K137" si="224">+L137*2.2/J137</f>
        <v>13.277720825464275</v>
      </c>
      <c r="L137" s="58">
        <f>+VLOOKUP(E137,Material!$H$2:$M$17,6,FALSE)*G137*H137*(1+Material!$K$14)</f>
        <v>170.43765277777777</v>
      </c>
      <c r="M137" s="79" t="str">
        <f>+Analisis!$J$5</f>
        <v>T5.0</v>
      </c>
      <c r="N137" s="80">
        <f>+VLOOKUP(M137,Material!$A$3:$B$58,2,FALSE)</f>
        <v>5000</v>
      </c>
      <c r="O137" s="79" t="s">
        <v>42</v>
      </c>
      <c r="P137" s="79" t="s">
        <v>43</v>
      </c>
      <c r="Q137" s="81">
        <f>+IF(O137="ACERO A36",VLOOKUP(P137,'Velocidades Std 1500 w'!$B$2:$F$15,5,FALSE),IF(O137="INOXIDABLE",VLOOKUP(P137,'Velocidades Std 1500 w'!$B$17:$F$28,5,FALSE),IF(O137="ALUMINIO",VLOOKUP(P137,'Velocidades Std 1500 w'!$B$30:$F$38,5,FALSE))))</f>
        <v>4.3859649122807014E-6</v>
      </c>
      <c r="R137" s="82">
        <f t="shared" ref="R137" si="225">+Q137*N137</f>
        <v>2.1929824561403508E-2</v>
      </c>
      <c r="S137" s="83">
        <f t="shared" ref="S137" si="226">+Q137*T137*3600</f>
        <v>80.801677894736841</v>
      </c>
      <c r="T137" s="110">
        <f t="shared" ref="T137" si="227">(+H137*2+G137*2+V137*1.5)*25.4*1.05</f>
        <v>5117.4395999999997</v>
      </c>
      <c r="U137" s="80">
        <f t="shared" ref="U137" si="228">+T137*R137</f>
        <v>112.22455263157893</v>
      </c>
      <c r="V137" s="98">
        <v>10</v>
      </c>
      <c r="W137" s="84">
        <f>+IF(O137="ACERO A36",VLOOKUP(P137,'Tiempo Objeto'!$B$2:$C$12,2,FALSE),IF(O137="INOXIDABLE",VLOOKUP(P137,'Tiempo Objeto'!$B$14:$C$22,2,FALSE),IF(O137="ALUMINIO",VLOOKUP(P137,'Tiempo Objeto'!$B$24:$C$32,2,FALSE))))</f>
        <v>1.84</v>
      </c>
      <c r="X137" s="84">
        <f t="shared" ref="X137" si="229">+W137*V137</f>
        <v>18.400000000000002</v>
      </c>
      <c r="Y137" s="80">
        <f t="shared" ref="Y137" si="230">+X137*N137/3600</f>
        <v>25.555555555555561</v>
      </c>
      <c r="Z137" s="100">
        <v>1</v>
      </c>
      <c r="AA137" s="85">
        <f t="shared" ref="AA137" si="231">30*Z137+Z137*$C137*1.5</f>
        <v>30</v>
      </c>
      <c r="AB137" s="86">
        <f>+Z137*Analisis!$J$6</f>
        <v>25</v>
      </c>
      <c r="AC137" s="100">
        <v>0</v>
      </c>
      <c r="AD137" s="85">
        <f t="shared" ref="AD137" si="232">30*AC137+AC137*$C137*1.5</f>
        <v>0</v>
      </c>
      <c r="AE137" s="86">
        <f>+AD137*Analisis!$J$7</f>
        <v>0</v>
      </c>
      <c r="AF137" s="86">
        <f t="shared" si="203"/>
        <v>333.21776096491226</v>
      </c>
      <c r="AG137" s="126">
        <f>+AF137/(1-Analisis!$E$9)</f>
        <v>416.52220120614032</v>
      </c>
      <c r="AH137" s="128">
        <f t="shared" si="205"/>
        <v>0</v>
      </c>
    </row>
    <row r="138" spans="1:34" s="73" customFormat="1" ht="14.25" customHeight="1" x14ac:dyDescent="0.25">
      <c r="A138" s="100"/>
      <c r="B138" t="s">
        <v>307</v>
      </c>
      <c r="C138" s="74">
        <f>IFERROR(VLOOKUP(B138,'REQ GALV'!A:B,2,0),0)</f>
        <v>0</v>
      </c>
      <c r="D138" s="116">
        <f t="shared" si="204"/>
        <v>1197.2057346491229</v>
      </c>
      <c r="E138" s="103" t="s">
        <v>41</v>
      </c>
      <c r="F138" s="75" t="s">
        <v>147</v>
      </c>
      <c r="G138" s="90">
        <v>19</v>
      </c>
      <c r="H138" s="90">
        <v>31.14</v>
      </c>
      <c r="I138" s="76">
        <v>0.105</v>
      </c>
      <c r="J138" s="77">
        <v>28.24</v>
      </c>
      <c r="K138" s="78">
        <f t="shared" si="120"/>
        <v>34.057230878186971</v>
      </c>
      <c r="L138" s="58">
        <f>+VLOOKUP(E138,Material!$H$2:$M$17,6,FALSE)*G138*H138*(1+Material!$K$14)</f>
        <v>437.17099999999999</v>
      </c>
      <c r="M138" s="79" t="str">
        <f>+Analisis!$J$5</f>
        <v>T5.0</v>
      </c>
      <c r="N138" s="80">
        <f>+VLOOKUP(M138,Material!$A$3:$B$58,2,FALSE)</f>
        <v>5000</v>
      </c>
      <c r="O138" s="79" t="s">
        <v>42</v>
      </c>
      <c r="P138" s="79" t="s">
        <v>43</v>
      </c>
      <c r="Q138" s="81">
        <f>+IF(O138="ACERO A36",VLOOKUP(P138,'Velocidades Std 1500 w'!$B$2:$F$15,5,FALSE),IF(O138="INOXIDABLE",VLOOKUP(P138,'Velocidades Std 1500 w'!$B$17:$F$28,5,FALSE),IF(O138="ALUMINIO",VLOOKUP(P138,'Velocidades Std 1500 w'!$B$30:$F$38,5,FALSE))))</f>
        <v>4.3859649122807014E-6</v>
      </c>
      <c r="R138" s="82">
        <f t="shared" si="121"/>
        <v>2.1929824561403508E-2</v>
      </c>
      <c r="S138" s="83">
        <f t="shared" si="122"/>
        <v>118.02738315789472</v>
      </c>
      <c r="T138" s="110">
        <f t="shared" si="123"/>
        <v>7475.0675999999994</v>
      </c>
      <c r="U138" s="80">
        <f t="shared" si="124"/>
        <v>163.92692105263157</v>
      </c>
      <c r="V138" s="98">
        <v>120</v>
      </c>
      <c r="W138" s="84">
        <f>+IF(O138="ACERO A36",VLOOKUP(P138,'Tiempo Objeto'!$B$2:$C$12,2,FALSE),IF(O138="INOXIDABLE",VLOOKUP(P138,'Tiempo Objeto'!$B$14:$C$22,2,FALSE),IF(O138="ALUMINIO",VLOOKUP(P138,'Tiempo Objeto'!$B$24:$C$32,2,FALSE))))</f>
        <v>1.84</v>
      </c>
      <c r="X138" s="84">
        <f t="shared" si="125"/>
        <v>220.8</v>
      </c>
      <c r="Y138" s="80">
        <f t="shared" si="126"/>
        <v>306.66666666666669</v>
      </c>
      <c r="Z138" s="100">
        <v>2</v>
      </c>
      <c r="AA138" s="85">
        <f t="shared" si="127"/>
        <v>60</v>
      </c>
      <c r="AB138" s="86">
        <f>+Z138*Analisis!$J$6</f>
        <v>50</v>
      </c>
      <c r="AC138" s="100">
        <v>0</v>
      </c>
      <c r="AD138" s="85">
        <f t="shared" si="128"/>
        <v>0</v>
      </c>
      <c r="AE138" s="86">
        <f>+AD138*Analisis!$J$7</f>
        <v>0</v>
      </c>
      <c r="AF138" s="86">
        <f t="shared" si="203"/>
        <v>957.76458771929833</v>
      </c>
      <c r="AG138" s="126">
        <f>+AF138/(1-Analisis!$E$9)</f>
        <v>1197.2057346491229</v>
      </c>
      <c r="AH138" s="128">
        <f t="shared" si="205"/>
        <v>0</v>
      </c>
    </row>
    <row r="139" spans="1:34" s="73" customFormat="1" ht="14.25" customHeight="1" x14ac:dyDescent="0.25">
      <c r="A139" s="100"/>
      <c r="B139" t="s">
        <v>271</v>
      </c>
      <c r="C139" s="74">
        <f>IFERROR(VLOOKUP(B139,'REQ GALV'!A:B,2,0),0)</f>
        <v>0</v>
      </c>
      <c r="D139" s="116">
        <f t="shared" si="204"/>
        <v>1499.4399451754384</v>
      </c>
      <c r="E139" s="103" t="s">
        <v>41</v>
      </c>
      <c r="F139" s="75" t="s">
        <v>147</v>
      </c>
      <c r="G139" s="90">
        <v>29</v>
      </c>
      <c r="H139" s="90">
        <v>31.14</v>
      </c>
      <c r="I139" s="76">
        <v>0.105</v>
      </c>
      <c r="J139" s="77">
        <v>28.24</v>
      </c>
      <c r="K139" s="78">
        <f t="shared" ref="K139:K141" si="233">+L139*2.2/J139</f>
        <v>51.982089235127482</v>
      </c>
      <c r="L139" s="58">
        <f>+VLOOKUP(E139,Material!$H$2:$M$17,6,FALSE)*G139*H139*(1+Material!$K$14)</f>
        <v>667.26099999999997</v>
      </c>
      <c r="M139" s="79" t="str">
        <f>+Analisis!$J$5</f>
        <v>T5.0</v>
      </c>
      <c r="N139" s="80">
        <f>+VLOOKUP(M139,Material!$A$3:$B$58,2,FALSE)</f>
        <v>5000</v>
      </c>
      <c r="O139" s="79" t="s">
        <v>42</v>
      </c>
      <c r="P139" s="79" t="s">
        <v>43</v>
      </c>
      <c r="Q139" s="81">
        <f>+IF(O139="ACERO A36",VLOOKUP(P139,'Velocidades Std 1500 w'!$B$2:$F$15,5,FALSE),IF(O139="INOXIDABLE",VLOOKUP(P139,'Velocidades Std 1500 w'!$B$17:$F$28,5,FALSE),IF(O139="ALUMINIO",VLOOKUP(P139,'Velocidades Std 1500 w'!$B$30:$F$38,5,FALSE))))</f>
        <v>4.3859649122807014E-6</v>
      </c>
      <c r="R139" s="82">
        <f t="shared" ref="R139:R141" si="234">+Q139*N139</f>
        <v>2.1929824561403508E-2</v>
      </c>
      <c r="S139" s="83">
        <f t="shared" ref="S139:S141" si="235">+Q139*T139*3600</f>
        <v>126.44948842105261</v>
      </c>
      <c r="T139" s="110">
        <f t="shared" ref="T139:T141" si="236">(+H139*2+G139*2+V139*1.5)*25.4*1.05</f>
        <v>8008.467599999999</v>
      </c>
      <c r="U139" s="80">
        <f t="shared" ref="U139:U141" si="237">+T139*R139</f>
        <v>175.62428947368417</v>
      </c>
      <c r="V139" s="98">
        <v>120</v>
      </c>
      <c r="W139" s="84">
        <f>+IF(O139="ACERO A36",VLOOKUP(P139,'Tiempo Objeto'!$B$2:$C$12,2,FALSE),IF(O139="INOXIDABLE",VLOOKUP(P139,'Tiempo Objeto'!$B$14:$C$22,2,FALSE),IF(O139="ALUMINIO",VLOOKUP(P139,'Tiempo Objeto'!$B$24:$C$32,2,FALSE))))</f>
        <v>1.84</v>
      </c>
      <c r="X139" s="84">
        <f t="shared" ref="X139:X141" si="238">+W139*V139</f>
        <v>220.8</v>
      </c>
      <c r="Y139" s="80">
        <f t="shared" ref="Y139:Y141" si="239">+X139*N139/3600</f>
        <v>306.66666666666669</v>
      </c>
      <c r="Z139" s="100">
        <v>2</v>
      </c>
      <c r="AA139" s="85">
        <f t="shared" ref="AA139:AA142" si="240">30*Z139+Z139*$C139*1.5</f>
        <v>60</v>
      </c>
      <c r="AB139" s="86">
        <f>+Z139*Analisis!$J$6</f>
        <v>50</v>
      </c>
      <c r="AC139" s="100">
        <v>0</v>
      </c>
      <c r="AD139" s="85">
        <f t="shared" ref="AD139:AD142" si="241">30*AC139+AC139*$C139*1.5</f>
        <v>0</v>
      </c>
      <c r="AE139" s="86">
        <f>+AD139*Analisis!$J$7</f>
        <v>0</v>
      </c>
      <c r="AF139" s="86">
        <f t="shared" si="203"/>
        <v>1199.5519561403507</v>
      </c>
      <c r="AG139" s="126">
        <f>+AF139/(1-Analisis!$E$9)</f>
        <v>1499.4399451754384</v>
      </c>
      <c r="AH139" s="128">
        <f t="shared" si="205"/>
        <v>0</v>
      </c>
    </row>
    <row r="140" spans="1:34" s="73" customFormat="1" ht="14.25" customHeight="1" x14ac:dyDescent="0.25">
      <c r="A140" s="100"/>
      <c r="B140" t="s">
        <v>308</v>
      </c>
      <c r="C140" s="74">
        <f>IFERROR(VLOOKUP(B140,'REQ GALV'!A:B,2,0),0)</f>
        <v>0</v>
      </c>
      <c r="D140" s="116">
        <f t="shared" si="204"/>
        <v>1650.5570504385964</v>
      </c>
      <c r="E140" s="103" t="s">
        <v>41</v>
      </c>
      <c r="F140" s="75" t="s">
        <v>147</v>
      </c>
      <c r="G140" s="90">
        <v>34</v>
      </c>
      <c r="H140" s="90">
        <v>31.14</v>
      </c>
      <c r="I140" s="76">
        <v>0.105</v>
      </c>
      <c r="J140" s="77">
        <v>28.24</v>
      </c>
      <c r="K140" s="78">
        <f t="shared" si="233"/>
        <v>60.944518413597756</v>
      </c>
      <c r="L140" s="58">
        <f>+VLOOKUP(E140,Material!$H$2:$M$17,6,FALSE)*G140*H140*(1+Material!$K$14)</f>
        <v>782.30600000000015</v>
      </c>
      <c r="M140" s="79" t="str">
        <f>+Analisis!$J$5</f>
        <v>T5.0</v>
      </c>
      <c r="N140" s="80">
        <f>+VLOOKUP(M140,Material!$A$3:$B$58,2,FALSE)</f>
        <v>5000</v>
      </c>
      <c r="O140" s="79" t="s">
        <v>42</v>
      </c>
      <c r="P140" s="79" t="s">
        <v>43</v>
      </c>
      <c r="Q140" s="81">
        <f>+IF(O140="ACERO A36",VLOOKUP(P140,'Velocidades Std 1500 w'!$B$2:$F$15,5,FALSE),IF(O140="INOXIDABLE",VLOOKUP(P140,'Velocidades Std 1500 w'!$B$17:$F$28,5,FALSE),IF(O140="ALUMINIO",VLOOKUP(P140,'Velocidades Std 1500 w'!$B$30:$F$38,5,FALSE))))</f>
        <v>4.3859649122807014E-6</v>
      </c>
      <c r="R140" s="82">
        <f t="shared" si="234"/>
        <v>2.1929824561403508E-2</v>
      </c>
      <c r="S140" s="83">
        <f t="shared" si="235"/>
        <v>130.66054105263157</v>
      </c>
      <c r="T140" s="110">
        <f t="shared" si="236"/>
        <v>8275.1675999999989</v>
      </c>
      <c r="U140" s="80">
        <f t="shared" si="237"/>
        <v>181.4729736842105</v>
      </c>
      <c r="V140" s="98">
        <v>120</v>
      </c>
      <c r="W140" s="84">
        <f>+IF(O140="ACERO A36",VLOOKUP(P140,'Tiempo Objeto'!$B$2:$C$12,2,FALSE),IF(O140="INOXIDABLE",VLOOKUP(P140,'Tiempo Objeto'!$B$14:$C$22,2,FALSE),IF(O140="ALUMINIO",VLOOKUP(P140,'Tiempo Objeto'!$B$24:$C$32,2,FALSE))))</f>
        <v>1.84</v>
      </c>
      <c r="X140" s="84">
        <f t="shared" si="238"/>
        <v>220.8</v>
      </c>
      <c r="Y140" s="80">
        <f t="shared" si="239"/>
        <v>306.66666666666669</v>
      </c>
      <c r="Z140" s="100">
        <v>2</v>
      </c>
      <c r="AA140" s="85">
        <f t="shared" si="240"/>
        <v>60</v>
      </c>
      <c r="AB140" s="86">
        <f>+Z140*Analisis!$J$6</f>
        <v>50</v>
      </c>
      <c r="AC140" s="100">
        <v>0</v>
      </c>
      <c r="AD140" s="85">
        <f t="shared" si="241"/>
        <v>0</v>
      </c>
      <c r="AE140" s="86">
        <f>+AD140*Analisis!$J$7</f>
        <v>0</v>
      </c>
      <c r="AF140" s="86">
        <f t="shared" si="203"/>
        <v>1320.4456403508773</v>
      </c>
      <c r="AG140" s="126">
        <f>+AF140/(1-Analisis!$E$9)</f>
        <v>1650.5570504385964</v>
      </c>
      <c r="AH140" s="128">
        <f t="shared" si="205"/>
        <v>0</v>
      </c>
    </row>
    <row r="141" spans="1:34" s="73" customFormat="1" ht="14.25" customHeight="1" x14ac:dyDescent="0.25">
      <c r="A141" s="100"/>
      <c r="B141" t="s">
        <v>309</v>
      </c>
      <c r="C141" s="74">
        <f>IFERROR(VLOOKUP(B141,'REQ GALV'!A:B,2,0),0)</f>
        <v>0</v>
      </c>
      <c r="D141" s="116">
        <f t="shared" si="204"/>
        <v>1801.6741557017544</v>
      </c>
      <c r="E141" s="103" t="s">
        <v>41</v>
      </c>
      <c r="F141" s="75" t="s">
        <v>147</v>
      </c>
      <c r="G141" s="90">
        <v>39</v>
      </c>
      <c r="H141" s="90">
        <v>31.14</v>
      </c>
      <c r="I141" s="76">
        <v>0.105</v>
      </c>
      <c r="J141" s="77">
        <v>28.24</v>
      </c>
      <c r="K141" s="78">
        <f t="shared" si="233"/>
        <v>69.906947592068008</v>
      </c>
      <c r="L141" s="58">
        <f>+VLOOKUP(E141,Material!$H$2:$M$17,6,FALSE)*G141*H141*(1+Material!$K$14)</f>
        <v>897.35100000000011</v>
      </c>
      <c r="M141" s="79" t="str">
        <f>+Analisis!$J$5</f>
        <v>T5.0</v>
      </c>
      <c r="N141" s="80">
        <f>+VLOOKUP(M141,Material!$A$3:$B$58,2,FALSE)</f>
        <v>5000</v>
      </c>
      <c r="O141" s="79" t="s">
        <v>42</v>
      </c>
      <c r="P141" s="79" t="s">
        <v>43</v>
      </c>
      <c r="Q141" s="81">
        <f>+IF(O141="ACERO A36",VLOOKUP(P141,'Velocidades Std 1500 w'!$B$2:$F$15,5,FALSE),IF(O141="INOXIDABLE",VLOOKUP(P141,'Velocidades Std 1500 w'!$B$17:$F$28,5,FALSE),IF(O141="ALUMINIO",VLOOKUP(P141,'Velocidades Std 1500 w'!$B$30:$F$38,5,FALSE))))</f>
        <v>4.3859649122807014E-6</v>
      </c>
      <c r="R141" s="82">
        <f t="shared" si="234"/>
        <v>2.1929824561403508E-2</v>
      </c>
      <c r="S141" s="83">
        <f t="shared" si="235"/>
        <v>134.87159368421052</v>
      </c>
      <c r="T141" s="110">
        <f t="shared" si="236"/>
        <v>8541.8675999999996</v>
      </c>
      <c r="U141" s="80">
        <f t="shared" si="237"/>
        <v>187.32165789473683</v>
      </c>
      <c r="V141" s="98">
        <v>120</v>
      </c>
      <c r="W141" s="84">
        <f>+IF(O141="ACERO A36",VLOOKUP(P141,'Tiempo Objeto'!$B$2:$C$12,2,FALSE),IF(O141="INOXIDABLE",VLOOKUP(P141,'Tiempo Objeto'!$B$14:$C$22,2,FALSE),IF(O141="ALUMINIO",VLOOKUP(P141,'Tiempo Objeto'!$B$24:$C$32,2,FALSE))))</f>
        <v>1.84</v>
      </c>
      <c r="X141" s="84">
        <f t="shared" si="238"/>
        <v>220.8</v>
      </c>
      <c r="Y141" s="80">
        <f t="shared" si="239"/>
        <v>306.66666666666669</v>
      </c>
      <c r="Z141" s="100">
        <v>2</v>
      </c>
      <c r="AA141" s="85">
        <f t="shared" si="240"/>
        <v>60</v>
      </c>
      <c r="AB141" s="86">
        <f>+Z141*Analisis!$J$6</f>
        <v>50</v>
      </c>
      <c r="AC141" s="100">
        <v>0</v>
      </c>
      <c r="AD141" s="85">
        <f t="shared" si="241"/>
        <v>0</v>
      </c>
      <c r="AE141" s="86">
        <f>+AD141*Analisis!$J$7</f>
        <v>0</v>
      </c>
      <c r="AF141" s="86">
        <f t="shared" si="203"/>
        <v>1441.3393245614036</v>
      </c>
      <c r="AG141" s="126">
        <f>+AF141/(1-Analisis!$E$9)</f>
        <v>1801.6741557017544</v>
      </c>
      <c r="AH141" s="128">
        <f t="shared" si="205"/>
        <v>0</v>
      </c>
    </row>
    <row r="142" spans="1:34" s="73" customFormat="1" ht="14.25" customHeight="1" x14ac:dyDescent="0.25">
      <c r="A142" s="100"/>
      <c r="B142" t="s">
        <v>276</v>
      </c>
      <c r="C142" s="74">
        <f>IFERROR(VLOOKUP(B142,'REQ GALV'!A:B,2,0),0)</f>
        <v>0</v>
      </c>
      <c r="D142" s="116">
        <f t="shared" si="204"/>
        <v>1499.4399451754384</v>
      </c>
      <c r="E142" s="103" t="s">
        <v>41</v>
      </c>
      <c r="F142" s="75" t="s">
        <v>147</v>
      </c>
      <c r="G142" s="90">
        <v>29</v>
      </c>
      <c r="H142" s="90">
        <v>31.14</v>
      </c>
      <c r="I142" s="76">
        <v>0.105</v>
      </c>
      <c r="J142" s="77">
        <v>28.24</v>
      </c>
      <c r="K142" s="78">
        <f t="shared" ref="K142:K143" si="242">+L142*2.2/J142</f>
        <v>51.982089235127482</v>
      </c>
      <c r="L142" s="58">
        <f>+VLOOKUP(E142,Material!$H$2:$M$17,6,FALSE)*G142*H142*(1+Material!$K$14)</f>
        <v>667.26099999999997</v>
      </c>
      <c r="M142" s="79" t="str">
        <f>+Analisis!$J$5</f>
        <v>T5.0</v>
      </c>
      <c r="N142" s="80">
        <f>+VLOOKUP(M142,Material!$A$3:$B$58,2,FALSE)</f>
        <v>5000</v>
      </c>
      <c r="O142" s="79" t="s">
        <v>42</v>
      </c>
      <c r="P142" s="79" t="s">
        <v>43</v>
      </c>
      <c r="Q142" s="81">
        <f>+IF(O142="ACERO A36",VLOOKUP(P142,'Velocidades Std 1500 w'!$B$2:$F$15,5,FALSE),IF(O142="INOXIDABLE",VLOOKUP(P142,'Velocidades Std 1500 w'!$B$17:$F$28,5,FALSE),IF(O142="ALUMINIO",VLOOKUP(P142,'Velocidades Std 1500 w'!$B$30:$F$38,5,FALSE))))</f>
        <v>4.3859649122807014E-6</v>
      </c>
      <c r="R142" s="82">
        <f t="shared" ref="R142:R143" si="243">+Q142*N142</f>
        <v>2.1929824561403508E-2</v>
      </c>
      <c r="S142" s="83">
        <f t="shared" ref="S142:S143" si="244">+Q142*T142*3600</f>
        <v>126.44948842105261</v>
      </c>
      <c r="T142" s="110">
        <f t="shared" ref="T142:T143" si="245">(+H142*2+G142*2+V142*1.5)*25.4*1.05</f>
        <v>8008.467599999999</v>
      </c>
      <c r="U142" s="80">
        <f t="shared" ref="U142:U143" si="246">+T142*R142</f>
        <v>175.62428947368417</v>
      </c>
      <c r="V142" s="98">
        <v>120</v>
      </c>
      <c r="W142" s="84">
        <f>+IF(O142="ACERO A36",VLOOKUP(P142,'Tiempo Objeto'!$B$2:$C$12,2,FALSE),IF(O142="INOXIDABLE",VLOOKUP(P142,'Tiempo Objeto'!$B$14:$C$22,2,FALSE),IF(O142="ALUMINIO",VLOOKUP(P142,'Tiempo Objeto'!$B$24:$C$32,2,FALSE))))</f>
        <v>1.84</v>
      </c>
      <c r="X142" s="84">
        <f t="shared" ref="X142:X143" si="247">+W142*V142</f>
        <v>220.8</v>
      </c>
      <c r="Y142" s="80">
        <f t="shared" ref="Y142:Y143" si="248">+X142*N142/3600</f>
        <v>306.66666666666669</v>
      </c>
      <c r="Z142" s="100">
        <v>2</v>
      </c>
      <c r="AA142" s="85">
        <f t="shared" si="240"/>
        <v>60</v>
      </c>
      <c r="AB142" s="86">
        <f>+Z142*Analisis!$J$6</f>
        <v>50</v>
      </c>
      <c r="AC142" s="100">
        <v>0</v>
      </c>
      <c r="AD142" s="85">
        <f t="shared" si="241"/>
        <v>0</v>
      </c>
      <c r="AE142" s="86">
        <f>+AD142*Analisis!$J$7</f>
        <v>0</v>
      </c>
      <c r="AF142" s="86">
        <f t="shared" si="203"/>
        <v>1199.5519561403507</v>
      </c>
      <c r="AG142" s="126">
        <f>+AF142/(1-Analisis!$E$9)</f>
        <v>1499.4399451754384</v>
      </c>
      <c r="AH142" s="128">
        <f t="shared" si="205"/>
        <v>0</v>
      </c>
    </row>
    <row r="143" spans="1:34" s="73" customFormat="1" x14ac:dyDescent="0.25">
      <c r="A143" s="100"/>
      <c r="B143" t="s">
        <v>277</v>
      </c>
      <c r="C143" s="74">
        <f>IFERROR(VLOOKUP(B143,'REQ GALV'!A:B,2,0),0)</f>
        <v>0</v>
      </c>
      <c r="D143" s="116">
        <f t="shared" si="204"/>
        <v>1499.4399451754384</v>
      </c>
      <c r="E143" s="103" t="s">
        <v>41</v>
      </c>
      <c r="F143" s="75" t="s">
        <v>147</v>
      </c>
      <c r="G143" s="90">
        <v>29</v>
      </c>
      <c r="H143" s="90">
        <v>31.14</v>
      </c>
      <c r="I143" s="76">
        <v>0.105</v>
      </c>
      <c r="J143" s="77">
        <v>28.24</v>
      </c>
      <c r="K143" s="78">
        <f t="shared" si="242"/>
        <v>51.982089235127482</v>
      </c>
      <c r="L143" s="58">
        <f>+VLOOKUP(E143,Material!$H$2:$M$17,6,FALSE)*G143*H143*(1+Material!$K$14)</f>
        <v>667.26099999999997</v>
      </c>
      <c r="M143" s="79" t="str">
        <f>+Analisis!$J$5</f>
        <v>T5.0</v>
      </c>
      <c r="N143" s="80">
        <f>+VLOOKUP(M143,Material!$A$3:$B$58,2,FALSE)</f>
        <v>5000</v>
      </c>
      <c r="O143" s="79" t="s">
        <v>42</v>
      </c>
      <c r="P143" s="79" t="s">
        <v>43</v>
      </c>
      <c r="Q143" s="81">
        <f>+IF(O143="ACERO A36",VLOOKUP(P143,'Velocidades Std 1500 w'!$B$2:$F$15,5,FALSE),IF(O143="INOXIDABLE",VLOOKUP(P143,'Velocidades Std 1500 w'!$B$17:$F$28,5,FALSE),IF(O143="ALUMINIO",VLOOKUP(P143,'Velocidades Std 1500 w'!$B$30:$F$38,5,FALSE))))</f>
        <v>4.3859649122807014E-6</v>
      </c>
      <c r="R143" s="82">
        <f t="shared" si="243"/>
        <v>2.1929824561403508E-2</v>
      </c>
      <c r="S143" s="83">
        <f t="shared" si="244"/>
        <v>126.44948842105261</v>
      </c>
      <c r="T143" s="110">
        <f t="shared" si="245"/>
        <v>8008.467599999999</v>
      </c>
      <c r="U143" s="80">
        <f t="shared" si="246"/>
        <v>175.62428947368417</v>
      </c>
      <c r="V143" s="98">
        <v>120</v>
      </c>
      <c r="W143" s="84">
        <f>+IF(O143="ACERO A36",VLOOKUP(P143,'Tiempo Objeto'!$B$2:$C$12,2,FALSE),IF(O143="INOXIDABLE",VLOOKUP(P143,'Tiempo Objeto'!$B$14:$C$22,2,FALSE),IF(O143="ALUMINIO",VLOOKUP(P143,'Tiempo Objeto'!$B$24:$C$32,2,FALSE))))</f>
        <v>1.84</v>
      </c>
      <c r="X143" s="84">
        <f t="shared" si="247"/>
        <v>220.8</v>
      </c>
      <c r="Y143" s="80">
        <f t="shared" si="248"/>
        <v>306.66666666666669</v>
      </c>
      <c r="Z143" s="100">
        <v>2</v>
      </c>
      <c r="AA143" s="85">
        <f t="shared" si="127"/>
        <v>60</v>
      </c>
      <c r="AB143" s="86">
        <f>+Z143*Analisis!$J$6</f>
        <v>50</v>
      </c>
      <c r="AC143" s="100">
        <v>0</v>
      </c>
      <c r="AD143" s="85">
        <f t="shared" si="128"/>
        <v>0</v>
      </c>
      <c r="AE143" s="86">
        <f>+AD143*Analisis!$J$7</f>
        <v>0</v>
      </c>
      <c r="AF143" s="86">
        <f t="shared" si="203"/>
        <v>1199.5519561403507</v>
      </c>
      <c r="AG143" s="126">
        <f>+AF143/(1-Analisis!$E$9)</f>
        <v>1499.4399451754384</v>
      </c>
      <c r="AH143" s="128">
        <f t="shared" si="205"/>
        <v>0</v>
      </c>
    </row>
    <row r="144" spans="1:34" s="73" customFormat="1" x14ac:dyDescent="0.25">
      <c r="A144" s="100"/>
      <c r="B144" t="s">
        <v>278</v>
      </c>
      <c r="C144" s="74">
        <f>IFERROR(VLOOKUP(B144,'REQ GALV'!A:B,2,0),0)</f>
        <v>0</v>
      </c>
      <c r="D144" s="116">
        <f t="shared" si="204"/>
        <v>301.36373812134502</v>
      </c>
      <c r="E144" s="103" t="s">
        <v>44</v>
      </c>
      <c r="F144" s="75" t="s">
        <v>147</v>
      </c>
      <c r="G144" s="90">
        <v>26</v>
      </c>
      <c r="H144" s="90">
        <v>5</v>
      </c>
      <c r="I144" s="76">
        <v>0.105</v>
      </c>
      <c r="J144" s="77">
        <v>28.24</v>
      </c>
      <c r="K144" s="78">
        <f t="shared" si="120"/>
        <v>9.1200056067044422</v>
      </c>
      <c r="L144" s="58">
        <f>+VLOOKUP(E144,Material!$H$2:$M$17,6,FALSE)*G144*H144*(1+Material!$K$14)</f>
        <v>117.06770833333336</v>
      </c>
      <c r="M144" s="79" t="str">
        <f>+Analisis!$J$5</f>
        <v>T5.0</v>
      </c>
      <c r="N144" s="80">
        <f>+VLOOKUP(M144,Material!$A$3:$B$58,2,FALSE)</f>
        <v>5000</v>
      </c>
      <c r="O144" s="79" t="s">
        <v>42</v>
      </c>
      <c r="P144" s="79" t="s">
        <v>43</v>
      </c>
      <c r="Q144" s="81">
        <f>+IF(O144="ACERO A36",VLOOKUP(P144,'Velocidades Std 1500 w'!$B$2:$F$15,5,FALSE),IF(O144="INOXIDABLE",VLOOKUP(P144,'Velocidades Std 1500 w'!$B$17:$F$28,5,FALSE),IF(O144="ALUMINIO",VLOOKUP(P144,'Velocidades Std 1500 w'!$B$30:$F$38,5,FALSE))))</f>
        <v>4.3859649122807014E-6</v>
      </c>
      <c r="R144" s="82">
        <f t="shared" si="121"/>
        <v>2.1929824561403508E-2</v>
      </c>
      <c r="S144" s="83">
        <f t="shared" si="122"/>
        <v>33.056763157894736</v>
      </c>
      <c r="T144" s="110">
        <f t="shared" si="123"/>
        <v>2093.5949999999998</v>
      </c>
      <c r="U144" s="80">
        <f t="shared" si="124"/>
        <v>45.912171052631571</v>
      </c>
      <c r="V144" s="98">
        <v>11</v>
      </c>
      <c r="W144" s="84">
        <f>+IF(O144="ACERO A36",VLOOKUP(P144,'Tiempo Objeto'!$B$2:$C$12,2,FALSE),IF(O144="INOXIDABLE",VLOOKUP(P144,'Tiempo Objeto'!$B$14:$C$22,2,FALSE),IF(O144="ALUMINIO",VLOOKUP(P144,'Tiempo Objeto'!$B$24:$C$32,2,FALSE))))</f>
        <v>1.84</v>
      </c>
      <c r="X144" s="84">
        <f t="shared" si="125"/>
        <v>20.240000000000002</v>
      </c>
      <c r="Y144" s="80">
        <f t="shared" si="126"/>
        <v>28.111111111111114</v>
      </c>
      <c r="Z144" s="100">
        <v>2</v>
      </c>
      <c r="AA144" s="85">
        <f t="shared" si="127"/>
        <v>60</v>
      </c>
      <c r="AB144" s="86">
        <f>+Z144*Analisis!$J$6</f>
        <v>50</v>
      </c>
      <c r="AC144" s="100">
        <v>0</v>
      </c>
      <c r="AD144" s="85">
        <f t="shared" si="128"/>
        <v>0</v>
      </c>
      <c r="AE144" s="86">
        <f>+AD144*Analisis!$J$7</f>
        <v>0</v>
      </c>
      <c r="AF144" s="86">
        <f t="shared" si="203"/>
        <v>241.09099049707604</v>
      </c>
      <c r="AG144" s="126">
        <f>+AF144/(1-Analisis!$E$9)</f>
        <v>301.36373812134502</v>
      </c>
      <c r="AH144" s="128">
        <f t="shared" si="205"/>
        <v>0</v>
      </c>
    </row>
    <row r="145" spans="1:35" s="73" customFormat="1" x14ac:dyDescent="0.25">
      <c r="A145" s="100"/>
      <c r="B145" t="s">
        <v>279</v>
      </c>
      <c r="C145" s="74">
        <f>IFERROR(VLOOKUP(B145,'REQ GALV'!A:B,2,0),0)</f>
        <v>0</v>
      </c>
      <c r="D145" s="116">
        <f t="shared" si="204"/>
        <v>301.36373812134502</v>
      </c>
      <c r="E145" s="103" t="s">
        <v>44</v>
      </c>
      <c r="F145" s="75" t="s">
        <v>147</v>
      </c>
      <c r="G145" s="90">
        <v>26</v>
      </c>
      <c r="H145" s="90">
        <v>5</v>
      </c>
      <c r="I145" s="76">
        <v>0.105</v>
      </c>
      <c r="J145" s="77">
        <v>28.24</v>
      </c>
      <c r="K145" s="78">
        <f t="shared" ref="K145" si="249">+L145*2.2/J145</f>
        <v>9.1200056067044422</v>
      </c>
      <c r="L145" s="58">
        <f>+VLOOKUP(E145,Material!$H$2:$M$17,6,FALSE)*G145*H145*(1+Material!$K$14)</f>
        <v>117.06770833333336</v>
      </c>
      <c r="M145" s="79" t="str">
        <f>+Analisis!$J$5</f>
        <v>T5.0</v>
      </c>
      <c r="N145" s="80">
        <f>+VLOOKUP(M145,Material!$A$3:$B$58,2,FALSE)</f>
        <v>5000</v>
      </c>
      <c r="O145" s="79" t="s">
        <v>42</v>
      </c>
      <c r="P145" s="79" t="s">
        <v>43</v>
      </c>
      <c r="Q145" s="81">
        <f>+IF(O145="ACERO A36",VLOOKUP(P145,'Velocidades Std 1500 w'!$B$2:$F$15,5,FALSE),IF(O145="INOXIDABLE",VLOOKUP(P145,'Velocidades Std 1500 w'!$B$17:$F$28,5,FALSE),IF(O145="ALUMINIO",VLOOKUP(P145,'Velocidades Std 1500 w'!$B$30:$F$38,5,FALSE))))</f>
        <v>4.3859649122807014E-6</v>
      </c>
      <c r="R145" s="82">
        <f t="shared" ref="R145" si="250">+Q145*N145</f>
        <v>2.1929824561403508E-2</v>
      </c>
      <c r="S145" s="83">
        <f t="shared" ref="S145" si="251">+Q145*T145*3600</f>
        <v>33.056763157894736</v>
      </c>
      <c r="T145" s="110">
        <f t="shared" ref="T145" si="252">(+H145*2+G145*2+V145*1.5)*25.4*1.05</f>
        <v>2093.5949999999998</v>
      </c>
      <c r="U145" s="80">
        <f t="shared" ref="U145" si="253">+T145*R145</f>
        <v>45.912171052631571</v>
      </c>
      <c r="V145" s="98">
        <v>11</v>
      </c>
      <c r="W145" s="84">
        <f>+IF(O145="ACERO A36",VLOOKUP(P145,'Tiempo Objeto'!$B$2:$C$12,2,FALSE),IF(O145="INOXIDABLE",VLOOKUP(P145,'Tiempo Objeto'!$B$14:$C$22,2,FALSE),IF(O145="ALUMINIO",VLOOKUP(P145,'Tiempo Objeto'!$B$24:$C$32,2,FALSE))))</f>
        <v>1.84</v>
      </c>
      <c r="X145" s="84">
        <f t="shared" ref="X145" si="254">+W145*V145</f>
        <v>20.240000000000002</v>
      </c>
      <c r="Y145" s="80">
        <f t="shared" ref="Y145" si="255">+X145*N145/3600</f>
        <v>28.111111111111114</v>
      </c>
      <c r="Z145" s="100">
        <v>2</v>
      </c>
      <c r="AA145" s="85">
        <f t="shared" si="127"/>
        <v>60</v>
      </c>
      <c r="AB145" s="86">
        <f>+Z145*Analisis!$J$6</f>
        <v>50</v>
      </c>
      <c r="AC145" s="100">
        <v>0</v>
      </c>
      <c r="AD145" s="85">
        <f t="shared" si="128"/>
        <v>0</v>
      </c>
      <c r="AE145" s="86">
        <f>+AD145*Analisis!$J$7</f>
        <v>0</v>
      </c>
      <c r="AF145" s="86">
        <f t="shared" si="203"/>
        <v>241.09099049707604</v>
      </c>
      <c r="AG145" s="126">
        <f>+AF145/(1-Analisis!$E$9)</f>
        <v>301.36373812134502</v>
      </c>
      <c r="AH145" s="128">
        <f t="shared" si="205"/>
        <v>0</v>
      </c>
    </row>
    <row r="146" spans="1:35" s="73" customFormat="1" ht="17.25" customHeight="1" x14ac:dyDescent="0.25">
      <c r="A146" s="100"/>
      <c r="B146" t="s">
        <v>313</v>
      </c>
      <c r="C146" s="74">
        <f>IFERROR(VLOOKUP(B146,'REQ GALV'!A:B,2,0),0)</f>
        <v>0</v>
      </c>
      <c r="D146" s="116">
        <f t="shared" si="204"/>
        <v>530.0097728362573</v>
      </c>
      <c r="E146" s="103" t="s">
        <v>46</v>
      </c>
      <c r="F146" s="75" t="s">
        <v>147</v>
      </c>
      <c r="G146" s="90">
        <v>5.048</v>
      </c>
      <c r="H146" s="90">
        <v>39.92</v>
      </c>
      <c r="I146" s="76">
        <v>0.105</v>
      </c>
      <c r="J146" s="77">
        <v>28.24</v>
      </c>
      <c r="K146" s="78">
        <f t="shared" si="120"/>
        <v>17.399559848914073</v>
      </c>
      <c r="L146" s="58">
        <f>+VLOOKUP(E146,Material!$H$2:$M$17,6,FALSE)*G146*H146*(1+Material!$K$14)</f>
        <v>223.34707733333337</v>
      </c>
      <c r="M146" s="79" t="str">
        <f>+Analisis!$J$5</f>
        <v>T5.0</v>
      </c>
      <c r="N146" s="80">
        <f>+VLOOKUP(M146,Material!$A$3:$B$58,2,FALSE)</f>
        <v>5000</v>
      </c>
      <c r="O146" s="79" t="s">
        <v>42</v>
      </c>
      <c r="P146" s="79" t="s">
        <v>43</v>
      </c>
      <c r="Q146" s="81">
        <f>+IF(O146="ACERO A36",VLOOKUP(P146,'Velocidades Std 1500 w'!$B$2:$F$15,5,FALSE),IF(O146="INOXIDABLE",VLOOKUP(P146,'Velocidades Std 1500 w'!$B$17:$F$28,5,FALSE),IF(O146="ALUMINIO",VLOOKUP(P146,'Velocidades Std 1500 w'!$B$30:$F$38,5,FALSE))))</f>
        <v>4.3859649122807014E-6</v>
      </c>
      <c r="R146" s="82">
        <f t="shared" si="121"/>
        <v>2.1929824561403508E-2</v>
      </c>
      <c r="S146" s="83">
        <f t="shared" si="122"/>
        <v>46.71573347368421</v>
      </c>
      <c r="T146" s="110">
        <f t="shared" si="123"/>
        <v>2958.6631200000002</v>
      </c>
      <c r="U146" s="80">
        <f t="shared" si="124"/>
        <v>64.882963157894736</v>
      </c>
      <c r="V146" s="98">
        <v>14</v>
      </c>
      <c r="W146" s="84">
        <f>+IF(O146="ACERO A36",VLOOKUP(P146,'Tiempo Objeto'!$B$2:$C$12,2,FALSE),IF(O146="INOXIDABLE",VLOOKUP(P146,'Tiempo Objeto'!$B$14:$C$22,2,FALSE),IF(O146="ALUMINIO",VLOOKUP(P146,'Tiempo Objeto'!$B$24:$C$32,2,FALSE))))</f>
        <v>1.84</v>
      </c>
      <c r="X146" s="84">
        <f t="shared" si="125"/>
        <v>25.76</v>
      </c>
      <c r="Y146" s="80">
        <f t="shared" si="126"/>
        <v>35.777777777777779</v>
      </c>
      <c r="Z146" s="100">
        <v>4</v>
      </c>
      <c r="AA146" s="85">
        <f t="shared" si="127"/>
        <v>120</v>
      </c>
      <c r="AB146" s="86">
        <f>+Z146*Analisis!$J$6</f>
        <v>100</v>
      </c>
      <c r="AC146" s="100">
        <v>0</v>
      </c>
      <c r="AD146" s="85">
        <f t="shared" si="128"/>
        <v>0</v>
      </c>
      <c r="AE146" s="86">
        <f>+AD146*Analisis!$J$7</f>
        <v>0</v>
      </c>
      <c r="AF146" s="86">
        <f t="shared" si="203"/>
        <v>424.0078182690059</v>
      </c>
      <c r="AG146" s="126">
        <f>+AF146/(1-Analisis!$E$9)</f>
        <v>530.0097728362573</v>
      </c>
      <c r="AH146" s="128">
        <f t="shared" si="205"/>
        <v>0</v>
      </c>
    </row>
    <row r="147" spans="1:35" s="73" customFormat="1" x14ac:dyDescent="0.25">
      <c r="A147" s="100"/>
      <c r="B147" s="114" t="s">
        <v>315</v>
      </c>
      <c r="C147" s="138">
        <f>IFERROR(VLOOKUP(B147,'REQ GALV'!A:B,2,0),0)</f>
        <v>210</v>
      </c>
      <c r="D147" s="116">
        <f t="shared" si="204"/>
        <v>188.10086593567252</v>
      </c>
      <c r="E147" s="103" t="s">
        <v>41</v>
      </c>
      <c r="F147" s="75" t="s">
        <v>147</v>
      </c>
      <c r="G147" s="90">
        <v>6.64</v>
      </c>
      <c r="H147" s="90">
        <v>3.64</v>
      </c>
      <c r="I147" s="76">
        <v>0.105</v>
      </c>
      <c r="J147" s="77">
        <v>28.24</v>
      </c>
      <c r="K147" s="78">
        <f t="shared" si="120"/>
        <v>1.3912545168397863</v>
      </c>
      <c r="L147" s="58">
        <f>+VLOOKUP(E147,Material!$H$2:$M$17,6,FALSE)*G147*H147*(1+Material!$K$14)</f>
        <v>17.85864888888889</v>
      </c>
      <c r="M147" s="79" t="str">
        <f>+Analisis!$J$5</f>
        <v>T5.0</v>
      </c>
      <c r="N147" s="80">
        <f>+VLOOKUP(M147,Material!$A$3:$B$58,2,FALSE)</f>
        <v>5000</v>
      </c>
      <c r="O147" s="79" t="s">
        <v>42</v>
      </c>
      <c r="P147" s="79" t="s">
        <v>43</v>
      </c>
      <c r="Q147" s="81">
        <f>+IF(O147="ACERO A36",VLOOKUP(P147,'Velocidades Std 1500 w'!$B$2:$F$15,5,FALSE),IF(O147="INOXIDABLE",VLOOKUP(P147,'Velocidades Std 1500 w'!$B$17:$F$28,5,FALSE),IF(O147="ALUMINIO",VLOOKUP(P147,'Velocidades Std 1500 w'!$B$30:$F$38,5,FALSE))))</f>
        <v>4.3859649122807014E-6</v>
      </c>
      <c r="R147" s="82">
        <f t="shared" si="121"/>
        <v>2.1929824561403508E-2</v>
      </c>
      <c r="S147" s="83">
        <f t="shared" si="122"/>
        <v>12.447871578947366</v>
      </c>
      <c r="T147" s="110">
        <f t="shared" si="123"/>
        <v>788.36519999999996</v>
      </c>
      <c r="U147" s="80">
        <f t="shared" si="124"/>
        <v>17.288710526315789</v>
      </c>
      <c r="V147" s="98">
        <v>6</v>
      </c>
      <c r="W147" s="84">
        <f>+IF(O147="ACERO A36",VLOOKUP(P147,'Tiempo Objeto'!$B$2:$C$12,2,FALSE),IF(O147="INOXIDABLE",VLOOKUP(P147,'Tiempo Objeto'!$B$14:$C$22,2,FALSE),IF(O147="ALUMINIO",VLOOKUP(P147,'Tiempo Objeto'!$B$24:$C$32,2,FALSE))))</f>
        <v>1.84</v>
      </c>
      <c r="X147" s="84">
        <f t="shared" si="125"/>
        <v>11.040000000000001</v>
      </c>
      <c r="Y147" s="80">
        <f t="shared" si="126"/>
        <v>15.333333333333336</v>
      </c>
      <c r="Z147" s="100">
        <v>4</v>
      </c>
      <c r="AA147" s="85">
        <f t="shared" si="127"/>
        <v>1380</v>
      </c>
      <c r="AB147" s="86">
        <f>+Z147*Analisis!$J$6</f>
        <v>100</v>
      </c>
      <c r="AC147" s="100">
        <v>0</v>
      </c>
      <c r="AD147" s="85">
        <f t="shared" si="128"/>
        <v>0</v>
      </c>
      <c r="AE147" s="86">
        <f>+AD147*Analisis!$J$7</f>
        <v>0</v>
      </c>
      <c r="AF147" s="86">
        <f t="shared" si="203"/>
        <v>150.48069274853802</v>
      </c>
      <c r="AG147" s="126">
        <f>+AF147/(1-Analisis!$E$9)</f>
        <v>188.10086593567252</v>
      </c>
      <c r="AH147" s="128">
        <f t="shared" si="205"/>
        <v>39501.181846491228</v>
      </c>
      <c r="AI147" s="128">
        <f>+L147*C147</f>
        <v>3750.3162666666667</v>
      </c>
    </row>
    <row r="148" spans="1:35" s="73" customFormat="1" x14ac:dyDescent="0.25">
      <c r="A148" s="100"/>
      <c r="B148" s="114" t="s">
        <v>316</v>
      </c>
      <c r="C148" s="74">
        <f>IFERROR(VLOOKUP(B148,'REQ GALV'!A:B,2,0),0)</f>
        <v>0</v>
      </c>
      <c r="D148" s="116">
        <f t="shared" si="204"/>
        <v>125.55262478070176</v>
      </c>
      <c r="E148" s="103" t="s">
        <v>41</v>
      </c>
      <c r="F148" s="75" t="s">
        <v>147</v>
      </c>
      <c r="G148" s="90">
        <v>3.64</v>
      </c>
      <c r="H148" s="90">
        <v>6.63</v>
      </c>
      <c r="I148" s="76">
        <v>0.105</v>
      </c>
      <c r="J148" s="77">
        <v>28.24</v>
      </c>
      <c r="K148" s="78">
        <f t="shared" ref="K148:K294" si="256">+L148*2.2/J148</f>
        <v>1.3891592540132207</v>
      </c>
      <c r="L148" s="58">
        <f>+VLOOKUP(E148,Material!$H$2:$M$17,6,FALSE)*G148*H148*(1+Material!$K$14)</f>
        <v>17.831753333333339</v>
      </c>
      <c r="M148" s="79" t="str">
        <f>+Analisis!$J$5</f>
        <v>T5.0</v>
      </c>
      <c r="N148" s="80">
        <f>+VLOOKUP(M148,Material!$A$3:$B$58,2,FALSE)</f>
        <v>5000</v>
      </c>
      <c r="O148" s="79" t="s">
        <v>42</v>
      </c>
      <c r="P148" s="79" t="s">
        <v>43</v>
      </c>
      <c r="Q148" s="81">
        <f>+IF(O148="ACERO A36",VLOOKUP(P148,'Velocidades Std 1500 w'!$B$2:$F$15,5,FALSE),IF(O148="INOXIDABLE",VLOOKUP(P148,'Velocidades Std 1500 w'!$B$17:$F$28,5,FALSE),IF(O148="ALUMINIO",VLOOKUP(P148,'Velocidades Std 1500 w'!$B$30:$F$38,5,FALSE))))</f>
        <v>4.3859649122807014E-6</v>
      </c>
      <c r="R148" s="82">
        <f t="shared" ref="R148:R294" si="257">+Q148*N148</f>
        <v>2.1929824561403508E-2</v>
      </c>
      <c r="S148" s="83">
        <f t="shared" ref="S148:S294" si="258">+Q148*T148*3600</f>
        <v>12.439449473684208</v>
      </c>
      <c r="T148" s="110">
        <f t="shared" ref="T148:T294" si="259">(+H148*2+G148*2+V148*1.5)*25.4*1.05</f>
        <v>787.83179999999993</v>
      </c>
      <c r="U148" s="80">
        <f t="shared" ref="U148:U294" si="260">+T148*R148</f>
        <v>17.277013157894736</v>
      </c>
      <c r="V148" s="98">
        <v>6</v>
      </c>
      <c r="W148" s="84">
        <f>+IF(O148="ACERO A36",VLOOKUP(P148,'Tiempo Objeto'!$B$2:$C$12,2,FALSE),IF(O148="INOXIDABLE",VLOOKUP(P148,'Tiempo Objeto'!$B$14:$C$22,2,FALSE),IF(O148="ALUMINIO",VLOOKUP(P148,'Tiempo Objeto'!$B$24:$C$32,2,FALSE))))</f>
        <v>1.84</v>
      </c>
      <c r="X148" s="84">
        <f t="shared" ref="X148:X294" si="261">+W148*V148</f>
        <v>11.040000000000001</v>
      </c>
      <c r="Y148" s="80">
        <f t="shared" ref="Y148:Y294" si="262">+X148*N148/3600</f>
        <v>15.333333333333336</v>
      </c>
      <c r="Z148" s="100">
        <v>2</v>
      </c>
      <c r="AA148" s="85">
        <f t="shared" ref="AA148:AA294" si="263">30*Z148+Z148*$C148*1.5</f>
        <v>60</v>
      </c>
      <c r="AB148" s="86">
        <f>+Z148*Analisis!$J$6</f>
        <v>50</v>
      </c>
      <c r="AC148" s="100">
        <v>0</v>
      </c>
      <c r="AD148" s="85">
        <f t="shared" ref="AD148:AD294" si="264">30*AC148+AC148*$C148*1.5</f>
        <v>0</v>
      </c>
      <c r="AE148" s="86">
        <f>+AD148*Analisis!$J$7</f>
        <v>0</v>
      </c>
      <c r="AF148" s="86">
        <f t="shared" si="203"/>
        <v>100.44209982456141</v>
      </c>
      <c r="AG148" s="126">
        <f>+AF148/(1-Analisis!$E$9)</f>
        <v>125.55262478070176</v>
      </c>
      <c r="AH148" s="128">
        <f t="shared" si="205"/>
        <v>0</v>
      </c>
    </row>
    <row r="149" spans="1:35" s="73" customFormat="1" x14ac:dyDescent="0.25">
      <c r="A149" s="100"/>
      <c r="B149" s="114" t="s">
        <v>363</v>
      </c>
      <c r="C149" s="74">
        <f>IFERROR(VLOOKUP(B149,'REQ GALV'!A:B,2,0),0)</f>
        <v>0</v>
      </c>
      <c r="D149" s="116">
        <f t="shared" si="204"/>
        <v>29.818249269005843</v>
      </c>
      <c r="E149" s="103" t="s">
        <v>41</v>
      </c>
      <c r="F149" s="75" t="s">
        <v>147</v>
      </c>
      <c r="G149" s="90">
        <v>2</v>
      </c>
      <c r="H149" s="90">
        <v>2.94</v>
      </c>
      <c r="I149" s="76">
        <v>0.105</v>
      </c>
      <c r="J149" s="77">
        <v>28.24</v>
      </c>
      <c r="K149" s="78">
        <f t="shared" si="256"/>
        <v>0.33846553352219083</v>
      </c>
      <c r="L149" s="58">
        <f>+VLOOKUP(E149,Material!$H$2:$M$17,6,FALSE)*G149*H149*(1+Material!$K$14)</f>
        <v>4.3446666666666669</v>
      </c>
      <c r="M149" s="79" t="str">
        <f>+Analisis!$J$5</f>
        <v>T5.0</v>
      </c>
      <c r="N149" s="80">
        <f>+VLOOKUP(M149,Material!$A$3:$B$58,2,FALSE)</f>
        <v>5000</v>
      </c>
      <c r="O149" s="79" t="s">
        <v>42</v>
      </c>
      <c r="P149" s="79" t="s">
        <v>43</v>
      </c>
      <c r="Q149" s="81">
        <f>+IF(O149="ACERO A36",VLOOKUP(P149,'Velocidades Std 1500 w'!$B$2:$F$15,5,FALSE),IF(O149="INOXIDABLE",VLOOKUP(P149,'Velocidades Std 1500 w'!$B$17:$F$28,5,FALSE),IF(O149="ALUMINIO",VLOOKUP(P149,'Velocidades Std 1500 w'!$B$30:$F$38,5,FALSE))))</f>
        <v>4.3859649122807014E-6</v>
      </c>
      <c r="R149" s="82">
        <f t="shared" si="257"/>
        <v>2.1929824561403508E-2</v>
      </c>
      <c r="S149" s="83">
        <f t="shared" si="258"/>
        <v>6.6871515789473674</v>
      </c>
      <c r="T149" s="110">
        <f t="shared" si="259"/>
        <v>423.51959999999997</v>
      </c>
      <c r="U149" s="80">
        <f t="shared" si="260"/>
        <v>9.287710526315788</v>
      </c>
      <c r="V149" s="98">
        <v>4</v>
      </c>
      <c r="W149" s="84">
        <f>+IF(O149="ACERO A36",VLOOKUP(P149,'Tiempo Objeto'!$B$2:$C$12,2,FALSE),IF(O149="INOXIDABLE",VLOOKUP(P149,'Tiempo Objeto'!$B$14:$C$22,2,FALSE),IF(O149="ALUMINIO",VLOOKUP(P149,'Tiempo Objeto'!$B$24:$C$32,2,FALSE))))</f>
        <v>1.84</v>
      </c>
      <c r="X149" s="84">
        <f t="shared" si="261"/>
        <v>7.36</v>
      </c>
      <c r="Y149" s="80">
        <f t="shared" si="262"/>
        <v>10.222222222222221</v>
      </c>
      <c r="Z149" s="100">
        <v>0</v>
      </c>
      <c r="AA149" s="85">
        <f t="shared" si="263"/>
        <v>0</v>
      </c>
      <c r="AB149" s="86">
        <f>+Z149*Analisis!$J$6</f>
        <v>0</v>
      </c>
      <c r="AC149" s="100">
        <v>0</v>
      </c>
      <c r="AD149" s="85">
        <f t="shared" si="264"/>
        <v>0</v>
      </c>
      <c r="AE149" s="86">
        <f>+AD149*Analisis!$J$7</f>
        <v>0</v>
      </c>
      <c r="AF149" s="86">
        <f t="shared" si="203"/>
        <v>23.854599415204675</v>
      </c>
      <c r="AG149" s="126">
        <f>+AF149/(1-Analisis!$E$9)</f>
        <v>29.818249269005843</v>
      </c>
      <c r="AH149" s="128">
        <f t="shared" si="205"/>
        <v>0</v>
      </c>
    </row>
    <row r="150" spans="1:35" s="73" customFormat="1" x14ac:dyDescent="0.25">
      <c r="A150" s="100"/>
      <c r="B150" s="114" t="s">
        <v>364</v>
      </c>
      <c r="C150" s="74">
        <f>IFERROR(VLOOKUP(B150,'REQ GALV'!A:B,2,0),0)</f>
        <v>0</v>
      </c>
      <c r="D150" s="116">
        <f t="shared" si="204"/>
        <v>27.53476790935672</v>
      </c>
      <c r="E150" s="103" t="s">
        <v>41</v>
      </c>
      <c r="F150" s="75" t="s">
        <v>147</v>
      </c>
      <c r="G150" s="90">
        <v>2</v>
      </c>
      <c r="H150" s="90">
        <v>2.25</v>
      </c>
      <c r="I150" s="76">
        <v>0.105</v>
      </c>
      <c r="J150" s="77">
        <v>28.24</v>
      </c>
      <c r="K150" s="78">
        <f t="shared" ref="K150:K156" si="265">+L150*2.2/J150</f>
        <v>0.25902974504249299</v>
      </c>
      <c r="L150" s="58">
        <f>+VLOOKUP(E150,Material!$H$2:$M$17,6,FALSE)*G150*H150*(1+Material!$K$14)</f>
        <v>3.3250000000000002</v>
      </c>
      <c r="M150" s="79" t="str">
        <f>+Analisis!$J$5</f>
        <v>T5.0</v>
      </c>
      <c r="N150" s="80">
        <f>+VLOOKUP(M150,Material!$A$3:$B$58,2,FALSE)</f>
        <v>5000</v>
      </c>
      <c r="O150" s="79" t="s">
        <v>42</v>
      </c>
      <c r="P150" s="79" t="s">
        <v>43</v>
      </c>
      <c r="Q150" s="81">
        <f>+IF(O150="ACERO A36",VLOOKUP(P150,'Velocidades Std 1500 w'!$B$2:$F$15,5,FALSE),IF(O150="INOXIDABLE",VLOOKUP(P150,'Velocidades Std 1500 w'!$B$17:$F$28,5,FALSE),IF(O150="ALUMINIO",VLOOKUP(P150,'Velocidades Std 1500 w'!$B$30:$F$38,5,FALSE))))</f>
        <v>4.3859649122807014E-6</v>
      </c>
      <c r="R150" s="82">
        <f t="shared" ref="R150:R156" si="266">+Q150*N150</f>
        <v>2.1929824561403508E-2</v>
      </c>
      <c r="S150" s="83">
        <f t="shared" ref="S150:S156" si="267">+Q150*T150*3600</f>
        <v>6.1060263157894727</v>
      </c>
      <c r="T150" s="110">
        <f t="shared" ref="T150:T156" si="268">(+H150*2+G150*2+V150*1.5)*25.4*1.05</f>
        <v>386.71499999999997</v>
      </c>
      <c r="U150" s="80">
        <f t="shared" ref="U150:U156" si="269">+T150*R150</f>
        <v>8.4805921052631561</v>
      </c>
      <c r="V150" s="98">
        <v>4</v>
      </c>
      <c r="W150" s="84">
        <f>+IF(O150="ACERO A36",VLOOKUP(P150,'Tiempo Objeto'!$B$2:$C$12,2,FALSE),IF(O150="INOXIDABLE",VLOOKUP(P150,'Tiempo Objeto'!$B$14:$C$22,2,FALSE),IF(O150="ALUMINIO",VLOOKUP(P150,'Tiempo Objeto'!$B$24:$C$32,2,FALSE))))</f>
        <v>1.84</v>
      </c>
      <c r="X150" s="84">
        <f t="shared" ref="X150:X156" si="270">+W150*V150</f>
        <v>7.36</v>
      </c>
      <c r="Y150" s="80">
        <f t="shared" ref="Y150:Y156" si="271">+X150*N150/3600</f>
        <v>10.222222222222221</v>
      </c>
      <c r="Z150" s="100">
        <v>0</v>
      </c>
      <c r="AA150" s="85">
        <f t="shared" ref="AA150:AA156" si="272">30*Z150+Z150*$C150*1.5</f>
        <v>0</v>
      </c>
      <c r="AB150" s="86">
        <f>+Z150*Analisis!$J$6</f>
        <v>0</v>
      </c>
      <c r="AC150" s="100">
        <v>0</v>
      </c>
      <c r="AD150" s="85">
        <f t="shared" ref="AD150:AD156" si="273">30*AC150+AC150*$C150*1.5</f>
        <v>0</v>
      </c>
      <c r="AE150" s="86">
        <f>+AD150*Analisis!$J$7</f>
        <v>0</v>
      </c>
      <c r="AF150" s="86">
        <f t="shared" si="203"/>
        <v>22.027814327485377</v>
      </c>
      <c r="AG150" s="126">
        <f>+AF150/(1-Analisis!$E$9)</f>
        <v>27.53476790935672</v>
      </c>
      <c r="AH150" s="128">
        <f t="shared" si="205"/>
        <v>0</v>
      </c>
    </row>
    <row r="151" spans="1:35" s="73" customFormat="1" x14ac:dyDescent="0.25">
      <c r="A151" s="100"/>
      <c r="B151" s="114" t="s">
        <v>365</v>
      </c>
      <c r="C151" s="74">
        <f>IFERROR(VLOOKUP(B151,'REQ GALV'!A:B,2,0),0)</f>
        <v>0</v>
      </c>
      <c r="D151" s="116">
        <f t="shared" si="204"/>
        <v>34.782339181286545</v>
      </c>
      <c r="E151" s="103" t="s">
        <v>41</v>
      </c>
      <c r="F151" s="75" t="s">
        <v>147</v>
      </c>
      <c r="G151" s="90">
        <v>2</v>
      </c>
      <c r="H151" s="90">
        <v>4.4400000000000004</v>
      </c>
      <c r="I151" s="76">
        <v>0.105</v>
      </c>
      <c r="J151" s="77">
        <v>28.24</v>
      </c>
      <c r="K151" s="78">
        <f t="shared" si="265"/>
        <v>0.51115203021718614</v>
      </c>
      <c r="L151" s="58">
        <f>+VLOOKUP(E151,Material!$H$2:$M$17,6,FALSE)*G151*H151*(1+Material!$K$14)</f>
        <v>6.5613333333333337</v>
      </c>
      <c r="M151" s="79" t="str">
        <f>+Analisis!$J$5</f>
        <v>T5.0</v>
      </c>
      <c r="N151" s="80">
        <f>+VLOOKUP(M151,Material!$A$3:$B$58,2,FALSE)</f>
        <v>5000</v>
      </c>
      <c r="O151" s="79" t="s">
        <v>42</v>
      </c>
      <c r="P151" s="79" t="s">
        <v>43</v>
      </c>
      <c r="Q151" s="81">
        <f>+IF(O151="ACERO A36",VLOOKUP(P151,'Velocidades Std 1500 w'!$B$2:$F$15,5,FALSE),IF(O151="INOXIDABLE",VLOOKUP(P151,'Velocidades Std 1500 w'!$B$17:$F$28,5,FALSE),IF(O151="ALUMINIO",VLOOKUP(P151,'Velocidades Std 1500 w'!$B$30:$F$38,5,FALSE))))</f>
        <v>4.3859649122807014E-6</v>
      </c>
      <c r="R151" s="82">
        <f t="shared" si="266"/>
        <v>2.1929824561403508E-2</v>
      </c>
      <c r="S151" s="83">
        <f t="shared" si="267"/>
        <v>7.9504673684210525</v>
      </c>
      <c r="T151" s="110">
        <f t="shared" si="268"/>
        <v>503.52960000000002</v>
      </c>
      <c r="U151" s="80">
        <f t="shared" si="269"/>
        <v>11.042315789473683</v>
      </c>
      <c r="V151" s="98">
        <v>4</v>
      </c>
      <c r="W151" s="84">
        <f>+IF(O151="ACERO A36",VLOOKUP(P151,'Tiempo Objeto'!$B$2:$C$12,2,FALSE),IF(O151="INOXIDABLE",VLOOKUP(P151,'Tiempo Objeto'!$B$14:$C$22,2,FALSE),IF(O151="ALUMINIO",VLOOKUP(P151,'Tiempo Objeto'!$B$24:$C$32,2,FALSE))))</f>
        <v>1.84</v>
      </c>
      <c r="X151" s="84">
        <f t="shared" si="270"/>
        <v>7.36</v>
      </c>
      <c r="Y151" s="80">
        <f t="shared" si="271"/>
        <v>10.222222222222221</v>
      </c>
      <c r="Z151" s="100">
        <v>0</v>
      </c>
      <c r="AA151" s="85">
        <f t="shared" si="272"/>
        <v>0</v>
      </c>
      <c r="AB151" s="86">
        <f>+Z151*Analisis!$J$6</f>
        <v>0</v>
      </c>
      <c r="AC151" s="100">
        <v>0</v>
      </c>
      <c r="AD151" s="85">
        <f t="shared" si="273"/>
        <v>0</v>
      </c>
      <c r="AE151" s="86">
        <f>+AD151*Analisis!$J$7</f>
        <v>0</v>
      </c>
      <c r="AF151" s="86">
        <f t="shared" si="203"/>
        <v>27.825871345029238</v>
      </c>
      <c r="AG151" s="126">
        <f>+AF151/(1-Analisis!$E$9)</f>
        <v>34.782339181286545</v>
      </c>
      <c r="AH151" s="128">
        <f t="shared" si="205"/>
        <v>0</v>
      </c>
    </row>
    <row r="152" spans="1:35" s="73" customFormat="1" x14ac:dyDescent="0.25">
      <c r="A152" s="100"/>
      <c r="B152" s="114" t="s">
        <v>366</v>
      </c>
      <c r="C152" s="74">
        <f>IFERROR(VLOOKUP(B152,'REQ GALV'!A:B,2,0),0)</f>
        <v>0</v>
      </c>
      <c r="D152" s="116">
        <f t="shared" si="204"/>
        <v>28.362116228070171</v>
      </c>
      <c r="E152" s="103" t="s">
        <v>41</v>
      </c>
      <c r="F152" s="75" t="s">
        <v>147</v>
      </c>
      <c r="G152" s="90">
        <v>2</v>
      </c>
      <c r="H152" s="90">
        <v>2.5</v>
      </c>
      <c r="I152" s="76">
        <v>0.105</v>
      </c>
      <c r="J152" s="77">
        <v>28.24</v>
      </c>
      <c r="K152" s="78">
        <f t="shared" si="265"/>
        <v>0.28781082782499218</v>
      </c>
      <c r="L152" s="58">
        <f>+VLOOKUP(E152,Material!$H$2:$M$17,6,FALSE)*G152*H152*(1+Material!$K$14)</f>
        <v>3.6944444444444446</v>
      </c>
      <c r="M152" s="79" t="str">
        <f>+Analisis!$J$5</f>
        <v>T5.0</v>
      </c>
      <c r="N152" s="80">
        <f>+VLOOKUP(M152,Material!$A$3:$B$58,2,FALSE)</f>
        <v>5000</v>
      </c>
      <c r="O152" s="79" t="s">
        <v>42</v>
      </c>
      <c r="P152" s="79" t="s">
        <v>43</v>
      </c>
      <c r="Q152" s="81">
        <f>+IF(O152="ACERO A36",VLOOKUP(P152,'Velocidades Std 1500 w'!$B$2:$F$15,5,FALSE),IF(O152="INOXIDABLE",VLOOKUP(P152,'Velocidades Std 1500 w'!$B$17:$F$28,5,FALSE),IF(O152="ALUMINIO",VLOOKUP(P152,'Velocidades Std 1500 w'!$B$30:$F$38,5,FALSE))))</f>
        <v>4.3859649122807014E-6</v>
      </c>
      <c r="R152" s="82">
        <f t="shared" si="266"/>
        <v>2.1929824561403508E-2</v>
      </c>
      <c r="S152" s="83">
        <f t="shared" si="267"/>
        <v>6.3165789473684208</v>
      </c>
      <c r="T152" s="110">
        <f t="shared" si="268"/>
        <v>400.05</v>
      </c>
      <c r="U152" s="80">
        <f t="shared" si="269"/>
        <v>8.7730263157894726</v>
      </c>
      <c r="V152" s="98">
        <v>4</v>
      </c>
      <c r="W152" s="84">
        <f>+IF(O152="ACERO A36",VLOOKUP(P152,'Tiempo Objeto'!$B$2:$C$12,2,FALSE),IF(O152="INOXIDABLE",VLOOKUP(P152,'Tiempo Objeto'!$B$14:$C$22,2,FALSE),IF(O152="ALUMINIO",VLOOKUP(P152,'Tiempo Objeto'!$B$24:$C$32,2,FALSE))))</f>
        <v>1.84</v>
      </c>
      <c r="X152" s="84">
        <f t="shared" si="270"/>
        <v>7.36</v>
      </c>
      <c r="Y152" s="80">
        <f t="shared" si="271"/>
        <v>10.222222222222221</v>
      </c>
      <c r="Z152" s="100">
        <v>0</v>
      </c>
      <c r="AA152" s="85">
        <f t="shared" si="272"/>
        <v>0</v>
      </c>
      <c r="AB152" s="86">
        <f>+Z152*Analisis!$J$6</f>
        <v>0</v>
      </c>
      <c r="AC152" s="100">
        <v>0</v>
      </c>
      <c r="AD152" s="85">
        <f t="shared" si="273"/>
        <v>0</v>
      </c>
      <c r="AE152" s="86">
        <f>+AD152*Analisis!$J$7</f>
        <v>0</v>
      </c>
      <c r="AF152" s="86">
        <f t="shared" si="203"/>
        <v>22.689692982456137</v>
      </c>
      <c r="AG152" s="126">
        <f>+AF152/(1-Analisis!$E$9)</f>
        <v>28.362116228070171</v>
      </c>
      <c r="AH152" s="128">
        <f t="shared" si="205"/>
        <v>0</v>
      </c>
    </row>
    <row r="153" spans="1:35" s="73" customFormat="1" x14ac:dyDescent="0.25">
      <c r="A153" s="100"/>
      <c r="B153" s="114" t="s">
        <v>367</v>
      </c>
      <c r="C153" s="138">
        <f>IFERROR(VLOOKUP(B153,'REQ GALV'!A:B,2,0),0)</f>
        <v>30</v>
      </c>
      <c r="D153" s="116">
        <f t="shared" si="204"/>
        <v>31.506039839181284</v>
      </c>
      <c r="E153" s="103" t="s">
        <v>41</v>
      </c>
      <c r="F153" s="75" t="s">
        <v>147</v>
      </c>
      <c r="G153" s="90">
        <v>2</v>
      </c>
      <c r="H153" s="90">
        <v>3.45</v>
      </c>
      <c r="I153" s="76">
        <v>0.105</v>
      </c>
      <c r="J153" s="77">
        <v>28.24</v>
      </c>
      <c r="K153" s="78">
        <f t="shared" si="265"/>
        <v>0.39717894239848922</v>
      </c>
      <c r="L153" s="58">
        <f>+VLOOKUP(E153,Material!$H$2:$M$17,6,FALSE)*G153*H153*(1+Material!$K$14)</f>
        <v>5.0983333333333336</v>
      </c>
      <c r="M153" s="79" t="str">
        <f>+Analisis!$J$5</f>
        <v>T5.0</v>
      </c>
      <c r="N153" s="80">
        <f>+VLOOKUP(M153,Material!$A$3:$B$58,2,FALSE)</f>
        <v>5000</v>
      </c>
      <c r="O153" s="79" t="s">
        <v>42</v>
      </c>
      <c r="P153" s="79" t="s">
        <v>43</v>
      </c>
      <c r="Q153" s="81">
        <f>+IF(O153="ACERO A36",VLOOKUP(P153,'Velocidades Std 1500 w'!$B$2:$F$15,5,FALSE),IF(O153="INOXIDABLE",VLOOKUP(P153,'Velocidades Std 1500 w'!$B$17:$F$28,5,FALSE),IF(O153="ALUMINIO",VLOOKUP(P153,'Velocidades Std 1500 w'!$B$30:$F$38,5,FALSE))))</f>
        <v>4.3859649122807014E-6</v>
      </c>
      <c r="R153" s="82">
        <f t="shared" si="266"/>
        <v>2.1929824561403508E-2</v>
      </c>
      <c r="S153" s="83">
        <f t="shared" si="267"/>
        <v>7.1166789473684195</v>
      </c>
      <c r="T153" s="110">
        <f t="shared" si="268"/>
        <v>450.72299999999996</v>
      </c>
      <c r="U153" s="80">
        <f t="shared" si="269"/>
        <v>9.8842763157894726</v>
      </c>
      <c r="V153" s="98">
        <v>4</v>
      </c>
      <c r="W153" s="84">
        <f>+IF(O153="ACERO A36",VLOOKUP(P153,'Tiempo Objeto'!$B$2:$C$12,2,FALSE),IF(O153="INOXIDABLE",VLOOKUP(P153,'Tiempo Objeto'!$B$14:$C$22,2,FALSE),IF(O153="ALUMINIO",VLOOKUP(P153,'Tiempo Objeto'!$B$24:$C$32,2,FALSE))))</f>
        <v>1.84</v>
      </c>
      <c r="X153" s="84">
        <f t="shared" si="270"/>
        <v>7.36</v>
      </c>
      <c r="Y153" s="80">
        <f t="shared" si="271"/>
        <v>10.222222222222221</v>
      </c>
      <c r="Z153" s="100">
        <v>0</v>
      </c>
      <c r="AA153" s="85">
        <f t="shared" si="272"/>
        <v>0</v>
      </c>
      <c r="AB153" s="86">
        <f>+Z153*Analisis!$J$6</f>
        <v>0</v>
      </c>
      <c r="AC153" s="100">
        <v>0</v>
      </c>
      <c r="AD153" s="85">
        <f t="shared" si="273"/>
        <v>0</v>
      </c>
      <c r="AE153" s="86">
        <f>+AD153*Analisis!$J$7</f>
        <v>0</v>
      </c>
      <c r="AF153" s="86">
        <f t="shared" si="203"/>
        <v>25.204831871345029</v>
      </c>
      <c r="AG153" s="126">
        <f>+AF153/(1-Analisis!$E$9)</f>
        <v>31.506039839181284</v>
      </c>
      <c r="AH153" s="128">
        <f t="shared" si="205"/>
        <v>945.18119517543846</v>
      </c>
      <c r="AI153" s="128">
        <f>+L153*C153</f>
        <v>152.95000000000002</v>
      </c>
    </row>
    <row r="154" spans="1:35" s="73" customFormat="1" x14ac:dyDescent="0.25">
      <c r="A154" s="100"/>
      <c r="B154" s="114" t="s">
        <v>317</v>
      </c>
      <c r="C154" s="74">
        <f>IFERROR(VLOOKUP(B154,'REQ GALV'!A:B,2,0),0)</f>
        <v>0</v>
      </c>
      <c r="D154" s="116">
        <f t="shared" si="204"/>
        <v>30.645597587719298</v>
      </c>
      <c r="E154" s="103" t="s">
        <v>41</v>
      </c>
      <c r="F154" s="75" t="s">
        <v>147</v>
      </c>
      <c r="G154" s="90">
        <v>2</v>
      </c>
      <c r="H154" s="90">
        <v>3.19</v>
      </c>
      <c r="I154" s="76">
        <v>0.105</v>
      </c>
      <c r="J154" s="77">
        <v>28.24</v>
      </c>
      <c r="K154" s="78">
        <f t="shared" si="265"/>
        <v>0.36724661630469002</v>
      </c>
      <c r="L154" s="58">
        <f>+VLOOKUP(E154,Material!$H$2:$M$17,6,FALSE)*G154*H154*(1+Material!$K$14)</f>
        <v>4.7141111111111114</v>
      </c>
      <c r="M154" s="79" t="str">
        <f>+Analisis!$J$5</f>
        <v>T5.0</v>
      </c>
      <c r="N154" s="80">
        <f>+VLOOKUP(M154,Material!$A$3:$B$58,2,FALSE)</f>
        <v>5000</v>
      </c>
      <c r="O154" s="79" t="s">
        <v>42</v>
      </c>
      <c r="P154" s="79" t="s">
        <v>43</v>
      </c>
      <c r="Q154" s="81">
        <f>+IF(O154="ACERO A36",VLOOKUP(P154,'Velocidades Std 1500 w'!$B$2:$F$15,5,FALSE),IF(O154="INOXIDABLE",VLOOKUP(P154,'Velocidades Std 1500 w'!$B$17:$F$28,5,FALSE),IF(O154="ALUMINIO",VLOOKUP(P154,'Velocidades Std 1500 w'!$B$30:$F$38,5,FALSE))))</f>
        <v>4.3859649122807014E-6</v>
      </c>
      <c r="R154" s="82">
        <f t="shared" si="266"/>
        <v>2.1929824561403508E-2</v>
      </c>
      <c r="S154" s="83">
        <f t="shared" si="267"/>
        <v>6.8977042105263155</v>
      </c>
      <c r="T154" s="110">
        <f t="shared" si="268"/>
        <v>436.8546</v>
      </c>
      <c r="U154" s="80">
        <f t="shared" si="269"/>
        <v>9.5801447368421044</v>
      </c>
      <c r="V154" s="98">
        <v>4</v>
      </c>
      <c r="W154" s="84">
        <f>+IF(O154="ACERO A36",VLOOKUP(P154,'Tiempo Objeto'!$B$2:$C$12,2,FALSE),IF(O154="INOXIDABLE",VLOOKUP(P154,'Tiempo Objeto'!$B$14:$C$22,2,FALSE),IF(O154="ALUMINIO",VLOOKUP(P154,'Tiempo Objeto'!$B$24:$C$32,2,FALSE))))</f>
        <v>1.84</v>
      </c>
      <c r="X154" s="84">
        <f t="shared" si="270"/>
        <v>7.36</v>
      </c>
      <c r="Y154" s="80">
        <f t="shared" si="271"/>
        <v>10.222222222222221</v>
      </c>
      <c r="Z154" s="100">
        <v>0</v>
      </c>
      <c r="AA154" s="85">
        <f t="shared" si="272"/>
        <v>0</v>
      </c>
      <c r="AB154" s="86">
        <f>+Z154*Analisis!$J$6</f>
        <v>0</v>
      </c>
      <c r="AC154" s="100">
        <v>0</v>
      </c>
      <c r="AD154" s="85">
        <f t="shared" si="273"/>
        <v>0</v>
      </c>
      <c r="AE154" s="86">
        <f>+AD154*Analisis!$J$7</f>
        <v>0</v>
      </c>
      <c r="AF154" s="86">
        <f t="shared" si="203"/>
        <v>24.516478070175438</v>
      </c>
      <c r="AG154" s="126">
        <f>+AF154/(1-Analisis!$E$9)</f>
        <v>30.645597587719298</v>
      </c>
      <c r="AH154" s="128">
        <f t="shared" si="205"/>
        <v>0</v>
      </c>
    </row>
    <row r="155" spans="1:35" s="73" customFormat="1" x14ac:dyDescent="0.25">
      <c r="A155" s="100"/>
      <c r="B155" s="114" t="s">
        <v>368</v>
      </c>
      <c r="C155" s="74">
        <f>IFERROR(VLOOKUP(B155,'REQ GALV'!A:B,2,0),0)</f>
        <v>0</v>
      </c>
      <c r="D155" s="116">
        <f t="shared" si="204"/>
        <v>41.36803179824561</v>
      </c>
      <c r="E155" s="103" t="s">
        <v>41</v>
      </c>
      <c r="F155" s="75" t="s">
        <v>147</v>
      </c>
      <c r="G155" s="90">
        <v>2</v>
      </c>
      <c r="H155" s="90">
        <v>6.43</v>
      </c>
      <c r="I155" s="76">
        <v>0.105</v>
      </c>
      <c r="J155" s="77">
        <v>28.24</v>
      </c>
      <c r="K155" s="78">
        <f t="shared" si="265"/>
        <v>0.74024944916587998</v>
      </c>
      <c r="L155" s="58">
        <f>+VLOOKUP(E155,Material!$H$2:$M$17,6,FALSE)*G155*H155*(1+Material!$K$14)</f>
        <v>9.5021111111111125</v>
      </c>
      <c r="M155" s="79" t="str">
        <f>+Analisis!$J$5</f>
        <v>T5.0</v>
      </c>
      <c r="N155" s="80">
        <f>+VLOOKUP(M155,Material!$A$3:$B$58,2,FALSE)</f>
        <v>5000</v>
      </c>
      <c r="O155" s="79" t="s">
        <v>42</v>
      </c>
      <c r="P155" s="79" t="s">
        <v>43</v>
      </c>
      <c r="Q155" s="81">
        <f>+IF(O155="ACERO A36",VLOOKUP(P155,'Velocidades Std 1500 w'!$B$2:$F$15,5,FALSE),IF(O155="INOXIDABLE",VLOOKUP(P155,'Velocidades Std 1500 w'!$B$17:$F$28,5,FALSE),IF(O155="ALUMINIO",VLOOKUP(P155,'Velocidades Std 1500 w'!$B$30:$F$38,5,FALSE))))</f>
        <v>4.3859649122807014E-6</v>
      </c>
      <c r="R155" s="82">
        <f t="shared" si="266"/>
        <v>2.1929824561403508E-2</v>
      </c>
      <c r="S155" s="83">
        <f t="shared" si="267"/>
        <v>9.6264663157894734</v>
      </c>
      <c r="T155" s="110">
        <f t="shared" si="268"/>
        <v>609.67619999999999</v>
      </c>
      <c r="U155" s="80">
        <f t="shared" si="269"/>
        <v>13.370092105263158</v>
      </c>
      <c r="V155" s="98">
        <v>4</v>
      </c>
      <c r="W155" s="84">
        <f>+IF(O155="ACERO A36",VLOOKUP(P155,'Tiempo Objeto'!$B$2:$C$12,2,FALSE),IF(O155="INOXIDABLE",VLOOKUP(P155,'Tiempo Objeto'!$B$14:$C$22,2,FALSE),IF(O155="ALUMINIO",VLOOKUP(P155,'Tiempo Objeto'!$B$24:$C$32,2,FALSE))))</f>
        <v>1.84</v>
      </c>
      <c r="X155" s="84">
        <f t="shared" si="270"/>
        <v>7.36</v>
      </c>
      <c r="Y155" s="80">
        <f t="shared" si="271"/>
        <v>10.222222222222221</v>
      </c>
      <c r="Z155" s="100">
        <v>0</v>
      </c>
      <c r="AA155" s="85">
        <f t="shared" si="272"/>
        <v>0</v>
      </c>
      <c r="AB155" s="86">
        <f>+Z155*Analisis!$J$6</f>
        <v>0</v>
      </c>
      <c r="AC155" s="100">
        <v>0</v>
      </c>
      <c r="AD155" s="85">
        <f t="shared" si="273"/>
        <v>0</v>
      </c>
      <c r="AE155" s="86">
        <f>+AD155*Analisis!$J$7</f>
        <v>0</v>
      </c>
      <c r="AF155" s="86">
        <f t="shared" si="203"/>
        <v>33.094425438596488</v>
      </c>
      <c r="AG155" s="126">
        <f>+AF155/(1-Analisis!$E$9)</f>
        <v>41.36803179824561</v>
      </c>
      <c r="AH155" s="128">
        <f t="shared" si="205"/>
        <v>0</v>
      </c>
    </row>
    <row r="156" spans="1:35" s="73" customFormat="1" x14ac:dyDescent="0.25">
      <c r="A156" s="100"/>
      <c r="B156" s="114" t="s">
        <v>369</v>
      </c>
      <c r="C156" s="74">
        <f>IFERROR(VLOOKUP(B156,'REQ GALV'!A:B,2,0),0)</f>
        <v>0</v>
      </c>
      <c r="D156" s="116">
        <f t="shared" si="204"/>
        <v>26.939077119883041</v>
      </c>
      <c r="E156" s="103" t="s">
        <v>41</v>
      </c>
      <c r="F156" s="75" t="s">
        <v>147</v>
      </c>
      <c r="G156" s="90">
        <v>2</v>
      </c>
      <c r="H156" s="90">
        <v>2.0699999999999998</v>
      </c>
      <c r="I156" s="76">
        <v>0.105</v>
      </c>
      <c r="J156" s="77">
        <v>28.24</v>
      </c>
      <c r="K156" s="78">
        <f t="shared" si="265"/>
        <v>0.2383073654390935</v>
      </c>
      <c r="L156" s="58">
        <f>+VLOOKUP(E156,Material!$H$2:$M$17,6,FALSE)*G156*H156*(1+Material!$K$14)</f>
        <v>3.0589999999999997</v>
      </c>
      <c r="M156" s="79" t="str">
        <f>+Analisis!$J$5</f>
        <v>T5.0</v>
      </c>
      <c r="N156" s="80">
        <f>+VLOOKUP(M156,Material!$A$3:$B$58,2,FALSE)</f>
        <v>5000</v>
      </c>
      <c r="O156" s="79" t="s">
        <v>42</v>
      </c>
      <c r="P156" s="79" t="s">
        <v>43</v>
      </c>
      <c r="Q156" s="81">
        <f>+IF(O156="ACERO A36",VLOOKUP(P156,'Velocidades Std 1500 w'!$B$2:$F$15,5,FALSE),IF(O156="INOXIDABLE",VLOOKUP(P156,'Velocidades Std 1500 w'!$B$17:$F$28,5,FALSE),IF(O156="ALUMINIO",VLOOKUP(P156,'Velocidades Std 1500 w'!$B$30:$F$38,5,FALSE))))</f>
        <v>4.3859649122807014E-6</v>
      </c>
      <c r="R156" s="82">
        <f t="shared" si="266"/>
        <v>2.1929824561403508E-2</v>
      </c>
      <c r="S156" s="83">
        <f t="shared" si="267"/>
        <v>5.954428421052631</v>
      </c>
      <c r="T156" s="110">
        <f t="shared" si="268"/>
        <v>377.11380000000003</v>
      </c>
      <c r="U156" s="80">
        <f t="shared" si="269"/>
        <v>8.2700394736842107</v>
      </c>
      <c r="V156" s="98">
        <v>4</v>
      </c>
      <c r="W156" s="84">
        <f>+IF(O156="ACERO A36",VLOOKUP(P156,'Tiempo Objeto'!$B$2:$C$12,2,FALSE),IF(O156="INOXIDABLE",VLOOKUP(P156,'Tiempo Objeto'!$B$14:$C$22,2,FALSE),IF(O156="ALUMINIO",VLOOKUP(P156,'Tiempo Objeto'!$B$24:$C$32,2,FALSE))))</f>
        <v>1.84</v>
      </c>
      <c r="X156" s="84">
        <f t="shared" si="270"/>
        <v>7.36</v>
      </c>
      <c r="Y156" s="80">
        <f t="shared" si="271"/>
        <v>10.222222222222221</v>
      </c>
      <c r="Z156" s="100">
        <v>0</v>
      </c>
      <c r="AA156" s="85">
        <f t="shared" si="272"/>
        <v>0</v>
      </c>
      <c r="AB156" s="86">
        <f>+Z156*Analisis!$J$6</f>
        <v>0</v>
      </c>
      <c r="AC156" s="100">
        <v>0</v>
      </c>
      <c r="AD156" s="85">
        <f t="shared" si="273"/>
        <v>0</v>
      </c>
      <c r="AE156" s="86">
        <f>+AD156*Analisis!$J$7</f>
        <v>0</v>
      </c>
      <c r="AF156" s="86">
        <f t="shared" si="203"/>
        <v>21.551261695906433</v>
      </c>
      <c r="AG156" s="126">
        <f>+AF156/(1-Analisis!$E$9)</f>
        <v>26.939077119883041</v>
      </c>
      <c r="AH156" s="128">
        <f t="shared" si="205"/>
        <v>0</v>
      </c>
    </row>
    <row r="157" spans="1:35" s="73" customFormat="1" x14ac:dyDescent="0.25">
      <c r="A157" s="100"/>
      <c r="B157" s="114" t="s">
        <v>318</v>
      </c>
      <c r="C157" s="138">
        <f>IFERROR(VLOOKUP(B157,'REQ GALV'!A:B,2,0),0)</f>
        <v>150</v>
      </c>
      <c r="D157" s="116">
        <f t="shared" si="204"/>
        <v>29.42449801260965</v>
      </c>
      <c r="E157" s="103" t="s">
        <v>130</v>
      </c>
      <c r="F157" s="75" t="s">
        <v>147</v>
      </c>
      <c r="G157" s="90">
        <v>2.38</v>
      </c>
      <c r="H157" s="90">
        <v>4.5</v>
      </c>
      <c r="I157" s="76">
        <v>0.105</v>
      </c>
      <c r="J157" s="77">
        <v>28.24</v>
      </c>
      <c r="K157" s="78">
        <f t="shared" si="256"/>
        <v>0.40457208303824366</v>
      </c>
      <c r="L157" s="58">
        <f>+VLOOKUP(E157,Material!$H$2:$M$17,6,FALSE)*G157*H157*(1+Material!$K$14)</f>
        <v>5.1932343749999994</v>
      </c>
      <c r="M157" s="79" t="str">
        <f>+Analisis!$J$5</f>
        <v>T5.0</v>
      </c>
      <c r="N157" s="80">
        <f>+VLOOKUP(M157,Material!$A$3:$B$58,2,FALSE)</f>
        <v>5000</v>
      </c>
      <c r="O157" s="79" t="s">
        <v>42</v>
      </c>
      <c r="P157" s="79" t="s">
        <v>43</v>
      </c>
      <c r="Q157" s="81">
        <f>+IF(O157="ACERO A36",VLOOKUP(P157,'Velocidades Std 1500 w'!$B$2:$F$15,5,FALSE),IF(O157="INOXIDABLE",VLOOKUP(P157,'Velocidades Std 1500 w'!$B$17:$F$28,5,FALSE),IF(O157="ALUMINIO",VLOOKUP(P157,'Velocidades Std 1500 w'!$B$30:$F$38,5,FALSE))))</f>
        <v>4.3859649122807014E-6</v>
      </c>
      <c r="R157" s="82">
        <f t="shared" si="257"/>
        <v>2.1929824561403508E-2</v>
      </c>
      <c r="S157" s="83">
        <f t="shared" si="258"/>
        <v>7.6893821052631566</v>
      </c>
      <c r="T157" s="110">
        <f t="shared" si="259"/>
        <v>486.99419999999992</v>
      </c>
      <c r="U157" s="80">
        <f t="shared" si="260"/>
        <v>10.679697368421051</v>
      </c>
      <c r="V157" s="98">
        <v>3</v>
      </c>
      <c r="W157" s="84">
        <f>+IF(O157="ACERO A36",VLOOKUP(P157,'Tiempo Objeto'!$B$2:$C$12,2,FALSE),IF(O157="INOXIDABLE",VLOOKUP(P157,'Tiempo Objeto'!$B$14:$C$22,2,FALSE),IF(O157="ALUMINIO",VLOOKUP(P157,'Tiempo Objeto'!$B$24:$C$32,2,FALSE))))</f>
        <v>1.84</v>
      </c>
      <c r="X157" s="84">
        <f t="shared" si="261"/>
        <v>5.5200000000000005</v>
      </c>
      <c r="Y157" s="80">
        <f t="shared" si="262"/>
        <v>7.6666666666666679</v>
      </c>
      <c r="Z157" s="100">
        <v>0</v>
      </c>
      <c r="AA157" s="85">
        <f t="shared" si="263"/>
        <v>0</v>
      </c>
      <c r="AB157" s="86">
        <f>+Z157*Analisis!$J$6</f>
        <v>0</v>
      </c>
      <c r="AC157" s="100">
        <v>0</v>
      </c>
      <c r="AD157" s="85">
        <f t="shared" si="264"/>
        <v>0</v>
      </c>
      <c r="AE157" s="86">
        <f>+AD157*Analisis!$J$7</f>
        <v>0</v>
      </c>
      <c r="AF157" s="86">
        <f t="shared" si="203"/>
        <v>23.53959841008772</v>
      </c>
      <c r="AG157" s="126">
        <f>+AF157/(1-Analisis!$E$9)</f>
        <v>29.42449801260965</v>
      </c>
      <c r="AH157" s="128">
        <f t="shared" si="205"/>
        <v>4413.6747018914475</v>
      </c>
      <c r="AI157" s="128">
        <f>+L157*C157</f>
        <v>778.98515624999993</v>
      </c>
    </row>
    <row r="158" spans="1:35" s="73" customFormat="1" x14ac:dyDescent="0.25">
      <c r="A158" s="100"/>
      <c r="B158" s="114" t="s">
        <v>319</v>
      </c>
      <c r="C158" s="138">
        <f>IFERROR(VLOOKUP(B158,'REQ GALV'!A:B,2,0),0)</f>
        <v>4800</v>
      </c>
      <c r="D158" s="116">
        <f t="shared" si="204"/>
        <v>89.848255532711974</v>
      </c>
      <c r="E158" s="103" t="s">
        <v>44</v>
      </c>
      <c r="F158" s="75" t="s">
        <v>147</v>
      </c>
      <c r="G158" s="90">
        <v>7.63</v>
      </c>
      <c r="H158" s="90">
        <v>3.56</v>
      </c>
      <c r="I158" s="76">
        <v>0.105</v>
      </c>
      <c r="J158" s="77">
        <v>28.24</v>
      </c>
      <c r="K158" s="78">
        <f t="shared" si="256"/>
        <v>1.9055760637983952</v>
      </c>
      <c r="L158" s="58">
        <f>+VLOOKUP(E158,Material!$H$2:$M$17,6,FALSE)*G158*H158*(1+Material!$K$14)</f>
        <v>24.460667291666667</v>
      </c>
      <c r="M158" s="79" t="str">
        <f>+Analisis!$J$5</f>
        <v>T5.0</v>
      </c>
      <c r="N158" s="80">
        <f>+VLOOKUP(M158,Material!$A$3:$B$58,2,FALSE)</f>
        <v>5000</v>
      </c>
      <c r="O158" s="79" t="s">
        <v>42</v>
      </c>
      <c r="P158" s="79" t="s">
        <v>43</v>
      </c>
      <c r="Q158" s="81">
        <f>+IF(O158="ACERO A36",VLOOKUP(P158,'Velocidades Std 1500 w'!$B$2:$F$15,5,FALSE),IF(O158="INOXIDABLE",VLOOKUP(P158,'Velocidades Std 1500 w'!$B$17:$F$28,5,FALSE),IF(O158="ALUMINIO",VLOOKUP(P158,'Velocidades Std 1500 w'!$B$30:$F$38,5,FALSE))))</f>
        <v>4.3859649122807014E-6</v>
      </c>
      <c r="R158" s="82">
        <f t="shared" si="257"/>
        <v>2.1929824561403508E-2</v>
      </c>
      <c r="S158" s="83">
        <f t="shared" si="258"/>
        <v>15.740914736842102</v>
      </c>
      <c r="T158" s="110">
        <f t="shared" si="259"/>
        <v>996.92459999999994</v>
      </c>
      <c r="U158" s="80">
        <f t="shared" si="260"/>
        <v>21.862381578947367</v>
      </c>
      <c r="V158" s="98">
        <v>10</v>
      </c>
      <c r="W158" s="84">
        <f>+IF(O158="ACERO A36",VLOOKUP(P158,'Tiempo Objeto'!$B$2:$C$12,2,FALSE),IF(O158="INOXIDABLE",VLOOKUP(P158,'Tiempo Objeto'!$B$14:$C$22,2,FALSE),IF(O158="ALUMINIO",VLOOKUP(P158,'Tiempo Objeto'!$B$24:$C$32,2,FALSE))))</f>
        <v>1.84</v>
      </c>
      <c r="X158" s="84">
        <f t="shared" si="261"/>
        <v>18.400000000000002</v>
      </c>
      <c r="Y158" s="80">
        <f t="shared" si="262"/>
        <v>25.555555555555561</v>
      </c>
      <c r="Z158" s="100">
        <v>0</v>
      </c>
      <c r="AA158" s="85">
        <f t="shared" si="263"/>
        <v>0</v>
      </c>
      <c r="AB158" s="86">
        <f>+Z158*Analisis!$J$6</f>
        <v>0</v>
      </c>
      <c r="AC158" s="100">
        <v>0</v>
      </c>
      <c r="AD158" s="85">
        <f t="shared" si="264"/>
        <v>0</v>
      </c>
      <c r="AE158" s="86">
        <f>+AD158*Analisis!$J$7</f>
        <v>0</v>
      </c>
      <c r="AF158" s="86">
        <f t="shared" si="203"/>
        <v>71.878604426169588</v>
      </c>
      <c r="AG158" s="126">
        <f>+AF158/(1-Analisis!$E$9)</f>
        <v>89.848255532711974</v>
      </c>
      <c r="AH158" s="128">
        <f t="shared" si="205"/>
        <v>431271.6265570175</v>
      </c>
      <c r="AI158" s="128">
        <f>+L158*C158</f>
        <v>117411.20299999999</v>
      </c>
    </row>
    <row r="159" spans="1:35" s="73" customFormat="1" x14ac:dyDescent="0.25">
      <c r="A159" s="100"/>
      <c r="B159" s="114" t="s">
        <v>320</v>
      </c>
      <c r="C159" s="138">
        <f>IFERROR(VLOOKUP(B159,'REQ GALV'!A:B,2,0),0)</f>
        <v>510</v>
      </c>
      <c r="D159" s="116">
        <f t="shared" si="204"/>
        <v>54.722633406432749</v>
      </c>
      <c r="E159" s="103" t="s">
        <v>41</v>
      </c>
      <c r="F159" s="75" t="s">
        <v>147</v>
      </c>
      <c r="G159" s="90">
        <v>4.5</v>
      </c>
      <c r="H159" s="90">
        <v>4.75</v>
      </c>
      <c r="I159" s="76">
        <v>0.105</v>
      </c>
      <c r="J159" s="77">
        <v>28.24</v>
      </c>
      <c r="K159" s="78">
        <f t="shared" si="256"/>
        <v>1.2303912889518416</v>
      </c>
      <c r="L159" s="58">
        <f>+VLOOKUP(E159,Material!$H$2:$M$17,6,FALSE)*G159*H159*(1+Material!$K$14)</f>
        <v>15.793750000000001</v>
      </c>
      <c r="M159" s="79" t="str">
        <f>+Analisis!$J$5</f>
        <v>T5.0</v>
      </c>
      <c r="N159" s="80">
        <f>+VLOOKUP(M159,Material!$A$3:$B$58,2,FALSE)</f>
        <v>5000</v>
      </c>
      <c r="O159" s="79" t="s">
        <v>42</v>
      </c>
      <c r="P159" s="79" t="s">
        <v>43</v>
      </c>
      <c r="Q159" s="81">
        <f>+IF(O159="ACERO A36",VLOOKUP(P159,'Velocidades Std 1500 w'!$B$2:$F$15,5,FALSE),IF(O159="INOXIDABLE",VLOOKUP(P159,'Velocidades Std 1500 w'!$B$17:$F$28,5,FALSE),IF(O159="ALUMINIO",VLOOKUP(P159,'Velocidades Std 1500 w'!$B$30:$F$38,5,FALSE))))</f>
        <v>4.3859649122807014E-6</v>
      </c>
      <c r="R159" s="82">
        <f t="shared" si="257"/>
        <v>2.1929824561403508E-2</v>
      </c>
      <c r="S159" s="83">
        <f t="shared" si="258"/>
        <v>10.94873684210526</v>
      </c>
      <c r="T159" s="110">
        <f t="shared" si="259"/>
        <v>693.42</v>
      </c>
      <c r="U159" s="80">
        <f t="shared" si="260"/>
        <v>15.206578947368419</v>
      </c>
      <c r="V159" s="98">
        <v>5</v>
      </c>
      <c r="W159" s="84">
        <f>+IF(O159="ACERO A36",VLOOKUP(P159,'Tiempo Objeto'!$B$2:$C$12,2,FALSE),IF(O159="INOXIDABLE",VLOOKUP(P159,'Tiempo Objeto'!$B$14:$C$22,2,FALSE),IF(O159="ALUMINIO",VLOOKUP(P159,'Tiempo Objeto'!$B$24:$C$32,2,FALSE))))</f>
        <v>1.84</v>
      </c>
      <c r="X159" s="84">
        <f t="shared" si="261"/>
        <v>9.2000000000000011</v>
      </c>
      <c r="Y159" s="80">
        <f t="shared" si="262"/>
        <v>12.77777777777778</v>
      </c>
      <c r="Z159" s="100">
        <v>0</v>
      </c>
      <c r="AA159" s="85">
        <f t="shared" si="263"/>
        <v>0</v>
      </c>
      <c r="AB159" s="86">
        <f>+Z159*Analisis!$J$6</f>
        <v>0</v>
      </c>
      <c r="AC159" s="100">
        <v>0</v>
      </c>
      <c r="AD159" s="85">
        <f t="shared" si="264"/>
        <v>0</v>
      </c>
      <c r="AE159" s="86">
        <f>+AD159*Analisis!$J$7</f>
        <v>0</v>
      </c>
      <c r="AF159" s="86">
        <f t="shared" si="203"/>
        <v>43.778106725146202</v>
      </c>
      <c r="AG159" s="126">
        <f>+AF159/(1-Analisis!$E$9)</f>
        <v>54.722633406432749</v>
      </c>
      <c r="AH159" s="128">
        <f t="shared" si="205"/>
        <v>27908.543037280702</v>
      </c>
      <c r="AI159" s="128">
        <f>+L159*C159</f>
        <v>8054.8125000000009</v>
      </c>
    </row>
    <row r="160" spans="1:35" s="73" customFormat="1" x14ac:dyDescent="0.25">
      <c r="A160" s="100"/>
      <c r="B160" s="114" t="s">
        <v>320</v>
      </c>
      <c r="C160" s="138">
        <f>IFERROR(VLOOKUP(B160,'REQ GALV'!A:B,2,0),0)</f>
        <v>510</v>
      </c>
      <c r="D160" s="116">
        <f t="shared" si="204"/>
        <v>61.153806652046789</v>
      </c>
      <c r="E160" s="103" t="s">
        <v>41</v>
      </c>
      <c r="F160" s="75" t="s">
        <v>147</v>
      </c>
      <c r="G160" s="90">
        <v>4.62</v>
      </c>
      <c r="H160" s="90">
        <v>5.75</v>
      </c>
      <c r="I160" s="76">
        <v>0.105</v>
      </c>
      <c r="J160" s="77">
        <v>28.24</v>
      </c>
      <c r="K160" s="78">
        <f t="shared" ref="K160" si="274">+L160*2.2/J160</f>
        <v>1.5291389282341836</v>
      </c>
      <c r="L160" s="58">
        <f>+VLOOKUP(E160,Material!$H$2:$M$17,6,FALSE)*G160*H160*(1+Material!$K$14)</f>
        <v>19.628583333333335</v>
      </c>
      <c r="M160" s="79" t="str">
        <f>+Analisis!$J$5</f>
        <v>T5.0</v>
      </c>
      <c r="N160" s="80">
        <f>+VLOOKUP(M160,Material!$A$3:$B$58,2,FALSE)</f>
        <v>5000</v>
      </c>
      <c r="O160" s="79" t="s">
        <v>42</v>
      </c>
      <c r="P160" s="79" t="s">
        <v>43</v>
      </c>
      <c r="Q160" s="81">
        <f>+IF(O160="ACERO A36",VLOOKUP(P160,'Velocidades Std 1500 w'!$B$2:$F$15,5,FALSE),IF(O160="INOXIDABLE",VLOOKUP(P160,'Velocidades Std 1500 w'!$B$17:$F$28,5,FALSE),IF(O160="ALUMINIO",VLOOKUP(P160,'Velocidades Std 1500 w'!$B$30:$F$38,5,FALSE))))</f>
        <v>4.3859649122807014E-6</v>
      </c>
      <c r="R160" s="82">
        <f t="shared" ref="R160" si="275">+Q160*N160</f>
        <v>2.1929824561403508E-2</v>
      </c>
      <c r="S160" s="83">
        <f t="shared" ref="S160" si="276">+Q160*T160*3600</f>
        <v>11.892012631578949</v>
      </c>
      <c r="T160" s="110">
        <f t="shared" ref="T160" si="277">(+H160*2+G160*2+V160*1.5)*25.4*1.05</f>
        <v>753.16080000000011</v>
      </c>
      <c r="U160" s="80">
        <f t="shared" ref="U160" si="278">+T160*R160</f>
        <v>16.516684210526318</v>
      </c>
      <c r="V160" s="98">
        <v>5</v>
      </c>
      <c r="W160" s="84">
        <f>+IF(O160="ACERO A36",VLOOKUP(P160,'Tiempo Objeto'!$B$2:$C$12,2,FALSE),IF(O160="INOXIDABLE",VLOOKUP(P160,'Tiempo Objeto'!$B$14:$C$22,2,FALSE),IF(O160="ALUMINIO",VLOOKUP(P160,'Tiempo Objeto'!$B$24:$C$32,2,FALSE))))</f>
        <v>1.84</v>
      </c>
      <c r="X160" s="84">
        <f t="shared" ref="X160" si="279">+W160*V160</f>
        <v>9.2000000000000011</v>
      </c>
      <c r="Y160" s="80">
        <f t="shared" ref="Y160" si="280">+X160*N160/3600</f>
        <v>12.77777777777778</v>
      </c>
      <c r="Z160" s="100">
        <v>0</v>
      </c>
      <c r="AA160" s="85">
        <f t="shared" ref="AA160" si="281">30*Z160+Z160*$C160*1.5</f>
        <v>0</v>
      </c>
      <c r="AB160" s="86">
        <f>+Z160*Analisis!$J$6</f>
        <v>0</v>
      </c>
      <c r="AC160" s="100">
        <v>0</v>
      </c>
      <c r="AD160" s="85">
        <f t="shared" ref="AD160" si="282">30*AC160+AC160*$C160*1.5</f>
        <v>0</v>
      </c>
      <c r="AE160" s="86">
        <f>+AD160*Analisis!$J$7</f>
        <v>0</v>
      </c>
      <c r="AF160" s="86">
        <f t="shared" si="203"/>
        <v>48.923045321637431</v>
      </c>
      <c r="AG160" s="126">
        <f>+AF160/(1-Analisis!$E$9)</f>
        <v>61.153806652046789</v>
      </c>
      <c r="AH160" s="128">
        <f t="shared" si="205"/>
        <v>31188.441392543864</v>
      </c>
      <c r="AI160" s="128">
        <f>+L160*C160</f>
        <v>10010.577500000001</v>
      </c>
    </row>
    <row r="161" spans="1:35" s="73" customFormat="1" x14ac:dyDescent="0.25">
      <c r="A161" s="100"/>
      <c r="B161" s="114" t="s">
        <v>321</v>
      </c>
      <c r="C161" s="138">
        <f>IFERROR(VLOOKUP(B161,'REQ GALV'!A:B,2,0),0)</f>
        <v>2400</v>
      </c>
      <c r="D161" s="116">
        <f t="shared" si="204"/>
        <v>100.60190469663742</v>
      </c>
      <c r="E161" s="103" t="s">
        <v>44</v>
      </c>
      <c r="F161" s="75" t="s">
        <v>147</v>
      </c>
      <c r="G161" s="90">
        <v>7</v>
      </c>
      <c r="H161" s="90">
        <v>5.08</v>
      </c>
      <c r="I161" s="76">
        <v>0.105</v>
      </c>
      <c r="J161" s="77">
        <v>28.24</v>
      </c>
      <c r="K161" s="78">
        <f t="shared" si="256"/>
        <v>2.4946723028800761</v>
      </c>
      <c r="L161" s="58">
        <f>+VLOOKUP(E161,Material!$H$2:$M$17,6,FALSE)*G161*H161*(1+Material!$K$14)</f>
        <v>32.022520833333338</v>
      </c>
      <c r="M161" s="79" t="str">
        <f>+Analisis!$J$5</f>
        <v>T5.0</v>
      </c>
      <c r="N161" s="80">
        <f>+VLOOKUP(M161,Material!$A$3:$B$58,2,FALSE)</f>
        <v>5000</v>
      </c>
      <c r="O161" s="79" t="s">
        <v>42</v>
      </c>
      <c r="P161" s="79" t="s">
        <v>43</v>
      </c>
      <c r="Q161" s="81">
        <f>+IF(O161="ACERO A36",VLOOKUP(P161,'Velocidades Std 1500 w'!$B$2:$F$15,5,FALSE),IF(O161="INOXIDABLE",VLOOKUP(P161,'Velocidades Std 1500 w'!$B$17:$F$28,5,FALSE),IF(O161="ALUMINIO",VLOOKUP(P161,'Velocidades Std 1500 w'!$B$30:$F$38,5,FALSE))))</f>
        <v>4.3859649122807014E-6</v>
      </c>
      <c r="R161" s="82">
        <f t="shared" si="257"/>
        <v>2.1929824561403508E-2</v>
      </c>
      <c r="S161" s="83">
        <f t="shared" si="258"/>
        <v>16.490482105263155</v>
      </c>
      <c r="T161" s="110">
        <f t="shared" si="259"/>
        <v>1044.3971999999999</v>
      </c>
      <c r="U161" s="80">
        <f t="shared" si="260"/>
        <v>22.903447368421048</v>
      </c>
      <c r="V161" s="98">
        <v>10</v>
      </c>
      <c r="W161" s="84">
        <f>+IF(O161="ACERO A36",VLOOKUP(P161,'Tiempo Objeto'!$B$2:$C$12,2,FALSE),IF(O161="INOXIDABLE",VLOOKUP(P161,'Tiempo Objeto'!$B$14:$C$22,2,FALSE),IF(O161="ALUMINIO",VLOOKUP(P161,'Tiempo Objeto'!$B$24:$C$32,2,FALSE))))</f>
        <v>1.84</v>
      </c>
      <c r="X161" s="84">
        <f t="shared" si="261"/>
        <v>18.400000000000002</v>
      </c>
      <c r="Y161" s="80">
        <f t="shared" si="262"/>
        <v>25.555555555555561</v>
      </c>
      <c r="Z161" s="100">
        <v>0</v>
      </c>
      <c r="AA161" s="85">
        <f t="shared" si="263"/>
        <v>0</v>
      </c>
      <c r="AB161" s="86">
        <f>+Z161*Analisis!$J$6</f>
        <v>0</v>
      </c>
      <c r="AC161" s="100">
        <v>0</v>
      </c>
      <c r="AD161" s="85">
        <f t="shared" si="264"/>
        <v>0</v>
      </c>
      <c r="AE161" s="86">
        <f>+AD161*Analisis!$J$7</f>
        <v>0</v>
      </c>
      <c r="AF161" s="86">
        <f t="shared" si="203"/>
        <v>80.481523757309944</v>
      </c>
      <c r="AG161" s="126">
        <f>+AF161/(1-Analisis!$E$9)</f>
        <v>100.60190469663742</v>
      </c>
      <c r="AH161" s="128">
        <f t="shared" si="205"/>
        <v>241444.5712719298</v>
      </c>
      <c r="AI161" s="128">
        <f>+L161*C161</f>
        <v>76854.050000000017</v>
      </c>
    </row>
    <row r="162" spans="1:35" s="73" customFormat="1" x14ac:dyDescent="0.25">
      <c r="A162" s="100"/>
      <c r="B162" s="114" t="s">
        <v>322</v>
      </c>
      <c r="C162" s="74">
        <f>IFERROR(VLOOKUP(B162,'REQ GALV'!A:B,2,0),0)</f>
        <v>0</v>
      </c>
      <c r="D162" s="116">
        <f t="shared" si="204"/>
        <v>48.646104714912276</v>
      </c>
      <c r="E162" s="103" t="s">
        <v>41</v>
      </c>
      <c r="F162" s="75" t="s">
        <v>147</v>
      </c>
      <c r="G162" s="90">
        <v>0.75</v>
      </c>
      <c r="H162" s="90">
        <v>1.59</v>
      </c>
      <c r="I162" s="76">
        <v>0.105</v>
      </c>
      <c r="J162" s="77">
        <v>28.24</v>
      </c>
      <c r="K162" s="78">
        <f t="shared" si="256"/>
        <v>6.8642882436260655E-2</v>
      </c>
      <c r="L162" s="58">
        <f>+VLOOKUP(E162,Material!$H$2:$M$17,6,FALSE)*G162*H162*(1+Material!$K$14)</f>
        <v>0.88112500000000016</v>
      </c>
      <c r="M162" s="79" t="str">
        <f>+Analisis!$J$5</f>
        <v>T5.0</v>
      </c>
      <c r="N162" s="80">
        <f>+VLOOKUP(M162,Material!$A$3:$B$58,2,FALSE)</f>
        <v>5000</v>
      </c>
      <c r="O162" s="79" t="s">
        <v>42</v>
      </c>
      <c r="P162" s="79" t="s">
        <v>43</v>
      </c>
      <c r="Q162" s="81">
        <f>+IF(O162="ACERO A36",VLOOKUP(P162,'Velocidades Std 1500 w'!$B$2:$F$15,5,FALSE),IF(O162="INOXIDABLE",VLOOKUP(P162,'Velocidades Std 1500 w'!$B$17:$F$28,5,FALSE),IF(O162="ALUMINIO",VLOOKUP(P162,'Velocidades Std 1500 w'!$B$30:$F$38,5,FALSE))))</f>
        <v>4.3859649122807014E-6</v>
      </c>
      <c r="R162" s="82">
        <f t="shared" si="257"/>
        <v>2.1929824561403508E-2</v>
      </c>
      <c r="S162" s="83">
        <f t="shared" si="258"/>
        <v>3.8657463157894729</v>
      </c>
      <c r="T162" s="110">
        <f t="shared" si="259"/>
        <v>244.83059999999998</v>
      </c>
      <c r="U162" s="80">
        <f t="shared" si="260"/>
        <v>5.3690921052631575</v>
      </c>
      <c r="V162" s="98">
        <v>3</v>
      </c>
      <c r="W162" s="84">
        <f>+IF(O162="ACERO A36",VLOOKUP(P162,'Tiempo Objeto'!$B$2:$C$12,2,FALSE),IF(O162="INOXIDABLE",VLOOKUP(P162,'Tiempo Objeto'!$B$14:$C$22,2,FALSE),IF(O162="ALUMINIO",VLOOKUP(P162,'Tiempo Objeto'!$B$24:$C$32,2,FALSE))))</f>
        <v>1.84</v>
      </c>
      <c r="X162" s="84">
        <f t="shared" si="261"/>
        <v>5.5200000000000005</v>
      </c>
      <c r="Y162" s="80">
        <f t="shared" si="262"/>
        <v>7.6666666666666679</v>
      </c>
      <c r="Z162" s="100">
        <v>1</v>
      </c>
      <c r="AA162" s="85">
        <f t="shared" si="263"/>
        <v>30</v>
      </c>
      <c r="AB162" s="86">
        <f>+Z162*Analisis!$J$6</f>
        <v>25</v>
      </c>
      <c r="AC162" s="100">
        <v>0</v>
      </c>
      <c r="AD162" s="85">
        <f t="shared" si="264"/>
        <v>0</v>
      </c>
      <c r="AE162" s="86">
        <f>+AD162*Analisis!$J$7</f>
        <v>0</v>
      </c>
      <c r="AF162" s="86">
        <f t="shared" si="203"/>
        <v>38.916883771929825</v>
      </c>
      <c r="AG162" s="126">
        <f>+AF162/(1-Analisis!$E$9)</f>
        <v>48.646104714912276</v>
      </c>
      <c r="AH162" s="128">
        <f t="shared" si="205"/>
        <v>0</v>
      </c>
    </row>
    <row r="163" spans="1:35" s="73" customFormat="1" x14ac:dyDescent="0.25">
      <c r="A163" s="100"/>
      <c r="B163" s="114" t="s">
        <v>323</v>
      </c>
      <c r="C163" s="74">
        <f>IFERROR(VLOOKUP(B163,'REQ GALV'!A:B,2,0),0)</f>
        <v>0</v>
      </c>
      <c r="D163" s="116">
        <f t="shared" si="204"/>
        <v>48.883141447368423</v>
      </c>
      <c r="E163" s="103" t="s">
        <v>41</v>
      </c>
      <c r="F163" s="75" t="s">
        <v>147</v>
      </c>
      <c r="G163" s="90">
        <v>0.75</v>
      </c>
      <c r="H163" s="90">
        <v>1.7</v>
      </c>
      <c r="I163" s="76">
        <v>0.105</v>
      </c>
      <c r="J163" s="77">
        <v>28.24</v>
      </c>
      <c r="K163" s="78">
        <f t="shared" si="256"/>
        <v>7.3391761095373015E-2</v>
      </c>
      <c r="L163" s="58">
        <f>+VLOOKUP(E163,Material!$H$2:$M$17,6,FALSE)*G163*H163*(1+Material!$K$14)</f>
        <v>0.94208333333333338</v>
      </c>
      <c r="M163" s="79" t="str">
        <f>+Analisis!$J$5</f>
        <v>T5.0</v>
      </c>
      <c r="N163" s="80">
        <f>+VLOOKUP(M163,Material!$A$3:$B$58,2,FALSE)</f>
        <v>5000</v>
      </c>
      <c r="O163" s="79" t="s">
        <v>42</v>
      </c>
      <c r="P163" s="79" t="s">
        <v>43</v>
      </c>
      <c r="Q163" s="81">
        <f>+IF(O163="ACERO A36",VLOOKUP(P163,'Velocidades Std 1500 w'!$B$2:$F$15,5,FALSE),IF(O163="INOXIDABLE",VLOOKUP(P163,'Velocidades Std 1500 w'!$B$17:$F$28,5,FALSE),IF(O163="ALUMINIO",VLOOKUP(P163,'Velocidades Std 1500 w'!$B$30:$F$38,5,FALSE))))</f>
        <v>4.3859649122807014E-6</v>
      </c>
      <c r="R163" s="82">
        <f t="shared" si="257"/>
        <v>2.1929824561403508E-2</v>
      </c>
      <c r="S163" s="83">
        <f t="shared" si="258"/>
        <v>3.9583894736842105</v>
      </c>
      <c r="T163" s="110">
        <f t="shared" si="259"/>
        <v>250.69800000000001</v>
      </c>
      <c r="U163" s="80">
        <f t="shared" si="260"/>
        <v>5.4977631578947364</v>
      </c>
      <c r="V163" s="98">
        <v>3</v>
      </c>
      <c r="W163" s="84">
        <f>+IF(O163="ACERO A36",VLOOKUP(P163,'Tiempo Objeto'!$B$2:$C$12,2,FALSE),IF(O163="INOXIDABLE",VLOOKUP(P163,'Tiempo Objeto'!$B$14:$C$22,2,FALSE),IF(O163="ALUMINIO",VLOOKUP(P163,'Tiempo Objeto'!$B$24:$C$32,2,FALSE))))</f>
        <v>1.84</v>
      </c>
      <c r="X163" s="84">
        <f t="shared" si="261"/>
        <v>5.5200000000000005</v>
      </c>
      <c r="Y163" s="80">
        <f t="shared" si="262"/>
        <v>7.6666666666666679</v>
      </c>
      <c r="Z163" s="100">
        <v>1</v>
      </c>
      <c r="AA163" s="85">
        <f t="shared" si="263"/>
        <v>30</v>
      </c>
      <c r="AB163" s="86">
        <f>+Z163*Analisis!$J$6</f>
        <v>25</v>
      </c>
      <c r="AC163" s="100">
        <v>0</v>
      </c>
      <c r="AD163" s="85">
        <f t="shared" si="264"/>
        <v>0</v>
      </c>
      <c r="AE163" s="86">
        <f>+AD163*Analisis!$J$7</f>
        <v>0</v>
      </c>
      <c r="AF163" s="86">
        <f t="shared" si="203"/>
        <v>39.106513157894739</v>
      </c>
      <c r="AG163" s="126">
        <f>+AF163/(1-Analisis!$E$9)</f>
        <v>48.883141447368423</v>
      </c>
      <c r="AH163" s="128">
        <f t="shared" si="205"/>
        <v>0</v>
      </c>
    </row>
    <row r="164" spans="1:35" s="73" customFormat="1" x14ac:dyDescent="0.25">
      <c r="A164" s="100"/>
      <c r="B164" s="114" t="s">
        <v>324</v>
      </c>
      <c r="C164" s="74">
        <f>IFERROR(VLOOKUP(B164,'REQ GALV'!A:B,2,0),0)</f>
        <v>0</v>
      </c>
      <c r="D164" s="116">
        <f t="shared" si="204"/>
        <v>103.17111893274853</v>
      </c>
      <c r="E164" s="103" t="s">
        <v>41</v>
      </c>
      <c r="F164" s="75" t="s">
        <v>147</v>
      </c>
      <c r="G164" s="90">
        <v>3.64</v>
      </c>
      <c r="H164" s="90">
        <v>2.88</v>
      </c>
      <c r="I164" s="76">
        <v>0.105</v>
      </c>
      <c r="J164" s="77">
        <v>28.24</v>
      </c>
      <c r="K164" s="78">
        <f t="shared" si="256"/>
        <v>0.60343569405099162</v>
      </c>
      <c r="L164" s="58">
        <f>+VLOOKUP(E164,Material!$H$2:$M$17,6,FALSE)*G164*H164*(1+Material!$K$14)</f>
        <v>7.7459200000000017</v>
      </c>
      <c r="M164" s="79" t="str">
        <f>+Analisis!$J$5</f>
        <v>T5.0</v>
      </c>
      <c r="N164" s="80">
        <f>+VLOOKUP(M164,Material!$A$3:$B$58,2,FALSE)</f>
        <v>5000</v>
      </c>
      <c r="O164" s="79" t="s">
        <v>42</v>
      </c>
      <c r="P164" s="79" t="s">
        <v>43</v>
      </c>
      <c r="Q164" s="81">
        <f>+IF(O164="ACERO A36",VLOOKUP(P164,'Velocidades Std 1500 w'!$B$2:$F$15,5,FALSE),IF(O164="INOXIDABLE",VLOOKUP(P164,'Velocidades Std 1500 w'!$B$17:$F$28,5,FALSE),IF(O164="ALUMINIO",VLOOKUP(P164,'Velocidades Std 1500 w'!$B$30:$F$38,5,FALSE))))</f>
        <v>4.3859649122807014E-6</v>
      </c>
      <c r="R164" s="82">
        <f t="shared" si="257"/>
        <v>2.1929824561403508E-2</v>
      </c>
      <c r="S164" s="83">
        <f t="shared" si="258"/>
        <v>8.6495021052631564</v>
      </c>
      <c r="T164" s="110">
        <f t="shared" si="259"/>
        <v>547.80179999999996</v>
      </c>
      <c r="U164" s="80">
        <f t="shared" si="260"/>
        <v>12.013197368421052</v>
      </c>
      <c r="V164" s="98">
        <v>5</v>
      </c>
      <c r="W164" s="84">
        <f>+IF(O164="ACERO A36",VLOOKUP(P164,'Tiempo Objeto'!$B$2:$C$12,2,FALSE),IF(O164="INOXIDABLE",VLOOKUP(P164,'Tiempo Objeto'!$B$14:$C$22,2,FALSE),IF(O164="ALUMINIO",VLOOKUP(P164,'Tiempo Objeto'!$B$24:$C$32,2,FALSE))))</f>
        <v>1.84</v>
      </c>
      <c r="X164" s="84">
        <f t="shared" si="261"/>
        <v>9.2000000000000011</v>
      </c>
      <c r="Y164" s="80">
        <f t="shared" si="262"/>
        <v>12.77777777777778</v>
      </c>
      <c r="Z164" s="100">
        <v>2</v>
      </c>
      <c r="AA164" s="85">
        <f t="shared" si="263"/>
        <v>60</v>
      </c>
      <c r="AB164" s="86">
        <f>+Z164*Analisis!$J$6</f>
        <v>50</v>
      </c>
      <c r="AC164" s="100">
        <v>0</v>
      </c>
      <c r="AD164" s="85">
        <f t="shared" si="264"/>
        <v>0</v>
      </c>
      <c r="AE164" s="86">
        <f>+AD164*Analisis!$J$7</f>
        <v>0</v>
      </c>
      <c r="AF164" s="86">
        <f t="shared" si="203"/>
        <v>82.53689514619883</v>
      </c>
      <c r="AG164" s="126">
        <f>+AF164/(1-Analisis!$E$9)</f>
        <v>103.17111893274853</v>
      </c>
      <c r="AH164" s="128">
        <f t="shared" si="205"/>
        <v>0</v>
      </c>
    </row>
    <row r="165" spans="1:35" s="73" customFormat="1" x14ac:dyDescent="0.25">
      <c r="A165" s="100"/>
      <c r="B165" s="114" t="s">
        <v>325</v>
      </c>
      <c r="C165" s="74">
        <f>IFERROR(VLOOKUP(B165,'REQ GALV'!A:B,2,0),0)</f>
        <v>0</v>
      </c>
      <c r="D165" s="116">
        <f t="shared" si="204"/>
        <v>310.97049700463725</v>
      </c>
      <c r="E165" s="103" t="s">
        <v>47</v>
      </c>
      <c r="F165" s="75" t="s">
        <v>147</v>
      </c>
      <c r="G165" s="90">
        <v>13.75</v>
      </c>
      <c r="H165" s="90">
        <v>10.71</v>
      </c>
      <c r="I165" s="76">
        <v>0.105</v>
      </c>
      <c r="J165" s="77">
        <v>28.24</v>
      </c>
      <c r="K165" s="78">
        <f t="shared" si="256"/>
        <v>5.9602137233312691</v>
      </c>
      <c r="L165" s="58">
        <f>+VLOOKUP(E165,Material!$H$2:$M$17,6,FALSE)*G165*H165*(1+Material!$K$14)</f>
        <v>76.507470703125009</v>
      </c>
      <c r="M165" s="79" t="str">
        <f>+Analisis!$J$5</f>
        <v>T5.0</v>
      </c>
      <c r="N165" s="80">
        <f>+VLOOKUP(M165,Material!$A$3:$B$58,2,FALSE)</f>
        <v>5000</v>
      </c>
      <c r="O165" s="79" t="s">
        <v>42</v>
      </c>
      <c r="P165" s="79" t="s">
        <v>43</v>
      </c>
      <c r="Q165" s="81">
        <f>+IF(O165="ACERO A36",VLOOKUP(P165,'Velocidades Std 1500 w'!$B$2:$F$15,5,FALSE),IF(O165="INOXIDABLE",VLOOKUP(P165,'Velocidades Std 1500 w'!$B$17:$F$28,5,FALSE),IF(O165="ALUMINIO",VLOOKUP(P165,'Velocidades Std 1500 w'!$B$30:$F$38,5,FALSE))))</f>
        <v>4.3859649122807014E-6</v>
      </c>
      <c r="R165" s="82">
        <f t="shared" si="257"/>
        <v>2.1929824561403508E-2</v>
      </c>
      <c r="S165" s="83">
        <f t="shared" si="258"/>
        <v>33.233627368421054</v>
      </c>
      <c r="T165" s="110">
        <f t="shared" si="259"/>
        <v>2104.7964000000002</v>
      </c>
      <c r="U165" s="80">
        <f t="shared" si="260"/>
        <v>46.157815789473688</v>
      </c>
      <c r="V165" s="98">
        <v>20</v>
      </c>
      <c r="W165" s="84">
        <f>+IF(O165="ACERO A36",VLOOKUP(P165,'Tiempo Objeto'!$B$2:$C$12,2,FALSE),IF(O165="INOXIDABLE",VLOOKUP(P165,'Tiempo Objeto'!$B$14:$C$22,2,FALSE),IF(O165="ALUMINIO",VLOOKUP(P165,'Tiempo Objeto'!$B$24:$C$32,2,FALSE))))</f>
        <v>1.84</v>
      </c>
      <c r="X165" s="84">
        <f t="shared" si="261"/>
        <v>36.800000000000004</v>
      </c>
      <c r="Y165" s="80">
        <f t="shared" si="262"/>
        <v>51.111111111111121</v>
      </c>
      <c r="Z165" s="100">
        <v>3</v>
      </c>
      <c r="AA165" s="85">
        <f t="shared" si="263"/>
        <v>90</v>
      </c>
      <c r="AB165" s="86">
        <f>+Z165*Analisis!$J$6</f>
        <v>75</v>
      </c>
      <c r="AC165" s="100">
        <v>0</v>
      </c>
      <c r="AD165" s="85">
        <f t="shared" si="264"/>
        <v>0</v>
      </c>
      <c r="AE165" s="86">
        <f>+AD165*Analisis!$J$7</f>
        <v>0</v>
      </c>
      <c r="AF165" s="86">
        <f t="shared" si="203"/>
        <v>248.77639760370982</v>
      </c>
      <c r="AG165" s="126">
        <f>+AF165/(1-Analisis!$E$9)</f>
        <v>310.97049700463725</v>
      </c>
      <c r="AH165" s="128">
        <f t="shared" si="205"/>
        <v>0</v>
      </c>
    </row>
    <row r="166" spans="1:35" s="73" customFormat="1" x14ac:dyDescent="0.25">
      <c r="A166" s="100"/>
      <c r="B166" s="114" t="s">
        <v>326</v>
      </c>
      <c r="C166" s="74">
        <f>IFERROR(VLOOKUP(B166,'REQ GALV'!A:B,2,0),0)</f>
        <v>0</v>
      </c>
      <c r="D166" s="116">
        <f t="shared" si="204"/>
        <v>653.6310773597404</v>
      </c>
      <c r="E166" s="103" t="s">
        <v>47</v>
      </c>
      <c r="F166" s="75" t="s">
        <v>147</v>
      </c>
      <c r="G166" s="90">
        <v>16.260000000000002</v>
      </c>
      <c r="H166" s="90">
        <v>11.5</v>
      </c>
      <c r="I166" s="76">
        <v>0.105</v>
      </c>
      <c r="J166" s="77">
        <v>28.24</v>
      </c>
      <c r="K166" s="78">
        <f t="shared" si="256"/>
        <v>7.5681206289837144</v>
      </c>
      <c r="L166" s="58">
        <f>+VLOOKUP(E166,Material!$H$2:$M$17,6,FALSE)*G166*H166*(1+Material!$K$14)</f>
        <v>97.147148437500022</v>
      </c>
      <c r="M166" s="79" t="str">
        <f>+Analisis!$J$5</f>
        <v>T5.0</v>
      </c>
      <c r="N166" s="80">
        <f>+VLOOKUP(M166,Material!$A$3:$B$58,2,FALSE)</f>
        <v>5000</v>
      </c>
      <c r="O166" s="79" t="s">
        <v>42</v>
      </c>
      <c r="P166" s="79" t="s">
        <v>43</v>
      </c>
      <c r="Q166" s="81">
        <f>+IF(O166="ACERO A36",VLOOKUP(P166,'Velocidades Std 1500 w'!$B$2:$F$15,5,FALSE),IF(O166="INOXIDABLE",VLOOKUP(P166,'Velocidades Std 1500 w'!$B$17:$F$28,5,FALSE),IF(O166="ALUMINIO",VLOOKUP(P166,'Velocidades Std 1500 w'!$B$30:$F$38,5,FALSE))))</f>
        <v>4.3859649122807014E-6</v>
      </c>
      <c r="R166" s="82">
        <f t="shared" si="257"/>
        <v>2.1929824561403508E-2</v>
      </c>
      <c r="S166" s="83">
        <f t="shared" si="258"/>
        <v>86.545553684210518</v>
      </c>
      <c r="T166" s="110">
        <f t="shared" si="259"/>
        <v>5481.2183999999997</v>
      </c>
      <c r="U166" s="80">
        <f t="shared" si="260"/>
        <v>120.20215789473683</v>
      </c>
      <c r="V166" s="98">
        <v>100</v>
      </c>
      <c r="W166" s="84">
        <f>+IF(O166="ACERO A36",VLOOKUP(P166,'Tiempo Objeto'!$B$2:$C$12,2,FALSE),IF(O166="INOXIDABLE",VLOOKUP(P166,'Tiempo Objeto'!$B$14:$C$22,2,FALSE),IF(O166="ALUMINIO",VLOOKUP(P166,'Tiempo Objeto'!$B$24:$C$32,2,FALSE))))</f>
        <v>1.84</v>
      </c>
      <c r="X166" s="84">
        <f t="shared" si="261"/>
        <v>184</v>
      </c>
      <c r="Y166" s="80">
        <f t="shared" si="262"/>
        <v>255.55555555555554</v>
      </c>
      <c r="Z166" s="100">
        <v>2</v>
      </c>
      <c r="AA166" s="85">
        <f t="shared" si="263"/>
        <v>60</v>
      </c>
      <c r="AB166" s="86">
        <f>+Z166*Analisis!$J$6</f>
        <v>50</v>
      </c>
      <c r="AC166" s="100">
        <v>0</v>
      </c>
      <c r="AD166" s="85">
        <f t="shared" si="264"/>
        <v>0</v>
      </c>
      <c r="AE166" s="86">
        <f>+AD166*Analisis!$J$7</f>
        <v>0</v>
      </c>
      <c r="AF166" s="86">
        <f t="shared" si="203"/>
        <v>522.90486188779232</v>
      </c>
      <c r="AG166" s="126">
        <f>+AF166/(1-Analisis!$E$9)</f>
        <v>653.6310773597404</v>
      </c>
      <c r="AH166" s="128">
        <f t="shared" si="205"/>
        <v>0</v>
      </c>
    </row>
    <row r="167" spans="1:35" s="73" customFormat="1" x14ac:dyDescent="0.25">
      <c r="A167" s="100"/>
      <c r="B167" s="114" t="s">
        <v>370</v>
      </c>
      <c r="C167" s="74">
        <f>IFERROR(VLOOKUP(B167,'REQ GALV'!A:B,2,0),0)</f>
        <v>0</v>
      </c>
      <c r="D167" s="116">
        <f t="shared" si="204"/>
        <v>30.503048245614032</v>
      </c>
      <c r="E167" s="103" t="s">
        <v>130</v>
      </c>
      <c r="F167" s="75" t="s">
        <v>147</v>
      </c>
      <c r="G167" s="90">
        <v>0.94</v>
      </c>
      <c r="H167" s="90">
        <v>8</v>
      </c>
      <c r="I167" s="76">
        <v>0.105</v>
      </c>
      <c r="J167" s="77">
        <v>28.24</v>
      </c>
      <c r="K167" s="78">
        <f t="shared" si="256"/>
        <v>0.28406928706326723</v>
      </c>
      <c r="L167" s="58">
        <f>+VLOOKUP(E167,Material!$H$2:$M$17,6,FALSE)*G167*H167*(1+Material!$K$14)</f>
        <v>3.6464166666666662</v>
      </c>
      <c r="M167" s="79" t="str">
        <f>+Analisis!$J$5</f>
        <v>T5.0</v>
      </c>
      <c r="N167" s="80">
        <f>+VLOOKUP(M167,Material!$A$3:$B$58,2,FALSE)</f>
        <v>5000</v>
      </c>
      <c r="O167" s="79" t="s">
        <v>42</v>
      </c>
      <c r="P167" s="79" t="s">
        <v>43</v>
      </c>
      <c r="Q167" s="81">
        <f>+IF(O167="ACERO A36",VLOOKUP(P167,'Velocidades Std 1500 w'!$B$2:$F$15,5,FALSE),IF(O167="INOXIDABLE",VLOOKUP(P167,'Velocidades Std 1500 w'!$B$17:$F$28,5,FALSE),IF(O167="ALUMINIO",VLOOKUP(P167,'Velocidades Std 1500 w'!$B$30:$F$38,5,FALSE))))</f>
        <v>4.3859649122807014E-6</v>
      </c>
      <c r="R167" s="82">
        <f t="shared" si="257"/>
        <v>2.1929824561403508E-2</v>
      </c>
      <c r="S167" s="83">
        <f t="shared" si="258"/>
        <v>9.4243357894736839</v>
      </c>
      <c r="T167" s="110">
        <f t="shared" si="259"/>
        <v>596.87459999999999</v>
      </c>
      <c r="U167" s="80">
        <f t="shared" si="260"/>
        <v>13.089355263157893</v>
      </c>
      <c r="V167" s="98">
        <v>3</v>
      </c>
      <c r="W167" s="84">
        <f>+IF(O167="ACERO A36",VLOOKUP(P167,'Tiempo Objeto'!$B$2:$C$12,2,FALSE),IF(O167="INOXIDABLE",VLOOKUP(P167,'Tiempo Objeto'!$B$14:$C$22,2,FALSE),IF(O167="ALUMINIO",VLOOKUP(P167,'Tiempo Objeto'!$B$24:$C$32,2,FALSE))))</f>
        <v>1.84</v>
      </c>
      <c r="X167" s="84">
        <f t="shared" si="261"/>
        <v>5.5200000000000005</v>
      </c>
      <c r="Y167" s="80">
        <f t="shared" si="262"/>
        <v>7.6666666666666679</v>
      </c>
      <c r="Z167" s="100">
        <v>0</v>
      </c>
      <c r="AA167" s="85">
        <f t="shared" si="263"/>
        <v>0</v>
      </c>
      <c r="AB167" s="86">
        <f>+Z167*Analisis!$J$6</f>
        <v>0</v>
      </c>
      <c r="AC167" s="100">
        <v>0</v>
      </c>
      <c r="AD167" s="85">
        <f t="shared" si="264"/>
        <v>0</v>
      </c>
      <c r="AE167" s="86">
        <f>+AD167*Analisis!$J$7</f>
        <v>0</v>
      </c>
      <c r="AF167" s="86">
        <f t="shared" si="203"/>
        <v>24.402438596491226</v>
      </c>
      <c r="AG167" s="126">
        <f>+AF167/(1-Analisis!$E$9)</f>
        <v>30.503048245614032</v>
      </c>
      <c r="AH167" s="128">
        <f t="shared" si="205"/>
        <v>0</v>
      </c>
    </row>
    <row r="168" spans="1:35" s="73" customFormat="1" x14ac:dyDescent="0.25">
      <c r="A168" s="100"/>
      <c r="B168" s="114" t="s">
        <v>371</v>
      </c>
      <c r="C168" s="74">
        <f>IFERROR(VLOOKUP(B168,'REQ GALV'!A:B,2,0),0)</f>
        <v>0</v>
      </c>
      <c r="D168" s="116">
        <f t="shared" si="204"/>
        <v>38.630742872807019</v>
      </c>
      <c r="E168" s="103" t="s">
        <v>130</v>
      </c>
      <c r="F168" s="75" t="s">
        <v>147</v>
      </c>
      <c r="G168" s="90">
        <v>0.94</v>
      </c>
      <c r="H168" s="90">
        <v>12</v>
      </c>
      <c r="I168" s="76">
        <v>0.105</v>
      </c>
      <c r="J168" s="77">
        <v>28.24</v>
      </c>
      <c r="K168" s="78">
        <f t="shared" ref="K168:K175" si="283">+L168*2.2/J168</f>
        <v>0.42610393059490081</v>
      </c>
      <c r="L168" s="58">
        <f>+VLOOKUP(E168,Material!$H$2:$M$17,6,FALSE)*G168*H168*(1+Material!$K$14)</f>
        <v>5.4696249999999988</v>
      </c>
      <c r="M168" s="79" t="str">
        <f>+Analisis!$J$5</f>
        <v>T5.0</v>
      </c>
      <c r="N168" s="80">
        <f>+VLOOKUP(M168,Material!$A$3:$B$58,2,FALSE)</f>
        <v>5000</v>
      </c>
      <c r="O168" s="79" t="s">
        <v>42</v>
      </c>
      <c r="P168" s="79" t="s">
        <v>43</v>
      </c>
      <c r="Q168" s="81">
        <f>+IF(O168="ACERO A36",VLOOKUP(P168,'Velocidades Std 1500 w'!$B$2:$F$15,5,FALSE),IF(O168="INOXIDABLE",VLOOKUP(P168,'Velocidades Std 1500 w'!$B$17:$F$28,5,FALSE),IF(O168="ALUMINIO",VLOOKUP(P168,'Velocidades Std 1500 w'!$B$30:$F$38,5,FALSE))))</f>
        <v>4.3859649122807014E-6</v>
      </c>
      <c r="R168" s="82">
        <f t="shared" ref="R168:R175" si="284">+Q168*N168</f>
        <v>2.1929824561403508E-2</v>
      </c>
      <c r="S168" s="83">
        <f t="shared" ref="S168:S175" si="285">+Q168*T168*3600</f>
        <v>12.793177894736841</v>
      </c>
      <c r="T168" s="110">
        <f t="shared" ref="T168:T175" si="286">(+H168*2+G168*2+V168*1.5)*25.4*1.05</f>
        <v>810.2346</v>
      </c>
      <c r="U168" s="80">
        <f t="shared" ref="U168:U175" si="287">+T168*R168</f>
        <v>17.768302631578948</v>
      </c>
      <c r="V168" s="98">
        <v>3</v>
      </c>
      <c r="W168" s="84">
        <f>+IF(O168="ACERO A36",VLOOKUP(P168,'Tiempo Objeto'!$B$2:$C$12,2,FALSE),IF(O168="INOXIDABLE",VLOOKUP(P168,'Tiempo Objeto'!$B$14:$C$22,2,FALSE),IF(O168="ALUMINIO",VLOOKUP(P168,'Tiempo Objeto'!$B$24:$C$32,2,FALSE))))</f>
        <v>1.84</v>
      </c>
      <c r="X168" s="84">
        <f t="shared" ref="X168:X175" si="288">+W168*V168</f>
        <v>5.5200000000000005</v>
      </c>
      <c r="Y168" s="80">
        <f t="shared" ref="Y168:Y175" si="289">+X168*N168/3600</f>
        <v>7.6666666666666679</v>
      </c>
      <c r="Z168" s="100">
        <v>0</v>
      </c>
      <c r="AA168" s="85">
        <f t="shared" ref="AA168:AA175" si="290">30*Z168+Z168*$C168*1.5</f>
        <v>0</v>
      </c>
      <c r="AB168" s="86">
        <f>+Z168*Analisis!$J$6</f>
        <v>0</v>
      </c>
      <c r="AC168" s="100">
        <v>0</v>
      </c>
      <c r="AD168" s="85">
        <f t="shared" ref="AD168:AD175" si="291">30*AC168+AC168*$C168*1.5</f>
        <v>0</v>
      </c>
      <c r="AE168" s="86">
        <f>+AD168*Analisis!$J$7</f>
        <v>0</v>
      </c>
      <c r="AF168" s="86">
        <f t="shared" si="203"/>
        <v>30.904594298245616</v>
      </c>
      <c r="AG168" s="126">
        <f>+AF168/(1-Analisis!$E$9)</f>
        <v>38.630742872807019</v>
      </c>
      <c r="AH168" s="128">
        <f t="shared" si="205"/>
        <v>0</v>
      </c>
    </row>
    <row r="169" spans="1:35" s="73" customFormat="1" x14ac:dyDescent="0.25">
      <c r="A169" s="100"/>
      <c r="B169" s="114" t="s">
        <v>372</v>
      </c>
      <c r="C169" s="138">
        <f>IFERROR(VLOOKUP(B169,'REQ GALV'!A:B,2,0),0)</f>
        <v>450</v>
      </c>
      <c r="D169" s="116">
        <f t="shared" si="204"/>
        <v>46.758437499999999</v>
      </c>
      <c r="E169" s="103" t="s">
        <v>130</v>
      </c>
      <c r="F169" s="75" t="s">
        <v>147</v>
      </c>
      <c r="G169" s="90">
        <v>0.94</v>
      </c>
      <c r="H169" s="90">
        <v>16</v>
      </c>
      <c r="I169" s="76">
        <v>0.105</v>
      </c>
      <c r="J169" s="77">
        <v>28.24</v>
      </c>
      <c r="K169" s="78">
        <f t="shared" si="283"/>
        <v>0.56813857412653446</v>
      </c>
      <c r="L169" s="58">
        <f>+VLOOKUP(E169,Material!$H$2:$M$17,6,FALSE)*G169*H169*(1+Material!$K$14)</f>
        <v>7.2928333333333324</v>
      </c>
      <c r="M169" s="79" t="str">
        <f>+Analisis!$J$5</f>
        <v>T5.0</v>
      </c>
      <c r="N169" s="80">
        <f>+VLOOKUP(M169,Material!$A$3:$B$58,2,FALSE)</f>
        <v>5000</v>
      </c>
      <c r="O169" s="79" t="s">
        <v>42</v>
      </c>
      <c r="P169" s="79" t="s">
        <v>43</v>
      </c>
      <c r="Q169" s="81">
        <f>+IF(O169="ACERO A36",VLOOKUP(P169,'Velocidades Std 1500 w'!$B$2:$F$15,5,FALSE),IF(O169="INOXIDABLE",VLOOKUP(P169,'Velocidades Std 1500 w'!$B$17:$F$28,5,FALSE),IF(O169="ALUMINIO",VLOOKUP(P169,'Velocidades Std 1500 w'!$B$30:$F$38,5,FALSE))))</f>
        <v>4.3859649122807014E-6</v>
      </c>
      <c r="R169" s="82">
        <f t="shared" si="284"/>
        <v>2.1929824561403508E-2</v>
      </c>
      <c r="S169" s="83">
        <f t="shared" si="285"/>
        <v>16.162019999999998</v>
      </c>
      <c r="T169" s="110">
        <f t="shared" si="286"/>
        <v>1023.5946</v>
      </c>
      <c r="U169" s="80">
        <f t="shared" si="287"/>
        <v>22.44725</v>
      </c>
      <c r="V169" s="98">
        <v>3</v>
      </c>
      <c r="W169" s="84">
        <f>+IF(O169="ACERO A36",VLOOKUP(P169,'Tiempo Objeto'!$B$2:$C$12,2,FALSE),IF(O169="INOXIDABLE",VLOOKUP(P169,'Tiempo Objeto'!$B$14:$C$22,2,FALSE),IF(O169="ALUMINIO",VLOOKUP(P169,'Tiempo Objeto'!$B$24:$C$32,2,FALSE))))</f>
        <v>1.84</v>
      </c>
      <c r="X169" s="84">
        <f t="shared" si="288"/>
        <v>5.5200000000000005</v>
      </c>
      <c r="Y169" s="80">
        <f t="shared" si="289"/>
        <v>7.6666666666666679</v>
      </c>
      <c r="Z169" s="100">
        <v>0</v>
      </c>
      <c r="AA169" s="85">
        <f t="shared" si="290"/>
        <v>0</v>
      </c>
      <c r="AB169" s="86">
        <f>+Z169*Analisis!$J$6</f>
        <v>0</v>
      </c>
      <c r="AC169" s="100">
        <v>0</v>
      </c>
      <c r="AD169" s="85">
        <f t="shared" si="291"/>
        <v>0</v>
      </c>
      <c r="AE169" s="86">
        <f>+AD169*Analisis!$J$7</f>
        <v>0</v>
      </c>
      <c r="AF169" s="86">
        <f t="shared" si="203"/>
        <v>37.406750000000002</v>
      </c>
      <c r="AG169" s="126">
        <f>+AF169/(1-Analisis!$E$9)</f>
        <v>46.758437499999999</v>
      </c>
      <c r="AH169" s="128">
        <f t="shared" si="205"/>
        <v>21041.296875</v>
      </c>
      <c r="AI169" s="128">
        <f>+L169*C169</f>
        <v>3281.7749999999996</v>
      </c>
    </row>
    <row r="170" spans="1:35" s="73" customFormat="1" x14ac:dyDescent="0.25">
      <c r="A170" s="100"/>
      <c r="B170" s="114" t="s">
        <v>373</v>
      </c>
      <c r="C170" s="74">
        <f>IFERROR(VLOOKUP(B170,'REQ GALV'!A:B,2,0),0)</f>
        <v>0</v>
      </c>
      <c r="D170" s="116">
        <f t="shared" si="204"/>
        <v>67.077674067982443</v>
      </c>
      <c r="E170" s="103" t="s">
        <v>130</v>
      </c>
      <c r="F170" s="75" t="s">
        <v>147</v>
      </c>
      <c r="G170" s="90">
        <v>0.94</v>
      </c>
      <c r="H170" s="90">
        <v>26</v>
      </c>
      <c r="I170" s="76">
        <v>0.105</v>
      </c>
      <c r="J170" s="77">
        <v>28.24</v>
      </c>
      <c r="K170" s="78">
        <f t="shared" si="283"/>
        <v>0.92322518295561851</v>
      </c>
      <c r="L170" s="58">
        <f>+VLOOKUP(E170,Material!$H$2:$M$17,6,FALSE)*G170*H170*(1+Material!$K$14)</f>
        <v>11.850854166666664</v>
      </c>
      <c r="M170" s="79" t="str">
        <f>+Analisis!$J$5</f>
        <v>T5.0</v>
      </c>
      <c r="N170" s="80">
        <f>+VLOOKUP(M170,Material!$A$3:$B$58,2,FALSE)</f>
        <v>5000</v>
      </c>
      <c r="O170" s="79" t="s">
        <v>42</v>
      </c>
      <c r="P170" s="79" t="s">
        <v>43</v>
      </c>
      <c r="Q170" s="81">
        <f>+IF(O170="ACERO A36",VLOOKUP(P170,'Velocidades Std 1500 w'!$B$2:$F$15,5,FALSE),IF(O170="INOXIDABLE",VLOOKUP(P170,'Velocidades Std 1500 w'!$B$17:$F$28,5,FALSE),IF(O170="ALUMINIO",VLOOKUP(P170,'Velocidades Std 1500 w'!$B$30:$F$38,5,FALSE))))</f>
        <v>4.3859649122807014E-6</v>
      </c>
      <c r="R170" s="82">
        <f t="shared" si="284"/>
        <v>2.1929824561403508E-2</v>
      </c>
      <c r="S170" s="83">
        <f t="shared" si="285"/>
        <v>24.584125263157894</v>
      </c>
      <c r="T170" s="110">
        <f t="shared" si="286"/>
        <v>1556.9946000000002</v>
      </c>
      <c r="U170" s="80">
        <f t="shared" si="287"/>
        <v>34.144618421052634</v>
      </c>
      <c r="V170" s="98">
        <v>3</v>
      </c>
      <c r="W170" s="84">
        <f>+IF(O170="ACERO A36",VLOOKUP(P170,'Tiempo Objeto'!$B$2:$C$12,2,FALSE),IF(O170="INOXIDABLE",VLOOKUP(P170,'Tiempo Objeto'!$B$14:$C$22,2,FALSE),IF(O170="ALUMINIO",VLOOKUP(P170,'Tiempo Objeto'!$B$24:$C$32,2,FALSE))))</f>
        <v>1.84</v>
      </c>
      <c r="X170" s="84">
        <f t="shared" si="288"/>
        <v>5.5200000000000005</v>
      </c>
      <c r="Y170" s="80">
        <f t="shared" si="289"/>
        <v>7.6666666666666679</v>
      </c>
      <c r="Z170" s="100">
        <v>0</v>
      </c>
      <c r="AA170" s="85">
        <f t="shared" si="290"/>
        <v>0</v>
      </c>
      <c r="AB170" s="86">
        <f>+Z170*Analisis!$J$6</f>
        <v>0</v>
      </c>
      <c r="AC170" s="100">
        <v>0</v>
      </c>
      <c r="AD170" s="85">
        <f t="shared" si="291"/>
        <v>0</v>
      </c>
      <c r="AE170" s="86">
        <f>+AD170*Analisis!$J$7</f>
        <v>0</v>
      </c>
      <c r="AF170" s="86">
        <f t="shared" si="203"/>
        <v>53.662139254385963</v>
      </c>
      <c r="AG170" s="126">
        <f>+AF170/(1-Analisis!$E$9)</f>
        <v>67.077674067982443</v>
      </c>
      <c r="AH170" s="128">
        <f t="shared" si="205"/>
        <v>0</v>
      </c>
    </row>
    <row r="171" spans="1:35" s="73" customFormat="1" x14ac:dyDescent="0.25">
      <c r="A171" s="100"/>
      <c r="B171" s="114" t="s">
        <v>327</v>
      </c>
      <c r="C171" s="74">
        <f>IFERROR(VLOOKUP(B171,'REQ GALV'!A:B,2,0),0)</f>
        <v>0</v>
      </c>
      <c r="D171" s="116">
        <f t="shared" si="204"/>
        <v>75.205368695175423</v>
      </c>
      <c r="E171" s="103" t="s">
        <v>130</v>
      </c>
      <c r="F171" s="75" t="s">
        <v>147</v>
      </c>
      <c r="G171" s="90">
        <v>0.94</v>
      </c>
      <c r="H171" s="90">
        <v>30</v>
      </c>
      <c r="I171" s="76">
        <v>0.105</v>
      </c>
      <c r="J171" s="77">
        <v>28.24</v>
      </c>
      <c r="K171" s="78">
        <f t="shared" si="283"/>
        <v>1.0652598264872521</v>
      </c>
      <c r="L171" s="58">
        <f>+VLOOKUP(E171,Material!$H$2:$M$17,6,FALSE)*G171*H171*(1+Material!$K$14)</f>
        <v>13.674062499999998</v>
      </c>
      <c r="M171" s="79" t="str">
        <f>+Analisis!$J$5</f>
        <v>T5.0</v>
      </c>
      <c r="N171" s="80">
        <f>+VLOOKUP(M171,Material!$A$3:$B$58,2,FALSE)</f>
        <v>5000</v>
      </c>
      <c r="O171" s="79" t="s">
        <v>42</v>
      </c>
      <c r="P171" s="79" t="s">
        <v>43</v>
      </c>
      <c r="Q171" s="81">
        <f>+IF(O171="ACERO A36",VLOOKUP(P171,'Velocidades Std 1500 w'!$B$2:$F$15,5,FALSE),IF(O171="INOXIDABLE",VLOOKUP(P171,'Velocidades Std 1500 w'!$B$17:$F$28,5,FALSE),IF(O171="ALUMINIO",VLOOKUP(P171,'Velocidades Std 1500 w'!$B$30:$F$38,5,FALSE))))</f>
        <v>4.3859649122807014E-6</v>
      </c>
      <c r="R171" s="82">
        <f t="shared" si="284"/>
        <v>2.1929824561403508E-2</v>
      </c>
      <c r="S171" s="83">
        <f t="shared" si="285"/>
        <v>27.952967368421046</v>
      </c>
      <c r="T171" s="110">
        <f t="shared" si="286"/>
        <v>1770.3545999999997</v>
      </c>
      <c r="U171" s="80">
        <f t="shared" si="287"/>
        <v>38.823565789473676</v>
      </c>
      <c r="V171" s="98">
        <v>3</v>
      </c>
      <c r="W171" s="84">
        <f>+IF(O171="ACERO A36",VLOOKUP(P171,'Tiempo Objeto'!$B$2:$C$12,2,FALSE),IF(O171="INOXIDABLE",VLOOKUP(P171,'Tiempo Objeto'!$B$14:$C$22,2,FALSE),IF(O171="ALUMINIO",VLOOKUP(P171,'Tiempo Objeto'!$B$24:$C$32,2,FALSE))))</f>
        <v>1.84</v>
      </c>
      <c r="X171" s="84">
        <f t="shared" si="288"/>
        <v>5.5200000000000005</v>
      </c>
      <c r="Y171" s="80">
        <f t="shared" si="289"/>
        <v>7.6666666666666679</v>
      </c>
      <c r="Z171" s="100">
        <v>0</v>
      </c>
      <c r="AA171" s="85">
        <f t="shared" si="290"/>
        <v>0</v>
      </c>
      <c r="AB171" s="86">
        <f>+Z171*Analisis!$J$6</f>
        <v>0</v>
      </c>
      <c r="AC171" s="100">
        <v>0</v>
      </c>
      <c r="AD171" s="85">
        <f t="shared" si="291"/>
        <v>0</v>
      </c>
      <c r="AE171" s="86">
        <f>+AD171*Analisis!$J$7</f>
        <v>0</v>
      </c>
      <c r="AF171" s="86">
        <f t="shared" si="203"/>
        <v>60.164294956140338</v>
      </c>
      <c r="AG171" s="126">
        <f>+AF171/(1-Analisis!$E$9)</f>
        <v>75.205368695175423</v>
      </c>
      <c r="AH171" s="128">
        <f t="shared" si="205"/>
        <v>0</v>
      </c>
    </row>
    <row r="172" spans="1:35" s="73" customFormat="1" x14ac:dyDescent="0.25">
      <c r="A172" s="100"/>
      <c r="B172" s="114" t="s">
        <v>374</v>
      </c>
      <c r="C172" s="74">
        <f>IFERROR(VLOOKUP(B172,'REQ GALV'!A:B,2,0),0)</f>
        <v>0</v>
      </c>
      <c r="D172" s="116">
        <f t="shared" si="204"/>
        <v>87.396910635964915</v>
      </c>
      <c r="E172" s="103" t="s">
        <v>130</v>
      </c>
      <c r="F172" s="75" t="s">
        <v>147</v>
      </c>
      <c r="G172" s="90">
        <v>0.94</v>
      </c>
      <c r="H172" s="90">
        <v>36</v>
      </c>
      <c r="I172" s="76">
        <v>0.105</v>
      </c>
      <c r="J172" s="77">
        <v>28.24</v>
      </c>
      <c r="K172" s="78">
        <f t="shared" si="283"/>
        <v>1.2783117917847027</v>
      </c>
      <c r="L172" s="58">
        <f>+VLOOKUP(E172,Material!$H$2:$M$17,6,FALSE)*G172*H172*(1+Material!$K$14)</f>
        <v>16.408874999999998</v>
      </c>
      <c r="M172" s="79" t="str">
        <f>+Analisis!$J$5</f>
        <v>T5.0</v>
      </c>
      <c r="N172" s="80">
        <f>+VLOOKUP(M172,Material!$A$3:$B$58,2,FALSE)</f>
        <v>5000</v>
      </c>
      <c r="O172" s="79" t="s">
        <v>42</v>
      </c>
      <c r="P172" s="79" t="s">
        <v>43</v>
      </c>
      <c r="Q172" s="81">
        <f>+IF(O172="ACERO A36",VLOOKUP(P172,'Velocidades Std 1500 w'!$B$2:$F$15,5,FALSE),IF(O172="INOXIDABLE",VLOOKUP(P172,'Velocidades Std 1500 w'!$B$17:$F$28,5,FALSE),IF(O172="ALUMINIO",VLOOKUP(P172,'Velocidades Std 1500 w'!$B$30:$F$38,5,FALSE))))</f>
        <v>4.3859649122807014E-6</v>
      </c>
      <c r="R172" s="82">
        <f t="shared" si="284"/>
        <v>2.1929824561403508E-2</v>
      </c>
      <c r="S172" s="83">
        <f t="shared" si="285"/>
        <v>33.00623052631579</v>
      </c>
      <c r="T172" s="110">
        <f t="shared" si="286"/>
        <v>2090.3946000000001</v>
      </c>
      <c r="U172" s="80">
        <f t="shared" si="287"/>
        <v>45.841986842105264</v>
      </c>
      <c r="V172" s="98">
        <v>3</v>
      </c>
      <c r="W172" s="84">
        <f>+IF(O172="ACERO A36",VLOOKUP(P172,'Tiempo Objeto'!$B$2:$C$12,2,FALSE),IF(O172="INOXIDABLE",VLOOKUP(P172,'Tiempo Objeto'!$B$14:$C$22,2,FALSE),IF(O172="ALUMINIO",VLOOKUP(P172,'Tiempo Objeto'!$B$24:$C$32,2,FALSE))))</f>
        <v>1.84</v>
      </c>
      <c r="X172" s="84">
        <f t="shared" si="288"/>
        <v>5.5200000000000005</v>
      </c>
      <c r="Y172" s="80">
        <f t="shared" si="289"/>
        <v>7.6666666666666679</v>
      </c>
      <c r="Z172" s="100">
        <v>0</v>
      </c>
      <c r="AA172" s="85">
        <f t="shared" si="290"/>
        <v>0</v>
      </c>
      <c r="AB172" s="86">
        <f>+Z172*Analisis!$J$6</f>
        <v>0</v>
      </c>
      <c r="AC172" s="100">
        <v>0</v>
      </c>
      <c r="AD172" s="85">
        <f t="shared" si="291"/>
        <v>0</v>
      </c>
      <c r="AE172" s="86">
        <f>+AD172*Analisis!$J$7</f>
        <v>0</v>
      </c>
      <c r="AF172" s="86">
        <f t="shared" si="203"/>
        <v>69.917528508771937</v>
      </c>
      <c r="AG172" s="126">
        <f>+AF172/(1-Analisis!$E$9)</f>
        <v>87.396910635964915</v>
      </c>
      <c r="AH172" s="128">
        <f t="shared" si="205"/>
        <v>0</v>
      </c>
    </row>
    <row r="173" spans="1:35" s="73" customFormat="1" x14ac:dyDescent="0.25">
      <c r="A173" s="100"/>
      <c r="B173" s="114" t="s">
        <v>375</v>
      </c>
      <c r="C173" s="74">
        <f>IFERROR(VLOOKUP(B173,'REQ GALV'!A:B,2,0),0)</f>
        <v>0</v>
      </c>
      <c r="D173" s="116">
        <f t="shared" si="204"/>
        <v>91.460757949561398</v>
      </c>
      <c r="E173" s="103" t="s">
        <v>130</v>
      </c>
      <c r="F173" s="75" t="s">
        <v>147</v>
      </c>
      <c r="G173" s="90">
        <v>0.94</v>
      </c>
      <c r="H173" s="90">
        <v>38</v>
      </c>
      <c r="I173" s="76">
        <v>0.105</v>
      </c>
      <c r="J173" s="77">
        <v>28.24</v>
      </c>
      <c r="K173" s="78">
        <f t="shared" si="283"/>
        <v>1.3493291135505194</v>
      </c>
      <c r="L173" s="58">
        <f>+VLOOKUP(E173,Material!$H$2:$M$17,6,FALSE)*G173*H173*(1+Material!$K$14)</f>
        <v>17.320479166666665</v>
      </c>
      <c r="M173" s="79" t="str">
        <f>+Analisis!$J$5</f>
        <v>T5.0</v>
      </c>
      <c r="N173" s="80">
        <f>+VLOOKUP(M173,Material!$A$3:$B$58,2,FALSE)</f>
        <v>5000</v>
      </c>
      <c r="O173" s="79" t="s">
        <v>42</v>
      </c>
      <c r="P173" s="79" t="s">
        <v>43</v>
      </c>
      <c r="Q173" s="81">
        <f>+IF(O173="ACERO A36",VLOOKUP(P173,'Velocidades Std 1500 w'!$B$2:$F$15,5,FALSE),IF(O173="INOXIDABLE",VLOOKUP(P173,'Velocidades Std 1500 w'!$B$17:$F$28,5,FALSE),IF(O173="ALUMINIO",VLOOKUP(P173,'Velocidades Std 1500 w'!$B$30:$F$38,5,FALSE))))</f>
        <v>4.3859649122807014E-6</v>
      </c>
      <c r="R173" s="82">
        <f t="shared" si="284"/>
        <v>2.1929824561403508E-2</v>
      </c>
      <c r="S173" s="83">
        <f t="shared" si="285"/>
        <v>34.690651578947367</v>
      </c>
      <c r="T173" s="110">
        <f t="shared" si="286"/>
        <v>2197.0745999999999</v>
      </c>
      <c r="U173" s="80">
        <f t="shared" si="287"/>
        <v>48.181460526315782</v>
      </c>
      <c r="V173" s="98">
        <v>3</v>
      </c>
      <c r="W173" s="84">
        <f>+IF(O173="ACERO A36",VLOOKUP(P173,'Tiempo Objeto'!$B$2:$C$12,2,FALSE),IF(O173="INOXIDABLE",VLOOKUP(P173,'Tiempo Objeto'!$B$14:$C$22,2,FALSE),IF(O173="ALUMINIO",VLOOKUP(P173,'Tiempo Objeto'!$B$24:$C$32,2,FALSE))))</f>
        <v>1.84</v>
      </c>
      <c r="X173" s="84">
        <f t="shared" si="288"/>
        <v>5.5200000000000005</v>
      </c>
      <c r="Y173" s="80">
        <f t="shared" si="289"/>
        <v>7.6666666666666679</v>
      </c>
      <c r="Z173" s="100">
        <v>0</v>
      </c>
      <c r="AA173" s="85">
        <f t="shared" si="290"/>
        <v>0</v>
      </c>
      <c r="AB173" s="86">
        <f>+Z173*Analisis!$J$6</f>
        <v>0</v>
      </c>
      <c r="AC173" s="100">
        <v>0</v>
      </c>
      <c r="AD173" s="85">
        <f t="shared" si="291"/>
        <v>0</v>
      </c>
      <c r="AE173" s="86">
        <f>+AD173*Analisis!$J$7</f>
        <v>0</v>
      </c>
      <c r="AF173" s="86">
        <f t="shared" si="203"/>
        <v>73.168606359649118</v>
      </c>
      <c r="AG173" s="126">
        <f>+AF173/(1-Analisis!$E$9)</f>
        <v>91.460757949561398</v>
      </c>
      <c r="AH173" s="128">
        <f t="shared" si="205"/>
        <v>0</v>
      </c>
    </row>
    <row r="174" spans="1:35" s="73" customFormat="1" x14ac:dyDescent="0.25">
      <c r="A174" s="100"/>
      <c r="B174" s="114" t="s">
        <v>376</v>
      </c>
      <c r="C174" s="74">
        <f>IFERROR(VLOOKUP(B174,'REQ GALV'!A:B,2,0),0)</f>
        <v>0</v>
      </c>
      <c r="D174" s="116">
        <f t="shared" si="204"/>
        <v>99.588452576754364</v>
      </c>
      <c r="E174" s="103" t="s">
        <v>130</v>
      </c>
      <c r="F174" s="75" t="s">
        <v>147</v>
      </c>
      <c r="G174" s="90">
        <v>0.94</v>
      </c>
      <c r="H174" s="90">
        <v>42</v>
      </c>
      <c r="I174" s="76">
        <v>0.105</v>
      </c>
      <c r="J174" s="77">
        <v>28.24</v>
      </c>
      <c r="K174" s="78">
        <f t="shared" si="283"/>
        <v>1.491363757082153</v>
      </c>
      <c r="L174" s="58">
        <f>+VLOOKUP(E174,Material!$H$2:$M$17,6,FALSE)*G174*H174*(1+Material!$K$14)</f>
        <v>19.143687499999999</v>
      </c>
      <c r="M174" s="79" t="str">
        <f>+Analisis!$J$5</f>
        <v>T5.0</v>
      </c>
      <c r="N174" s="80">
        <f>+VLOOKUP(M174,Material!$A$3:$B$58,2,FALSE)</f>
        <v>5000</v>
      </c>
      <c r="O174" s="79" t="s">
        <v>42</v>
      </c>
      <c r="P174" s="79" t="s">
        <v>43</v>
      </c>
      <c r="Q174" s="81">
        <f>+IF(O174="ACERO A36",VLOOKUP(P174,'Velocidades Std 1500 w'!$B$2:$F$15,5,FALSE),IF(O174="INOXIDABLE",VLOOKUP(P174,'Velocidades Std 1500 w'!$B$17:$F$28,5,FALSE),IF(O174="ALUMINIO",VLOOKUP(P174,'Velocidades Std 1500 w'!$B$30:$F$38,5,FALSE))))</f>
        <v>4.3859649122807014E-6</v>
      </c>
      <c r="R174" s="82">
        <f t="shared" si="284"/>
        <v>2.1929824561403508E-2</v>
      </c>
      <c r="S174" s="83">
        <f t="shared" si="285"/>
        <v>38.059493684210516</v>
      </c>
      <c r="T174" s="110">
        <f t="shared" si="286"/>
        <v>2410.4345999999996</v>
      </c>
      <c r="U174" s="80">
        <f t="shared" si="287"/>
        <v>52.860407894736831</v>
      </c>
      <c r="V174" s="98">
        <v>3</v>
      </c>
      <c r="W174" s="84">
        <f>+IF(O174="ACERO A36",VLOOKUP(P174,'Tiempo Objeto'!$B$2:$C$12,2,FALSE),IF(O174="INOXIDABLE",VLOOKUP(P174,'Tiempo Objeto'!$B$14:$C$22,2,FALSE),IF(O174="ALUMINIO",VLOOKUP(P174,'Tiempo Objeto'!$B$24:$C$32,2,FALSE))))</f>
        <v>1.84</v>
      </c>
      <c r="X174" s="84">
        <f t="shared" si="288"/>
        <v>5.5200000000000005</v>
      </c>
      <c r="Y174" s="80">
        <f t="shared" si="289"/>
        <v>7.6666666666666679</v>
      </c>
      <c r="Z174" s="100">
        <v>0</v>
      </c>
      <c r="AA174" s="85">
        <f t="shared" si="290"/>
        <v>0</v>
      </c>
      <c r="AB174" s="86">
        <f>+Z174*Analisis!$J$6</f>
        <v>0</v>
      </c>
      <c r="AC174" s="100">
        <v>0</v>
      </c>
      <c r="AD174" s="85">
        <f t="shared" si="291"/>
        <v>0</v>
      </c>
      <c r="AE174" s="86">
        <f>+AD174*Analisis!$J$7</f>
        <v>0</v>
      </c>
      <c r="AF174" s="86">
        <f t="shared" si="203"/>
        <v>79.670762061403494</v>
      </c>
      <c r="AG174" s="126">
        <f>+AF174/(1-Analisis!$E$9)</f>
        <v>99.588452576754364</v>
      </c>
      <c r="AH174" s="128">
        <f t="shared" si="205"/>
        <v>0</v>
      </c>
    </row>
    <row r="175" spans="1:35" s="73" customFormat="1" x14ac:dyDescent="0.25">
      <c r="A175" s="100"/>
      <c r="B175" s="114" t="s">
        <v>377</v>
      </c>
      <c r="C175" s="74">
        <f>IFERROR(VLOOKUP(B175,'REQ GALV'!A:B,2,0),0)</f>
        <v>0</v>
      </c>
      <c r="D175" s="116">
        <f t="shared" si="204"/>
        <v>107.71614720394737</v>
      </c>
      <c r="E175" s="103" t="s">
        <v>130</v>
      </c>
      <c r="F175" s="75" t="s">
        <v>147</v>
      </c>
      <c r="G175" s="90">
        <v>0.94</v>
      </c>
      <c r="H175" s="90">
        <v>46</v>
      </c>
      <c r="I175" s="76">
        <v>0.105</v>
      </c>
      <c r="J175" s="77">
        <v>28.24</v>
      </c>
      <c r="K175" s="78">
        <f t="shared" si="283"/>
        <v>1.6333984006137869</v>
      </c>
      <c r="L175" s="58">
        <f>+VLOOKUP(E175,Material!$H$2:$M$17,6,FALSE)*G175*H175*(1+Material!$K$14)</f>
        <v>20.966895833333332</v>
      </c>
      <c r="M175" s="79" t="str">
        <f>+Analisis!$J$5</f>
        <v>T5.0</v>
      </c>
      <c r="N175" s="80">
        <f>+VLOOKUP(M175,Material!$A$3:$B$58,2,FALSE)</f>
        <v>5000</v>
      </c>
      <c r="O175" s="79" t="s">
        <v>42</v>
      </c>
      <c r="P175" s="79" t="s">
        <v>43</v>
      </c>
      <c r="Q175" s="81">
        <f>+IF(O175="ACERO A36",VLOOKUP(P175,'Velocidades Std 1500 w'!$B$2:$F$15,5,FALSE),IF(O175="INOXIDABLE",VLOOKUP(P175,'Velocidades Std 1500 w'!$B$17:$F$28,5,FALSE),IF(O175="ALUMINIO",VLOOKUP(P175,'Velocidades Std 1500 w'!$B$30:$F$38,5,FALSE))))</f>
        <v>4.3859649122807014E-6</v>
      </c>
      <c r="R175" s="82">
        <f t="shared" si="284"/>
        <v>2.1929824561403508E-2</v>
      </c>
      <c r="S175" s="83">
        <f t="shared" si="285"/>
        <v>41.428335789473685</v>
      </c>
      <c r="T175" s="110">
        <f t="shared" si="286"/>
        <v>2623.7946000000002</v>
      </c>
      <c r="U175" s="80">
        <f t="shared" si="287"/>
        <v>57.539355263157894</v>
      </c>
      <c r="V175" s="98">
        <v>3</v>
      </c>
      <c r="W175" s="84">
        <f>+IF(O175="ACERO A36",VLOOKUP(P175,'Tiempo Objeto'!$B$2:$C$12,2,FALSE),IF(O175="INOXIDABLE",VLOOKUP(P175,'Tiempo Objeto'!$B$14:$C$22,2,FALSE),IF(O175="ALUMINIO",VLOOKUP(P175,'Tiempo Objeto'!$B$24:$C$32,2,FALSE))))</f>
        <v>1.84</v>
      </c>
      <c r="X175" s="84">
        <f t="shared" si="288"/>
        <v>5.5200000000000005</v>
      </c>
      <c r="Y175" s="80">
        <f t="shared" si="289"/>
        <v>7.6666666666666679</v>
      </c>
      <c r="Z175" s="100">
        <v>0</v>
      </c>
      <c r="AA175" s="85">
        <f t="shared" si="290"/>
        <v>0</v>
      </c>
      <c r="AB175" s="86">
        <f>+Z175*Analisis!$J$6</f>
        <v>0</v>
      </c>
      <c r="AC175" s="100">
        <v>0</v>
      </c>
      <c r="AD175" s="85">
        <f t="shared" si="291"/>
        <v>0</v>
      </c>
      <c r="AE175" s="86">
        <f>+AD175*Analisis!$J$7</f>
        <v>0</v>
      </c>
      <c r="AF175" s="86">
        <f t="shared" si="203"/>
        <v>86.172917763157898</v>
      </c>
      <c r="AG175" s="126">
        <f>+AF175/(1-Analisis!$E$9)</f>
        <v>107.71614720394737</v>
      </c>
      <c r="AH175" s="128">
        <f t="shared" si="205"/>
        <v>0</v>
      </c>
    </row>
    <row r="176" spans="1:35" s="73" customFormat="1" x14ac:dyDescent="0.25">
      <c r="A176" s="100"/>
      <c r="B176" s="114" t="s">
        <v>378</v>
      </c>
      <c r="C176" s="74">
        <f>IFERROR(VLOOKUP(B176,'REQ GALV'!A:B,2,0),0)</f>
        <v>0</v>
      </c>
      <c r="D176" s="116">
        <f t="shared" si="204"/>
        <v>819.16580089546778</v>
      </c>
      <c r="E176" s="103" t="s">
        <v>44</v>
      </c>
      <c r="F176" s="75" t="s">
        <v>147</v>
      </c>
      <c r="G176" s="90">
        <v>10.7</v>
      </c>
      <c r="H176" s="90">
        <v>30</v>
      </c>
      <c r="I176" s="76">
        <v>0.105</v>
      </c>
      <c r="J176" s="77">
        <v>28.24</v>
      </c>
      <c r="K176" s="78">
        <f t="shared" si="256"/>
        <v>22.519398459631731</v>
      </c>
      <c r="L176" s="58">
        <f>+VLOOKUP(E176,Material!$H$2:$M$17,6,FALSE)*G176*H176*(1+Material!$K$14)</f>
        <v>289.06718749999999</v>
      </c>
      <c r="M176" s="79" t="str">
        <f>+Analisis!$J$5</f>
        <v>T5.0</v>
      </c>
      <c r="N176" s="80">
        <f>+VLOOKUP(M176,Material!$A$3:$B$58,2,FALSE)</f>
        <v>5000</v>
      </c>
      <c r="O176" s="79" t="s">
        <v>42</v>
      </c>
      <c r="P176" s="79" t="s">
        <v>43</v>
      </c>
      <c r="Q176" s="81">
        <f>+IF(O176="ACERO A36",VLOOKUP(P176,'Velocidades Std 1500 w'!$B$2:$F$15,5,FALSE),IF(O176="INOXIDABLE",VLOOKUP(P176,'Velocidades Std 1500 w'!$B$17:$F$28,5,FALSE),IF(O176="ALUMINIO",VLOOKUP(P176,'Velocidades Std 1500 w'!$B$30:$F$38,5,FALSE))))</f>
        <v>4.3859649122807014E-6</v>
      </c>
      <c r="R176" s="82">
        <f t="shared" si="257"/>
        <v>2.1929824561403508E-2</v>
      </c>
      <c r="S176" s="83">
        <f t="shared" si="258"/>
        <v>46.911126315789474</v>
      </c>
      <c r="T176" s="110">
        <f t="shared" si="259"/>
        <v>2971.038</v>
      </c>
      <c r="U176" s="80">
        <f t="shared" si="260"/>
        <v>65.154342105263154</v>
      </c>
      <c r="V176" s="98">
        <v>20</v>
      </c>
      <c r="W176" s="84">
        <f>+IF(O176="ACERO A36",VLOOKUP(P176,'Tiempo Objeto'!$B$2:$C$12,2,FALSE),IF(O176="INOXIDABLE",VLOOKUP(P176,'Tiempo Objeto'!$B$14:$C$22,2,FALSE),IF(O176="ALUMINIO",VLOOKUP(P176,'Tiempo Objeto'!$B$24:$C$32,2,FALSE))))</f>
        <v>1.84</v>
      </c>
      <c r="X176" s="84">
        <f t="shared" si="261"/>
        <v>36.800000000000004</v>
      </c>
      <c r="Y176" s="80">
        <f t="shared" si="262"/>
        <v>51.111111111111121</v>
      </c>
      <c r="Z176" s="100">
        <v>10</v>
      </c>
      <c r="AA176" s="85">
        <f t="shared" si="263"/>
        <v>300</v>
      </c>
      <c r="AB176" s="86">
        <f>+Z176*Analisis!$J$6</f>
        <v>250</v>
      </c>
      <c r="AC176" s="100">
        <v>0</v>
      </c>
      <c r="AD176" s="85">
        <f t="shared" si="264"/>
        <v>0</v>
      </c>
      <c r="AE176" s="86">
        <f>+AD176*Analisis!$J$7</f>
        <v>0</v>
      </c>
      <c r="AF176" s="86">
        <f t="shared" si="203"/>
        <v>655.33264071637427</v>
      </c>
      <c r="AG176" s="126">
        <f>+AF176/(1-Analisis!$E$9)</f>
        <v>819.16580089546778</v>
      </c>
      <c r="AH176" s="128">
        <f t="shared" si="205"/>
        <v>0</v>
      </c>
    </row>
    <row r="177" spans="1:35" s="73" customFormat="1" x14ac:dyDescent="0.25">
      <c r="A177" s="100"/>
      <c r="B177" s="114" t="s">
        <v>379</v>
      </c>
      <c r="C177" s="138">
        <f>IFERROR(VLOOKUP(B177,'REQ GALV'!A:B,2,0),0)</f>
        <v>30</v>
      </c>
      <c r="D177" s="116">
        <f t="shared" si="204"/>
        <v>900.20562408625733</v>
      </c>
      <c r="E177" s="103" t="s">
        <v>44</v>
      </c>
      <c r="F177" s="75" t="s">
        <v>147</v>
      </c>
      <c r="G177" s="90">
        <v>10.7</v>
      </c>
      <c r="H177" s="90">
        <v>36</v>
      </c>
      <c r="I177" s="76">
        <v>0.105</v>
      </c>
      <c r="J177" s="77">
        <v>28.24</v>
      </c>
      <c r="K177" s="78">
        <f t="shared" ref="K177:K183" si="292">+L177*2.2/J177</f>
        <v>27.023278151558081</v>
      </c>
      <c r="L177" s="58">
        <f>+VLOOKUP(E177,Material!$H$2:$M$17,6,FALSE)*G177*H177*(1+Material!$K$14)</f>
        <v>346.88062500000001</v>
      </c>
      <c r="M177" s="79" t="str">
        <f>+Analisis!$J$5</f>
        <v>T5.0</v>
      </c>
      <c r="N177" s="80">
        <f>+VLOOKUP(M177,Material!$A$3:$B$58,2,FALSE)</f>
        <v>5000</v>
      </c>
      <c r="O177" s="79" t="s">
        <v>42</v>
      </c>
      <c r="P177" s="79" t="s">
        <v>43</v>
      </c>
      <c r="Q177" s="81">
        <f>+IF(O177="ACERO A36",VLOOKUP(P177,'Velocidades Std 1500 w'!$B$2:$F$15,5,FALSE),IF(O177="INOXIDABLE",VLOOKUP(P177,'Velocidades Std 1500 w'!$B$17:$F$28,5,FALSE),IF(O177="ALUMINIO",VLOOKUP(P177,'Velocidades Std 1500 w'!$B$30:$F$38,5,FALSE))))</f>
        <v>4.3859649122807014E-6</v>
      </c>
      <c r="R177" s="82">
        <f t="shared" ref="R177:R183" si="293">+Q177*N177</f>
        <v>2.1929824561403508E-2</v>
      </c>
      <c r="S177" s="83">
        <f t="shared" ref="S177:S183" si="294">+Q177*T177*3600</f>
        <v>51.964389473684214</v>
      </c>
      <c r="T177" s="110">
        <f t="shared" ref="T177:T183" si="295">(+H177*2+G177*2+V177*1.5)*25.4*1.05</f>
        <v>3291.0780000000004</v>
      </c>
      <c r="U177" s="80">
        <f t="shared" ref="U177:U183" si="296">+T177*R177</f>
        <v>72.172763157894735</v>
      </c>
      <c r="V177" s="98">
        <v>20</v>
      </c>
      <c r="W177" s="84">
        <f>+IF(O177="ACERO A36",VLOOKUP(P177,'Tiempo Objeto'!$B$2:$C$12,2,FALSE),IF(O177="INOXIDABLE",VLOOKUP(P177,'Tiempo Objeto'!$B$14:$C$22,2,FALSE),IF(O177="ALUMINIO",VLOOKUP(P177,'Tiempo Objeto'!$B$24:$C$32,2,FALSE))))</f>
        <v>1.84</v>
      </c>
      <c r="X177" s="84">
        <f t="shared" ref="X177:X183" si="297">+W177*V177</f>
        <v>36.800000000000004</v>
      </c>
      <c r="Y177" s="80">
        <f t="shared" ref="Y177:Y183" si="298">+X177*N177/3600</f>
        <v>51.111111111111121</v>
      </c>
      <c r="Z177" s="100">
        <v>10</v>
      </c>
      <c r="AA177" s="85">
        <f t="shared" ref="AA177:AA183" si="299">30*Z177+Z177*$C177*1.5</f>
        <v>750</v>
      </c>
      <c r="AB177" s="86">
        <f>+Z177*Analisis!$J$6</f>
        <v>250</v>
      </c>
      <c r="AC177" s="100">
        <v>0</v>
      </c>
      <c r="AD177" s="85">
        <f t="shared" ref="AD177:AD183" si="300">30*AC177+AC177*$C177*1.5</f>
        <v>0</v>
      </c>
      <c r="AE177" s="86">
        <f>+AD177*Analisis!$J$7</f>
        <v>0</v>
      </c>
      <c r="AF177" s="86">
        <f t="shared" si="203"/>
        <v>720.16449926900589</v>
      </c>
      <c r="AG177" s="126">
        <f>+AF177/(1-Analisis!$E$9)</f>
        <v>900.20562408625733</v>
      </c>
      <c r="AH177" s="128">
        <f t="shared" si="205"/>
        <v>27006.168722587721</v>
      </c>
      <c r="AI177" s="128">
        <f>+L177*C177</f>
        <v>10406.418750000001</v>
      </c>
    </row>
    <row r="178" spans="1:35" s="73" customFormat="1" x14ac:dyDescent="0.25">
      <c r="A178" s="100"/>
      <c r="B178" s="114" t="s">
        <v>328</v>
      </c>
      <c r="C178" s="74">
        <f>IFERROR(VLOOKUP(B178,'REQ GALV'!A:B,2,0),0)</f>
        <v>0</v>
      </c>
      <c r="D178" s="116">
        <f t="shared" si="204"/>
        <v>900.20562408625733</v>
      </c>
      <c r="E178" s="103" t="s">
        <v>44</v>
      </c>
      <c r="F178" s="75" t="s">
        <v>147</v>
      </c>
      <c r="G178" s="90">
        <v>10.7</v>
      </c>
      <c r="H178" s="90">
        <v>36</v>
      </c>
      <c r="I178" s="76">
        <v>0.105</v>
      </c>
      <c r="J178" s="77">
        <v>28.24</v>
      </c>
      <c r="K178" s="78">
        <f t="shared" si="292"/>
        <v>27.023278151558081</v>
      </c>
      <c r="L178" s="58">
        <f>+VLOOKUP(E178,Material!$H$2:$M$17,6,FALSE)*G178*H178*(1+Material!$K$14)</f>
        <v>346.88062500000001</v>
      </c>
      <c r="M178" s="79" t="str">
        <f>+Analisis!$J$5</f>
        <v>T5.0</v>
      </c>
      <c r="N178" s="80">
        <f>+VLOOKUP(M178,Material!$A$3:$B$58,2,FALSE)</f>
        <v>5000</v>
      </c>
      <c r="O178" s="79" t="s">
        <v>42</v>
      </c>
      <c r="P178" s="79" t="s">
        <v>43</v>
      </c>
      <c r="Q178" s="81">
        <f>+IF(O178="ACERO A36",VLOOKUP(P178,'Velocidades Std 1500 w'!$B$2:$F$15,5,FALSE),IF(O178="INOXIDABLE",VLOOKUP(P178,'Velocidades Std 1500 w'!$B$17:$F$28,5,FALSE),IF(O178="ALUMINIO",VLOOKUP(P178,'Velocidades Std 1500 w'!$B$30:$F$38,5,FALSE))))</f>
        <v>4.3859649122807014E-6</v>
      </c>
      <c r="R178" s="82">
        <f t="shared" si="293"/>
        <v>2.1929824561403508E-2</v>
      </c>
      <c r="S178" s="83">
        <f t="shared" si="294"/>
        <v>51.964389473684214</v>
      </c>
      <c r="T178" s="110">
        <f t="shared" si="295"/>
        <v>3291.0780000000004</v>
      </c>
      <c r="U178" s="80">
        <f t="shared" si="296"/>
        <v>72.172763157894735</v>
      </c>
      <c r="V178" s="98">
        <v>20</v>
      </c>
      <c r="W178" s="84">
        <f>+IF(O178="ACERO A36",VLOOKUP(P178,'Tiempo Objeto'!$B$2:$C$12,2,FALSE),IF(O178="INOXIDABLE",VLOOKUP(P178,'Tiempo Objeto'!$B$14:$C$22,2,FALSE),IF(O178="ALUMINIO",VLOOKUP(P178,'Tiempo Objeto'!$B$24:$C$32,2,FALSE))))</f>
        <v>1.84</v>
      </c>
      <c r="X178" s="84">
        <f t="shared" si="297"/>
        <v>36.800000000000004</v>
      </c>
      <c r="Y178" s="80">
        <f t="shared" si="298"/>
        <v>51.111111111111121</v>
      </c>
      <c r="Z178" s="100">
        <v>10</v>
      </c>
      <c r="AA178" s="85">
        <f t="shared" si="299"/>
        <v>300</v>
      </c>
      <c r="AB178" s="86">
        <f>+Z178*Analisis!$J$6</f>
        <v>250</v>
      </c>
      <c r="AC178" s="100">
        <v>0</v>
      </c>
      <c r="AD178" s="85">
        <f t="shared" si="300"/>
        <v>0</v>
      </c>
      <c r="AE178" s="86">
        <f>+AD178*Analisis!$J$7</f>
        <v>0</v>
      </c>
      <c r="AF178" s="86">
        <f t="shared" si="203"/>
        <v>720.16449926900589</v>
      </c>
      <c r="AG178" s="126">
        <f>+AF178/(1-Analisis!$E$9)</f>
        <v>900.20562408625733</v>
      </c>
      <c r="AH178" s="128">
        <f t="shared" si="205"/>
        <v>0</v>
      </c>
    </row>
    <row r="179" spans="1:35" s="73" customFormat="1" x14ac:dyDescent="0.25">
      <c r="A179" s="100"/>
      <c r="B179" s="114" t="s">
        <v>380</v>
      </c>
      <c r="C179" s="74">
        <f>IFERROR(VLOOKUP(B179,'REQ GALV'!A:B,2,0),0)</f>
        <v>0</v>
      </c>
      <c r="D179" s="116">
        <f t="shared" si="204"/>
        <v>927.21889848318722</v>
      </c>
      <c r="E179" s="103" t="s">
        <v>44</v>
      </c>
      <c r="F179" s="75" t="s">
        <v>147</v>
      </c>
      <c r="G179" s="90">
        <v>10.7</v>
      </c>
      <c r="H179" s="90">
        <v>38</v>
      </c>
      <c r="I179" s="76">
        <v>0.105</v>
      </c>
      <c r="J179" s="77">
        <v>28.24</v>
      </c>
      <c r="K179" s="78">
        <f t="shared" si="292"/>
        <v>28.524571382200197</v>
      </c>
      <c r="L179" s="58">
        <f>+VLOOKUP(E179,Material!$H$2:$M$17,6,FALSE)*G179*H179*(1+Material!$K$14)</f>
        <v>366.15177083333339</v>
      </c>
      <c r="M179" s="79" t="str">
        <f>+Analisis!$J$5</f>
        <v>T5.0</v>
      </c>
      <c r="N179" s="80">
        <f>+VLOOKUP(M179,Material!$A$3:$B$58,2,FALSE)</f>
        <v>5000</v>
      </c>
      <c r="O179" s="79" t="s">
        <v>42</v>
      </c>
      <c r="P179" s="79" t="s">
        <v>43</v>
      </c>
      <c r="Q179" s="81">
        <f>+IF(O179="ACERO A36",VLOOKUP(P179,'Velocidades Std 1500 w'!$B$2:$F$15,5,FALSE),IF(O179="INOXIDABLE",VLOOKUP(P179,'Velocidades Std 1500 w'!$B$17:$F$28,5,FALSE),IF(O179="ALUMINIO",VLOOKUP(P179,'Velocidades Std 1500 w'!$B$30:$F$38,5,FALSE))))</f>
        <v>4.3859649122807014E-6</v>
      </c>
      <c r="R179" s="82">
        <f t="shared" si="293"/>
        <v>2.1929824561403508E-2</v>
      </c>
      <c r="S179" s="83">
        <f t="shared" si="294"/>
        <v>53.648810526315792</v>
      </c>
      <c r="T179" s="110">
        <f t="shared" si="295"/>
        <v>3397.7580000000003</v>
      </c>
      <c r="U179" s="80">
        <f t="shared" si="296"/>
        <v>74.512236842105267</v>
      </c>
      <c r="V179" s="98">
        <v>20</v>
      </c>
      <c r="W179" s="84">
        <f>+IF(O179="ACERO A36",VLOOKUP(P179,'Tiempo Objeto'!$B$2:$C$12,2,FALSE),IF(O179="INOXIDABLE",VLOOKUP(P179,'Tiempo Objeto'!$B$14:$C$22,2,FALSE),IF(O179="ALUMINIO",VLOOKUP(P179,'Tiempo Objeto'!$B$24:$C$32,2,FALSE))))</f>
        <v>1.84</v>
      </c>
      <c r="X179" s="84">
        <f t="shared" si="297"/>
        <v>36.800000000000004</v>
      </c>
      <c r="Y179" s="80">
        <f t="shared" si="298"/>
        <v>51.111111111111121</v>
      </c>
      <c r="Z179" s="100">
        <v>10</v>
      </c>
      <c r="AA179" s="85">
        <f t="shared" si="299"/>
        <v>300</v>
      </c>
      <c r="AB179" s="86">
        <f>+Z179*Analisis!$J$6</f>
        <v>250</v>
      </c>
      <c r="AC179" s="100">
        <v>0</v>
      </c>
      <c r="AD179" s="85">
        <f t="shared" si="300"/>
        <v>0</v>
      </c>
      <c r="AE179" s="86">
        <f>+AD179*Analisis!$J$7</f>
        <v>0</v>
      </c>
      <c r="AF179" s="86">
        <f t="shared" si="203"/>
        <v>741.7751187865498</v>
      </c>
      <c r="AG179" s="126">
        <f>+AF179/(1-Analisis!$E$9)</f>
        <v>927.21889848318722</v>
      </c>
      <c r="AH179" s="128">
        <f t="shared" si="205"/>
        <v>0</v>
      </c>
    </row>
    <row r="180" spans="1:35" s="73" customFormat="1" x14ac:dyDescent="0.25">
      <c r="A180" s="100"/>
      <c r="B180" s="114" t="s">
        <v>381</v>
      </c>
      <c r="C180" s="74">
        <f>IFERROR(VLOOKUP(B180,'REQ GALV'!A:B,2,0),0)</f>
        <v>0</v>
      </c>
      <c r="D180" s="116">
        <f t="shared" si="204"/>
        <v>1089.298544864766</v>
      </c>
      <c r="E180" s="103" t="s">
        <v>44</v>
      </c>
      <c r="F180" s="75" t="s">
        <v>147</v>
      </c>
      <c r="G180" s="90">
        <v>10.7</v>
      </c>
      <c r="H180" s="90">
        <v>50</v>
      </c>
      <c r="I180" s="76">
        <v>0.105</v>
      </c>
      <c r="J180" s="77">
        <v>28.24</v>
      </c>
      <c r="K180" s="78">
        <f t="shared" si="292"/>
        <v>37.532330766052894</v>
      </c>
      <c r="L180" s="58">
        <f>+VLOOKUP(E180,Material!$H$2:$M$17,6,FALSE)*G180*H180*(1+Material!$K$14)</f>
        <v>481.77864583333343</v>
      </c>
      <c r="M180" s="79" t="str">
        <f>+Analisis!$J$5</f>
        <v>T5.0</v>
      </c>
      <c r="N180" s="80">
        <f>+VLOOKUP(M180,Material!$A$3:$B$58,2,FALSE)</f>
        <v>5000</v>
      </c>
      <c r="O180" s="79" t="s">
        <v>42</v>
      </c>
      <c r="P180" s="79" t="s">
        <v>43</v>
      </c>
      <c r="Q180" s="81">
        <f>+IF(O180="ACERO A36",VLOOKUP(P180,'Velocidades Std 1500 w'!$B$2:$F$15,5,FALSE),IF(O180="INOXIDABLE",VLOOKUP(P180,'Velocidades Std 1500 w'!$B$17:$F$28,5,FALSE),IF(O180="ALUMINIO",VLOOKUP(P180,'Velocidades Std 1500 w'!$B$30:$F$38,5,FALSE))))</f>
        <v>4.3859649122807014E-6</v>
      </c>
      <c r="R180" s="82">
        <f t="shared" si="293"/>
        <v>2.1929824561403508E-2</v>
      </c>
      <c r="S180" s="83">
        <f t="shared" si="294"/>
        <v>63.755336842105265</v>
      </c>
      <c r="T180" s="110">
        <f t="shared" si="295"/>
        <v>4037.8380000000002</v>
      </c>
      <c r="U180" s="80">
        <f t="shared" si="296"/>
        <v>88.549078947368415</v>
      </c>
      <c r="V180" s="98">
        <v>20</v>
      </c>
      <c r="W180" s="84">
        <f>+IF(O180="ACERO A36",VLOOKUP(P180,'Tiempo Objeto'!$B$2:$C$12,2,FALSE),IF(O180="INOXIDABLE",VLOOKUP(P180,'Tiempo Objeto'!$B$14:$C$22,2,FALSE),IF(O180="ALUMINIO",VLOOKUP(P180,'Tiempo Objeto'!$B$24:$C$32,2,FALSE))))</f>
        <v>1.84</v>
      </c>
      <c r="X180" s="84">
        <f t="shared" si="297"/>
        <v>36.800000000000004</v>
      </c>
      <c r="Y180" s="80">
        <f t="shared" si="298"/>
        <v>51.111111111111121</v>
      </c>
      <c r="Z180" s="100">
        <v>10</v>
      </c>
      <c r="AA180" s="85">
        <f t="shared" si="299"/>
        <v>300</v>
      </c>
      <c r="AB180" s="86">
        <f>+Z180*Analisis!$J$6</f>
        <v>250</v>
      </c>
      <c r="AC180" s="100">
        <v>0</v>
      </c>
      <c r="AD180" s="85">
        <f t="shared" si="300"/>
        <v>0</v>
      </c>
      <c r="AE180" s="86">
        <f>+AD180*Analisis!$J$7</f>
        <v>0</v>
      </c>
      <c r="AF180" s="86">
        <f t="shared" si="203"/>
        <v>871.43883589181291</v>
      </c>
      <c r="AG180" s="126">
        <f>+AF180/(1-Analisis!$E$9)</f>
        <v>1089.298544864766</v>
      </c>
      <c r="AH180" s="128">
        <f t="shared" si="205"/>
        <v>0</v>
      </c>
    </row>
    <row r="181" spans="1:35" s="73" customFormat="1" x14ac:dyDescent="0.25">
      <c r="A181" s="100"/>
      <c r="B181" s="114" t="s">
        <v>382</v>
      </c>
      <c r="C181" s="74">
        <f>IFERROR(VLOOKUP(B181,'REQ GALV'!A:B,2,0),0)</f>
        <v>0</v>
      </c>
      <c r="D181" s="116">
        <f t="shared" si="204"/>
        <v>1170.3383680555555</v>
      </c>
      <c r="E181" s="103" t="s">
        <v>44</v>
      </c>
      <c r="F181" s="75" t="s">
        <v>147</v>
      </c>
      <c r="G181" s="90">
        <v>10.7</v>
      </c>
      <c r="H181" s="90">
        <v>56</v>
      </c>
      <c r="I181" s="76">
        <v>0.105</v>
      </c>
      <c r="J181" s="77">
        <v>28.24</v>
      </c>
      <c r="K181" s="78">
        <f t="shared" si="292"/>
        <v>42.036210457979244</v>
      </c>
      <c r="L181" s="58">
        <f>+VLOOKUP(E181,Material!$H$2:$M$17,6,FALSE)*G181*H181*(1+Material!$K$14)</f>
        <v>539.59208333333345</v>
      </c>
      <c r="M181" s="79" t="str">
        <f>+Analisis!$J$5</f>
        <v>T5.0</v>
      </c>
      <c r="N181" s="80">
        <f>+VLOOKUP(M181,Material!$A$3:$B$58,2,FALSE)</f>
        <v>5000</v>
      </c>
      <c r="O181" s="79" t="s">
        <v>42</v>
      </c>
      <c r="P181" s="79" t="s">
        <v>43</v>
      </c>
      <c r="Q181" s="81">
        <f>+IF(O181="ACERO A36",VLOOKUP(P181,'Velocidades Std 1500 w'!$B$2:$F$15,5,FALSE),IF(O181="INOXIDABLE",VLOOKUP(P181,'Velocidades Std 1500 w'!$B$17:$F$28,5,FALSE),IF(O181="ALUMINIO",VLOOKUP(P181,'Velocidades Std 1500 w'!$B$30:$F$38,5,FALSE))))</f>
        <v>4.3859649122807014E-6</v>
      </c>
      <c r="R181" s="82">
        <f t="shared" si="293"/>
        <v>2.1929824561403508E-2</v>
      </c>
      <c r="S181" s="83">
        <f t="shared" si="294"/>
        <v>68.808599999999998</v>
      </c>
      <c r="T181" s="110">
        <f t="shared" si="295"/>
        <v>4357.8779999999997</v>
      </c>
      <c r="U181" s="80">
        <f t="shared" si="296"/>
        <v>95.567499999999981</v>
      </c>
      <c r="V181" s="98">
        <v>20</v>
      </c>
      <c r="W181" s="84">
        <f>+IF(O181="ACERO A36",VLOOKUP(P181,'Tiempo Objeto'!$B$2:$C$12,2,FALSE),IF(O181="INOXIDABLE",VLOOKUP(P181,'Tiempo Objeto'!$B$14:$C$22,2,FALSE),IF(O181="ALUMINIO",VLOOKUP(P181,'Tiempo Objeto'!$B$24:$C$32,2,FALSE))))</f>
        <v>1.84</v>
      </c>
      <c r="X181" s="84">
        <f t="shared" si="297"/>
        <v>36.800000000000004</v>
      </c>
      <c r="Y181" s="80">
        <f t="shared" si="298"/>
        <v>51.111111111111121</v>
      </c>
      <c r="Z181" s="100">
        <v>10</v>
      </c>
      <c r="AA181" s="85">
        <f t="shared" si="299"/>
        <v>300</v>
      </c>
      <c r="AB181" s="86">
        <f>+Z181*Analisis!$J$6</f>
        <v>250</v>
      </c>
      <c r="AC181" s="100">
        <v>0</v>
      </c>
      <c r="AD181" s="85">
        <f t="shared" si="300"/>
        <v>0</v>
      </c>
      <c r="AE181" s="86">
        <f>+AD181*Analisis!$J$7</f>
        <v>0</v>
      </c>
      <c r="AF181" s="86">
        <f t="shared" si="203"/>
        <v>936.27069444444453</v>
      </c>
      <c r="AG181" s="126">
        <f>+AF181/(1-Analisis!$E$9)</f>
        <v>1170.3383680555555</v>
      </c>
      <c r="AH181" s="128">
        <f t="shared" si="205"/>
        <v>0</v>
      </c>
    </row>
    <row r="182" spans="1:35" s="73" customFormat="1" x14ac:dyDescent="0.25">
      <c r="A182" s="100"/>
      <c r="B182" s="114" t="s">
        <v>383</v>
      </c>
      <c r="C182" s="74">
        <f>IFERROR(VLOOKUP(B182,'REQ GALV'!A:B,2,0),0)</f>
        <v>0</v>
      </c>
      <c r="D182" s="116">
        <f t="shared" si="204"/>
        <v>900.20562408625733</v>
      </c>
      <c r="E182" s="103" t="s">
        <v>44</v>
      </c>
      <c r="F182" s="75" t="s">
        <v>147</v>
      </c>
      <c r="G182" s="90">
        <v>10.7</v>
      </c>
      <c r="H182" s="90">
        <v>36</v>
      </c>
      <c r="I182" s="76">
        <v>0.105</v>
      </c>
      <c r="J182" s="77">
        <v>28.24</v>
      </c>
      <c r="K182" s="78">
        <f t="shared" si="292"/>
        <v>27.023278151558081</v>
      </c>
      <c r="L182" s="58">
        <f>+VLOOKUP(E182,Material!$H$2:$M$17,6,FALSE)*G182*H182*(1+Material!$K$14)</f>
        <v>346.88062500000001</v>
      </c>
      <c r="M182" s="79" t="str">
        <f>+Analisis!$J$5</f>
        <v>T5.0</v>
      </c>
      <c r="N182" s="80">
        <f>+VLOOKUP(M182,Material!$A$3:$B$58,2,FALSE)</f>
        <v>5000</v>
      </c>
      <c r="O182" s="79" t="s">
        <v>42</v>
      </c>
      <c r="P182" s="79" t="s">
        <v>43</v>
      </c>
      <c r="Q182" s="81">
        <f>+IF(O182="ACERO A36",VLOOKUP(P182,'Velocidades Std 1500 w'!$B$2:$F$15,5,FALSE),IF(O182="INOXIDABLE",VLOOKUP(P182,'Velocidades Std 1500 w'!$B$17:$F$28,5,FALSE),IF(O182="ALUMINIO",VLOOKUP(P182,'Velocidades Std 1500 w'!$B$30:$F$38,5,FALSE))))</f>
        <v>4.3859649122807014E-6</v>
      </c>
      <c r="R182" s="82">
        <f t="shared" si="293"/>
        <v>2.1929824561403508E-2</v>
      </c>
      <c r="S182" s="83">
        <f t="shared" si="294"/>
        <v>51.964389473684214</v>
      </c>
      <c r="T182" s="110">
        <f t="shared" si="295"/>
        <v>3291.0780000000004</v>
      </c>
      <c r="U182" s="80">
        <f t="shared" si="296"/>
        <v>72.172763157894735</v>
      </c>
      <c r="V182" s="98">
        <v>20</v>
      </c>
      <c r="W182" s="84">
        <f>+IF(O182="ACERO A36",VLOOKUP(P182,'Tiempo Objeto'!$B$2:$C$12,2,FALSE),IF(O182="INOXIDABLE",VLOOKUP(P182,'Tiempo Objeto'!$B$14:$C$22,2,FALSE),IF(O182="ALUMINIO",VLOOKUP(P182,'Tiempo Objeto'!$B$24:$C$32,2,FALSE))))</f>
        <v>1.84</v>
      </c>
      <c r="X182" s="84">
        <f t="shared" si="297"/>
        <v>36.800000000000004</v>
      </c>
      <c r="Y182" s="80">
        <f t="shared" si="298"/>
        <v>51.111111111111121</v>
      </c>
      <c r="Z182" s="100">
        <v>10</v>
      </c>
      <c r="AA182" s="85">
        <f t="shared" si="299"/>
        <v>300</v>
      </c>
      <c r="AB182" s="86">
        <f>+Z182*Analisis!$J$6</f>
        <v>250</v>
      </c>
      <c r="AC182" s="100">
        <v>0</v>
      </c>
      <c r="AD182" s="85">
        <f t="shared" si="300"/>
        <v>0</v>
      </c>
      <c r="AE182" s="86">
        <f>+AD182*Analisis!$J$7</f>
        <v>0</v>
      </c>
      <c r="AF182" s="86">
        <f t="shared" si="203"/>
        <v>720.16449926900589</v>
      </c>
      <c r="AG182" s="126">
        <f>+AF182/(1-Analisis!$E$9)</f>
        <v>900.20562408625733</v>
      </c>
      <c r="AH182" s="128">
        <f t="shared" si="205"/>
        <v>0</v>
      </c>
    </row>
    <row r="183" spans="1:35" s="73" customFormat="1" x14ac:dyDescent="0.25">
      <c r="A183" s="100"/>
      <c r="B183" s="114" t="s">
        <v>384</v>
      </c>
      <c r="C183" s="74">
        <f>IFERROR(VLOOKUP(B183,'REQ GALV'!A:B,2,0),0)</f>
        <v>0</v>
      </c>
      <c r="D183" s="116">
        <f t="shared" si="204"/>
        <v>900.20562408625733</v>
      </c>
      <c r="E183" s="103" t="s">
        <v>44</v>
      </c>
      <c r="F183" s="75" t="s">
        <v>147</v>
      </c>
      <c r="G183" s="90">
        <v>10.7</v>
      </c>
      <c r="H183" s="90">
        <v>36</v>
      </c>
      <c r="I183" s="76">
        <v>0.105</v>
      </c>
      <c r="J183" s="77">
        <v>28.24</v>
      </c>
      <c r="K183" s="78">
        <f t="shared" si="292"/>
        <v>27.023278151558081</v>
      </c>
      <c r="L183" s="58">
        <f>+VLOOKUP(E183,Material!$H$2:$M$17,6,FALSE)*G183*H183*(1+Material!$K$14)</f>
        <v>346.88062500000001</v>
      </c>
      <c r="M183" s="79" t="str">
        <f>+Analisis!$J$5</f>
        <v>T5.0</v>
      </c>
      <c r="N183" s="80">
        <f>+VLOOKUP(M183,Material!$A$3:$B$58,2,FALSE)</f>
        <v>5000</v>
      </c>
      <c r="O183" s="79" t="s">
        <v>42</v>
      </c>
      <c r="P183" s="79" t="s">
        <v>43</v>
      </c>
      <c r="Q183" s="81">
        <f>+IF(O183="ACERO A36",VLOOKUP(P183,'Velocidades Std 1500 w'!$B$2:$F$15,5,FALSE),IF(O183="INOXIDABLE",VLOOKUP(P183,'Velocidades Std 1500 w'!$B$17:$F$28,5,FALSE),IF(O183="ALUMINIO",VLOOKUP(P183,'Velocidades Std 1500 w'!$B$30:$F$38,5,FALSE))))</f>
        <v>4.3859649122807014E-6</v>
      </c>
      <c r="R183" s="82">
        <f t="shared" si="293"/>
        <v>2.1929824561403508E-2</v>
      </c>
      <c r="S183" s="83">
        <f t="shared" si="294"/>
        <v>51.964389473684214</v>
      </c>
      <c r="T183" s="110">
        <f t="shared" si="295"/>
        <v>3291.0780000000004</v>
      </c>
      <c r="U183" s="80">
        <f t="shared" si="296"/>
        <v>72.172763157894735</v>
      </c>
      <c r="V183" s="98">
        <v>20</v>
      </c>
      <c r="W183" s="84">
        <f>+IF(O183="ACERO A36",VLOOKUP(P183,'Tiempo Objeto'!$B$2:$C$12,2,FALSE),IF(O183="INOXIDABLE",VLOOKUP(P183,'Tiempo Objeto'!$B$14:$C$22,2,FALSE),IF(O183="ALUMINIO",VLOOKUP(P183,'Tiempo Objeto'!$B$24:$C$32,2,FALSE))))</f>
        <v>1.84</v>
      </c>
      <c r="X183" s="84">
        <f t="shared" si="297"/>
        <v>36.800000000000004</v>
      </c>
      <c r="Y183" s="80">
        <f t="shared" si="298"/>
        <v>51.111111111111121</v>
      </c>
      <c r="Z183" s="100">
        <v>10</v>
      </c>
      <c r="AA183" s="85">
        <f t="shared" si="299"/>
        <v>300</v>
      </c>
      <c r="AB183" s="86">
        <f>+Z183*Analisis!$J$6</f>
        <v>250</v>
      </c>
      <c r="AC183" s="100">
        <v>0</v>
      </c>
      <c r="AD183" s="85">
        <f t="shared" si="300"/>
        <v>0</v>
      </c>
      <c r="AE183" s="86">
        <f>+AD183*Analisis!$J$7</f>
        <v>0</v>
      </c>
      <c r="AF183" s="86">
        <f t="shared" si="203"/>
        <v>720.16449926900589</v>
      </c>
      <c r="AG183" s="126">
        <f>+AF183/(1-Analisis!$E$9)</f>
        <v>900.20562408625733</v>
      </c>
      <c r="AH183" s="128">
        <f t="shared" si="205"/>
        <v>0</v>
      </c>
    </row>
    <row r="184" spans="1:35" s="73" customFormat="1" x14ac:dyDescent="0.25">
      <c r="A184" s="100"/>
      <c r="B184" s="114" t="s">
        <v>385</v>
      </c>
      <c r="C184" s="74">
        <f>IFERROR(VLOOKUP(B184,'REQ GALV'!A:B,2,0),0)</f>
        <v>0</v>
      </c>
      <c r="D184" s="116">
        <f t="shared" si="204"/>
        <v>218.34732090643274</v>
      </c>
      <c r="E184" s="103" t="s">
        <v>41</v>
      </c>
      <c r="F184" s="75" t="s">
        <v>147</v>
      </c>
      <c r="G184" s="90">
        <v>3.14</v>
      </c>
      <c r="H184" s="90">
        <v>15</v>
      </c>
      <c r="I184" s="76">
        <v>0.105</v>
      </c>
      <c r="J184" s="77">
        <v>28.24</v>
      </c>
      <c r="K184" s="78">
        <f t="shared" si="256"/>
        <v>2.711177998111427</v>
      </c>
      <c r="L184" s="58">
        <f>+VLOOKUP(E184,Material!$H$2:$M$17,6,FALSE)*G184*H184*(1+Material!$K$14)</f>
        <v>34.801666666666677</v>
      </c>
      <c r="M184" s="79" t="str">
        <f>+Analisis!$J$5</f>
        <v>T5.0</v>
      </c>
      <c r="N184" s="80">
        <f>+VLOOKUP(M184,Material!$A$3:$B$58,2,FALSE)</f>
        <v>5000</v>
      </c>
      <c r="O184" s="79" t="s">
        <v>42</v>
      </c>
      <c r="P184" s="79" t="s">
        <v>43</v>
      </c>
      <c r="Q184" s="81">
        <f>+IF(O184="ACERO A36",VLOOKUP(P184,'Velocidades Std 1500 w'!$B$2:$F$15,5,FALSE),IF(O184="INOXIDABLE",VLOOKUP(P184,'Velocidades Std 1500 w'!$B$17:$F$28,5,FALSE),IF(O184="ALUMINIO",VLOOKUP(P184,'Velocidades Std 1500 w'!$B$30:$F$38,5,FALSE))))</f>
        <v>4.3859649122807014E-6</v>
      </c>
      <c r="R184" s="82">
        <f t="shared" si="257"/>
        <v>2.1929824561403508E-2</v>
      </c>
      <c r="S184" s="83">
        <f t="shared" si="258"/>
        <v>27.910856842105261</v>
      </c>
      <c r="T184" s="110">
        <f t="shared" si="259"/>
        <v>1767.6876</v>
      </c>
      <c r="U184" s="80">
        <f t="shared" si="260"/>
        <v>38.765078947368416</v>
      </c>
      <c r="V184" s="98">
        <v>20</v>
      </c>
      <c r="W184" s="84">
        <f>+IF(O184="ACERO A36",VLOOKUP(P184,'Tiempo Objeto'!$B$2:$C$12,2,FALSE),IF(O184="INOXIDABLE",VLOOKUP(P184,'Tiempo Objeto'!$B$14:$C$22,2,FALSE),IF(O184="ALUMINIO",VLOOKUP(P184,'Tiempo Objeto'!$B$24:$C$32,2,FALSE))))</f>
        <v>1.84</v>
      </c>
      <c r="X184" s="84">
        <f t="shared" si="261"/>
        <v>36.800000000000004</v>
      </c>
      <c r="Y184" s="80">
        <f t="shared" si="262"/>
        <v>51.111111111111121</v>
      </c>
      <c r="Z184" s="100">
        <v>2</v>
      </c>
      <c r="AA184" s="85">
        <f t="shared" si="263"/>
        <v>60</v>
      </c>
      <c r="AB184" s="86">
        <f>+Z184*Analisis!$J$6</f>
        <v>50</v>
      </c>
      <c r="AC184" s="100">
        <v>0</v>
      </c>
      <c r="AD184" s="85">
        <f t="shared" si="264"/>
        <v>0</v>
      </c>
      <c r="AE184" s="86">
        <f>+AD184*Analisis!$J$7</f>
        <v>0</v>
      </c>
      <c r="AF184" s="86">
        <f t="shared" si="203"/>
        <v>174.6778567251462</v>
      </c>
      <c r="AG184" s="126">
        <f>+AF184/(1-Analisis!$E$9)</f>
        <v>218.34732090643274</v>
      </c>
      <c r="AH184" s="128">
        <f t="shared" si="205"/>
        <v>0</v>
      </c>
    </row>
    <row r="185" spans="1:35" s="73" customFormat="1" x14ac:dyDescent="0.25">
      <c r="A185" s="100"/>
      <c r="B185" s="114" t="s">
        <v>386</v>
      </c>
      <c r="C185" s="74">
        <f>IFERROR(VLOOKUP(B185,'REQ GALV'!A:B,2,0),0)</f>
        <v>0</v>
      </c>
      <c r="D185" s="116">
        <f t="shared" si="204"/>
        <v>227.0719407894737</v>
      </c>
      <c r="E185" s="103" t="s">
        <v>41</v>
      </c>
      <c r="F185" s="75" t="s">
        <v>147</v>
      </c>
      <c r="G185" s="90">
        <v>3.14</v>
      </c>
      <c r="H185" s="90">
        <v>17</v>
      </c>
      <c r="I185" s="76">
        <v>0.105</v>
      </c>
      <c r="J185" s="77">
        <v>28.24</v>
      </c>
      <c r="K185" s="78">
        <f t="shared" ref="K185:K191" si="301">+L185*2.2/J185</f>
        <v>3.0726683978596174</v>
      </c>
      <c r="L185" s="58">
        <f>+VLOOKUP(E185,Material!$H$2:$M$17,6,FALSE)*G185*H185*(1+Material!$K$14)</f>
        <v>39.441888888888897</v>
      </c>
      <c r="M185" s="79" t="str">
        <f>+Analisis!$J$5</f>
        <v>T5.0</v>
      </c>
      <c r="N185" s="80">
        <f>+VLOOKUP(M185,Material!$A$3:$B$58,2,FALSE)</f>
        <v>5000</v>
      </c>
      <c r="O185" s="79" t="s">
        <v>42</v>
      </c>
      <c r="P185" s="79" t="s">
        <v>43</v>
      </c>
      <c r="Q185" s="81">
        <f>+IF(O185="ACERO A36",VLOOKUP(P185,'Velocidades Std 1500 w'!$B$2:$F$15,5,FALSE),IF(O185="INOXIDABLE",VLOOKUP(P185,'Velocidades Std 1500 w'!$B$17:$F$28,5,FALSE),IF(O185="ALUMINIO",VLOOKUP(P185,'Velocidades Std 1500 w'!$B$30:$F$38,5,FALSE))))</f>
        <v>4.3859649122807014E-6</v>
      </c>
      <c r="R185" s="82">
        <f t="shared" ref="R185:R191" si="302">+Q185*N185</f>
        <v>2.1929824561403508E-2</v>
      </c>
      <c r="S185" s="83">
        <f t="shared" ref="S185:S191" si="303">+Q185*T185*3600</f>
        <v>29.595277894736835</v>
      </c>
      <c r="T185" s="110">
        <f t="shared" ref="T185:T191" si="304">(+H185*2+G185*2+V185*1.5)*25.4*1.05</f>
        <v>1874.3675999999998</v>
      </c>
      <c r="U185" s="80">
        <f t="shared" ref="U185:U191" si="305">+T185*R185</f>
        <v>41.10455263157894</v>
      </c>
      <c r="V185" s="98">
        <v>20</v>
      </c>
      <c r="W185" s="84">
        <f>+IF(O185="ACERO A36",VLOOKUP(P185,'Tiempo Objeto'!$B$2:$C$12,2,FALSE),IF(O185="INOXIDABLE",VLOOKUP(P185,'Tiempo Objeto'!$B$14:$C$22,2,FALSE),IF(O185="ALUMINIO",VLOOKUP(P185,'Tiempo Objeto'!$B$24:$C$32,2,FALSE))))</f>
        <v>1.84</v>
      </c>
      <c r="X185" s="84">
        <f t="shared" ref="X185:X191" si="306">+W185*V185</f>
        <v>36.800000000000004</v>
      </c>
      <c r="Y185" s="80">
        <f t="shared" ref="Y185:Y191" si="307">+X185*N185/3600</f>
        <v>51.111111111111121</v>
      </c>
      <c r="Z185" s="100">
        <v>2</v>
      </c>
      <c r="AA185" s="85">
        <f t="shared" ref="AA185:AA191" si="308">30*Z185+Z185*$C185*1.5</f>
        <v>60</v>
      </c>
      <c r="AB185" s="86">
        <f>+Z185*Analisis!$J$6</f>
        <v>50</v>
      </c>
      <c r="AC185" s="100">
        <v>0</v>
      </c>
      <c r="AD185" s="85">
        <f t="shared" ref="AD185:AD191" si="309">30*AC185+AC185*$C185*1.5</f>
        <v>0</v>
      </c>
      <c r="AE185" s="86">
        <f>+AD185*Analisis!$J$7</f>
        <v>0</v>
      </c>
      <c r="AF185" s="86">
        <f t="shared" si="203"/>
        <v>181.65755263157897</v>
      </c>
      <c r="AG185" s="126">
        <f>+AF185/(1-Analisis!$E$9)</f>
        <v>227.0719407894737</v>
      </c>
      <c r="AH185" s="128">
        <f t="shared" si="205"/>
        <v>0</v>
      </c>
    </row>
    <row r="186" spans="1:35" s="73" customFormat="1" x14ac:dyDescent="0.25">
      <c r="A186" s="100"/>
      <c r="B186" s="114" t="s">
        <v>387</v>
      </c>
      <c r="C186" s="74">
        <f>IFERROR(VLOOKUP(B186,'REQ GALV'!A:B,2,0),0)</f>
        <v>0</v>
      </c>
      <c r="D186" s="116">
        <f t="shared" si="204"/>
        <v>275.05735014619881</v>
      </c>
      <c r="E186" s="103" t="s">
        <v>41</v>
      </c>
      <c r="F186" s="75" t="s">
        <v>147</v>
      </c>
      <c r="G186" s="90">
        <v>3.14</v>
      </c>
      <c r="H186" s="90">
        <v>28</v>
      </c>
      <c r="I186" s="76">
        <v>0.105</v>
      </c>
      <c r="J186" s="77">
        <v>28.24</v>
      </c>
      <c r="K186" s="78">
        <f t="shared" si="301"/>
        <v>5.0608655964746623</v>
      </c>
      <c r="L186" s="58">
        <f>+VLOOKUP(E186,Material!$H$2:$M$17,6,FALSE)*G186*H186*(1+Material!$K$14)</f>
        <v>64.963111111111118</v>
      </c>
      <c r="M186" s="79" t="str">
        <f>+Analisis!$J$5</f>
        <v>T5.0</v>
      </c>
      <c r="N186" s="80">
        <f>+VLOOKUP(M186,Material!$A$3:$B$58,2,FALSE)</f>
        <v>5000</v>
      </c>
      <c r="O186" s="79" t="s">
        <v>42</v>
      </c>
      <c r="P186" s="79" t="s">
        <v>43</v>
      </c>
      <c r="Q186" s="81">
        <f>+IF(O186="ACERO A36",VLOOKUP(P186,'Velocidades Std 1500 w'!$B$2:$F$15,5,FALSE),IF(O186="INOXIDABLE",VLOOKUP(P186,'Velocidades Std 1500 w'!$B$17:$F$28,5,FALSE),IF(O186="ALUMINIO",VLOOKUP(P186,'Velocidades Std 1500 w'!$B$30:$F$38,5,FALSE))))</f>
        <v>4.3859649122807014E-6</v>
      </c>
      <c r="R186" s="82">
        <f t="shared" si="302"/>
        <v>2.1929824561403508E-2</v>
      </c>
      <c r="S186" s="83">
        <f t="shared" si="303"/>
        <v>38.859593684210516</v>
      </c>
      <c r="T186" s="110">
        <f t="shared" si="304"/>
        <v>2461.1075999999998</v>
      </c>
      <c r="U186" s="80">
        <f t="shared" si="305"/>
        <v>53.971657894736836</v>
      </c>
      <c r="V186" s="98">
        <v>20</v>
      </c>
      <c r="W186" s="84">
        <f>+IF(O186="ACERO A36",VLOOKUP(P186,'Tiempo Objeto'!$B$2:$C$12,2,FALSE),IF(O186="INOXIDABLE",VLOOKUP(P186,'Tiempo Objeto'!$B$14:$C$22,2,FALSE),IF(O186="ALUMINIO",VLOOKUP(P186,'Tiempo Objeto'!$B$24:$C$32,2,FALSE))))</f>
        <v>1.84</v>
      </c>
      <c r="X186" s="84">
        <f t="shared" si="306"/>
        <v>36.800000000000004</v>
      </c>
      <c r="Y186" s="80">
        <f t="shared" si="307"/>
        <v>51.111111111111121</v>
      </c>
      <c r="Z186" s="100">
        <v>2</v>
      </c>
      <c r="AA186" s="85">
        <f t="shared" si="308"/>
        <v>60</v>
      </c>
      <c r="AB186" s="86">
        <f>+Z186*Analisis!$J$6</f>
        <v>50</v>
      </c>
      <c r="AC186" s="100">
        <v>0</v>
      </c>
      <c r="AD186" s="85">
        <f t="shared" si="309"/>
        <v>0</v>
      </c>
      <c r="AE186" s="86">
        <f>+AD186*Analisis!$J$7</f>
        <v>0</v>
      </c>
      <c r="AF186" s="86">
        <f t="shared" si="203"/>
        <v>220.04588011695907</v>
      </c>
      <c r="AG186" s="126">
        <f>+AF186/(1-Analisis!$E$9)</f>
        <v>275.05735014619881</v>
      </c>
      <c r="AH186" s="128">
        <f t="shared" si="205"/>
        <v>0</v>
      </c>
    </row>
    <row r="187" spans="1:35" s="73" customFormat="1" x14ac:dyDescent="0.25">
      <c r="A187" s="100"/>
      <c r="B187" s="114" t="s">
        <v>329</v>
      </c>
      <c r="C187" s="74">
        <f>IFERROR(VLOOKUP(B187,'REQ GALV'!A:B,2,0),0)</f>
        <v>0</v>
      </c>
      <c r="D187" s="116">
        <f t="shared" si="204"/>
        <v>305.5935197368421</v>
      </c>
      <c r="E187" s="103" t="s">
        <v>41</v>
      </c>
      <c r="F187" s="75" t="s">
        <v>147</v>
      </c>
      <c r="G187" s="90">
        <v>3.14</v>
      </c>
      <c r="H187" s="90">
        <v>35</v>
      </c>
      <c r="I187" s="76">
        <v>0.105</v>
      </c>
      <c r="J187" s="77">
        <v>28.24</v>
      </c>
      <c r="K187" s="78">
        <f t="shared" si="301"/>
        <v>6.3260819955933298</v>
      </c>
      <c r="L187" s="58">
        <f>+VLOOKUP(E187,Material!$H$2:$M$17,6,FALSE)*G187*H187*(1+Material!$K$14)</f>
        <v>81.203888888888912</v>
      </c>
      <c r="M187" s="79" t="str">
        <f>+Analisis!$J$5</f>
        <v>T5.0</v>
      </c>
      <c r="N187" s="80">
        <f>+VLOOKUP(M187,Material!$A$3:$B$58,2,FALSE)</f>
        <v>5000</v>
      </c>
      <c r="O187" s="79" t="s">
        <v>42</v>
      </c>
      <c r="P187" s="79" t="s">
        <v>43</v>
      </c>
      <c r="Q187" s="81">
        <f>+IF(O187="ACERO A36",VLOOKUP(P187,'Velocidades Std 1500 w'!$B$2:$F$15,5,FALSE),IF(O187="INOXIDABLE",VLOOKUP(P187,'Velocidades Std 1500 w'!$B$17:$F$28,5,FALSE),IF(O187="ALUMINIO",VLOOKUP(P187,'Velocidades Std 1500 w'!$B$30:$F$38,5,FALSE))))</f>
        <v>4.3859649122807014E-6</v>
      </c>
      <c r="R187" s="82">
        <f t="shared" si="302"/>
        <v>2.1929824561403508E-2</v>
      </c>
      <c r="S187" s="83">
        <f t="shared" si="303"/>
        <v>44.755067368421052</v>
      </c>
      <c r="T187" s="110">
        <f t="shared" si="304"/>
        <v>2834.4875999999999</v>
      </c>
      <c r="U187" s="80">
        <f t="shared" si="305"/>
        <v>62.159815789473676</v>
      </c>
      <c r="V187" s="98">
        <v>20</v>
      </c>
      <c r="W187" s="84">
        <f>+IF(O187="ACERO A36",VLOOKUP(P187,'Tiempo Objeto'!$B$2:$C$12,2,FALSE),IF(O187="INOXIDABLE",VLOOKUP(P187,'Tiempo Objeto'!$B$14:$C$22,2,FALSE),IF(O187="ALUMINIO",VLOOKUP(P187,'Tiempo Objeto'!$B$24:$C$32,2,FALSE))))</f>
        <v>1.84</v>
      </c>
      <c r="X187" s="84">
        <f t="shared" si="306"/>
        <v>36.800000000000004</v>
      </c>
      <c r="Y187" s="80">
        <f t="shared" si="307"/>
        <v>51.111111111111121</v>
      </c>
      <c r="Z187" s="100">
        <v>2</v>
      </c>
      <c r="AA187" s="85">
        <f t="shared" si="308"/>
        <v>60</v>
      </c>
      <c r="AB187" s="86">
        <f>+Z187*Analisis!$J$6</f>
        <v>50</v>
      </c>
      <c r="AC187" s="100">
        <v>0</v>
      </c>
      <c r="AD187" s="85">
        <f t="shared" si="309"/>
        <v>0</v>
      </c>
      <c r="AE187" s="86">
        <f>+AD187*Analisis!$J$7</f>
        <v>0</v>
      </c>
      <c r="AF187" s="86">
        <f t="shared" si="203"/>
        <v>244.47481578947369</v>
      </c>
      <c r="AG187" s="126">
        <f>+AF187/(1-Analisis!$E$9)</f>
        <v>305.5935197368421</v>
      </c>
      <c r="AH187" s="128">
        <f t="shared" si="205"/>
        <v>0</v>
      </c>
    </row>
    <row r="188" spans="1:35" s="73" customFormat="1" x14ac:dyDescent="0.25">
      <c r="A188" s="100"/>
      <c r="B188" s="114" t="s">
        <v>388</v>
      </c>
      <c r="C188" s="74">
        <f>IFERROR(VLOOKUP(B188,'REQ GALV'!A:B,2,0),0)</f>
        <v>0</v>
      </c>
      <c r="D188" s="116">
        <f t="shared" si="204"/>
        <v>200.89808114035088</v>
      </c>
      <c r="E188" s="103" t="s">
        <v>41</v>
      </c>
      <c r="F188" s="75" t="s">
        <v>147</v>
      </c>
      <c r="G188" s="90">
        <v>3.14</v>
      </c>
      <c r="H188" s="90">
        <v>11</v>
      </c>
      <c r="I188" s="76">
        <v>0.105</v>
      </c>
      <c r="J188" s="77">
        <v>28.24</v>
      </c>
      <c r="K188" s="78">
        <f t="shared" si="301"/>
        <v>1.988197198615046</v>
      </c>
      <c r="L188" s="58">
        <f>+VLOOKUP(E188,Material!$H$2:$M$17,6,FALSE)*G188*H188*(1+Material!$K$14)</f>
        <v>25.521222222222224</v>
      </c>
      <c r="M188" s="79" t="str">
        <f>+Analisis!$J$5</f>
        <v>T5.0</v>
      </c>
      <c r="N188" s="80">
        <f>+VLOOKUP(M188,Material!$A$3:$B$58,2,FALSE)</f>
        <v>5000</v>
      </c>
      <c r="O188" s="79" t="s">
        <v>42</v>
      </c>
      <c r="P188" s="79" t="s">
        <v>43</v>
      </c>
      <c r="Q188" s="81">
        <f>+IF(O188="ACERO A36",VLOOKUP(P188,'Velocidades Std 1500 w'!$B$2:$F$15,5,FALSE),IF(O188="INOXIDABLE",VLOOKUP(P188,'Velocidades Std 1500 w'!$B$17:$F$28,5,FALSE),IF(O188="ALUMINIO",VLOOKUP(P188,'Velocidades Std 1500 w'!$B$30:$F$38,5,FALSE))))</f>
        <v>4.3859649122807014E-6</v>
      </c>
      <c r="R188" s="82">
        <f t="shared" si="302"/>
        <v>2.1929824561403508E-2</v>
      </c>
      <c r="S188" s="83">
        <f t="shared" si="303"/>
        <v>24.542014736842102</v>
      </c>
      <c r="T188" s="110">
        <f t="shared" si="304"/>
        <v>1554.3275999999998</v>
      </c>
      <c r="U188" s="80">
        <f t="shared" si="305"/>
        <v>34.086131578947366</v>
      </c>
      <c r="V188" s="98">
        <v>20</v>
      </c>
      <c r="W188" s="84">
        <f>+IF(O188="ACERO A36",VLOOKUP(P188,'Tiempo Objeto'!$B$2:$C$12,2,FALSE),IF(O188="INOXIDABLE",VLOOKUP(P188,'Tiempo Objeto'!$B$14:$C$22,2,FALSE),IF(O188="ALUMINIO",VLOOKUP(P188,'Tiempo Objeto'!$B$24:$C$32,2,FALSE))))</f>
        <v>1.84</v>
      </c>
      <c r="X188" s="84">
        <f t="shared" si="306"/>
        <v>36.800000000000004</v>
      </c>
      <c r="Y188" s="80">
        <f t="shared" si="307"/>
        <v>51.111111111111121</v>
      </c>
      <c r="Z188" s="100">
        <v>2</v>
      </c>
      <c r="AA188" s="85">
        <f t="shared" si="308"/>
        <v>60</v>
      </c>
      <c r="AB188" s="86">
        <f>+Z188*Analisis!$J$6</f>
        <v>50</v>
      </c>
      <c r="AC188" s="100">
        <v>0</v>
      </c>
      <c r="AD188" s="85">
        <f t="shared" si="309"/>
        <v>0</v>
      </c>
      <c r="AE188" s="86">
        <f>+AD188*Analisis!$J$7</f>
        <v>0</v>
      </c>
      <c r="AF188" s="86">
        <f t="shared" si="203"/>
        <v>160.71846491228072</v>
      </c>
      <c r="AG188" s="126">
        <f>+AF188/(1-Analisis!$E$9)</f>
        <v>200.89808114035088</v>
      </c>
      <c r="AH188" s="128">
        <f t="shared" si="205"/>
        <v>0</v>
      </c>
    </row>
    <row r="189" spans="1:35" s="73" customFormat="1" x14ac:dyDescent="0.25">
      <c r="A189" s="100"/>
      <c r="B189" s="114" t="s">
        <v>389</v>
      </c>
      <c r="C189" s="74">
        <f>IFERROR(VLOOKUP(B189,'REQ GALV'!A:B,2,0),0)</f>
        <v>0</v>
      </c>
      <c r="D189" s="116">
        <f t="shared" si="204"/>
        <v>254.8598551169591</v>
      </c>
      <c r="E189" s="103" t="s">
        <v>41</v>
      </c>
      <c r="F189" s="75" t="s">
        <v>147</v>
      </c>
      <c r="G189" s="90">
        <v>3.14</v>
      </c>
      <c r="H189" s="90">
        <v>23.37</v>
      </c>
      <c r="I189" s="76">
        <v>0.105</v>
      </c>
      <c r="J189" s="77">
        <v>28.24</v>
      </c>
      <c r="K189" s="78">
        <f t="shared" si="301"/>
        <v>4.2240153210576041</v>
      </c>
      <c r="L189" s="58">
        <f>+VLOOKUP(E189,Material!$H$2:$M$17,6,FALSE)*G189*H189*(1+Material!$K$14)</f>
        <v>54.220996666666686</v>
      </c>
      <c r="M189" s="79" t="str">
        <f>+Analisis!$J$5</f>
        <v>T5.0</v>
      </c>
      <c r="N189" s="80">
        <f>+VLOOKUP(M189,Material!$A$3:$B$58,2,FALSE)</f>
        <v>5000</v>
      </c>
      <c r="O189" s="79" t="s">
        <v>42</v>
      </c>
      <c r="P189" s="79" t="s">
        <v>43</v>
      </c>
      <c r="Q189" s="81">
        <f>+IF(O189="ACERO A36",VLOOKUP(P189,'Velocidades Std 1500 w'!$B$2:$F$15,5,FALSE),IF(O189="INOXIDABLE",VLOOKUP(P189,'Velocidades Std 1500 w'!$B$17:$F$28,5,FALSE),IF(O189="ALUMINIO",VLOOKUP(P189,'Velocidades Std 1500 w'!$B$30:$F$38,5,FALSE))))</f>
        <v>4.3859649122807014E-6</v>
      </c>
      <c r="R189" s="82">
        <f t="shared" si="302"/>
        <v>2.1929824561403508E-2</v>
      </c>
      <c r="S189" s="83">
        <f t="shared" si="303"/>
        <v>34.960158947368427</v>
      </c>
      <c r="T189" s="110">
        <f t="shared" si="304"/>
        <v>2214.1434000000004</v>
      </c>
      <c r="U189" s="80">
        <f t="shared" si="305"/>
        <v>48.55577631578948</v>
      </c>
      <c r="V189" s="98">
        <v>20</v>
      </c>
      <c r="W189" s="84">
        <f>+IF(O189="ACERO A36",VLOOKUP(P189,'Tiempo Objeto'!$B$2:$C$12,2,FALSE),IF(O189="INOXIDABLE",VLOOKUP(P189,'Tiempo Objeto'!$B$14:$C$22,2,FALSE),IF(O189="ALUMINIO",VLOOKUP(P189,'Tiempo Objeto'!$B$24:$C$32,2,FALSE))))</f>
        <v>1.84</v>
      </c>
      <c r="X189" s="84">
        <f t="shared" si="306"/>
        <v>36.800000000000004</v>
      </c>
      <c r="Y189" s="80">
        <f t="shared" si="307"/>
        <v>51.111111111111121</v>
      </c>
      <c r="Z189" s="100">
        <v>2</v>
      </c>
      <c r="AA189" s="85">
        <f t="shared" si="308"/>
        <v>60</v>
      </c>
      <c r="AB189" s="86">
        <f>+Z189*Analisis!$J$6</f>
        <v>50</v>
      </c>
      <c r="AC189" s="100">
        <v>0</v>
      </c>
      <c r="AD189" s="85">
        <f t="shared" si="309"/>
        <v>0</v>
      </c>
      <c r="AE189" s="86">
        <f>+AD189*Analisis!$J$7</f>
        <v>0</v>
      </c>
      <c r="AF189" s="86">
        <f t="shared" si="203"/>
        <v>203.88788409356729</v>
      </c>
      <c r="AG189" s="126">
        <f>+AF189/(1-Analisis!$E$9)</f>
        <v>254.8598551169591</v>
      </c>
      <c r="AH189" s="128">
        <f t="shared" si="205"/>
        <v>0</v>
      </c>
    </row>
    <row r="190" spans="1:35" s="73" customFormat="1" x14ac:dyDescent="0.25">
      <c r="A190" s="100"/>
      <c r="B190" s="114" t="s">
        <v>390</v>
      </c>
      <c r="C190" s="74">
        <f>IFERROR(VLOOKUP(B190,'REQ GALV'!A:B,2,0),0)</f>
        <v>0</v>
      </c>
      <c r="D190" s="116">
        <f t="shared" si="204"/>
        <v>314.31813961988308</v>
      </c>
      <c r="E190" s="103" t="s">
        <v>41</v>
      </c>
      <c r="F190" s="75" t="s">
        <v>147</v>
      </c>
      <c r="G190" s="90">
        <v>3.14</v>
      </c>
      <c r="H190" s="90">
        <v>37</v>
      </c>
      <c r="I190" s="76">
        <v>0.105</v>
      </c>
      <c r="J190" s="77">
        <v>28.24</v>
      </c>
      <c r="K190" s="78">
        <f t="shared" si="301"/>
        <v>6.6875723953415189</v>
      </c>
      <c r="L190" s="58">
        <f>+VLOOKUP(E190,Material!$H$2:$M$17,6,FALSE)*G190*H190*(1+Material!$K$14)</f>
        <v>85.844111111111118</v>
      </c>
      <c r="M190" s="79" t="str">
        <f>+Analisis!$J$5</f>
        <v>T5.0</v>
      </c>
      <c r="N190" s="80">
        <f>+VLOOKUP(M190,Material!$A$3:$B$58,2,FALSE)</f>
        <v>5000</v>
      </c>
      <c r="O190" s="79" t="s">
        <v>42</v>
      </c>
      <c r="P190" s="79" t="s">
        <v>43</v>
      </c>
      <c r="Q190" s="81">
        <f>+IF(O190="ACERO A36",VLOOKUP(P190,'Velocidades Std 1500 w'!$B$2:$F$15,5,FALSE),IF(O190="INOXIDABLE",VLOOKUP(P190,'Velocidades Std 1500 w'!$B$17:$F$28,5,FALSE),IF(O190="ALUMINIO",VLOOKUP(P190,'Velocidades Std 1500 w'!$B$30:$F$38,5,FALSE))))</f>
        <v>4.3859649122807014E-6</v>
      </c>
      <c r="R190" s="82">
        <f t="shared" si="302"/>
        <v>2.1929824561403508E-2</v>
      </c>
      <c r="S190" s="83">
        <f t="shared" si="303"/>
        <v>46.43948842105263</v>
      </c>
      <c r="T190" s="110">
        <f t="shared" si="304"/>
        <v>2941.1676000000002</v>
      </c>
      <c r="U190" s="80">
        <f t="shared" si="305"/>
        <v>64.499289473684215</v>
      </c>
      <c r="V190" s="98">
        <v>20</v>
      </c>
      <c r="W190" s="84">
        <f>+IF(O190="ACERO A36",VLOOKUP(P190,'Tiempo Objeto'!$B$2:$C$12,2,FALSE),IF(O190="INOXIDABLE",VLOOKUP(P190,'Tiempo Objeto'!$B$14:$C$22,2,FALSE),IF(O190="ALUMINIO",VLOOKUP(P190,'Tiempo Objeto'!$B$24:$C$32,2,FALSE))))</f>
        <v>1.84</v>
      </c>
      <c r="X190" s="84">
        <f t="shared" si="306"/>
        <v>36.800000000000004</v>
      </c>
      <c r="Y190" s="80">
        <f t="shared" si="307"/>
        <v>51.111111111111121</v>
      </c>
      <c r="Z190" s="100">
        <v>2</v>
      </c>
      <c r="AA190" s="85">
        <f t="shared" si="308"/>
        <v>60</v>
      </c>
      <c r="AB190" s="86">
        <f>+Z190*Analisis!$J$6</f>
        <v>50</v>
      </c>
      <c r="AC190" s="100">
        <v>0</v>
      </c>
      <c r="AD190" s="85">
        <f t="shared" si="309"/>
        <v>0</v>
      </c>
      <c r="AE190" s="86">
        <f>+AD190*Analisis!$J$7</f>
        <v>0</v>
      </c>
      <c r="AF190" s="86">
        <f t="shared" si="203"/>
        <v>251.45451169590646</v>
      </c>
      <c r="AG190" s="126">
        <f>+AF190/(1-Analisis!$E$9)</f>
        <v>314.31813961988308</v>
      </c>
      <c r="AH190" s="128">
        <f t="shared" si="205"/>
        <v>0</v>
      </c>
    </row>
    <row r="191" spans="1:35" s="73" customFormat="1" x14ac:dyDescent="0.25">
      <c r="A191" s="100"/>
      <c r="B191" s="114" t="s">
        <v>391</v>
      </c>
      <c r="C191" s="74">
        <f>IFERROR(VLOOKUP(B191,'REQ GALV'!A:B,2,0),0)</f>
        <v>0</v>
      </c>
      <c r="D191" s="116">
        <f t="shared" si="204"/>
        <v>248.88349049707602</v>
      </c>
      <c r="E191" s="103" t="s">
        <v>41</v>
      </c>
      <c r="F191" s="75" t="s">
        <v>147</v>
      </c>
      <c r="G191" s="90">
        <v>3.14</v>
      </c>
      <c r="H191" s="90">
        <v>22</v>
      </c>
      <c r="I191" s="76">
        <v>0.105</v>
      </c>
      <c r="J191" s="77">
        <v>28.24</v>
      </c>
      <c r="K191" s="78">
        <f t="shared" si="301"/>
        <v>3.9763943972300919</v>
      </c>
      <c r="L191" s="58">
        <f>+VLOOKUP(E191,Material!$H$2:$M$17,6,FALSE)*G191*H191*(1+Material!$K$14)</f>
        <v>51.042444444444449</v>
      </c>
      <c r="M191" s="79" t="str">
        <f>+Analisis!$J$5</f>
        <v>T5.0</v>
      </c>
      <c r="N191" s="80">
        <f>+VLOOKUP(M191,Material!$A$3:$B$58,2,FALSE)</f>
        <v>5000</v>
      </c>
      <c r="O191" s="79" t="s">
        <v>42</v>
      </c>
      <c r="P191" s="79" t="s">
        <v>43</v>
      </c>
      <c r="Q191" s="81">
        <f>+IF(O191="ACERO A36",VLOOKUP(P191,'Velocidades Std 1500 w'!$B$2:$F$15,5,FALSE),IF(O191="INOXIDABLE",VLOOKUP(P191,'Velocidades Std 1500 w'!$B$17:$F$28,5,FALSE),IF(O191="ALUMINIO",VLOOKUP(P191,'Velocidades Std 1500 w'!$B$30:$F$38,5,FALSE))))</f>
        <v>4.3859649122807014E-6</v>
      </c>
      <c r="R191" s="82">
        <f t="shared" si="302"/>
        <v>2.1929824561403508E-2</v>
      </c>
      <c r="S191" s="83">
        <f t="shared" si="303"/>
        <v>33.806330526315783</v>
      </c>
      <c r="T191" s="110">
        <f t="shared" si="304"/>
        <v>2141.0675999999999</v>
      </c>
      <c r="U191" s="80">
        <f t="shared" si="305"/>
        <v>46.953236842105255</v>
      </c>
      <c r="V191" s="98">
        <v>20</v>
      </c>
      <c r="W191" s="84">
        <f>+IF(O191="ACERO A36",VLOOKUP(P191,'Tiempo Objeto'!$B$2:$C$12,2,FALSE),IF(O191="INOXIDABLE",VLOOKUP(P191,'Tiempo Objeto'!$B$14:$C$22,2,FALSE),IF(O191="ALUMINIO",VLOOKUP(P191,'Tiempo Objeto'!$B$24:$C$32,2,FALSE))))</f>
        <v>1.84</v>
      </c>
      <c r="X191" s="84">
        <f t="shared" si="306"/>
        <v>36.800000000000004</v>
      </c>
      <c r="Y191" s="80">
        <f t="shared" si="307"/>
        <v>51.111111111111121</v>
      </c>
      <c r="Z191" s="100">
        <v>2</v>
      </c>
      <c r="AA191" s="85">
        <f t="shared" si="308"/>
        <v>60</v>
      </c>
      <c r="AB191" s="86">
        <f>+Z191*Analisis!$J$6</f>
        <v>50</v>
      </c>
      <c r="AC191" s="100">
        <v>0</v>
      </c>
      <c r="AD191" s="85">
        <f t="shared" si="309"/>
        <v>0</v>
      </c>
      <c r="AE191" s="86">
        <f>+AD191*Analisis!$J$7</f>
        <v>0</v>
      </c>
      <c r="AF191" s="86">
        <f t="shared" ref="AF191:AF254" si="310">+L191+U191+Y191+AB191+AE191</f>
        <v>199.10679239766083</v>
      </c>
      <c r="AG191" s="126">
        <f>+AF191/(1-Analisis!$E$9)</f>
        <v>248.88349049707602</v>
      </c>
      <c r="AH191" s="128">
        <f t="shared" si="205"/>
        <v>0</v>
      </c>
    </row>
    <row r="192" spans="1:35" s="73" customFormat="1" x14ac:dyDescent="0.25">
      <c r="A192" s="100"/>
      <c r="B192" s="114" t="s">
        <v>330</v>
      </c>
      <c r="C192" s="138">
        <f>IFERROR(VLOOKUP(B192,'REQ GALV'!A:B,2,0),0)</f>
        <v>90</v>
      </c>
      <c r="D192" s="116">
        <f t="shared" ref="D192:D255" si="311">+AG192</f>
        <v>857.49407519645467</v>
      </c>
      <c r="E192" s="103" t="s">
        <v>130</v>
      </c>
      <c r="F192" s="75" t="s">
        <v>147</v>
      </c>
      <c r="G192" s="90">
        <v>15.59</v>
      </c>
      <c r="H192" s="90">
        <v>45.72</v>
      </c>
      <c r="I192" s="76">
        <v>0.105</v>
      </c>
      <c r="J192" s="77">
        <v>28.24</v>
      </c>
      <c r="K192" s="78">
        <f t="shared" si="256"/>
        <v>26.925190062854117</v>
      </c>
      <c r="L192" s="58">
        <f>+VLOOKUP(E192,Material!$H$2:$M$17,6,FALSE)*G192*H192*(1+Material!$K$14)</f>
        <v>345.62153062500005</v>
      </c>
      <c r="M192" s="79" t="str">
        <f>+Analisis!$J$5</f>
        <v>T5.0</v>
      </c>
      <c r="N192" s="80">
        <f>+VLOOKUP(M192,Material!$A$3:$B$58,2,FALSE)</f>
        <v>5000</v>
      </c>
      <c r="O192" s="79" t="s">
        <v>42</v>
      </c>
      <c r="P192" s="79" t="s">
        <v>43</v>
      </c>
      <c r="Q192" s="81">
        <f>+IF(O192="ACERO A36",VLOOKUP(P192,'Velocidades Std 1500 w'!$B$2:$F$15,5,FALSE),IF(O192="INOXIDABLE",VLOOKUP(P192,'Velocidades Std 1500 w'!$B$17:$F$28,5,FALSE),IF(O192="ALUMINIO",VLOOKUP(P192,'Velocidades Std 1500 w'!$B$30:$F$38,5,FALSE))))</f>
        <v>4.3859649122807014E-6</v>
      </c>
      <c r="R192" s="82">
        <f t="shared" si="257"/>
        <v>2.1929824561403508E-2</v>
      </c>
      <c r="S192" s="83">
        <f t="shared" si="258"/>
        <v>64.269085263157891</v>
      </c>
      <c r="T192" s="110">
        <f t="shared" si="259"/>
        <v>4070.3753999999999</v>
      </c>
      <c r="U192" s="80">
        <f t="shared" si="260"/>
        <v>89.262618421052622</v>
      </c>
      <c r="V192" s="98">
        <v>20</v>
      </c>
      <c r="W192" s="84">
        <f>+IF(O192="ACERO A36",VLOOKUP(P192,'Tiempo Objeto'!$B$2:$C$12,2,FALSE),IF(O192="INOXIDABLE",VLOOKUP(P192,'Tiempo Objeto'!$B$14:$C$22,2,FALSE),IF(O192="ALUMINIO",VLOOKUP(P192,'Tiempo Objeto'!$B$24:$C$32,2,FALSE))))</f>
        <v>1.84</v>
      </c>
      <c r="X192" s="84">
        <f t="shared" si="261"/>
        <v>36.800000000000004</v>
      </c>
      <c r="Y192" s="80">
        <f t="shared" si="262"/>
        <v>51.111111111111121</v>
      </c>
      <c r="Z192" s="100">
        <v>8</v>
      </c>
      <c r="AA192" s="85">
        <f t="shared" si="263"/>
        <v>1320</v>
      </c>
      <c r="AB192" s="86">
        <f>+Z192*Analisis!$J$6</f>
        <v>200</v>
      </c>
      <c r="AC192" s="100">
        <v>0</v>
      </c>
      <c r="AD192" s="85">
        <f t="shared" si="264"/>
        <v>0</v>
      </c>
      <c r="AE192" s="86">
        <f>+AD192*Analisis!$J$7</f>
        <v>0</v>
      </c>
      <c r="AF192" s="86">
        <f t="shared" si="310"/>
        <v>685.99526015716378</v>
      </c>
      <c r="AG192" s="126">
        <f>+AF192/(1-Analisis!$E$9)</f>
        <v>857.49407519645467</v>
      </c>
      <c r="AH192" s="128">
        <f t="shared" ref="AH192:AH255" si="312">+AG192*C192</f>
        <v>77174.466767680919</v>
      </c>
      <c r="AI192" s="128">
        <f>+L192*C192</f>
        <v>31105.937756250005</v>
      </c>
    </row>
    <row r="193" spans="1:35" s="73" customFormat="1" x14ac:dyDescent="0.25">
      <c r="A193" s="100"/>
      <c r="B193" s="114" t="s">
        <v>331</v>
      </c>
      <c r="C193" s="74">
        <f>IFERROR(VLOOKUP(B193,'REQ GALV'!A:B,2,0),0)</f>
        <v>0</v>
      </c>
      <c r="D193" s="116">
        <f t="shared" si="311"/>
        <v>1255.3136077314052</v>
      </c>
      <c r="E193" s="103" t="s">
        <v>130</v>
      </c>
      <c r="F193" s="75" t="s">
        <v>147</v>
      </c>
      <c r="G193" s="90">
        <v>25.59</v>
      </c>
      <c r="H193" s="90">
        <v>51.97</v>
      </c>
      <c r="I193" s="76">
        <v>0.105</v>
      </c>
      <c r="J193" s="77">
        <v>28.24</v>
      </c>
      <c r="K193" s="78">
        <f t="shared" si="256"/>
        <v>50.237664749690168</v>
      </c>
      <c r="L193" s="58">
        <f>+VLOOKUP(E193,Material!$H$2:$M$17,6,FALSE)*G193*H193*(1+Material!$K$14)</f>
        <v>644.86893296875007</v>
      </c>
      <c r="M193" s="79" t="str">
        <f>+Analisis!$J$5</f>
        <v>T5.0</v>
      </c>
      <c r="N193" s="80">
        <f>+VLOOKUP(M193,Material!$A$3:$B$58,2,FALSE)</f>
        <v>5000</v>
      </c>
      <c r="O193" s="79" t="s">
        <v>42</v>
      </c>
      <c r="P193" s="79" t="s">
        <v>43</v>
      </c>
      <c r="Q193" s="81">
        <f>+IF(O193="ACERO A36",VLOOKUP(P193,'Velocidades Std 1500 w'!$B$2:$F$15,5,FALSE),IF(O193="INOXIDABLE",VLOOKUP(P193,'Velocidades Std 1500 w'!$B$17:$F$28,5,FALSE),IF(O193="ALUMINIO",VLOOKUP(P193,'Velocidades Std 1500 w'!$B$30:$F$38,5,FALSE))))</f>
        <v>4.3859649122807014E-6</v>
      </c>
      <c r="R193" s="82">
        <f t="shared" si="257"/>
        <v>2.1929824561403508E-2</v>
      </c>
      <c r="S193" s="83">
        <f t="shared" si="258"/>
        <v>77.955006315789461</v>
      </c>
      <c r="T193" s="110">
        <f t="shared" si="259"/>
        <v>4937.1503999999995</v>
      </c>
      <c r="U193" s="80">
        <f t="shared" si="260"/>
        <v>108.27084210526314</v>
      </c>
      <c r="V193" s="98">
        <v>20</v>
      </c>
      <c r="W193" s="84">
        <f>+IF(O193="ACERO A36",VLOOKUP(P193,'Tiempo Objeto'!$B$2:$C$12,2,FALSE),IF(O193="INOXIDABLE",VLOOKUP(P193,'Tiempo Objeto'!$B$14:$C$22,2,FALSE),IF(O193="ALUMINIO",VLOOKUP(P193,'Tiempo Objeto'!$B$24:$C$32,2,FALSE))))</f>
        <v>1.84</v>
      </c>
      <c r="X193" s="84">
        <f t="shared" si="261"/>
        <v>36.800000000000004</v>
      </c>
      <c r="Y193" s="80">
        <f t="shared" si="262"/>
        <v>51.111111111111121</v>
      </c>
      <c r="Z193" s="100">
        <v>8</v>
      </c>
      <c r="AA193" s="85">
        <f t="shared" si="263"/>
        <v>240</v>
      </c>
      <c r="AB193" s="86">
        <f>+Z193*Analisis!$J$6</f>
        <v>200</v>
      </c>
      <c r="AC193" s="100">
        <v>0</v>
      </c>
      <c r="AD193" s="85">
        <f t="shared" si="264"/>
        <v>0</v>
      </c>
      <c r="AE193" s="86">
        <f>+AD193*Analisis!$J$7</f>
        <v>0</v>
      </c>
      <c r="AF193" s="86">
        <f t="shared" si="310"/>
        <v>1004.2508861851243</v>
      </c>
      <c r="AG193" s="126">
        <f>+AF193/(1-Analisis!$E$9)</f>
        <v>1255.3136077314052</v>
      </c>
      <c r="AH193" s="128">
        <f t="shared" si="312"/>
        <v>0</v>
      </c>
    </row>
    <row r="194" spans="1:35" s="73" customFormat="1" x14ac:dyDescent="0.25">
      <c r="A194" s="100"/>
      <c r="B194" s="114" t="s">
        <v>332</v>
      </c>
      <c r="C194" s="74">
        <f>IFERROR(VLOOKUP(B194,'REQ GALV'!A:B,2,0),0)</f>
        <v>0</v>
      </c>
      <c r="D194" s="116">
        <f t="shared" si="311"/>
        <v>1363.2019238304092</v>
      </c>
      <c r="E194" s="103" t="s">
        <v>41</v>
      </c>
      <c r="F194" s="75" t="s">
        <v>147</v>
      </c>
      <c r="G194" s="90">
        <v>25.58</v>
      </c>
      <c r="H194" s="90">
        <v>39.46</v>
      </c>
      <c r="I194" s="76">
        <v>0.105</v>
      </c>
      <c r="J194" s="77">
        <v>28.24</v>
      </c>
      <c r="K194" s="78">
        <f t="shared" si="256"/>
        <v>58.102490100723969</v>
      </c>
      <c r="L194" s="58">
        <f>+VLOOKUP(E194,Material!$H$2:$M$17,6,FALSE)*G194*H194*(1+Material!$K$14)</f>
        <v>745.82469111111118</v>
      </c>
      <c r="M194" s="79" t="str">
        <f>+Analisis!$J$5</f>
        <v>T5.0</v>
      </c>
      <c r="N194" s="80">
        <f>+VLOOKUP(M194,Material!$A$3:$B$58,2,FALSE)</f>
        <v>5000</v>
      </c>
      <c r="O194" s="79" t="s">
        <v>42</v>
      </c>
      <c r="P194" s="79" t="s">
        <v>43</v>
      </c>
      <c r="Q194" s="81">
        <f>+IF(O194="ACERO A36",VLOOKUP(P194,'Velocidades Std 1500 w'!$B$2:$F$15,5,FALSE),IF(O194="INOXIDABLE",VLOOKUP(P194,'Velocidades Std 1500 w'!$B$17:$F$28,5,FALSE),IF(O194="ALUMINIO",VLOOKUP(P194,'Velocidades Std 1500 w'!$B$30:$F$38,5,FALSE))))</f>
        <v>4.3859649122807014E-6</v>
      </c>
      <c r="R194" s="82">
        <f t="shared" si="257"/>
        <v>2.1929824561403508E-2</v>
      </c>
      <c r="S194" s="83">
        <f t="shared" si="258"/>
        <v>67.410530526315767</v>
      </c>
      <c r="T194" s="110">
        <f t="shared" si="259"/>
        <v>4269.333599999999</v>
      </c>
      <c r="U194" s="80">
        <f t="shared" si="260"/>
        <v>93.62573684210524</v>
      </c>
      <c r="V194" s="98">
        <v>20</v>
      </c>
      <c r="W194" s="84">
        <f>+IF(O194="ACERO A36",VLOOKUP(P194,'Tiempo Objeto'!$B$2:$C$12,2,FALSE),IF(O194="INOXIDABLE",VLOOKUP(P194,'Tiempo Objeto'!$B$14:$C$22,2,FALSE),IF(O194="ALUMINIO",VLOOKUP(P194,'Tiempo Objeto'!$B$24:$C$32,2,FALSE))))</f>
        <v>1.84</v>
      </c>
      <c r="X194" s="84">
        <f t="shared" si="261"/>
        <v>36.800000000000004</v>
      </c>
      <c r="Y194" s="80">
        <f t="shared" si="262"/>
        <v>51.111111111111121</v>
      </c>
      <c r="Z194" s="100">
        <v>8</v>
      </c>
      <c r="AA194" s="85">
        <f t="shared" si="263"/>
        <v>240</v>
      </c>
      <c r="AB194" s="86">
        <f>+Z194*Analisis!$J$6</f>
        <v>200</v>
      </c>
      <c r="AC194" s="100">
        <v>0</v>
      </c>
      <c r="AD194" s="85">
        <f t="shared" si="264"/>
        <v>0</v>
      </c>
      <c r="AE194" s="86">
        <f>+AD194*Analisis!$J$7</f>
        <v>0</v>
      </c>
      <c r="AF194" s="86">
        <f t="shared" si="310"/>
        <v>1090.5615390643275</v>
      </c>
      <c r="AG194" s="126">
        <f>+AF194/(1-Analisis!$E$9)</f>
        <v>1363.2019238304092</v>
      </c>
      <c r="AH194" s="128">
        <f t="shared" si="312"/>
        <v>0</v>
      </c>
    </row>
    <row r="195" spans="1:35" s="73" customFormat="1" x14ac:dyDescent="0.25">
      <c r="A195" s="100"/>
      <c r="B195" s="114" t="s">
        <v>392</v>
      </c>
      <c r="C195" s="74">
        <f>IFERROR(VLOOKUP(B195,'REQ GALV'!A:B,2,0),0)</f>
        <v>0</v>
      </c>
      <c r="D195" s="116">
        <f t="shared" si="311"/>
        <v>502.1749251461988</v>
      </c>
      <c r="E195" s="103" t="s">
        <v>41</v>
      </c>
      <c r="F195" s="75" t="s">
        <v>147</v>
      </c>
      <c r="G195" s="90">
        <v>4.1399999999999997</v>
      </c>
      <c r="H195" s="90">
        <v>14.09</v>
      </c>
      <c r="I195" s="76">
        <v>0.105</v>
      </c>
      <c r="J195" s="77">
        <v>28.24</v>
      </c>
      <c r="K195" s="78">
        <f t="shared" si="256"/>
        <v>3.3577507790368277</v>
      </c>
      <c r="L195" s="58">
        <f>+VLOOKUP(E195,Material!$H$2:$M$17,6,FALSE)*G195*H195*(1+Material!$K$14)</f>
        <v>43.101309999999998</v>
      </c>
      <c r="M195" s="79" t="str">
        <f>+Analisis!$J$5</f>
        <v>T5.0</v>
      </c>
      <c r="N195" s="80">
        <f>+VLOOKUP(M195,Material!$A$3:$B$58,2,FALSE)</f>
        <v>5000</v>
      </c>
      <c r="O195" s="79" t="s">
        <v>42</v>
      </c>
      <c r="P195" s="79" t="s">
        <v>43</v>
      </c>
      <c r="Q195" s="81">
        <f>+IF(O195="ACERO A36",VLOOKUP(P195,'Velocidades Std 1500 w'!$B$2:$F$15,5,FALSE),IF(O195="INOXIDABLE",VLOOKUP(P195,'Velocidades Std 1500 w'!$B$17:$F$28,5,FALSE),IF(O195="ALUMINIO",VLOOKUP(P195,'Velocidades Std 1500 w'!$B$30:$F$38,5,FALSE))))</f>
        <v>4.3859649122807014E-6</v>
      </c>
      <c r="R195" s="82">
        <f t="shared" si="257"/>
        <v>2.1929824561403508E-2</v>
      </c>
      <c r="S195" s="83">
        <f t="shared" si="258"/>
        <v>40.619813684210534</v>
      </c>
      <c r="T195" s="110">
        <f t="shared" si="259"/>
        <v>2572.5882000000006</v>
      </c>
      <c r="U195" s="80">
        <f t="shared" si="260"/>
        <v>56.416407894736849</v>
      </c>
      <c r="V195" s="98">
        <v>40</v>
      </c>
      <c r="W195" s="84">
        <f>+IF(O195="ACERO A36",VLOOKUP(P195,'Tiempo Objeto'!$B$2:$C$12,2,FALSE),IF(O195="INOXIDABLE",VLOOKUP(P195,'Tiempo Objeto'!$B$14:$C$22,2,FALSE),IF(O195="ALUMINIO",VLOOKUP(P195,'Tiempo Objeto'!$B$24:$C$32,2,FALSE))))</f>
        <v>1.84</v>
      </c>
      <c r="X195" s="84">
        <f t="shared" si="261"/>
        <v>73.600000000000009</v>
      </c>
      <c r="Y195" s="80">
        <f t="shared" si="262"/>
        <v>102.22222222222224</v>
      </c>
      <c r="Z195" s="100">
        <v>8</v>
      </c>
      <c r="AA195" s="85">
        <f t="shared" si="263"/>
        <v>240</v>
      </c>
      <c r="AB195" s="86">
        <f>+Z195*Analisis!$J$6</f>
        <v>200</v>
      </c>
      <c r="AC195" s="100">
        <v>0</v>
      </c>
      <c r="AD195" s="85">
        <f t="shared" si="264"/>
        <v>0</v>
      </c>
      <c r="AE195" s="86">
        <f>+AD195*Analisis!$J$7</f>
        <v>0</v>
      </c>
      <c r="AF195" s="86">
        <f t="shared" si="310"/>
        <v>401.73994011695908</v>
      </c>
      <c r="AG195" s="126">
        <f>+AF195/(1-Analisis!$E$9)</f>
        <v>502.1749251461988</v>
      </c>
      <c r="AH195" s="128">
        <f t="shared" si="312"/>
        <v>0</v>
      </c>
    </row>
    <row r="196" spans="1:35" s="73" customFormat="1" x14ac:dyDescent="0.25">
      <c r="A196" s="100"/>
      <c r="B196" s="114" t="s">
        <v>393</v>
      </c>
      <c r="C196" s="74">
        <f>IFERROR(VLOOKUP(B196,'REQ GALV'!A:B,2,0),0)</f>
        <v>0</v>
      </c>
      <c r="D196" s="116">
        <f t="shared" si="311"/>
        <v>523.31860935672512</v>
      </c>
      <c r="E196" s="103" t="s">
        <v>41</v>
      </c>
      <c r="F196" s="75" t="s">
        <v>147</v>
      </c>
      <c r="G196" s="90">
        <v>4.1399999999999997</v>
      </c>
      <c r="H196" s="90">
        <v>18.09</v>
      </c>
      <c r="I196" s="76">
        <v>0.105</v>
      </c>
      <c r="J196" s="77">
        <v>28.24</v>
      </c>
      <c r="K196" s="78">
        <f t="shared" ref="K196:K208" si="313">+L196*2.2/J196</f>
        <v>4.3109802407932021</v>
      </c>
      <c r="L196" s="58">
        <f>+VLOOKUP(E196,Material!$H$2:$M$17,6,FALSE)*G196*H196*(1+Material!$K$14)</f>
        <v>55.337310000000002</v>
      </c>
      <c r="M196" s="79" t="str">
        <f>+Analisis!$J$5</f>
        <v>T5.0</v>
      </c>
      <c r="N196" s="80">
        <f>+VLOOKUP(M196,Material!$A$3:$B$58,2,FALSE)</f>
        <v>5000</v>
      </c>
      <c r="O196" s="79" t="s">
        <v>42</v>
      </c>
      <c r="P196" s="79" t="s">
        <v>43</v>
      </c>
      <c r="Q196" s="81">
        <f>+IF(O196="ACERO A36",VLOOKUP(P196,'Velocidades Std 1500 w'!$B$2:$F$15,5,FALSE),IF(O196="INOXIDABLE",VLOOKUP(P196,'Velocidades Std 1500 w'!$B$17:$F$28,5,FALSE),IF(O196="ALUMINIO",VLOOKUP(P196,'Velocidades Std 1500 w'!$B$30:$F$38,5,FALSE))))</f>
        <v>4.3859649122807014E-6</v>
      </c>
      <c r="R196" s="82">
        <f t="shared" ref="R196:R208" si="314">+Q196*N196</f>
        <v>2.1929824561403508E-2</v>
      </c>
      <c r="S196" s="83">
        <f t="shared" ref="S196:S208" si="315">+Q196*T196*3600</f>
        <v>43.988655789473682</v>
      </c>
      <c r="T196" s="110">
        <f t="shared" ref="T196:T208" si="316">(+H196*2+G196*2+V196*1.5)*25.4*1.05</f>
        <v>2785.9482000000003</v>
      </c>
      <c r="U196" s="80">
        <f t="shared" ref="U196:U208" si="317">+T196*R196</f>
        <v>61.095355263157899</v>
      </c>
      <c r="V196" s="98">
        <v>40</v>
      </c>
      <c r="W196" s="84">
        <f>+IF(O196="ACERO A36",VLOOKUP(P196,'Tiempo Objeto'!$B$2:$C$12,2,FALSE),IF(O196="INOXIDABLE",VLOOKUP(P196,'Tiempo Objeto'!$B$14:$C$22,2,FALSE),IF(O196="ALUMINIO",VLOOKUP(P196,'Tiempo Objeto'!$B$24:$C$32,2,FALSE))))</f>
        <v>1.84</v>
      </c>
      <c r="X196" s="84">
        <f t="shared" ref="X196:X208" si="318">+W196*V196</f>
        <v>73.600000000000009</v>
      </c>
      <c r="Y196" s="80">
        <f t="shared" ref="Y196:Y208" si="319">+X196*N196/3600</f>
        <v>102.22222222222224</v>
      </c>
      <c r="Z196" s="100">
        <v>8</v>
      </c>
      <c r="AA196" s="85">
        <f t="shared" ref="AA196:AA208" si="320">30*Z196+Z196*$C196*1.5</f>
        <v>240</v>
      </c>
      <c r="AB196" s="86">
        <f>+Z196*Analisis!$J$6</f>
        <v>200</v>
      </c>
      <c r="AC196" s="100">
        <v>0</v>
      </c>
      <c r="AD196" s="85">
        <f t="shared" ref="AD196:AD208" si="321">30*AC196+AC196*$C196*1.5</f>
        <v>0</v>
      </c>
      <c r="AE196" s="86">
        <f>+AD196*Analisis!$J$7</f>
        <v>0</v>
      </c>
      <c r="AF196" s="86">
        <f t="shared" si="310"/>
        <v>418.65488748538013</v>
      </c>
      <c r="AG196" s="126">
        <f>+AF196/(1-Analisis!$E$9)</f>
        <v>523.31860935672512</v>
      </c>
      <c r="AH196" s="128">
        <f t="shared" si="312"/>
        <v>0</v>
      </c>
    </row>
    <row r="197" spans="1:35" s="73" customFormat="1" x14ac:dyDescent="0.25">
      <c r="A197" s="100"/>
      <c r="B197" s="114" t="s">
        <v>394</v>
      </c>
      <c r="C197" s="138">
        <f>IFERROR(VLOOKUP(B197,'REQ GALV'!A:B,2,0),0)</f>
        <v>180</v>
      </c>
      <c r="D197" s="116">
        <f t="shared" si="311"/>
        <v>533.89045146198828</v>
      </c>
      <c r="E197" s="103" t="s">
        <v>41</v>
      </c>
      <c r="F197" s="75" t="s">
        <v>147</v>
      </c>
      <c r="G197" s="90">
        <v>4.1399999999999997</v>
      </c>
      <c r="H197" s="90">
        <v>20.09</v>
      </c>
      <c r="I197" s="76">
        <v>0.105</v>
      </c>
      <c r="J197" s="77">
        <v>28.24</v>
      </c>
      <c r="K197" s="78">
        <f t="shared" si="313"/>
        <v>4.7875949716713881</v>
      </c>
      <c r="L197" s="58">
        <f>+VLOOKUP(E197,Material!$H$2:$M$17,6,FALSE)*G197*H197*(1+Material!$K$14)</f>
        <v>61.455309999999997</v>
      </c>
      <c r="M197" s="79" t="str">
        <f>+Analisis!$J$5</f>
        <v>T5.0</v>
      </c>
      <c r="N197" s="80">
        <f>+VLOOKUP(M197,Material!$A$3:$B$58,2,FALSE)</f>
        <v>5000</v>
      </c>
      <c r="O197" s="79" t="s">
        <v>42</v>
      </c>
      <c r="P197" s="79" t="s">
        <v>43</v>
      </c>
      <c r="Q197" s="81">
        <f>+IF(O197="ACERO A36",VLOOKUP(P197,'Velocidades Std 1500 w'!$B$2:$F$15,5,FALSE),IF(O197="INOXIDABLE",VLOOKUP(P197,'Velocidades Std 1500 w'!$B$17:$F$28,5,FALSE),IF(O197="ALUMINIO",VLOOKUP(P197,'Velocidades Std 1500 w'!$B$30:$F$38,5,FALSE))))</f>
        <v>4.3859649122807014E-6</v>
      </c>
      <c r="R197" s="82">
        <f t="shared" si="314"/>
        <v>2.1929824561403508E-2</v>
      </c>
      <c r="S197" s="83">
        <f t="shared" si="315"/>
        <v>45.67307684210526</v>
      </c>
      <c r="T197" s="110">
        <f t="shared" si="316"/>
        <v>2892.6282000000001</v>
      </c>
      <c r="U197" s="80">
        <f t="shared" si="317"/>
        <v>63.434828947368423</v>
      </c>
      <c r="V197" s="98">
        <v>40</v>
      </c>
      <c r="W197" s="84">
        <f>+IF(O197="ACERO A36",VLOOKUP(P197,'Tiempo Objeto'!$B$2:$C$12,2,FALSE),IF(O197="INOXIDABLE",VLOOKUP(P197,'Tiempo Objeto'!$B$14:$C$22,2,FALSE),IF(O197="ALUMINIO",VLOOKUP(P197,'Tiempo Objeto'!$B$24:$C$32,2,FALSE))))</f>
        <v>1.84</v>
      </c>
      <c r="X197" s="84">
        <f t="shared" si="318"/>
        <v>73.600000000000009</v>
      </c>
      <c r="Y197" s="80">
        <f t="shared" si="319"/>
        <v>102.22222222222224</v>
      </c>
      <c r="Z197" s="100">
        <v>8</v>
      </c>
      <c r="AA197" s="85">
        <f t="shared" si="320"/>
        <v>2400</v>
      </c>
      <c r="AB197" s="86">
        <f>+Z197*Analisis!$J$6</f>
        <v>200</v>
      </c>
      <c r="AC197" s="100">
        <v>0</v>
      </c>
      <c r="AD197" s="85">
        <f t="shared" si="321"/>
        <v>0</v>
      </c>
      <c r="AE197" s="86">
        <f>+AD197*Analisis!$J$7</f>
        <v>0</v>
      </c>
      <c r="AF197" s="86">
        <f t="shared" si="310"/>
        <v>427.11236116959066</v>
      </c>
      <c r="AG197" s="126">
        <f>+AF197/(1-Analisis!$E$9)</f>
        <v>533.89045146198828</v>
      </c>
      <c r="AH197" s="128">
        <f t="shared" si="312"/>
        <v>96100.281263157885</v>
      </c>
      <c r="AI197" s="128">
        <f>+L197*C197</f>
        <v>11061.9558</v>
      </c>
    </row>
    <row r="198" spans="1:35" s="73" customFormat="1" x14ac:dyDescent="0.25">
      <c r="A198" s="100"/>
      <c r="B198" s="114" t="s">
        <v>395</v>
      </c>
      <c r="C198" s="74">
        <f>IFERROR(VLOOKUP(B198,'REQ GALV'!A:B,2,0),0)</f>
        <v>0</v>
      </c>
      <c r="D198" s="116">
        <f t="shared" si="311"/>
        <v>565.60597777777775</v>
      </c>
      <c r="E198" s="103" t="s">
        <v>41</v>
      </c>
      <c r="F198" s="75" t="s">
        <v>147</v>
      </c>
      <c r="G198" s="90">
        <v>4.1399999999999997</v>
      </c>
      <c r="H198" s="90">
        <v>26.09</v>
      </c>
      <c r="I198" s="76">
        <v>0.105</v>
      </c>
      <c r="J198" s="77">
        <v>28.24</v>
      </c>
      <c r="K198" s="78">
        <f t="shared" si="313"/>
        <v>6.2174391643059499</v>
      </c>
      <c r="L198" s="58">
        <f>+VLOOKUP(E198,Material!$H$2:$M$17,6,FALSE)*G198*H198*(1+Material!$K$14)</f>
        <v>79.809309999999996</v>
      </c>
      <c r="M198" s="79" t="str">
        <f>+Analisis!$J$5</f>
        <v>T5.0</v>
      </c>
      <c r="N198" s="80">
        <f>+VLOOKUP(M198,Material!$A$3:$B$58,2,FALSE)</f>
        <v>5000</v>
      </c>
      <c r="O198" s="79" t="s">
        <v>42</v>
      </c>
      <c r="P198" s="79" t="s">
        <v>43</v>
      </c>
      <c r="Q198" s="81">
        <f>+IF(O198="ACERO A36",VLOOKUP(P198,'Velocidades Std 1500 w'!$B$2:$F$15,5,FALSE),IF(O198="INOXIDABLE",VLOOKUP(P198,'Velocidades Std 1500 w'!$B$17:$F$28,5,FALSE),IF(O198="ALUMINIO",VLOOKUP(P198,'Velocidades Std 1500 w'!$B$30:$F$38,5,FALSE))))</f>
        <v>4.3859649122807014E-6</v>
      </c>
      <c r="R198" s="82">
        <f t="shared" si="314"/>
        <v>2.1929824561403508E-2</v>
      </c>
      <c r="S198" s="83">
        <f t="shared" si="315"/>
        <v>50.726340000000008</v>
      </c>
      <c r="T198" s="110">
        <f t="shared" si="316"/>
        <v>3212.6682000000005</v>
      </c>
      <c r="U198" s="80">
        <f t="shared" si="317"/>
        <v>70.453250000000011</v>
      </c>
      <c r="V198" s="98">
        <v>40</v>
      </c>
      <c r="W198" s="84">
        <f>+IF(O198="ACERO A36",VLOOKUP(P198,'Tiempo Objeto'!$B$2:$C$12,2,FALSE),IF(O198="INOXIDABLE",VLOOKUP(P198,'Tiempo Objeto'!$B$14:$C$22,2,FALSE),IF(O198="ALUMINIO",VLOOKUP(P198,'Tiempo Objeto'!$B$24:$C$32,2,FALSE))))</f>
        <v>1.84</v>
      </c>
      <c r="X198" s="84">
        <f t="shared" si="318"/>
        <v>73.600000000000009</v>
      </c>
      <c r="Y198" s="80">
        <f t="shared" si="319"/>
        <v>102.22222222222224</v>
      </c>
      <c r="Z198" s="100">
        <v>8</v>
      </c>
      <c r="AA198" s="85">
        <f t="shared" si="320"/>
        <v>240</v>
      </c>
      <c r="AB198" s="86">
        <f>+Z198*Analisis!$J$6</f>
        <v>200</v>
      </c>
      <c r="AC198" s="100">
        <v>0</v>
      </c>
      <c r="AD198" s="85">
        <f t="shared" si="321"/>
        <v>0</v>
      </c>
      <c r="AE198" s="86">
        <f>+AD198*Analisis!$J$7</f>
        <v>0</v>
      </c>
      <c r="AF198" s="86">
        <f t="shared" si="310"/>
        <v>452.48478222222224</v>
      </c>
      <c r="AG198" s="126">
        <f>+AF198/(1-Analisis!$E$9)</f>
        <v>565.60597777777775</v>
      </c>
      <c r="AH198" s="128">
        <f t="shared" si="312"/>
        <v>0</v>
      </c>
    </row>
    <row r="199" spans="1:35" s="73" customFormat="1" x14ac:dyDescent="0.25">
      <c r="A199" s="100"/>
      <c r="B199" s="114" t="s">
        <v>396</v>
      </c>
      <c r="C199" s="138">
        <f>IFERROR(VLOOKUP(B199,'REQ GALV'!A:B,2,0),0)</f>
        <v>300</v>
      </c>
      <c r="D199" s="116">
        <f t="shared" si="311"/>
        <v>597.32150409356723</v>
      </c>
      <c r="E199" s="103" t="s">
        <v>41</v>
      </c>
      <c r="F199" s="75" t="s">
        <v>147</v>
      </c>
      <c r="G199" s="90">
        <v>4.1399999999999997</v>
      </c>
      <c r="H199" s="90">
        <v>32.090000000000003</v>
      </c>
      <c r="I199" s="76">
        <v>0.105</v>
      </c>
      <c r="J199" s="77">
        <v>28.24</v>
      </c>
      <c r="K199" s="78">
        <f t="shared" si="313"/>
        <v>7.6472833569405116</v>
      </c>
      <c r="L199" s="58">
        <f>+VLOOKUP(E199,Material!$H$2:$M$17,6,FALSE)*G199*H199*(1+Material!$K$14)</f>
        <v>98.16331000000001</v>
      </c>
      <c r="M199" s="79" t="str">
        <f>+Analisis!$J$5</f>
        <v>T5.0</v>
      </c>
      <c r="N199" s="80">
        <f>+VLOOKUP(M199,Material!$A$3:$B$58,2,FALSE)</f>
        <v>5000</v>
      </c>
      <c r="O199" s="79" t="s">
        <v>42</v>
      </c>
      <c r="P199" s="79" t="s">
        <v>43</v>
      </c>
      <c r="Q199" s="81">
        <f>+IF(O199="ACERO A36",VLOOKUP(P199,'Velocidades Std 1500 w'!$B$2:$F$15,5,FALSE),IF(O199="INOXIDABLE",VLOOKUP(P199,'Velocidades Std 1500 w'!$B$17:$F$28,5,FALSE),IF(O199="ALUMINIO",VLOOKUP(P199,'Velocidades Std 1500 w'!$B$30:$F$38,5,FALSE))))</f>
        <v>4.3859649122807014E-6</v>
      </c>
      <c r="R199" s="82">
        <f t="shared" si="314"/>
        <v>2.1929824561403508E-2</v>
      </c>
      <c r="S199" s="83">
        <f t="shared" si="315"/>
        <v>55.779603157894734</v>
      </c>
      <c r="T199" s="110">
        <f t="shared" si="316"/>
        <v>3532.7082</v>
      </c>
      <c r="U199" s="80">
        <f t="shared" si="317"/>
        <v>77.471671052631578</v>
      </c>
      <c r="V199" s="98">
        <v>40</v>
      </c>
      <c r="W199" s="84">
        <f>+IF(O199="ACERO A36",VLOOKUP(P199,'Tiempo Objeto'!$B$2:$C$12,2,FALSE),IF(O199="INOXIDABLE",VLOOKUP(P199,'Tiempo Objeto'!$B$14:$C$22,2,FALSE),IF(O199="ALUMINIO",VLOOKUP(P199,'Tiempo Objeto'!$B$24:$C$32,2,FALSE))))</f>
        <v>1.84</v>
      </c>
      <c r="X199" s="84">
        <f t="shared" si="318"/>
        <v>73.600000000000009</v>
      </c>
      <c r="Y199" s="80">
        <f t="shared" si="319"/>
        <v>102.22222222222224</v>
      </c>
      <c r="Z199" s="100">
        <v>8</v>
      </c>
      <c r="AA199" s="85">
        <f t="shared" si="320"/>
        <v>3840</v>
      </c>
      <c r="AB199" s="86">
        <f>+Z199*Analisis!$J$6</f>
        <v>200</v>
      </c>
      <c r="AC199" s="100">
        <v>0</v>
      </c>
      <c r="AD199" s="85">
        <f t="shared" si="321"/>
        <v>0</v>
      </c>
      <c r="AE199" s="86">
        <f>+AD199*Analisis!$J$7</f>
        <v>0</v>
      </c>
      <c r="AF199" s="86">
        <f t="shared" si="310"/>
        <v>477.85720327485382</v>
      </c>
      <c r="AG199" s="126">
        <f>+AF199/(1-Analisis!$E$9)</f>
        <v>597.32150409356723</v>
      </c>
      <c r="AH199" s="128">
        <f t="shared" si="312"/>
        <v>179196.45122807016</v>
      </c>
      <c r="AI199" s="128">
        <f>+L199*C199</f>
        <v>29448.993000000002</v>
      </c>
    </row>
    <row r="200" spans="1:35" s="73" customFormat="1" x14ac:dyDescent="0.25">
      <c r="A200" s="100"/>
      <c r="B200" s="114" t="s">
        <v>333</v>
      </c>
      <c r="C200" s="138">
        <f>IFERROR(VLOOKUP(B200,'REQ GALV'!A:B,2,0),0)</f>
        <v>420</v>
      </c>
      <c r="D200" s="116">
        <f t="shared" si="311"/>
        <v>629.0370304093567</v>
      </c>
      <c r="E200" s="103" t="s">
        <v>41</v>
      </c>
      <c r="F200" s="75" t="s">
        <v>147</v>
      </c>
      <c r="G200" s="90">
        <v>4.1399999999999997</v>
      </c>
      <c r="H200" s="90">
        <v>38.090000000000003</v>
      </c>
      <c r="I200" s="76">
        <v>0.105</v>
      </c>
      <c r="J200" s="77">
        <v>28.24</v>
      </c>
      <c r="K200" s="78">
        <f t="shared" si="313"/>
        <v>9.0771275495750725</v>
      </c>
      <c r="L200" s="58">
        <f>+VLOOKUP(E200,Material!$H$2:$M$17,6,FALSE)*G200*H200*(1+Material!$K$14)</f>
        <v>116.51731000000001</v>
      </c>
      <c r="M200" s="79" t="str">
        <f>+Analisis!$J$5</f>
        <v>T5.0</v>
      </c>
      <c r="N200" s="80">
        <f>+VLOOKUP(M200,Material!$A$3:$B$58,2,FALSE)</f>
        <v>5000</v>
      </c>
      <c r="O200" s="79" t="s">
        <v>42</v>
      </c>
      <c r="P200" s="79" t="s">
        <v>43</v>
      </c>
      <c r="Q200" s="81">
        <f>+IF(O200="ACERO A36",VLOOKUP(P200,'Velocidades Std 1500 w'!$B$2:$F$15,5,FALSE),IF(O200="INOXIDABLE",VLOOKUP(P200,'Velocidades Std 1500 w'!$B$17:$F$28,5,FALSE),IF(O200="ALUMINIO",VLOOKUP(P200,'Velocidades Std 1500 w'!$B$30:$F$38,5,FALSE))))</f>
        <v>4.3859649122807014E-6</v>
      </c>
      <c r="R200" s="82">
        <f t="shared" si="314"/>
        <v>2.1929824561403508E-2</v>
      </c>
      <c r="S200" s="83">
        <f t="shared" si="315"/>
        <v>60.832866315789474</v>
      </c>
      <c r="T200" s="110">
        <f t="shared" si="316"/>
        <v>3852.7482000000005</v>
      </c>
      <c r="U200" s="80">
        <f t="shared" si="317"/>
        <v>84.490092105263159</v>
      </c>
      <c r="V200" s="98">
        <v>40</v>
      </c>
      <c r="W200" s="84">
        <f>+IF(O200="ACERO A36",VLOOKUP(P200,'Tiempo Objeto'!$B$2:$C$12,2,FALSE),IF(O200="INOXIDABLE",VLOOKUP(P200,'Tiempo Objeto'!$B$14:$C$22,2,FALSE),IF(O200="ALUMINIO",VLOOKUP(P200,'Tiempo Objeto'!$B$24:$C$32,2,FALSE))))</f>
        <v>1.84</v>
      </c>
      <c r="X200" s="84">
        <f t="shared" si="318"/>
        <v>73.600000000000009</v>
      </c>
      <c r="Y200" s="80">
        <f t="shared" si="319"/>
        <v>102.22222222222224</v>
      </c>
      <c r="Z200" s="100">
        <v>8</v>
      </c>
      <c r="AA200" s="85">
        <f t="shared" si="320"/>
        <v>5280</v>
      </c>
      <c r="AB200" s="86">
        <f>+Z200*Analisis!$J$6</f>
        <v>200</v>
      </c>
      <c r="AC200" s="100">
        <v>0</v>
      </c>
      <c r="AD200" s="85">
        <f t="shared" si="321"/>
        <v>0</v>
      </c>
      <c r="AE200" s="86">
        <f>+AD200*Analisis!$J$7</f>
        <v>0</v>
      </c>
      <c r="AF200" s="86">
        <f t="shared" si="310"/>
        <v>503.2296243274854</v>
      </c>
      <c r="AG200" s="126">
        <f>+AF200/(1-Analisis!$E$9)</f>
        <v>629.0370304093567</v>
      </c>
      <c r="AH200" s="128">
        <f t="shared" si="312"/>
        <v>264195.55277192983</v>
      </c>
      <c r="AI200" s="128">
        <f>+L200*C200</f>
        <v>48937.270200000006</v>
      </c>
    </row>
    <row r="201" spans="1:35" s="73" customFormat="1" x14ac:dyDescent="0.25">
      <c r="A201" s="100"/>
      <c r="B201" s="114" t="s">
        <v>397</v>
      </c>
      <c r="C201" s="138">
        <f>IFERROR(VLOOKUP(B201,'REQ GALV'!A:B,2,0),0)</f>
        <v>120</v>
      </c>
      <c r="D201" s="116">
        <f t="shared" si="311"/>
        <v>671.32439883040945</v>
      </c>
      <c r="E201" s="103" t="s">
        <v>41</v>
      </c>
      <c r="F201" s="75" t="s">
        <v>147</v>
      </c>
      <c r="G201" s="90">
        <v>4.1399999999999997</v>
      </c>
      <c r="H201" s="90">
        <v>46.09</v>
      </c>
      <c r="I201" s="76">
        <v>0.105</v>
      </c>
      <c r="J201" s="77">
        <v>28.24</v>
      </c>
      <c r="K201" s="78">
        <f t="shared" si="313"/>
        <v>10.983586473087822</v>
      </c>
      <c r="L201" s="58">
        <f>+VLOOKUP(E201,Material!$H$2:$M$17,6,FALSE)*G201*H201*(1+Material!$K$14)</f>
        <v>140.98931000000002</v>
      </c>
      <c r="M201" s="79" t="str">
        <f>+Analisis!$J$5</f>
        <v>T5.0</v>
      </c>
      <c r="N201" s="80">
        <f>+VLOOKUP(M201,Material!$A$3:$B$58,2,FALSE)</f>
        <v>5000</v>
      </c>
      <c r="O201" s="79" t="s">
        <v>42</v>
      </c>
      <c r="P201" s="79" t="s">
        <v>43</v>
      </c>
      <c r="Q201" s="81">
        <f>+IF(O201="ACERO A36",VLOOKUP(P201,'Velocidades Std 1500 w'!$B$2:$F$15,5,FALSE),IF(O201="INOXIDABLE",VLOOKUP(P201,'Velocidades Std 1500 w'!$B$17:$F$28,5,FALSE),IF(O201="ALUMINIO",VLOOKUP(P201,'Velocidades Std 1500 w'!$B$30:$F$38,5,FALSE))))</f>
        <v>4.3859649122807014E-6</v>
      </c>
      <c r="R201" s="82">
        <f t="shared" si="314"/>
        <v>2.1929824561403508E-2</v>
      </c>
      <c r="S201" s="83">
        <f t="shared" si="315"/>
        <v>67.570550526315785</v>
      </c>
      <c r="T201" s="110">
        <f t="shared" si="316"/>
        <v>4279.4682000000003</v>
      </c>
      <c r="U201" s="80">
        <f t="shared" si="317"/>
        <v>93.847986842105257</v>
      </c>
      <c r="V201" s="98">
        <v>40</v>
      </c>
      <c r="W201" s="84">
        <f>+IF(O201="ACERO A36",VLOOKUP(P201,'Tiempo Objeto'!$B$2:$C$12,2,FALSE),IF(O201="INOXIDABLE",VLOOKUP(P201,'Tiempo Objeto'!$B$14:$C$22,2,FALSE),IF(O201="ALUMINIO",VLOOKUP(P201,'Tiempo Objeto'!$B$24:$C$32,2,FALSE))))</f>
        <v>1.84</v>
      </c>
      <c r="X201" s="84">
        <f t="shared" si="318"/>
        <v>73.600000000000009</v>
      </c>
      <c r="Y201" s="80">
        <f t="shared" si="319"/>
        <v>102.22222222222224</v>
      </c>
      <c r="Z201" s="100">
        <v>8</v>
      </c>
      <c r="AA201" s="85">
        <f t="shared" si="320"/>
        <v>1680</v>
      </c>
      <c r="AB201" s="86">
        <f>+Z201*Analisis!$J$6</f>
        <v>200</v>
      </c>
      <c r="AC201" s="100">
        <v>0</v>
      </c>
      <c r="AD201" s="85">
        <f t="shared" si="321"/>
        <v>0</v>
      </c>
      <c r="AE201" s="86">
        <f>+AD201*Analisis!$J$7</f>
        <v>0</v>
      </c>
      <c r="AF201" s="86">
        <f t="shared" si="310"/>
        <v>537.05951906432756</v>
      </c>
      <c r="AG201" s="126">
        <f>+AF201/(1-Analisis!$E$9)</f>
        <v>671.32439883040945</v>
      </c>
      <c r="AH201" s="128">
        <f t="shared" si="312"/>
        <v>80558.927859649135</v>
      </c>
      <c r="AI201" s="128">
        <f>+L201*C201</f>
        <v>16918.717200000003</v>
      </c>
    </row>
    <row r="202" spans="1:35" s="73" customFormat="1" x14ac:dyDescent="0.25">
      <c r="A202" s="100"/>
      <c r="B202" s="114" t="s">
        <v>398</v>
      </c>
      <c r="C202" s="74">
        <f>IFERROR(VLOOKUP(B202,'REQ GALV'!A:B,2,0),0)</f>
        <v>0</v>
      </c>
      <c r="D202" s="116">
        <f t="shared" si="311"/>
        <v>613.17926725146197</v>
      </c>
      <c r="E202" s="103" t="s">
        <v>41</v>
      </c>
      <c r="F202" s="75" t="s">
        <v>147</v>
      </c>
      <c r="G202" s="90">
        <v>4.1399999999999997</v>
      </c>
      <c r="H202" s="90">
        <v>35.090000000000003</v>
      </c>
      <c r="I202" s="76">
        <v>0.105</v>
      </c>
      <c r="J202" s="77">
        <v>28.24</v>
      </c>
      <c r="K202" s="78">
        <f t="shared" si="313"/>
        <v>8.3622054532577934</v>
      </c>
      <c r="L202" s="58">
        <f>+VLOOKUP(E202,Material!$H$2:$M$17,6,FALSE)*G202*H202*(1+Material!$K$14)</f>
        <v>107.34031000000002</v>
      </c>
      <c r="M202" s="79" t="str">
        <f>+Analisis!$J$5</f>
        <v>T5.0</v>
      </c>
      <c r="N202" s="80">
        <f>+VLOOKUP(M202,Material!$A$3:$B$58,2,FALSE)</f>
        <v>5000</v>
      </c>
      <c r="O202" s="79" t="s">
        <v>42</v>
      </c>
      <c r="P202" s="79" t="s">
        <v>43</v>
      </c>
      <c r="Q202" s="81">
        <f>+IF(O202="ACERO A36",VLOOKUP(P202,'Velocidades Std 1500 w'!$B$2:$F$15,5,FALSE),IF(O202="INOXIDABLE",VLOOKUP(P202,'Velocidades Std 1500 w'!$B$17:$F$28,5,FALSE),IF(O202="ALUMINIO",VLOOKUP(P202,'Velocidades Std 1500 w'!$B$30:$F$38,5,FALSE))))</f>
        <v>4.3859649122807014E-6</v>
      </c>
      <c r="R202" s="82">
        <f t="shared" si="314"/>
        <v>2.1929824561403508E-2</v>
      </c>
      <c r="S202" s="83">
        <f t="shared" si="315"/>
        <v>58.306234736842107</v>
      </c>
      <c r="T202" s="110">
        <f t="shared" si="316"/>
        <v>3692.7282</v>
      </c>
      <c r="U202" s="80">
        <f t="shared" si="317"/>
        <v>80.980881578947361</v>
      </c>
      <c r="V202" s="98">
        <v>40</v>
      </c>
      <c r="W202" s="84">
        <f>+IF(O202="ACERO A36",VLOOKUP(P202,'Tiempo Objeto'!$B$2:$C$12,2,FALSE),IF(O202="INOXIDABLE",VLOOKUP(P202,'Tiempo Objeto'!$B$14:$C$22,2,FALSE),IF(O202="ALUMINIO",VLOOKUP(P202,'Tiempo Objeto'!$B$24:$C$32,2,FALSE))))</f>
        <v>1.84</v>
      </c>
      <c r="X202" s="84">
        <f t="shared" si="318"/>
        <v>73.600000000000009</v>
      </c>
      <c r="Y202" s="80">
        <f t="shared" si="319"/>
        <v>102.22222222222224</v>
      </c>
      <c r="Z202" s="100">
        <v>8</v>
      </c>
      <c r="AA202" s="85">
        <f t="shared" si="320"/>
        <v>240</v>
      </c>
      <c r="AB202" s="86">
        <f>+Z202*Analisis!$J$6</f>
        <v>200</v>
      </c>
      <c r="AC202" s="100">
        <v>0</v>
      </c>
      <c r="AD202" s="85">
        <f t="shared" si="321"/>
        <v>0</v>
      </c>
      <c r="AE202" s="86">
        <f>+AD202*Analisis!$J$7</f>
        <v>0</v>
      </c>
      <c r="AF202" s="86">
        <f t="shared" si="310"/>
        <v>490.54341380116961</v>
      </c>
      <c r="AG202" s="126">
        <f>+AF202/(1-Analisis!$E$9)</f>
        <v>613.17926725146197</v>
      </c>
      <c r="AH202" s="128">
        <f t="shared" si="312"/>
        <v>0</v>
      </c>
    </row>
    <row r="203" spans="1:35" s="73" customFormat="1" x14ac:dyDescent="0.25">
      <c r="A203" s="100"/>
      <c r="B203" s="114" t="s">
        <v>399</v>
      </c>
      <c r="C203" s="74">
        <f>IFERROR(VLOOKUP(B203,'REQ GALV'!A:B,2,0),0)</f>
        <v>0</v>
      </c>
      <c r="D203" s="116">
        <f t="shared" si="311"/>
        <v>703.03992514619893</v>
      </c>
      <c r="E203" s="103" t="s">
        <v>41</v>
      </c>
      <c r="F203" s="75" t="s">
        <v>147</v>
      </c>
      <c r="G203" s="90">
        <v>4.1399999999999997</v>
      </c>
      <c r="H203" s="90">
        <v>52.09</v>
      </c>
      <c r="I203" s="76">
        <v>0.105</v>
      </c>
      <c r="J203" s="77">
        <v>28.24</v>
      </c>
      <c r="K203" s="78">
        <f t="shared" si="313"/>
        <v>12.413430665722382</v>
      </c>
      <c r="L203" s="58">
        <f>+VLOOKUP(E203,Material!$H$2:$M$17,6,FALSE)*G203*H203*(1+Material!$K$14)</f>
        <v>159.34331</v>
      </c>
      <c r="M203" s="79" t="str">
        <f>+Analisis!$J$5</f>
        <v>T5.0</v>
      </c>
      <c r="N203" s="80">
        <f>+VLOOKUP(M203,Material!$A$3:$B$58,2,FALSE)</f>
        <v>5000</v>
      </c>
      <c r="O203" s="79" t="s">
        <v>42</v>
      </c>
      <c r="P203" s="79" t="s">
        <v>43</v>
      </c>
      <c r="Q203" s="81">
        <f>+IF(O203="ACERO A36",VLOOKUP(P203,'Velocidades Std 1500 w'!$B$2:$F$15,5,FALSE),IF(O203="INOXIDABLE",VLOOKUP(P203,'Velocidades Std 1500 w'!$B$17:$F$28,5,FALSE),IF(O203="ALUMINIO",VLOOKUP(P203,'Velocidades Std 1500 w'!$B$30:$F$38,5,FALSE))))</f>
        <v>4.3859649122807014E-6</v>
      </c>
      <c r="R203" s="82">
        <f t="shared" si="314"/>
        <v>2.1929824561403508E-2</v>
      </c>
      <c r="S203" s="83">
        <f t="shared" si="315"/>
        <v>72.623813684210518</v>
      </c>
      <c r="T203" s="110">
        <f t="shared" si="316"/>
        <v>4599.5082000000002</v>
      </c>
      <c r="U203" s="80">
        <f t="shared" si="317"/>
        <v>100.86640789473684</v>
      </c>
      <c r="V203" s="98">
        <v>40</v>
      </c>
      <c r="W203" s="84">
        <f>+IF(O203="ACERO A36",VLOOKUP(P203,'Tiempo Objeto'!$B$2:$C$12,2,FALSE),IF(O203="INOXIDABLE",VLOOKUP(P203,'Tiempo Objeto'!$B$14:$C$22,2,FALSE),IF(O203="ALUMINIO",VLOOKUP(P203,'Tiempo Objeto'!$B$24:$C$32,2,FALSE))))</f>
        <v>1.84</v>
      </c>
      <c r="X203" s="84">
        <f t="shared" si="318"/>
        <v>73.600000000000009</v>
      </c>
      <c r="Y203" s="80">
        <f t="shared" si="319"/>
        <v>102.22222222222224</v>
      </c>
      <c r="Z203" s="100">
        <v>8</v>
      </c>
      <c r="AA203" s="85">
        <f t="shared" si="320"/>
        <v>240</v>
      </c>
      <c r="AB203" s="86">
        <f>+Z203*Analisis!$J$6</f>
        <v>200</v>
      </c>
      <c r="AC203" s="100">
        <v>0</v>
      </c>
      <c r="AD203" s="85">
        <f t="shared" si="321"/>
        <v>0</v>
      </c>
      <c r="AE203" s="86">
        <f>+AD203*Analisis!$J$7</f>
        <v>0</v>
      </c>
      <c r="AF203" s="86">
        <f t="shared" si="310"/>
        <v>562.43194011695914</v>
      </c>
      <c r="AG203" s="126">
        <f>+AF203/(1-Analisis!$E$9)</f>
        <v>703.03992514619893</v>
      </c>
      <c r="AH203" s="128">
        <f t="shared" si="312"/>
        <v>0</v>
      </c>
    </row>
    <row r="204" spans="1:35" s="73" customFormat="1" x14ac:dyDescent="0.25">
      <c r="A204" s="100"/>
      <c r="B204" s="114" t="s">
        <v>400</v>
      </c>
      <c r="C204" s="74">
        <f>IFERROR(VLOOKUP(B204,'REQ GALV'!A:B,2,0),0)</f>
        <v>0</v>
      </c>
      <c r="D204" s="116">
        <f t="shared" si="311"/>
        <v>734.7554514619884</v>
      </c>
      <c r="E204" s="103" t="s">
        <v>41</v>
      </c>
      <c r="F204" s="75" t="s">
        <v>147</v>
      </c>
      <c r="G204" s="90">
        <v>4.1399999999999997</v>
      </c>
      <c r="H204" s="90">
        <v>58.09</v>
      </c>
      <c r="I204" s="76">
        <v>0.105</v>
      </c>
      <c r="J204" s="77">
        <v>28.24</v>
      </c>
      <c r="K204" s="78">
        <f t="shared" si="313"/>
        <v>13.843274858356942</v>
      </c>
      <c r="L204" s="58">
        <f>+VLOOKUP(E204,Material!$H$2:$M$17,6,FALSE)*G204*H204*(1+Material!$K$14)</f>
        <v>177.69731000000002</v>
      </c>
      <c r="M204" s="79" t="str">
        <f>+Analisis!$J$5</f>
        <v>T5.0</v>
      </c>
      <c r="N204" s="80">
        <f>+VLOOKUP(M204,Material!$A$3:$B$58,2,FALSE)</f>
        <v>5000</v>
      </c>
      <c r="O204" s="79" t="s">
        <v>42</v>
      </c>
      <c r="P204" s="79" t="s">
        <v>43</v>
      </c>
      <c r="Q204" s="81">
        <f>+IF(O204="ACERO A36",VLOOKUP(P204,'Velocidades Std 1500 w'!$B$2:$F$15,5,FALSE),IF(O204="INOXIDABLE",VLOOKUP(P204,'Velocidades Std 1500 w'!$B$17:$F$28,5,FALSE),IF(O204="ALUMINIO",VLOOKUP(P204,'Velocidades Std 1500 w'!$B$30:$F$38,5,FALSE))))</f>
        <v>4.3859649122807014E-6</v>
      </c>
      <c r="R204" s="82">
        <f t="shared" si="314"/>
        <v>2.1929824561403508E-2</v>
      </c>
      <c r="S204" s="83">
        <f t="shared" si="315"/>
        <v>77.677076842105265</v>
      </c>
      <c r="T204" s="110">
        <f t="shared" si="316"/>
        <v>4919.5482000000002</v>
      </c>
      <c r="U204" s="80">
        <f t="shared" si="317"/>
        <v>107.88482894736842</v>
      </c>
      <c r="V204" s="98">
        <v>40</v>
      </c>
      <c r="W204" s="84">
        <f>+IF(O204="ACERO A36",VLOOKUP(P204,'Tiempo Objeto'!$B$2:$C$12,2,FALSE),IF(O204="INOXIDABLE",VLOOKUP(P204,'Tiempo Objeto'!$B$14:$C$22,2,FALSE),IF(O204="ALUMINIO",VLOOKUP(P204,'Tiempo Objeto'!$B$24:$C$32,2,FALSE))))</f>
        <v>1.84</v>
      </c>
      <c r="X204" s="84">
        <f t="shared" si="318"/>
        <v>73.600000000000009</v>
      </c>
      <c r="Y204" s="80">
        <f t="shared" si="319"/>
        <v>102.22222222222224</v>
      </c>
      <c r="Z204" s="100">
        <v>8</v>
      </c>
      <c r="AA204" s="85">
        <f t="shared" si="320"/>
        <v>240</v>
      </c>
      <c r="AB204" s="86">
        <f>+Z204*Analisis!$J$6</f>
        <v>200</v>
      </c>
      <c r="AC204" s="100">
        <v>0</v>
      </c>
      <c r="AD204" s="85">
        <f t="shared" si="321"/>
        <v>0</v>
      </c>
      <c r="AE204" s="86">
        <f>+AD204*Analisis!$J$7</f>
        <v>0</v>
      </c>
      <c r="AF204" s="86">
        <f t="shared" si="310"/>
        <v>587.80436116959072</v>
      </c>
      <c r="AG204" s="126">
        <f>+AF204/(1-Analisis!$E$9)</f>
        <v>734.7554514619884</v>
      </c>
      <c r="AH204" s="128">
        <f t="shared" si="312"/>
        <v>0</v>
      </c>
    </row>
    <row r="205" spans="1:35" s="73" customFormat="1" x14ac:dyDescent="0.25">
      <c r="A205" s="100"/>
      <c r="B205" s="114" t="s">
        <v>401</v>
      </c>
      <c r="C205" s="74">
        <f>IFERROR(VLOOKUP(B205,'REQ GALV'!A:B,2,0),0)</f>
        <v>0</v>
      </c>
      <c r="D205" s="116">
        <f t="shared" si="311"/>
        <v>576.17781988304091</v>
      </c>
      <c r="E205" s="103" t="s">
        <v>41</v>
      </c>
      <c r="F205" s="75" t="s">
        <v>147</v>
      </c>
      <c r="G205" s="90">
        <v>4.1399999999999997</v>
      </c>
      <c r="H205" s="90">
        <v>28.09</v>
      </c>
      <c r="I205" s="76">
        <v>0.105</v>
      </c>
      <c r="J205" s="77">
        <v>28.24</v>
      </c>
      <c r="K205" s="78">
        <f t="shared" si="313"/>
        <v>6.6940538951841377</v>
      </c>
      <c r="L205" s="58">
        <f>+VLOOKUP(E205,Material!$H$2:$M$17,6,FALSE)*G205*H205*(1+Material!$K$14)</f>
        <v>85.927310000000006</v>
      </c>
      <c r="M205" s="79" t="str">
        <f>+Analisis!$J$5</f>
        <v>T5.0</v>
      </c>
      <c r="N205" s="80">
        <f>+VLOOKUP(M205,Material!$A$3:$B$58,2,FALSE)</f>
        <v>5000</v>
      </c>
      <c r="O205" s="79" t="s">
        <v>42</v>
      </c>
      <c r="P205" s="79" t="s">
        <v>43</v>
      </c>
      <c r="Q205" s="81">
        <f>+IF(O205="ACERO A36",VLOOKUP(P205,'Velocidades Std 1500 w'!$B$2:$F$15,5,FALSE),IF(O205="INOXIDABLE",VLOOKUP(P205,'Velocidades Std 1500 w'!$B$17:$F$28,5,FALSE),IF(O205="ALUMINIO",VLOOKUP(P205,'Velocidades Std 1500 w'!$B$30:$F$38,5,FALSE))))</f>
        <v>4.3859649122807014E-6</v>
      </c>
      <c r="R205" s="82">
        <f t="shared" si="314"/>
        <v>2.1929824561403508E-2</v>
      </c>
      <c r="S205" s="83">
        <f t="shared" si="315"/>
        <v>52.410761052631578</v>
      </c>
      <c r="T205" s="110">
        <f t="shared" si="316"/>
        <v>3319.3481999999999</v>
      </c>
      <c r="U205" s="80">
        <f t="shared" si="317"/>
        <v>72.792723684210515</v>
      </c>
      <c r="V205" s="98">
        <v>40</v>
      </c>
      <c r="W205" s="84">
        <f>+IF(O205="ACERO A36",VLOOKUP(P205,'Tiempo Objeto'!$B$2:$C$12,2,FALSE),IF(O205="INOXIDABLE",VLOOKUP(P205,'Tiempo Objeto'!$B$14:$C$22,2,FALSE),IF(O205="ALUMINIO",VLOOKUP(P205,'Tiempo Objeto'!$B$24:$C$32,2,FALSE))))</f>
        <v>1.84</v>
      </c>
      <c r="X205" s="84">
        <f t="shared" si="318"/>
        <v>73.600000000000009</v>
      </c>
      <c r="Y205" s="80">
        <f t="shared" si="319"/>
        <v>102.22222222222224</v>
      </c>
      <c r="Z205" s="100">
        <v>8</v>
      </c>
      <c r="AA205" s="85">
        <f t="shared" si="320"/>
        <v>240</v>
      </c>
      <c r="AB205" s="86">
        <f>+Z205*Analisis!$J$6</f>
        <v>200</v>
      </c>
      <c r="AC205" s="100">
        <v>0</v>
      </c>
      <c r="AD205" s="85">
        <f t="shared" si="321"/>
        <v>0</v>
      </c>
      <c r="AE205" s="86">
        <f>+AD205*Analisis!$J$7</f>
        <v>0</v>
      </c>
      <c r="AF205" s="86">
        <f t="shared" si="310"/>
        <v>460.94225590643276</v>
      </c>
      <c r="AG205" s="126">
        <f>+AF205/(1-Analisis!$E$9)</f>
        <v>576.17781988304091</v>
      </c>
      <c r="AH205" s="128">
        <f t="shared" si="312"/>
        <v>0</v>
      </c>
    </row>
    <row r="206" spans="1:35" s="73" customFormat="1" x14ac:dyDescent="0.25">
      <c r="A206" s="100"/>
      <c r="B206" s="114" t="s">
        <v>402</v>
      </c>
      <c r="C206" s="74">
        <f>IFERROR(VLOOKUP(B206,'REQ GALV'!A:B,2,0),0)</f>
        <v>0</v>
      </c>
      <c r="D206" s="116">
        <f t="shared" si="311"/>
        <v>639.60887251461986</v>
      </c>
      <c r="E206" s="103" t="s">
        <v>41</v>
      </c>
      <c r="F206" s="75" t="s">
        <v>147</v>
      </c>
      <c r="G206" s="90">
        <v>4.1399999999999997</v>
      </c>
      <c r="H206" s="90">
        <v>40.090000000000003</v>
      </c>
      <c r="I206" s="76">
        <v>0.105</v>
      </c>
      <c r="J206" s="77">
        <v>28.24</v>
      </c>
      <c r="K206" s="78">
        <f t="shared" si="313"/>
        <v>9.5537422804532586</v>
      </c>
      <c r="L206" s="58">
        <f>+VLOOKUP(E206,Material!$H$2:$M$17,6,FALSE)*G206*H206*(1+Material!$K$14)</f>
        <v>122.63531</v>
      </c>
      <c r="M206" s="79" t="str">
        <f>+Analisis!$J$5</f>
        <v>T5.0</v>
      </c>
      <c r="N206" s="80">
        <f>+VLOOKUP(M206,Material!$A$3:$B$58,2,FALSE)</f>
        <v>5000</v>
      </c>
      <c r="O206" s="79" t="s">
        <v>42</v>
      </c>
      <c r="P206" s="79" t="s">
        <v>43</v>
      </c>
      <c r="Q206" s="81">
        <f>+IF(O206="ACERO A36",VLOOKUP(P206,'Velocidades Std 1500 w'!$B$2:$F$15,5,FALSE),IF(O206="INOXIDABLE",VLOOKUP(P206,'Velocidades Std 1500 w'!$B$17:$F$28,5,FALSE),IF(O206="ALUMINIO",VLOOKUP(P206,'Velocidades Std 1500 w'!$B$30:$F$38,5,FALSE))))</f>
        <v>4.3859649122807014E-6</v>
      </c>
      <c r="R206" s="82">
        <f t="shared" si="314"/>
        <v>2.1929824561403508E-2</v>
      </c>
      <c r="S206" s="83">
        <f t="shared" si="315"/>
        <v>62.517287368421051</v>
      </c>
      <c r="T206" s="110">
        <f t="shared" si="316"/>
        <v>3959.4282000000003</v>
      </c>
      <c r="U206" s="80">
        <f t="shared" si="317"/>
        <v>86.829565789473691</v>
      </c>
      <c r="V206" s="98">
        <v>40</v>
      </c>
      <c r="W206" s="84">
        <f>+IF(O206="ACERO A36",VLOOKUP(P206,'Tiempo Objeto'!$B$2:$C$12,2,FALSE),IF(O206="INOXIDABLE",VLOOKUP(P206,'Tiempo Objeto'!$B$14:$C$22,2,FALSE),IF(O206="ALUMINIO",VLOOKUP(P206,'Tiempo Objeto'!$B$24:$C$32,2,FALSE))))</f>
        <v>1.84</v>
      </c>
      <c r="X206" s="84">
        <f t="shared" si="318"/>
        <v>73.600000000000009</v>
      </c>
      <c r="Y206" s="80">
        <f t="shared" si="319"/>
        <v>102.22222222222224</v>
      </c>
      <c r="Z206" s="100">
        <v>8</v>
      </c>
      <c r="AA206" s="85">
        <f t="shared" si="320"/>
        <v>240</v>
      </c>
      <c r="AB206" s="86">
        <f>+Z206*Analisis!$J$6</f>
        <v>200</v>
      </c>
      <c r="AC206" s="100">
        <v>0</v>
      </c>
      <c r="AD206" s="85">
        <f t="shared" si="321"/>
        <v>0</v>
      </c>
      <c r="AE206" s="86">
        <f>+AD206*Analisis!$J$7</f>
        <v>0</v>
      </c>
      <c r="AF206" s="86">
        <f t="shared" si="310"/>
        <v>511.68709801169592</v>
      </c>
      <c r="AG206" s="126">
        <f>+AF206/(1-Analisis!$E$9)</f>
        <v>639.60887251461986</v>
      </c>
      <c r="AH206" s="128">
        <f t="shared" si="312"/>
        <v>0</v>
      </c>
    </row>
    <row r="207" spans="1:35" s="73" customFormat="1" x14ac:dyDescent="0.25">
      <c r="A207" s="100"/>
      <c r="B207" s="114" t="s">
        <v>403</v>
      </c>
      <c r="C207" s="74">
        <f>IFERROR(VLOOKUP(B207,'REQ GALV'!A:B,2,0),0)</f>
        <v>0</v>
      </c>
      <c r="D207" s="116">
        <f t="shared" si="311"/>
        <v>681.89624093567261</v>
      </c>
      <c r="E207" s="103" t="s">
        <v>41</v>
      </c>
      <c r="F207" s="75" t="s">
        <v>147</v>
      </c>
      <c r="G207" s="90">
        <v>4.1399999999999997</v>
      </c>
      <c r="H207" s="90">
        <v>48.09</v>
      </c>
      <c r="I207" s="76">
        <v>0.105</v>
      </c>
      <c r="J207" s="77">
        <v>28.24</v>
      </c>
      <c r="K207" s="78">
        <f t="shared" si="313"/>
        <v>11.460201203966008</v>
      </c>
      <c r="L207" s="58">
        <f>+VLOOKUP(E207,Material!$H$2:$M$17,6,FALSE)*G207*H207*(1+Material!$K$14)</f>
        <v>147.10731000000001</v>
      </c>
      <c r="M207" s="79" t="str">
        <f>+Analisis!$J$5</f>
        <v>T5.0</v>
      </c>
      <c r="N207" s="80">
        <f>+VLOOKUP(M207,Material!$A$3:$B$58,2,FALSE)</f>
        <v>5000</v>
      </c>
      <c r="O207" s="79" t="s">
        <v>42</v>
      </c>
      <c r="P207" s="79" t="s">
        <v>43</v>
      </c>
      <c r="Q207" s="81">
        <f>+IF(O207="ACERO A36",VLOOKUP(P207,'Velocidades Std 1500 w'!$B$2:$F$15,5,FALSE),IF(O207="INOXIDABLE",VLOOKUP(P207,'Velocidades Std 1500 w'!$B$17:$F$28,5,FALSE),IF(O207="ALUMINIO",VLOOKUP(P207,'Velocidades Std 1500 w'!$B$30:$F$38,5,FALSE))))</f>
        <v>4.3859649122807014E-6</v>
      </c>
      <c r="R207" s="82">
        <f t="shared" si="314"/>
        <v>2.1929824561403508E-2</v>
      </c>
      <c r="S207" s="83">
        <f t="shared" si="315"/>
        <v>69.254971578947362</v>
      </c>
      <c r="T207" s="110">
        <f t="shared" si="316"/>
        <v>4386.1481999999996</v>
      </c>
      <c r="U207" s="80">
        <f t="shared" si="317"/>
        <v>96.187460526315775</v>
      </c>
      <c r="V207" s="98">
        <v>40</v>
      </c>
      <c r="W207" s="84">
        <f>+IF(O207="ACERO A36",VLOOKUP(P207,'Tiempo Objeto'!$B$2:$C$12,2,FALSE),IF(O207="INOXIDABLE",VLOOKUP(P207,'Tiempo Objeto'!$B$14:$C$22,2,FALSE),IF(O207="ALUMINIO",VLOOKUP(P207,'Tiempo Objeto'!$B$24:$C$32,2,FALSE))))</f>
        <v>1.84</v>
      </c>
      <c r="X207" s="84">
        <f t="shared" si="318"/>
        <v>73.600000000000009</v>
      </c>
      <c r="Y207" s="80">
        <f t="shared" si="319"/>
        <v>102.22222222222224</v>
      </c>
      <c r="Z207" s="100">
        <v>8</v>
      </c>
      <c r="AA207" s="85">
        <f t="shared" si="320"/>
        <v>240</v>
      </c>
      <c r="AB207" s="86">
        <f>+Z207*Analisis!$J$6</f>
        <v>200</v>
      </c>
      <c r="AC207" s="100">
        <v>0</v>
      </c>
      <c r="AD207" s="85">
        <f t="shared" si="321"/>
        <v>0</v>
      </c>
      <c r="AE207" s="86">
        <f>+AD207*Analisis!$J$7</f>
        <v>0</v>
      </c>
      <c r="AF207" s="86">
        <f t="shared" si="310"/>
        <v>545.51699274853809</v>
      </c>
      <c r="AG207" s="126">
        <f>+AF207/(1-Analisis!$E$9)</f>
        <v>681.89624093567261</v>
      </c>
      <c r="AH207" s="128">
        <f t="shared" si="312"/>
        <v>0</v>
      </c>
    </row>
    <row r="208" spans="1:35" s="73" customFormat="1" x14ac:dyDescent="0.25">
      <c r="A208" s="100"/>
      <c r="B208" s="114" t="s">
        <v>404</v>
      </c>
      <c r="C208" s="138">
        <f>IFERROR(VLOOKUP(B208,'REQ GALV'!A:B,2,0),0)</f>
        <v>180</v>
      </c>
      <c r="D208" s="116">
        <f t="shared" si="311"/>
        <v>560.32005672514617</v>
      </c>
      <c r="E208" s="103" t="s">
        <v>41</v>
      </c>
      <c r="F208" s="75" t="s">
        <v>147</v>
      </c>
      <c r="G208" s="90">
        <v>4.1399999999999997</v>
      </c>
      <c r="H208" s="90">
        <v>25.09</v>
      </c>
      <c r="I208" s="76">
        <v>0.105</v>
      </c>
      <c r="J208" s="77">
        <v>28.24</v>
      </c>
      <c r="K208" s="78">
        <f t="shared" si="313"/>
        <v>5.979131798866856</v>
      </c>
      <c r="L208" s="58">
        <f>+VLOOKUP(E208,Material!$H$2:$M$17,6,FALSE)*G208*H208*(1+Material!$K$14)</f>
        <v>76.750309999999999</v>
      </c>
      <c r="M208" s="79" t="str">
        <f>+Analisis!$J$5</f>
        <v>T5.0</v>
      </c>
      <c r="N208" s="80">
        <f>+VLOOKUP(M208,Material!$A$3:$B$58,2,FALSE)</f>
        <v>5000</v>
      </c>
      <c r="O208" s="79" t="s">
        <v>42</v>
      </c>
      <c r="P208" s="79" t="s">
        <v>43</v>
      </c>
      <c r="Q208" s="81">
        <f>+IF(O208="ACERO A36",VLOOKUP(P208,'Velocidades Std 1500 w'!$B$2:$F$15,5,FALSE),IF(O208="INOXIDABLE",VLOOKUP(P208,'Velocidades Std 1500 w'!$B$17:$F$28,5,FALSE),IF(O208="ALUMINIO",VLOOKUP(P208,'Velocidades Std 1500 w'!$B$30:$F$38,5,FALSE))))</f>
        <v>4.3859649122807014E-6</v>
      </c>
      <c r="R208" s="82">
        <f t="shared" si="314"/>
        <v>2.1929824561403508E-2</v>
      </c>
      <c r="S208" s="83">
        <f t="shared" si="315"/>
        <v>49.884129473684204</v>
      </c>
      <c r="T208" s="110">
        <f t="shared" si="316"/>
        <v>3159.3281999999999</v>
      </c>
      <c r="U208" s="80">
        <f t="shared" si="317"/>
        <v>69.283513157894731</v>
      </c>
      <c r="V208" s="98">
        <v>40</v>
      </c>
      <c r="W208" s="84">
        <f>+IF(O208="ACERO A36",VLOOKUP(P208,'Tiempo Objeto'!$B$2:$C$12,2,FALSE),IF(O208="INOXIDABLE",VLOOKUP(P208,'Tiempo Objeto'!$B$14:$C$22,2,FALSE),IF(O208="ALUMINIO",VLOOKUP(P208,'Tiempo Objeto'!$B$24:$C$32,2,FALSE))))</f>
        <v>1.84</v>
      </c>
      <c r="X208" s="84">
        <f t="shared" si="318"/>
        <v>73.600000000000009</v>
      </c>
      <c r="Y208" s="80">
        <f t="shared" si="319"/>
        <v>102.22222222222224</v>
      </c>
      <c r="Z208" s="100">
        <v>8</v>
      </c>
      <c r="AA208" s="85">
        <f t="shared" si="320"/>
        <v>2400</v>
      </c>
      <c r="AB208" s="86">
        <f>+Z208*Analisis!$J$6</f>
        <v>200</v>
      </c>
      <c r="AC208" s="100">
        <v>0</v>
      </c>
      <c r="AD208" s="85">
        <f t="shared" si="321"/>
        <v>0</v>
      </c>
      <c r="AE208" s="86">
        <f>+AD208*Analisis!$J$7</f>
        <v>0</v>
      </c>
      <c r="AF208" s="86">
        <f t="shared" si="310"/>
        <v>448.25604538011697</v>
      </c>
      <c r="AG208" s="126">
        <f>+AF208/(1-Analisis!$E$9)</f>
        <v>560.32005672514617</v>
      </c>
      <c r="AH208" s="128">
        <f t="shared" si="312"/>
        <v>100857.61021052631</v>
      </c>
      <c r="AI208" s="128">
        <f>+L208*C208</f>
        <v>13815.0558</v>
      </c>
    </row>
    <row r="209" spans="1:35" s="73" customFormat="1" x14ac:dyDescent="0.25">
      <c r="A209" s="100"/>
      <c r="B209" s="114" t="s">
        <v>405</v>
      </c>
      <c r="C209" s="138">
        <f>IFERROR(VLOOKUP(B209,'REQ GALV'!A:B,2,0),0)</f>
        <v>900</v>
      </c>
      <c r="D209" s="116">
        <f t="shared" si="311"/>
        <v>570.46955866228063</v>
      </c>
      <c r="E209" s="103" t="s">
        <v>41</v>
      </c>
      <c r="F209" s="75" t="s">
        <v>147</v>
      </c>
      <c r="G209" s="90">
        <v>4.75</v>
      </c>
      <c r="H209" s="90">
        <v>38.29</v>
      </c>
      <c r="I209" s="76">
        <v>0.105</v>
      </c>
      <c r="J209" s="77">
        <v>28.24</v>
      </c>
      <c r="K209" s="78">
        <f t="shared" si="256"/>
        <v>10.469262767548004</v>
      </c>
      <c r="L209" s="58">
        <f>+VLOOKUP(E209,Material!$H$2:$M$17,6,FALSE)*G209*H209*(1+Material!$K$14)</f>
        <v>134.3872638888889</v>
      </c>
      <c r="M209" s="79" t="str">
        <f>+Analisis!$J$5</f>
        <v>T5.0</v>
      </c>
      <c r="N209" s="80">
        <f>+VLOOKUP(M209,Material!$A$3:$B$58,2,FALSE)</f>
        <v>5000</v>
      </c>
      <c r="O209" s="79" t="s">
        <v>42</v>
      </c>
      <c r="P209" s="79" t="s">
        <v>43</v>
      </c>
      <c r="Q209" s="81">
        <f>+IF(O209="ACERO A36",VLOOKUP(P209,'Velocidades Std 1500 w'!$B$2:$F$15,5,FALSE),IF(O209="INOXIDABLE",VLOOKUP(P209,'Velocidades Std 1500 w'!$B$17:$F$28,5,FALSE),IF(O209="ALUMINIO",VLOOKUP(P209,'Velocidades Std 1500 w'!$B$30:$F$38,5,FALSE))))</f>
        <v>4.3859649122807014E-6</v>
      </c>
      <c r="R209" s="82">
        <f t="shared" si="257"/>
        <v>2.1929824561403508E-2</v>
      </c>
      <c r="S209" s="83">
        <f t="shared" si="258"/>
        <v>67.831635789473665</v>
      </c>
      <c r="T209" s="110">
        <f t="shared" si="259"/>
        <v>4296.0035999999991</v>
      </c>
      <c r="U209" s="80">
        <f t="shared" si="260"/>
        <v>94.210605263157873</v>
      </c>
      <c r="V209" s="98">
        <v>50</v>
      </c>
      <c r="W209" s="84">
        <f>+IF(O209="ACERO A36",VLOOKUP(P209,'Tiempo Objeto'!$B$2:$C$12,2,FALSE),IF(O209="INOXIDABLE",VLOOKUP(P209,'Tiempo Objeto'!$B$14:$C$22,2,FALSE),IF(O209="ALUMINIO",VLOOKUP(P209,'Tiempo Objeto'!$B$24:$C$32,2,FALSE))))</f>
        <v>1.84</v>
      </c>
      <c r="X209" s="84">
        <f t="shared" si="261"/>
        <v>92</v>
      </c>
      <c r="Y209" s="80">
        <f t="shared" si="262"/>
        <v>127.77777777777777</v>
      </c>
      <c r="Z209" s="100">
        <v>4</v>
      </c>
      <c r="AA209" s="85">
        <f t="shared" si="263"/>
        <v>5520</v>
      </c>
      <c r="AB209" s="86">
        <f>+Z209*Analisis!$J$6</f>
        <v>100</v>
      </c>
      <c r="AC209" s="100">
        <v>0</v>
      </c>
      <c r="AD209" s="85">
        <f t="shared" si="264"/>
        <v>0</v>
      </c>
      <c r="AE209" s="86">
        <f>+AD209*Analisis!$J$7</f>
        <v>0</v>
      </c>
      <c r="AF209" s="86">
        <f t="shared" si="310"/>
        <v>456.37564692982454</v>
      </c>
      <c r="AG209" s="126">
        <f>+AF209/(1-Analisis!$E$9)</f>
        <v>570.46955866228063</v>
      </c>
      <c r="AH209" s="128">
        <f t="shared" si="312"/>
        <v>513422.60279605258</v>
      </c>
      <c r="AI209" s="128">
        <f>+L209*C209</f>
        <v>120948.53750000001</v>
      </c>
    </row>
    <row r="210" spans="1:35" s="73" customFormat="1" x14ac:dyDescent="0.25">
      <c r="A210" s="100"/>
      <c r="B210" s="114" t="s">
        <v>334</v>
      </c>
      <c r="C210" s="74">
        <f>IFERROR(VLOOKUP(B210,'REQ GALV'!A:B,2,0),0)</f>
        <v>0</v>
      </c>
      <c r="D210" s="116">
        <f t="shared" si="311"/>
        <v>628.9627969663743</v>
      </c>
      <c r="E210" s="103" t="s">
        <v>41</v>
      </c>
      <c r="F210" s="75" t="s">
        <v>147</v>
      </c>
      <c r="G210" s="90">
        <v>4.75</v>
      </c>
      <c r="H210" s="90">
        <v>48.29</v>
      </c>
      <c r="I210" s="76">
        <v>0.105</v>
      </c>
      <c r="J210" s="77">
        <v>28.24</v>
      </c>
      <c r="K210" s="78">
        <f t="shared" ref="K210:K211" si="322">+L210*2.2/J210</f>
        <v>13.203465631885429</v>
      </c>
      <c r="L210" s="58">
        <f>+VLOOKUP(E210,Material!$H$2:$M$17,6,FALSE)*G210*H210*(1+Material!$K$14)</f>
        <v>169.48448611111112</v>
      </c>
      <c r="M210" s="79" t="str">
        <f>+Analisis!$J$5</f>
        <v>T5.0</v>
      </c>
      <c r="N210" s="80">
        <f>+VLOOKUP(M210,Material!$A$3:$B$58,2,FALSE)</f>
        <v>5000</v>
      </c>
      <c r="O210" s="79" t="s">
        <v>42</v>
      </c>
      <c r="P210" s="79" t="s">
        <v>43</v>
      </c>
      <c r="Q210" s="81">
        <f>+IF(O210="ACERO A36",VLOOKUP(P210,'Velocidades Std 1500 w'!$B$2:$F$15,5,FALSE),IF(O210="INOXIDABLE",VLOOKUP(P210,'Velocidades Std 1500 w'!$B$17:$F$28,5,FALSE),IF(O210="ALUMINIO",VLOOKUP(P210,'Velocidades Std 1500 w'!$B$30:$F$38,5,FALSE))))</f>
        <v>4.3859649122807014E-6</v>
      </c>
      <c r="R210" s="82">
        <f t="shared" ref="R210:R211" si="323">+Q210*N210</f>
        <v>2.1929824561403508E-2</v>
      </c>
      <c r="S210" s="83">
        <f t="shared" ref="S210:S211" si="324">+Q210*T210*3600</f>
        <v>76.253741052631568</v>
      </c>
      <c r="T210" s="110">
        <f t="shared" ref="T210:T211" si="325">(+H210*2+G210*2+V210*1.5)*25.4*1.05</f>
        <v>4829.4035999999996</v>
      </c>
      <c r="U210" s="80">
        <f t="shared" ref="U210:U211" si="326">+T210*R210</f>
        <v>105.90797368421052</v>
      </c>
      <c r="V210" s="98">
        <v>50</v>
      </c>
      <c r="W210" s="84">
        <f>+IF(O210="ACERO A36",VLOOKUP(P210,'Tiempo Objeto'!$B$2:$C$12,2,FALSE),IF(O210="INOXIDABLE",VLOOKUP(P210,'Tiempo Objeto'!$B$14:$C$22,2,FALSE),IF(O210="ALUMINIO",VLOOKUP(P210,'Tiempo Objeto'!$B$24:$C$32,2,FALSE))))</f>
        <v>1.84</v>
      </c>
      <c r="X210" s="84">
        <f t="shared" ref="X210:X211" si="327">+W210*V210</f>
        <v>92</v>
      </c>
      <c r="Y210" s="80">
        <f t="shared" ref="Y210:Y211" si="328">+X210*N210/3600</f>
        <v>127.77777777777777</v>
      </c>
      <c r="Z210" s="100">
        <v>4</v>
      </c>
      <c r="AA210" s="85">
        <f t="shared" ref="AA210:AA211" si="329">30*Z210+Z210*$C210*1.5</f>
        <v>120</v>
      </c>
      <c r="AB210" s="86">
        <f>+Z210*Analisis!$J$6</f>
        <v>100</v>
      </c>
      <c r="AC210" s="100">
        <v>0</v>
      </c>
      <c r="AD210" s="85">
        <f t="shared" ref="AD210:AD211" si="330">30*AC210+AC210*$C210*1.5</f>
        <v>0</v>
      </c>
      <c r="AE210" s="86">
        <f>+AD210*Analisis!$J$7</f>
        <v>0</v>
      </c>
      <c r="AF210" s="86">
        <f t="shared" si="310"/>
        <v>503.17023757309943</v>
      </c>
      <c r="AG210" s="126">
        <f>+AF210/(1-Analisis!$E$9)</f>
        <v>628.9627969663743</v>
      </c>
      <c r="AH210" s="128">
        <f t="shared" si="312"/>
        <v>0</v>
      </c>
    </row>
    <row r="211" spans="1:35" s="73" customFormat="1" x14ac:dyDescent="0.25">
      <c r="A211" s="100"/>
      <c r="B211" s="114" t="s">
        <v>406</v>
      </c>
      <c r="C211" s="74">
        <f>IFERROR(VLOOKUP(B211,'REQ GALV'!A:B,2,0),0)</f>
        <v>0</v>
      </c>
      <c r="D211" s="116">
        <f t="shared" si="311"/>
        <v>687.45603527046762</v>
      </c>
      <c r="E211" s="103" t="s">
        <v>41</v>
      </c>
      <c r="F211" s="75" t="s">
        <v>147</v>
      </c>
      <c r="G211" s="90">
        <v>4.75</v>
      </c>
      <c r="H211" s="90">
        <v>58.29</v>
      </c>
      <c r="I211" s="76">
        <v>0.105</v>
      </c>
      <c r="J211" s="77">
        <v>28.24</v>
      </c>
      <c r="K211" s="78">
        <f t="shared" si="322"/>
        <v>15.937668496222853</v>
      </c>
      <c r="L211" s="58">
        <f>+VLOOKUP(E211,Material!$H$2:$M$17,6,FALSE)*G211*H211*(1+Material!$K$14)</f>
        <v>204.58170833333332</v>
      </c>
      <c r="M211" s="79" t="str">
        <f>+Analisis!$J$5</f>
        <v>T5.0</v>
      </c>
      <c r="N211" s="80">
        <f>+VLOOKUP(M211,Material!$A$3:$B$58,2,FALSE)</f>
        <v>5000</v>
      </c>
      <c r="O211" s="79" t="s">
        <v>42</v>
      </c>
      <c r="P211" s="79" t="s">
        <v>43</v>
      </c>
      <c r="Q211" s="81">
        <f>+IF(O211="ACERO A36",VLOOKUP(P211,'Velocidades Std 1500 w'!$B$2:$F$15,5,FALSE),IF(O211="INOXIDABLE",VLOOKUP(P211,'Velocidades Std 1500 w'!$B$17:$F$28,5,FALSE),IF(O211="ALUMINIO",VLOOKUP(P211,'Velocidades Std 1500 w'!$B$30:$F$38,5,FALSE))))</f>
        <v>4.3859649122807014E-6</v>
      </c>
      <c r="R211" s="82">
        <f t="shared" si="323"/>
        <v>2.1929824561403508E-2</v>
      </c>
      <c r="S211" s="83">
        <f t="shared" si="324"/>
        <v>84.675846315789457</v>
      </c>
      <c r="T211" s="110">
        <f t="shared" si="325"/>
        <v>5362.8035999999993</v>
      </c>
      <c r="U211" s="80">
        <f t="shared" si="326"/>
        <v>117.60534210526313</v>
      </c>
      <c r="V211" s="98">
        <v>50</v>
      </c>
      <c r="W211" s="84">
        <f>+IF(O211="ACERO A36",VLOOKUP(P211,'Tiempo Objeto'!$B$2:$C$12,2,FALSE),IF(O211="INOXIDABLE",VLOOKUP(P211,'Tiempo Objeto'!$B$14:$C$22,2,FALSE),IF(O211="ALUMINIO",VLOOKUP(P211,'Tiempo Objeto'!$B$24:$C$32,2,FALSE))))</f>
        <v>1.84</v>
      </c>
      <c r="X211" s="84">
        <f t="shared" si="327"/>
        <v>92</v>
      </c>
      <c r="Y211" s="80">
        <f t="shared" si="328"/>
        <v>127.77777777777777</v>
      </c>
      <c r="Z211" s="100">
        <v>4</v>
      </c>
      <c r="AA211" s="85">
        <f t="shared" si="329"/>
        <v>120</v>
      </c>
      <c r="AB211" s="86">
        <f>+Z211*Analisis!$J$6</f>
        <v>100</v>
      </c>
      <c r="AC211" s="100">
        <v>0</v>
      </c>
      <c r="AD211" s="85">
        <f t="shared" si="330"/>
        <v>0</v>
      </c>
      <c r="AE211" s="86">
        <f>+AD211*Analisis!$J$7</f>
        <v>0</v>
      </c>
      <c r="AF211" s="86">
        <f t="shared" si="310"/>
        <v>549.96482821637414</v>
      </c>
      <c r="AG211" s="126">
        <f>+AF211/(1-Analisis!$E$9)</f>
        <v>687.45603527046762</v>
      </c>
      <c r="AH211" s="128">
        <f t="shared" si="312"/>
        <v>0</v>
      </c>
    </row>
    <row r="212" spans="1:35" s="73" customFormat="1" x14ac:dyDescent="0.25">
      <c r="A212" s="100"/>
      <c r="B212" s="114" t="s">
        <v>335</v>
      </c>
      <c r="C212" s="74">
        <f>IFERROR(VLOOKUP(B212,'REQ GALV'!A:B,2,0),0)</f>
        <v>0</v>
      </c>
      <c r="D212" s="116">
        <f t="shared" si="311"/>
        <v>202.45575953490501</v>
      </c>
      <c r="E212" s="103" t="s">
        <v>44</v>
      </c>
      <c r="F212" s="75" t="s">
        <v>147</v>
      </c>
      <c r="G212" s="90">
        <v>5.16</v>
      </c>
      <c r="H212" s="90">
        <v>12.31</v>
      </c>
      <c r="I212" s="76">
        <v>0.105</v>
      </c>
      <c r="J212" s="77">
        <v>28.24</v>
      </c>
      <c r="K212" s="78">
        <f t="shared" si="256"/>
        <v>4.4561469856586422</v>
      </c>
      <c r="L212" s="58">
        <f>+VLOOKUP(E212,Material!$H$2:$M$17,6,FALSE)*G212*H212*(1+Material!$K$14)</f>
        <v>57.200723125000017</v>
      </c>
      <c r="M212" s="79" t="str">
        <f>+Analisis!$J$5</f>
        <v>T5.0</v>
      </c>
      <c r="N212" s="80">
        <f>+VLOOKUP(M212,Material!$A$3:$B$58,2,FALSE)</f>
        <v>5000</v>
      </c>
      <c r="O212" s="79" t="s">
        <v>42</v>
      </c>
      <c r="P212" s="79" t="s">
        <v>43</v>
      </c>
      <c r="Q212" s="81">
        <f>+IF(O212="ACERO A36",VLOOKUP(P212,'Velocidades Std 1500 w'!$B$2:$F$15,5,FALSE),IF(O212="INOXIDABLE",VLOOKUP(P212,'Velocidades Std 1500 w'!$B$17:$F$28,5,FALSE),IF(O212="ALUMINIO",VLOOKUP(P212,'Velocidades Std 1500 w'!$B$30:$F$38,5,FALSE))))</f>
        <v>4.3859649122807014E-6</v>
      </c>
      <c r="R212" s="82">
        <f t="shared" si="257"/>
        <v>2.1929824561403508E-2</v>
      </c>
      <c r="S212" s="83">
        <f t="shared" si="258"/>
        <v>21.029996842105263</v>
      </c>
      <c r="T212" s="110">
        <f t="shared" si="259"/>
        <v>1331.8997999999999</v>
      </c>
      <c r="U212" s="80">
        <f t="shared" si="260"/>
        <v>29.208328947368418</v>
      </c>
      <c r="V212" s="98">
        <v>10</v>
      </c>
      <c r="W212" s="84">
        <f>+IF(O212="ACERO A36",VLOOKUP(P212,'Tiempo Objeto'!$B$2:$C$12,2,FALSE),IF(O212="INOXIDABLE",VLOOKUP(P212,'Tiempo Objeto'!$B$14:$C$22,2,FALSE),IF(O212="ALUMINIO",VLOOKUP(P212,'Tiempo Objeto'!$B$24:$C$32,2,FALSE))))</f>
        <v>1.84</v>
      </c>
      <c r="X212" s="84">
        <f t="shared" si="261"/>
        <v>18.400000000000002</v>
      </c>
      <c r="Y212" s="80">
        <f t="shared" si="262"/>
        <v>25.555555555555561</v>
      </c>
      <c r="Z212" s="100">
        <v>2</v>
      </c>
      <c r="AA212" s="85">
        <f t="shared" si="263"/>
        <v>60</v>
      </c>
      <c r="AB212" s="86">
        <f>+Z212*Analisis!$J$6</f>
        <v>50</v>
      </c>
      <c r="AC212" s="100">
        <v>0</v>
      </c>
      <c r="AD212" s="85">
        <f t="shared" si="264"/>
        <v>0</v>
      </c>
      <c r="AE212" s="86">
        <f>+AD212*Analisis!$J$7</f>
        <v>0</v>
      </c>
      <c r="AF212" s="86">
        <f t="shared" si="310"/>
        <v>161.96460762792401</v>
      </c>
      <c r="AG212" s="126">
        <f>+AF212/(1-Analisis!$E$9)</f>
        <v>202.45575953490501</v>
      </c>
      <c r="AH212" s="128">
        <f t="shared" si="312"/>
        <v>0</v>
      </c>
    </row>
    <row r="213" spans="1:35" s="73" customFormat="1" x14ac:dyDescent="0.25">
      <c r="A213" s="100"/>
      <c r="B213" s="114" t="s">
        <v>336</v>
      </c>
      <c r="C213" s="74">
        <f>IFERROR(VLOOKUP(B213,'REQ GALV'!A:B,2,0),0)</f>
        <v>0</v>
      </c>
      <c r="D213" s="116">
        <f t="shared" si="311"/>
        <v>202.45575953490501</v>
      </c>
      <c r="E213" s="103" t="s">
        <v>44</v>
      </c>
      <c r="F213" s="75" t="s">
        <v>147</v>
      </c>
      <c r="G213" s="90">
        <v>5.16</v>
      </c>
      <c r="H213" s="90">
        <v>12.31</v>
      </c>
      <c r="I213" s="76">
        <v>0.105</v>
      </c>
      <c r="J213" s="77">
        <v>28.24</v>
      </c>
      <c r="K213" s="78">
        <f t="shared" ref="K213" si="331">+L213*2.2/J213</f>
        <v>4.4561469856586422</v>
      </c>
      <c r="L213" s="58">
        <f>+VLOOKUP(E213,Material!$H$2:$M$17,6,FALSE)*G213*H213*(1+Material!$K$14)</f>
        <v>57.200723125000017</v>
      </c>
      <c r="M213" s="79" t="str">
        <f>+Analisis!$J$5</f>
        <v>T5.0</v>
      </c>
      <c r="N213" s="80">
        <f>+VLOOKUP(M213,Material!$A$3:$B$58,2,FALSE)</f>
        <v>5000</v>
      </c>
      <c r="O213" s="79" t="s">
        <v>42</v>
      </c>
      <c r="P213" s="79" t="s">
        <v>43</v>
      </c>
      <c r="Q213" s="81">
        <f>+IF(O213="ACERO A36",VLOOKUP(P213,'Velocidades Std 1500 w'!$B$2:$F$15,5,FALSE),IF(O213="INOXIDABLE",VLOOKUP(P213,'Velocidades Std 1500 w'!$B$17:$F$28,5,FALSE),IF(O213="ALUMINIO",VLOOKUP(P213,'Velocidades Std 1500 w'!$B$30:$F$38,5,FALSE))))</f>
        <v>4.3859649122807014E-6</v>
      </c>
      <c r="R213" s="82">
        <f t="shared" ref="R213" si="332">+Q213*N213</f>
        <v>2.1929824561403508E-2</v>
      </c>
      <c r="S213" s="83">
        <f t="shared" ref="S213" si="333">+Q213*T213*3600</f>
        <v>21.029996842105263</v>
      </c>
      <c r="T213" s="110">
        <f t="shared" ref="T213" si="334">(+H213*2+G213*2+V213*1.5)*25.4*1.05</f>
        <v>1331.8997999999999</v>
      </c>
      <c r="U213" s="80">
        <f t="shared" ref="U213" si="335">+T213*R213</f>
        <v>29.208328947368418</v>
      </c>
      <c r="V213" s="98">
        <v>10</v>
      </c>
      <c r="W213" s="84">
        <f>+IF(O213="ACERO A36",VLOOKUP(P213,'Tiempo Objeto'!$B$2:$C$12,2,FALSE),IF(O213="INOXIDABLE",VLOOKUP(P213,'Tiempo Objeto'!$B$14:$C$22,2,FALSE),IF(O213="ALUMINIO",VLOOKUP(P213,'Tiempo Objeto'!$B$24:$C$32,2,FALSE))))</f>
        <v>1.84</v>
      </c>
      <c r="X213" s="84">
        <f t="shared" ref="X213" si="336">+W213*V213</f>
        <v>18.400000000000002</v>
      </c>
      <c r="Y213" s="80">
        <f t="shared" ref="Y213" si="337">+X213*N213/3600</f>
        <v>25.555555555555561</v>
      </c>
      <c r="Z213" s="100">
        <v>2</v>
      </c>
      <c r="AA213" s="85">
        <f t="shared" si="263"/>
        <v>60</v>
      </c>
      <c r="AB213" s="86">
        <f>+Z213*Analisis!$J$6</f>
        <v>50</v>
      </c>
      <c r="AC213" s="100">
        <v>0</v>
      </c>
      <c r="AD213" s="85">
        <f t="shared" si="264"/>
        <v>0</v>
      </c>
      <c r="AE213" s="86">
        <f>+AD213*Analisis!$J$7</f>
        <v>0</v>
      </c>
      <c r="AF213" s="86">
        <f t="shared" si="310"/>
        <v>161.96460762792401</v>
      </c>
      <c r="AG213" s="126">
        <f>+AF213/(1-Analisis!$E$9)</f>
        <v>202.45575953490501</v>
      </c>
      <c r="AH213" s="128">
        <f t="shared" si="312"/>
        <v>0</v>
      </c>
    </row>
    <row r="214" spans="1:35" s="73" customFormat="1" x14ac:dyDescent="0.25">
      <c r="A214" s="100"/>
      <c r="B214" s="114" t="s">
        <v>407</v>
      </c>
      <c r="C214" s="74">
        <f>IFERROR(VLOOKUP(B214,'REQ GALV'!A:B,2,0),0)</f>
        <v>0</v>
      </c>
      <c r="D214" s="116">
        <f t="shared" si="311"/>
        <v>240.70802534493785</v>
      </c>
      <c r="E214" s="103" t="s">
        <v>44</v>
      </c>
      <c r="F214" s="75" t="s">
        <v>147</v>
      </c>
      <c r="G214" s="90">
        <v>3.51</v>
      </c>
      <c r="H214" s="90">
        <v>12.5</v>
      </c>
      <c r="I214" s="76">
        <v>0.105</v>
      </c>
      <c r="J214" s="77">
        <v>28.24</v>
      </c>
      <c r="K214" s="78">
        <f t="shared" si="256"/>
        <v>3.0780018922627481</v>
      </c>
      <c r="L214" s="58">
        <f>+VLOOKUP(E214,Material!$H$2:$M$17,6,FALSE)*G214*H214*(1+Material!$K$14)</f>
        <v>39.510351562499999</v>
      </c>
      <c r="M214" s="79" t="str">
        <f>+Analisis!$J$5</f>
        <v>T5.0</v>
      </c>
      <c r="N214" s="80">
        <f>+VLOOKUP(M214,Material!$A$3:$B$58,2,FALSE)</f>
        <v>5000</v>
      </c>
      <c r="O214" s="79" t="s">
        <v>42</v>
      </c>
      <c r="P214" s="79" t="s">
        <v>43</v>
      </c>
      <c r="Q214" s="81">
        <f>+IF(O214="ACERO A36",VLOOKUP(P214,'Velocidades Std 1500 w'!$B$2:$F$15,5,FALSE),IF(O214="INOXIDABLE",VLOOKUP(P214,'Velocidades Std 1500 w'!$B$17:$F$28,5,FALSE),IF(O214="ALUMINIO",VLOOKUP(P214,'Velocidades Std 1500 w'!$B$30:$F$38,5,FALSE))))</f>
        <v>4.3859649122807014E-6</v>
      </c>
      <c r="R214" s="82">
        <f t="shared" si="257"/>
        <v>2.1929824561403508E-2</v>
      </c>
      <c r="S214" s="83">
        <f t="shared" si="258"/>
        <v>19.800369473684206</v>
      </c>
      <c r="T214" s="110">
        <f t="shared" si="259"/>
        <v>1254.0233999999998</v>
      </c>
      <c r="U214" s="80">
        <f t="shared" si="260"/>
        <v>27.50051315789473</v>
      </c>
      <c r="V214" s="98">
        <v>10</v>
      </c>
      <c r="W214" s="84">
        <f>+IF(O214="ACERO A36",VLOOKUP(P214,'Tiempo Objeto'!$B$2:$C$12,2,FALSE),IF(O214="INOXIDABLE",VLOOKUP(P214,'Tiempo Objeto'!$B$14:$C$22,2,FALSE),IF(O214="ALUMINIO",VLOOKUP(P214,'Tiempo Objeto'!$B$24:$C$32,2,FALSE))))</f>
        <v>1.84</v>
      </c>
      <c r="X214" s="84">
        <f t="shared" si="261"/>
        <v>18.400000000000002</v>
      </c>
      <c r="Y214" s="80">
        <f t="shared" si="262"/>
        <v>25.555555555555561</v>
      </c>
      <c r="Z214" s="100">
        <v>4</v>
      </c>
      <c r="AA214" s="85">
        <f t="shared" si="263"/>
        <v>120</v>
      </c>
      <c r="AB214" s="86">
        <f>+Z214*Analisis!$J$6</f>
        <v>100</v>
      </c>
      <c r="AC214" s="100">
        <v>0</v>
      </c>
      <c r="AD214" s="85">
        <f t="shared" si="264"/>
        <v>0</v>
      </c>
      <c r="AE214" s="86">
        <f>+AD214*Analisis!$J$7</f>
        <v>0</v>
      </c>
      <c r="AF214" s="86">
        <f t="shared" si="310"/>
        <v>192.56642027595029</v>
      </c>
      <c r="AG214" s="126">
        <f>+AF214/(1-Analisis!$E$9)</f>
        <v>240.70802534493785</v>
      </c>
      <c r="AH214" s="128">
        <f t="shared" si="312"/>
        <v>0</v>
      </c>
    </row>
    <row r="215" spans="1:35" s="73" customFormat="1" x14ac:dyDescent="0.25">
      <c r="A215" s="100"/>
      <c r="B215" s="114" t="s">
        <v>408</v>
      </c>
      <c r="C215" s="74">
        <f>IFERROR(VLOOKUP(B215,'REQ GALV'!A:B,2,0),0)</f>
        <v>0</v>
      </c>
      <c r="D215" s="116">
        <f t="shared" si="311"/>
        <v>284.01367501599043</v>
      </c>
      <c r="E215" s="103" t="s">
        <v>44</v>
      </c>
      <c r="F215" s="75" t="s">
        <v>147</v>
      </c>
      <c r="G215" s="90">
        <v>3.51</v>
      </c>
      <c r="H215" s="90">
        <v>20.5</v>
      </c>
      <c r="I215" s="76">
        <v>0.105</v>
      </c>
      <c r="J215" s="77">
        <v>28.24</v>
      </c>
      <c r="K215" s="78">
        <f t="shared" ref="K215:K227" si="338">+L215*2.2/J215</f>
        <v>5.0479231033109073</v>
      </c>
      <c r="L215" s="58">
        <f>+VLOOKUP(E215,Material!$H$2:$M$17,6,FALSE)*G215*H215*(1+Material!$K$14)</f>
        <v>64.796976562499992</v>
      </c>
      <c r="M215" s="79" t="str">
        <f>+Analisis!$J$5</f>
        <v>T5.0</v>
      </c>
      <c r="N215" s="80">
        <f>+VLOOKUP(M215,Material!$A$3:$B$58,2,FALSE)</f>
        <v>5000</v>
      </c>
      <c r="O215" s="79" t="s">
        <v>42</v>
      </c>
      <c r="P215" s="79" t="s">
        <v>43</v>
      </c>
      <c r="Q215" s="81">
        <f>+IF(O215="ACERO A36",VLOOKUP(P215,'Velocidades Std 1500 w'!$B$2:$F$15,5,FALSE),IF(O215="INOXIDABLE",VLOOKUP(P215,'Velocidades Std 1500 w'!$B$17:$F$28,5,FALSE),IF(O215="ALUMINIO",VLOOKUP(P215,'Velocidades Std 1500 w'!$B$30:$F$38,5,FALSE))))</f>
        <v>4.3859649122807014E-6</v>
      </c>
      <c r="R215" s="82">
        <f t="shared" ref="R215:R227" si="339">+Q215*N215</f>
        <v>2.1929824561403508E-2</v>
      </c>
      <c r="S215" s="83">
        <f t="shared" ref="S215:S227" si="340">+Q215*T215*3600</f>
        <v>26.538053684210521</v>
      </c>
      <c r="T215" s="110">
        <f t="shared" ref="T215:T227" si="341">(+H215*2+G215*2+V215*1.5)*25.4*1.05</f>
        <v>1680.7433999999998</v>
      </c>
      <c r="U215" s="80">
        <f t="shared" ref="U215:U227" si="342">+T215*R215</f>
        <v>36.858407894736835</v>
      </c>
      <c r="V215" s="98">
        <v>10</v>
      </c>
      <c r="W215" s="84">
        <f>+IF(O215="ACERO A36",VLOOKUP(P215,'Tiempo Objeto'!$B$2:$C$12,2,FALSE),IF(O215="INOXIDABLE",VLOOKUP(P215,'Tiempo Objeto'!$B$14:$C$22,2,FALSE),IF(O215="ALUMINIO",VLOOKUP(P215,'Tiempo Objeto'!$B$24:$C$32,2,FALSE))))</f>
        <v>1.84</v>
      </c>
      <c r="X215" s="84">
        <f t="shared" ref="X215:X227" si="343">+W215*V215</f>
        <v>18.400000000000002</v>
      </c>
      <c r="Y215" s="80">
        <f t="shared" ref="Y215:Y227" si="344">+X215*N215/3600</f>
        <v>25.555555555555561</v>
      </c>
      <c r="Z215" s="100">
        <v>4</v>
      </c>
      <c r="AA215" s="85">
        <f t="shared" ref="AA215:AA227" si="345">30*Z215+Z215*$C215*1.5</f>
        <v>120</v>
      </c>
      <c r="AB215" s="86">
        <f>+Z215*Analisis!$J$6</f>
        <v>100</v>
      </c>
      <c r="AC215" s="100">
        <v>0</v>
      </c>
      <c r="AD215" s="85">
        <f t="shared" ref="AD215:AD227" si="346">30*AC215+AC215*$C215*1.5</f>
        <v>0</v>
      </c>
      <c r="AE215" s="86">
        <f>+AD215*Analisis!$J$7</f>
        <v>0</v>
      </c>
      <c r="AF215" s="86">
        <f t="shared" si="310"/>
        <v>227.21094001279238</v>
      </c>
      <c r="AG215" s="126">
        <f>+AF215/(1-Analisis!$E$9)</f>
        <v>284.01367501599043</v>
      </c>
      <c r="AH215" s="128">
        <f t="shared" si="312"/>
        <v>0</v>
      </c>
    </row>
    <row r="216" spans="1:35" s="73" customFormat="1" x14ac:dyDescent="0.25">
      <c r="A216" s="100"/>
      <c r="B216" s="114" t="s">
        <v>409</v>
      </c>
      <c r="C216" s="138">
        <f>IFERROR(VLOOKUP(B216,'REQ GALV'!A:B,2,0),0)</f>
        <v>60</v>
      </c>
      <c r="D216" s="116">
        <f t="shared" si="311"/>
        <v>316.49291226928</v>
      </c>
      <c r="E216" s="103" t="s">
        <v>44</v>
      </c>
      <c r="F216" s="75" t="s">
        <v>147</v>
      </c>
      <c r="G216" s="90">
        <v>3.51</v>
      </c>
      <c r="H216" s="90">
        <v>26.5</v>
      </c>
      <c r="I216" s="76">
        <v>0.105</v>
      </c>
      <c r="J216" s="77">
        <v>28.24</v>
      </c>
      <c r="K216" s="78">
        <f t="shared" si="338"/>
        <v>6.5253640115970271</v>
      </c>
      <c r="L216" s="58">
        <f>+VLOOKUP(E216,Material!$H$2:$M$17,6,FALSE)*G216*H216*(1+Material!$K$14)</f>
        <v>83.761945312500004</v>
      </c>
      <c r="M216" s="79" t="str">
        <f>+Analisis!$J$5</f>
        <v>T5.0</v>
      </c>
      <c r="N216" s="80">
        <f>+VLOOKUP(M216,Material!$A$3:$B$58,2,FALSE)</f>
        <v>5000</v>
      </c>
      <c r="O216" s="79" t="s">
        <v>42</v>
      </c>
      <c r="P216" s="79" t="s">
        <v>43</v>
      </c>
      <c r="Q216" s="81">
        <f>+IF(O216="ACERO A36",VLOOKUP(P216,'Velocidades Std 1500 w'!$B$2:$F$15,5,FALSE),IF(O216="INOXIDABLE",VLOOKUP(P216,'Velocidades Std 1500 w'!$B$17:$F$28,5,FALSE),IF(O216="ALUMINIO",VLOOKUP(P216,'Velocidades Std 1500 w'!$B$30:$F$38,5,FALSE))))</f>
        <v>4.3859649122807014E-6</v>
      </c>
      <c r="R216" s="82">
        <f t="shared" si="339"/>
        <v>2.1929824561403508E-2</v>
      </c>
      <c r="S216" s="83">
        <f t="shared" si="340"/>
        <v>31.591316842105257</v>
      </c>
      <c r="T216" s="110">
        <f t="shared" si="341"/>
        <v>2000.7833999999998</v>
      </c>
      <c r="U216" s="80">
        <f t="shared" si="342"/>
        <v>43.876828947368416</v>
      </c>
      <c r="V216" s="98">
        <v>10</v>
      </c>
      <c r="W216" s="84">
        <f>+IF(O216="ACERO A36",VLOOKUP(P216,'Tiempo Objeto'!$B$2:$C$12,2,FALSE),IF(O216="INOXIDABLE",VLOOKUP(P216,'Tiempo Objeto'!$B$14:$C$22,2,FALSE),IF(O216="ALUMINIO",VLOOKUP(P216,'Tiempo Objeto'!$B$24:$C$32,2,FALSE))))</f>
        <v>1.84</v>
      </c>
      <c r="X216" s="84">
        <f t="shared" si="343"/>
        <v>18.400000000000002</v>
      </c>
      <c r="Y216" s="80">
        <f t="shared" si="344"/>
        <v>25.555555555555561</v>
      </c>
      <c r="Z216" s="100">
        <v>4</v>
      </c>
      <c r="AA216" s="85">
        <f t="shared" si="345"/>
        <v>480</v>
      </c>
      <c r="AB216" s="86">
        <f>+Z216*Analisis!$J$6</f>
        <v>100</v>
      </c>
      <c r="AC216" s="100">
        <v>0</v>
      </c>
      <c r="AD216" s="85">
        <f t="shared" si="346"/>
        <v>0</v>
      </c>
      <c r="AE216" s="86">
        <f>+AD216*Analisis!$J$7</f>
        <v>0</v>
      </c>
      <c r="AF216" s="86">
        <f t="shared" si="310"/>
        <v>253.194329815424</v>
      </c>
      <c r="AG216" s="126">
        <f>+AF216/(1-Analisis!$E$9)</f>
        <v>316.49291226928</v>
      </c>
      <c r="AH216" s="128">
        <f t="shared" si="312"/>
        <v>18989.574736156799</v>
      </c>
      <c r="AI216" s="128">
        <f>+L216*C216</f>
        <v>5025.7167187499999</v>
      </c>
    </row>
    <row r="217" spans="1:35" s="73" customFormat="1" x14ac:dyDescent="0.25">
      <c r="A217" s="100"/>
      <c r="B217" s="114" t="s">
        <v>337</v>
      </c>
      <c r="C217" s="138">
        <f>IFERROR(VLOOKUP(B217,'REQ GALV'!A:B,2,0),0)</f>
        <v>210</v>
      </c>
      <c r="D217" s="116">
        <f t="shared" si="311"/>
        <v>348.97214952256945</v>
      </c>
      <c r="E217" s="103" t="s">
        <v>44</v>
      </c>
      <c r="F217" s="75" t="s">
        <v>147</v>
      </c>
      <c r="G217" s="90">
        <v>3.51</v>
      </c>
      <c r="H217" s="90">
        <v>32.5</v>
      </c>
      <c r="I217" s="76">
        <v>0.105</v>
      </c>
      <c r="J217" s="77">
        <v>28.24</v>
      </c>
      <c r="K217" s="78">
        <f t="shared" si="338"/>
        <v>8.002804919883145</v>
      </c>
      <c r="L217" s="58">
        <f>+VLOOKUP(E217,Material!$H$2:$M$17,6,FALSE)*G217*H217*(1+Material!$K$14)</f>
        <v>102.7269140625</v>
      </c>
      <c r="M217" s="79" t="str">
        <f>+Analisis!$J$5</f>
        <v>T5.0</v>
      </c>
      <c r="N217" s="80">
        <f>+VLOOKUP(M217,Material!$A$3:$B$58,2,FALSE)</f>
        <v>5000</v>
      </c>
      <c r="O217" s="79" t="s">
        <v>42</v>
      </c>
      <c r="P217" s="79" t="s">
        <v>43</v>
      </c>
      <c r="Q217" s="81">
        <f>+IF(O217="ACERO A36",VLOOKUP(P217,'Velocidades Std 1500 w'!$B$2:$F$15,5,FALSE),IF(O217="INOXIDABLE",VLOOKUP(P217,'Velocidades Std 1500 w'!$B$17:$F$28,5,FALSE),IF(O217="ALUMINIO",VLOOKUP(P217,'Velocidades Std 1500 w'!$B$30:$F$38,5,FALSE))))</f>
        <v>4.3859649122807014E-6</v>
      </c>
      <c r="R217" s="82">
        <f t="shared" si="339"/>
        <v>2.1929824561403508E-2</v>
      </c>
      <c r="S217" s="83">
        <f t="shared" si="340"/>
        <v>36.644579999999998</v>
      </c>
      <c r="T217" s="110">
        <f t="shared" si="341"/>
        <v>2320.8234000000002</v>
      </c>
      <c r="U217" s="80">
        <f t="shared" si="342"/>
        <v>50.895250000000004</v>
      </c>
      <c r="V217" s="98">
        <v>10</v>
      </c>
      <c r="W217" s="84">
        <f>+IF(O217="ACERO A36",VLOOKUP(P217,'Tiempo Objeto'!$B$2:$C$12,2,FALSE),IF(O217="INOXIDABLE",VLOOKUP(P217,'Tiempo Objeto'!$B$14:$C$22,2,FALSE),IF(O217="ALUMINIO",VLOOKUP(P217,'Tiempo Objeto'!$B$24:$C$32,2,FALSE))))</f>
        <v>1.84</v>
      </c>
      <c r="X217" s="84">
        <f t="shared" si="343"/>
        <v>18.400000000000002</v>
      </c>
      <c r="Y217" s="80">
        <f t="shared" si="344"/>
        <v>25.555555555555561</v>
      </c>
      <c r="Z217" s="100">
        <v>4</v>
      </c>
      <c r="AA217" s="85">
        <f t="shared" si="345"/>
        <v>1380</v>
      </c>
      <c r="AB217" s="86">
        <f>+Z217*Analisis!$J$6</f>
        <v>100</v>
      </c>
      <c r="AC217" s="100">
        <v>0</v>
      </c>
      <c r="AD217" s="85">
        <f t="shared" si="346"/>
        <v>0</v>
      </c>
      <c r="AE217" s="86">
        <f>+AD217*Analisis!$J$7</f>
        <v>0</v>
      </c>
      <c r="AF217" s="86">
        <f t="shared" si="310"/>
        <v>279.17771961805556</v>
      </c>
      <c r="AG217" s="126">
        <f>+AF217/(1-Analisis!$E$9)</f>
        <v>348.97214952256945</v>
      </c>
      <c r="AH217" s="128">
        <f t="shared" si="312"/>
        <v>73284.151399739581</v>
      </c>
      <c r="AI217" s="128">
        <f>+L217*C217</f>
        <v>21572.651953125001</v>
      </c>
    </row>
    <row r="218" spans="1:35" s="73" customFormat="1" x14ac:dyDescent="0.25">
      <c r="A218" s="100"/>
      <c r="B218" s="114" t="s">
        <v>410</v>
      </c>
      <c r="C218" s="138">
        <f>IFERROR(VLOOKUP(B218,'REQ GALV'!A:B,2,0),0)</f>
        <v>60</v>
      </c>
      <c r="D218" s="116">
        <f t="shared" si="311"/>
        <v>392.27779919362206</v>
      </c>
      <c r="E218" s="103" t="s">
        <v>44</v>
      </c>
      <c r="F218" s="75" t="s">
        <v>147</v>
      </c>
      <c r="G218" s="90">
        <v>3.51</v>
      </c>
      <c r="H218" s="90">
        <v>40.5</v>
      </c>
      <c r="I218" s="76">
        <v>0.105</v>
      </c>
      <c r="J218" s="77">
        <v>28.24</v>
      </c>
      <c r="K218" s="78">
        <f t="shared" si="338"/>
        <v>9.9727261309313029</v>
      </c>
      <c r="L218" s="58">
        <f>+VLOOKUP(E218,Material!$H$2:$M$17,6,FALSE)*G218*H218*(1+Material!$K$14)</f>
        <v>128.0135390625</v>
      </c>
      <c r="M218" s="79" t="str">
        <f>+Analisis!$J$5</f>
        <v>T5.0</v>
      </c>
      <c r="N218" s="80">
        <f>+VLOOKUP(M218,Material!$A$3:$B$58,2,FALSE)</f>
        <v>5000</v>
      </c>
      <c r="O218" s="79" t="s">
        <v>42</v>
      </c>
      <c r="P218" s="79" t="s">
        <v>43</v>
      </c>
      <c r="Q218" s="81">
        <f>+IF(O218="ACERO A36",VLOOKUP(P218,'Velocidades Std 1500 w'!$B$2:$F$15,5,FALSE),IF(O218="INOXIDABLE",VLOOKUP(P218,'Velocidades Std 1500 w'!$B$17:$F$28,5,FALSE),IF(O218="ALUMINIO",VLOOKUP(P218,'Velocidades Std 1500 w'!$B$30:$F$38,5,FALSE))))</f>
        <v>4.3859649122807014E-6</v>
      </c>
      <c r="R218" s="82">
        <f t="shared" si="339"/>
        <v>2.1929824561403508E-2</v>
      </c>
      <c r="S218" s="83">
        <f t="shared" si="340"/>
        <v>43.382264210526309</v>
      </c>
      <c r="T218" s="110">
        <f t="shared" si="341"/>
        <v>2747.5433999999996</v>
      </c>
      <c r="U218" s="80">
        <f t="shared" si="342"/>
        <v>60.253144736842096</v>
      </c>
      <c r="V218" s="98">
        <v>10</v>
      </c>
      <c r="W218" s="84">
        <f>+IF(O218="ACERO A36",VLOOKUP(P218,'Tiempo Objeto'!$B$2:$C$12,2,FALSE),IF(O218="INOXIDABLE",VLOOKUP(P218,'Tiempo Objeto'!$B$14:$C$22,2,FALSE),IF(O218="ALUMINIO",VLOOKUP(P218,'Tiempo Objeto'!$B$24:$C$32,2,FALSE))))</f>
        <v>1.84</v>
      </c>
      <c r="X218" s="84">
        <f t="shared" si="343"/>
        <v>18.400000000000002</v>
      </c>
      <c r="Y218" s="80">
        <f t="shared" si="344"/>
        <v>25.555555555555561</v>
      </c>
      <c r="Z218" s="100">
        <v>4</v>
      </c>
      <c r="AA218" s="85">
        <f t="shared" si="345"/>
        <v>480</v>
      </c>
      <c r="AB218" s="86">
        <f>+Z218*Analisis!$J$6</f>
        <v>100</v>
      </c>
      <c r="AC218" s="100">
        <v>0</v>
      </c>
      <c r="AD218" s="85">
        <f t="shared" si="346"/>
        <v>0</v>
      </c>
      <c r="AE218" s="86">
        <f>+AD218*Analisis!$J$7</f>
        <v>0</v>
      </c>
      <c r="AF218" s="86">
        <f t="shared" si="310"/>
        <v>313.82223935489765</v>
      </c>
      <c r="AG218" s="126">
        <f>+AF218/(1-Analisis!$E$9)</f>
        <v>392.27779919362206</v>
      </c>
      <c r="AH218" s="128">
        <f t="shared" si="312"/>
        <v>23536.667951617324</v>
      </c>
      <c r="AI218" s="128">
        <f>+L218*C218</f>
        <v>7680.8123437499999</v>
      </c>
    </row>
    <row r="219" spans="1:35" s="73" customFormat="1" x14ac:dyDescent="0.25">
      <c r="A219" s="100"/>
      <c r="B219" s="114" t="s">
        <v>411</v>
      </c>
      <c r="C219" s="74">
        <f>IFERROR(VLOOKUP(B219,'REQ GALV'!A:B,2,0),0)</f>
        <v>0</v>
      </c>
      <c r="D219" s="116">
        <f t="shared" si="311"/>
        <v>424.75703644691151</v>
      </c>
      <c r="E219" s="103" t="s">
        <v>44</v>
      </c>
      <c r="F219" s="75" t="s">
        <v>147</v>
      </c>
      <c r="G219" s="90">
        <v>3.51</v>
      </c>
      <c r="H219" s="90">
        <v>46.5</v>
      </c>
      <c r="I219" s="76">
        <v>0.105</v>
      </c>
      <c r="J219" s="77">
        <v>28.24</v>
      </c>
      <c r="K219" s="78">
        <f t="shared" si="338"/>
        <v>11.450167039217424</v>
      </c>
      <c r="L219" s="58">
        <f>+VLOOKUP(E219,Material!$H$2:$M$17,6,FALSE)*G219*H219*(1+Material!$K$14)</f>
        <v>146.9785078125</v>
      </c>
      <c r="M219" s="79" t="str">
        <f>+Analisis!$J$5</f>
        <v>T5.0</v>
      </c>
      <c r="N219" s="80">
        <f>+VLOOKUP(M219,Material!$A$3:$B$58,2,FALSE)</f>
        <v>5000</v>
      </c>
      <c r="O219" s="79" t="s">
        <v>42</v>
      </c>
      <c r="P219" s="79" t="s">
        <v>43</v>
      </c>
      <c r="Q219" s="81">
        <f>+IF(O219="ACERO A36",VLOOKUP(P219,'Velocidades Std 1500 w'!$B$2:$F$15,5,FALSE),IF(O219="INOXIDABLE",VLOOKUP(P219,'Velocidades Std 1500 w'!$B$17:$F$28,5,FALSE),IF(O219="ALUMINIO",VLOOKUP(P219,'Velocidades Std 1500 w'!$B$30:$F$38,5,FALSE))))</f>
        <v>4.3859649122807014E-6</v>
      </c>
      <c r="R219" s="82">
        <f t="shared" si="339"/>
        <v>2.1929824561403508E-2</v>
      </c>
      <c r="S219" s="83">
        <f t="shared" si="340"/>
        <v>48.435527368421049</v>
      </c>
      <c r="T219" s="110">
        <f t="shared" si="341"/>
        <v>3067.5834</v>
      </c>
      <c r="U219" s="80">
        <f t="shared" si="342"/>
        <v>67.271565789473684</v>
      </c>
      <c r="V219" s="98">
        <v>10</v>
      </c>
      <c r="W219" s="84">
        <f>+IF(O219="ACERO A36",VLOOKUP(P219,'Tiempo Objeto'!$B$2:$C$12,2,FALSE),IF(O219="INOXIDABLE",VLOOKUP(P219,'Tiempo Objeto'!$B$14:$C$22,2,FALSE),IF(O219="ALUMINIO",VLOOKUP(P219,'Tiempo Objeto'!$B$24:$C$32,2,FALSE))))</f>
        <v>1.84</v>
      </c>
      <c r="X219" s="84">
        <f t="shared" si="343"/>
        <v>18.400000000000002</v>
      </c>
      <c r="Y219" s="80">
        <f t="shared" si="344"/>
        <v>25.555555555555561</v>
      </c>
      <c r="Z219" s="100">
        <v>4</v>
      </c>
      <c r="AA219" s="85">
        <f t="shared" si="345"/>
        <v>120</v>
      </c>
      <c r="AB219" s="86">
        <f>+Z219*Analisis!$J$6</f>
        <v>100</v>
      </c>
      <c r="AC219" s="100">
        <v>0</v>
      </c>
      <c r="AD219" s="85">
        <f t="shared" si="346"/>
        <v>0</v>
      </c>
      <c r="AE219" s="86">
        <f>+AD219*Analisis!$J$7</f>
        <v>0</v>
      </c>
      <c r="AF219" s="86">
        <f t="shared" si="310"/>
        <v>339.80562915752921</v>
      </c>
      <c r="AG219" s="126">
        <f>+AF219/(1-Analisis!$E$9)</f>
        <v>424.75703644691151</v>
      </c>
      <c r="AH219" s="128">
        <f t="shared" si="312"/>
        <v>0</v>
      </c>
    </row>
    <row r="220" spans="1:35" s="73" customFormat="1" x14ac:dyDescent="0.25">
      <c r="A220" s="100"/>
      <c r="B220" s="114" t="s">
        <v>412</v>
      </c>
      <c r="C220" s="74">
        <f>IFERROR(VLOOKUP(B220,'REQ GALV'!A:B,2,0),0)</f>
        <v>0</v>
      </c>
      <c r="D220" s="116">
        <f t="shared" si="311"/>
        <v>462.64947990908252</v>
      </c>
      <c r="E220" s="103" t="s">
        <v>44</v>
      </c>
      <c r="F220" s="75" t="s">
        <v>147</v>
      </c>
      <c r="G220" s="90">
        <v>3.51</v>
      </c>
      <c r="H220" s="90">
        <v>53.5</v>
      </c>
      <c r="I220" s="76">
        <v>0.105</v>
      </c>
      <c r="J220" s="77">
        <v>28.24</v>
      </c>
      <c r="K220" s="78">
        <f t="shared" si="338"/>
        <v>13.173848098884562</v>
      </c>
      <c r="L220" s="58">
        <f>+VLOOKUP(E220,Material!$H$2:$M$17,6,FALSE)*G220*H220*(1+Material!$K$14)</f>
        <v>169.10430468749999</v>
      </c>
      <c r="M220" s="79" t="str">
        <f>+Analisis!$J$5</f>
        <v>T5.0</v>
      </c>
      <c r="N220" s="80">
        <f>+VLOOKUP(M220,Material!$A$3:$B$58,2,FALSE)</f>
        <v>5000</v>
      </c>
      <c r="O220" s="79" t="s">
        <v>42</v>
      </c>
      <c r="P220" s="79" t="s">
        <v>43</v>
      </c>
      <c r="Q220" s="81">
        <f>+IF(O220="ACERO A36",VLOOKUP(P220,'Velocidades Std 1500 w'!$B$2:$F$15,5,FALSE),IF(O220="INOXIDABLE",VLOOKUP(P220,'Velocidades Std 1500 w'!$B$17:$F$28,5,FALSE),IF(O220="ALUMINIO",VLOOKUP(P220,'Velocidades Std 1500 w'!$B$30:$F$38,5,FALSE))))</f>
        <v>4.3859649122807014E-6</v>
      </c>
      <c r="R220" s="82">
        <f t="shared" si="339"/>
        <v>2.1929824561403508E-2</v>
      </c>
      <c r="S220" s="83">
        <f t="shared" si="340"/>
        <v>54.331001052631564</v>
      </c>
      <c r="T220" s="110">
        <f t="shared" si="341"/>
        <v>3440.9633999999992</v>
      </c>
      <c r="U220" s="80">
        <f t="shared" si="342"/>
        <v>75.459723684210502</v>
      </c>
      <c r="V220" s="98">
        <v>10</v>
      </c>
      <c r="W220" s="84">
        <f>+IF(O220="ACERO A36",VLOOKUP(P220,'Tiempo Objeto'!$B$2:$C$12,2,FALSE),IF(O220="INOXIDABLE",VLOOKUP(P220,'Tiempo Objeto'!$B$14:$C$22,2,FALSE),IF(O220="ALUMINIO",VLOOKUP(P220,'Tiempo Objeto'!$B$24:$C$32,2,FALSE))))</f>
        <v>1.84</v>
      </c>
      <c r="X220" s="84">
        <f t="shared" si="343"/>
        <v>18.400000000000002</v>
      </c>
      <c r="Y220" s="80">
        <f t="shared" si="344"/>
        <v>25.555555555555561</v>
      </c>
      <c r="Z220" s="100">
        <v>4</v>
      </c>
      <c r="AA220" s="85">
        <f t="shared" si="345"/>
        <v>120</v>
      </c>
      <c r="AB220" s="86">
        <f>+Z220*Analisis!$J$6</f>
        <v>100</v>
      </c>
      <c r="AC220" s="100">
        <v>0</v>
      </c>
      <c r="AD220" s="85">
        <f t="shared" si="346"/>
        <v>0</v>
      </c>
      <c r="AE220" s="86">
        <f>+AD220*Analisis!$J$7</f>
        <v>0</v>
      </c>
      <c r="AF220" s="86">
        <f t="shared" si="310"/>
        <v>370.11958392726604</v>
      </c>
      <c r="AG220" s="126">
        <f>+AF220/(1-Analisis!$E$9)</f>
        <v>462.64947990908252</v>
      </c>
      <c r="AH220" s="128">
        <f t="shared" si="312"/>
        <v>0</v>
      </c>
    </row>
    <row r="221" spans="1:35" s="73" customFormat="1" x14ac:dyDescent="0.25">
      <c r="A221" s="100"/>
      <c r="B221" s="114" t="s">
        <v>413</v>
      </c>
      <c r="C221" s="74">
        <f>IFERROR(VLOOKUP(B221,'REQ GALV'!A:B,2,0),0)</f>
        <v>0</v>
      </c>
      <c r="D221" s="116">
        <f t="shared" si="311"/>
        <v>403.10421161138527</v>
      </c>
      <c r="E221" s="103" t="s">
        <v>44</v>
      </c>
      <c r="F221" s="75" t="s">
        <v>147</v>
      </c>
      <c r="G221" s="90">
        <v>3.51</v>
      </c>
      <c r="H221" s="90">
        <v>42.5</v>
      </c>
      <c r="I221" s="76">
        <v>0.105</v>
      </c>
      <c r="J221" s="77">
        <v>28.24</v>
      </c>
      <c r="K221" s="78">
        <f t="shared" si="338"/>
        <v>10.465206433693346</v>
      </c>
      <c r="L221" s="58">
        <f>+VLOOKUP(E221,Material!$H$2:$M$17,6,FALSE)*G221*H221*(1+Material!$K$14)</f>
        <v>134.33519531250002</v>
      </c>
      <c r="M221" s="79" t="str">
        <f>+Analisis!$J$5</f>
        <v>T5.0</v>
      </c>
      <c r="N221" s="80">
        <f>+VLOOKUP(M221,Material!$A$3:$B$58,2,FALSE)</f>
        <v>5000</v>
      </c>
      <c r="O221" s="79" t="s">
        <v>42</v>
      </c>
      <c r="P221" s="79" t="s">
        <v>43</v>
      </c>
      <c r="Q221" s="81">
        <f>+IF(O221="ACERO A36",VLOOKUP(P221,'Velocidades Std 1500 w'!$B$2:$F$15,5,FALSE),IF(O221="INOXIDABLE",VLOOKUP(P221,'Velocidades Std 1500 w'!$B$17:$F$28,5,FALSE),IF(O221="ALUMINIO",VLOOKUP(P221,'Velocidades Std 1500 w'!$B$30:$F$38,5,FALSE))))</f>
        <v>4.3859649122807014E-6</v>
      </c>
      <c r="R221" s="82">
        <f t="shared" si="339"/>
        <v>2.1929824561403508E-2</v>
      </c>
      <c r="S221" s="83">
        <f t="shared" si="340"/>
        <v>45.066685263157893</v>
      </c>
      <c r="T221" s="110">
        <f t="shared" si="341"/>
        <v>2854.2233999999999</v>
      </c>
      <c r="U221" s="80">
        <f t="shared" si="342"/>
        <v>62.592618421052627</v>
      </c>
      <c r="V221" s="98">
        <v>10</v>
      </c>
      <c r="W221" s="84">
        <f>+IF(O221="ACERO A36",VLOOKUP(P221,'Tiempo Objeto'!$B$2:$C$12,2,FALSE),IF(O221="INOXIDABLE",VLOOKUP(P221,'Tiempo Objeto'!$B$14:$C$22,2,FALSE),IF(O221="ALUMINIO",VLOOKUP(P221,'Tiempo Objeto'!$B$24:$C$32,2,FALSE))))</f>
        <v>1.84</v>
      </c>
      <c r="X221" s="84">
        <f t="shared" si="343"/>
        <v>18.400000000000002</v>
      </c>
      <c r="Y221" s="80">
        <f t="shared" si="344"/>
        <v>25.555555555555561</v>
      </c>
      <c r="Z221" s="100">
        <v>4</v>
      </c>
      <c r="AA221" s="85">
        <f t="shared" si="345"/>
        <v>120</v>
      </c>
      <c r="AB221" s="86">
        <f>+Z221*Analisis!$J$6</f>
        <v>100</v>
      </c>
      <c r="AC221" s="100">
        <v>0</v>
      </c>
      <c r="AD221" s="85">
        <f t="shared" si="346"/>
        <v>0</v>
      </c>
      <c r="AE221" s="86">
        <f>+AD221*Analisis!$J$7</f>
        <v>0</v>
      </c>
      <c r="AF221" s="86">
        <f t="shared" si="310"/>
        <v>322.48336928910823</v>
      </c>
      <c r="AG221" s="126">
        <f>+AF221/(1-Analisis!$E$9)</f>
        <v>403.10421161138527</v>
      </c>
      <c r="AH221" s="128">
        <f t="shared" si="312"/>
        <v>0</v>
      </c>
    </row>
    <row r="222" spans="1:35" s="73" customFormat="1" x14ac:dyDescent="0.25">
      <c r="A222" s="100"/>
      <c r="B222" s="114" t="s">
        <v>414</v>
      </c>
      <c r="C222" s="138">
        <f>IFERROR(VLOOKUP(B222,'REQ GALV'!A:B,2,0),0)</f>
        <v>30</v>
      </c>
      <c r="D222" s="116">
        <f t="shared" si="311"/>
        <v>278.60046880710888</v>
      </c>
      <c r="E222" s="103" t="s">
        <v>44</v>
      </c>
      <c r="F222" s="75" t="s">
        <v>147</v>
      </c>
      <c r="G222" s="90">
        <v>3.51</v>
      </c>
      <c r="H222" s="90">
        <v>19.5</v>
      </c>
      <c r="I222" s="76">
        <v>0.105</v>
      </c>
      <c r="J222" s="77">
        <v>28.24</v>
      </c>
      <c r="K222" s="78">
        <f t="shared" si="338"/>
        <v>4.8016829519298874</v>
      </c>
      <c r="L222" s="58">
        <f>+VLOOKUP(E222,Material!$H$2:$M$17,6,FALSE)*G222*H222*(1+Material!$K$14)</f>
        <v>61.636148437499997</v>
      </c>
      <c r="M222" s="79" t="str">
        <f>+Analisis!$J$5</f>
        <v>T5.0</v>
      </c>
      <c r="N222" s="80">
        <f>+VLOOKUP(M222,Material!$A$3:$B$58,2,FALSE)</f>
        <v>5000</v>
      </c>
      <c r="O222" s="79" t="s">
        <v>42</v>
      </c>
      <c r="P222" s="79" t="s">
        <v>43</v>
      </c>
      <c r="Q222" s="81">
        <f>+IF(O222="ACERO A36",VLOOKUP(P222,'Velocidades Std 1500 w'!$B$2:$F$15,5,FALSE),IF(O222="INOXIDABLE",VLOOKUP(P222,'Velocidades Std 1500 w'!$B$17:$F$28,5,FALSE),IF(O222="ALUMINIO",VLOOKUP(P222,'Velocidades Std 1500 w'!$B$30:$F$38,5,FALSE))))</f>
        <v>4.3859649122807014E-6</v>
      </c>
      <c r="R222" s="82">
        <f t="shared" si="339"/>
        <v>2.1929824561403508E-2</v>
      </c>
      <c r="S222" s="83">
        <f t="shared" si="340"/>
        <v>25.695843157894732</v>
      </c>
      <c r="T222" s="110">
        <f t="shared" si="341"/>
        <v>1627.4033999999999</v>
      </c>
      <c r="U222" s="80">
        <f t="shared" si="342"/>
        <v>35.688671052631577</v>
      </c>
      <c r="V222" s="98">
        <v>10</v>
      </c>
      <c r="W222" s="84">
        <f>+IF(O222="ACERO A36",VLOOKUP(P222,'Tiempo Objeto'!$B$2:$C$12,2,FALSE),IF(O222="INOXIDABLE",VLOOKUP(P222,'Tiempo Objeto'!$B$14:$C$22,2,FALSE),IF(O222="ALUMINIO",VLOOKUP(P222,'Tiempo Objeto'!$B$24:$C$32,2,FALSE))))</f>
        <v>1.84</v>
      </c>
      <c r="X222" s="84">
        <f t="shared" si="343"/>
        <v>18.400000000000002</v>
      </c>
      <c r="Y222" s="80">
        <f t="shared" si="344"/>
        <v>25.555555555555561</v>
      </c>
      <c r="Z222" s="100">
        <v>4</v>
      </c>
      <c r="AA222" s="85">
        <f t="shared" si="345"/>
        <v>300</v>
      </c>
      <c r="AB222" s="86">
        <f>+Z222*Analisis!$J$6</f>
        <v>100</v>
      </c>
      <c r="AC222" s="100">
        <v>0</v>
      </c>
      <c r="AD222" s="85">
        <f t="shared" si="346"/>
        <v>0</v>
      </c>
      <c r="AE222" s="86">
        <f>+AD222*Analisis!$J$7</f>
        <v>0</v>
      </c>
      <c r="AF222" s="86">
        <f t="shared" si="310"/>
        <v>222.88037504568712</v>
      </c>
      <c r="AG222" s="126">
        <f>+AF222/(1-Analisis!$E$9)</f>
        <v>278.60046880710888</v>
      </c>
      <c r="AH222" s="128">
        <f t="shared" si="312"/>
        <v>8358.0140642132665</v>
      </c>
      <c r="AI222" s="128">
        <f>+L222*C222</f>
        <v>1849.084453125</v>
      </c>
    </row>
    <row r="223" spans="1:35" s="73" customFormat="1" x14ac:dyDescent="0.25">
      <c r="A223" s="100"/>
      <c r="B223" s="114" t="s">
        <v>415</v>
      </c>
      <c r="C223" s="74">
        <f>IFERROR(VLOOKUP(B223,'REQ GALV'!A:B,2,0),0)</f>
        <v>0</v>
      </c>
      <c r="D223" s="116">
        <f t="shared" si="311"/>
        <v>219.05520050941155</v>
      </c>
      <c r="E223" s="103" t="s">
        <v>44</v>
      </c>
      <c r="F223" s="75" t="s">
        <v>147</v>
      </c>
      <c r="G223" s="90">
        <v>3.51</v>
      </c>
      <c r="H223" s="90">
        <v>8.5</v>
      </c>
      <c r="I223" s="76">
        <v>0.105</v>
      </c>
      <c r="J223" s="77">
        <v>28.24</v>
      </c>
      <c r="K223" s="78">
        <f t="shared" si="338"/>
        <v>2.0930412867386687</v>
      </c>
      <c r="L223" s="58">
        <f>+VLOOKUP(E223,Material!$H$2:$M$17,6,FALSE)*G223*H223*(1+Material!$K$14)</f>
        <v>26.867039062499998</v>
      </c>
      <c r="M223" s="79" t="str">
        <f>+Analisis!$J$5</f>
        <v>T5.0</v>
      </c>
      <c r="N223" s="80">
        <f>+VLOOKUP(M223,Material!$A$3:$B$58,2,FALSE)</f>
        <v>5000</v>
      </c>
      <c r="O223" s="79" t="s">
        <v>42</v>
      </c>
      <c r="P223" s="79" t="s">
        <v>43</v>
      </c>
      <c r="Q223" s="81">
        <f>+IF(O223="ACERO A36",VLOOKUP(P223,'Velocidades Std 1500 w'!$B$2:$F$15,5,FALSE),IF(O223="INOXIDABLE",VLOOKUP(P223,'Velocidades Std 1500 w'!$B$17:$F$28,5,FALSE),IF(O223="ALUMINIO",VLOOKUP(P223,'Velocidades Std 1500 w'!$B$30:$F$38,5,FALSE))))</f>
        <v>4.3859649122807014E-6</v>
      </c>
      <c r="R223" s="82">
        <f t="shared" si="339"/>
        <v>2.1929824561403508E-2</v>
      </c>
      <c r="S223" s="83">
        <f t="shared" si="340"/>
        <v>16.431527368421047</v>
      </c>
      <c r="T223" s="110">
        <f t="shared" si="341"/>
        <v>1040.6633999999999</v>
      </c>
      <c r="U223" s="80">
        <f t="shared" si="342"/>
        <v>22.821565789473681</v>
      </c>
      <c r="V223" s="98">
        <v>10</v>
      </c>
      <c r="W223" s="84">
        <f>+IF(O223="ACERO A36",VLOOKUP(P223,'Tiempo Objeto'!$B$2:$C$12,2,FALSE),IF(O223="INOXIDABLE",VLOOKUP(P223,'Tiempo Objeto'!$B$14:$C$22,2,FALSE),IF(O223="ALUMINIO",VLOOKUP(P223,'Tiempo Objeto'!$B$24:$C$32,2,FALSE))))</f>
        <v>1.84</v>
      </c>
      <c r="X223" s="84">
        <f t="shared" si="343"/>
        <v>18.400000000000002</v>
      </c>
      <c r="Y223" s="80">
        <f t="shared" si="344"/>
        <v>25.555555555555561</v>
      </c>
      <c r="Z223" s="100">
        <v>4</v>
      </c>
      <c r="AA223" s="85">
        <f t="shared" si="345"/>
        <v>120</v>
      </c>
      <c r="AB223" s="86">
        <f>+Z223*Analisis!$J$6</f>
        <v>100</v>
      </c>
      <c r="AC223" s="100">
        <v>0</v>
      </c>
      <c r="AD223" s="85">
        <f t="shared" si="346"/>
        <v>0</v>
      </c>
      <c r="AE223" s="86">
        <f>+AD223*Analisis!$J$7</f>
        <v>0</v>
      </c>
      <c r="AF223" s="86">
        <f t="shared" si="310"/>
        <v>175.24416040752925</v>
      </c>
      <c r="AG223" s="126">
        <f>+AF223/(1-Analisis!$E$9)</f>
        <v>219.05520050941155</v>
      </c>
      <c r="AH223" s="128">
        <f t="shared" si="312"/>
        <v>0</v>
      </c>
    </row>
    <row r="224" spans="1:35" s="73" customFormat="1" x14ac:dyDescent="0.25">
      <c r="A224" s="100"/>
      <c r="B224" s="114" t="s">
        <v>416</v>
      </c>
      <c r="C224" s="74">
        <f>IFERROR(VLOOKUP(B224,'REQ GALV'!A:B,2,0),0)</f>
        <v>0</v>
      </c>
      <c r="D224" s="116">
        <f t="shared" si="311"/>
        <v>251.534437762701</v>
      </c>
      <c r="E224" s="103" t="s">
        <v>44</v>
      </c>
      <c r="F224" s="75" t="s">
        <v>147</v>
      </c>
      <c r="G224" s="90">
        <v>3.51</v>
      </c>
      <c r="H224" s="90">
        <v>14.5</v>
      </c>
      <c r="I224" s="76">
        <v>0.105</v>
      </c>
      <c r="J224" s="77">
        <v>28.24</v>
      </c>
      <c r="K224" s="78">
        <f t="shared" si="338"/>
        <v>3.570482195024788</v>
      </c>
      <c r="L224" s="58">
        <f>+VLOOKUP(E224,Material!$H$2:$M$17,6,FALSE)*G224*H224*(1+Material!$K$14)</f>
        <v>45.832007812499995</v>
      </c>
      <c r="M224" s="79" t="str">
        <f>+Analisis!$J$5</f>
        <v>T5.0</v>
      </c>
      <c r="N224" s="80">
        <f>+VLOOKUP(M224,Material!$A$3:$B$58,2,FALSE)</f>
        <v>5000</v>
      </c>
      <c r="O224" s="79" t="s">
        <v>42</v>
      </c>
      <c r="P224" s="79" t="s">
        <v>43</v>
      </c>
      <c r="Q224" s="81">
        <f>+IF(O224="ACERO A36",VLOOKUP(P224,'Velocidades Std 1500 w'!$B$2:$F$15,5,FALSE),IF(O224="INOXIDABLE",VLOOKUP(P224,'Velocidades Std 1500 w'!$B$17:$F$28,5,FALSE),IF(O224="ALUMINIO",VLOOKUP(P224,'Velocidades Std 1500 w'!$B$30:$F$38,5,FALSE))))</f>
        <v>4.3859649122807014E-6</v>
      </c>
      <c r="R224" s="82">
        <f t="shared" si="339"/>
        <v>2.1929824561403508E-2</v>
      </c>
      <c r="S224" s="83">
        <f t="shared" si="340"/>
        <v>21.484790526315784</v>
      </c>
      <c r="T224" s="110">
        <f t="shared" si="341"/>
        <v>1360.7033999999999</v>
      </c>
      <c r="U224" s="80">
        <f t="shared" si="342"/>
        <v>29.839986842105258</v>
      </c>
      <c r="V224" s="98">
        <v>10</v>
      </c>
      <c r="W224" s="84">
        <f>+IF(O224="ACERO A36",VLOOKUP(P224,'Tiempo Objeto'!$B$2:$C$12,2,FALSE),IF(O224="INOXIDABLE",VLOOKUP(P224,'Tiempo Objeto'!$B$14:$C$22,2,FALSE),IF(O224="ALUMINIO",VLOOKUP(P224,'Tiempo Objeto'!$B$24:$C$32,2,FALSE))))</f>
        <v>1.84</v>
      </c>
      <c r="X224" s="84">
        <f t="shared" si="343"/>
        <v>18.400000000000002</v>
      </c>
      <c r="Y224" s="80">
        <f t="shared" si="344"/>
        <v>25.555555555555561</v>
      </c>
      <c r="Z224" s="100">
        <v>4</v>
      </c>
      <c r="AA224" s="85">
        <f t="shared" si="345"/>
        <v>120</v>
      </c>
      <c r="AB224" s="86">
        <f>+Z224*Analisis!$J$6</f>
        <v>100</v>
      </c>
      <c r="AC224" s="100">
        <v>0</v>
      </c>
      <c r="AD224" s="85">
        <f t="shared" si="346"/>
        <v>0</v>
      </c>
      <c r="AE224" s="86">
        <f>+AD224*Analisis!$J$7</f>
        <v>0</v>
      </c>
      <c r="AF224" s="86">
        <f t="shared" si="310"/>
        <v>201.22755021016081</v>
      </c>
      <c r="AG224" s="126">
        <f>+AF224/(1-Analisis!$E$9)</f>
        <v>251.534437762701</v>
      </c>
      <c r="AH224" s="128">
        <f t="shared" si="312"/>
        <v>0</v>
      </c>
    </row>
    <row r="225" spans="1:35" s="73" customFormat="1" x14ac:dyDescent="0.25">
      <c r="A225" s="100"/>
      <c r="B225" s="114" t="s">
        <v>417</v>
      </c>
      <c r="C225" s="74">
        <f>IFERROR(VLOOKUP(B225,'REQ GALV'!A:B,2,0),0)</f>
        <v>0</v>
      </c>
      <c r="D225" s="116">
        <f t="shared" si="311"/>
        <v>294.84008743375369</v>
      </c>
      <c r="E225" s="103" t="s">
        <v>44</v>
      </c>
      <c r="F225" s="75" t="s">
        <v>147</v>
      </c>
      <c r="G225" s="90">
        <v>3.51</v>
      </c>
      <c r="H225" s="90">
        <v>22.5</v>
      </c>
      <c r="I225" s="76">
        <v>0.105</v>
      </c>
      <c r="J225" s="77">
        <v>28.24</v>
      </c>
      <c r="K225" s="78">
        <f t="shared" si="338"/>
        <v>5.5404034060729481</v>
      </c>
      <c r="L225" s="58">
        <f>+VLOOKUP(E225,Material!$H$2:$M$17,6,FALSE)*G225*H225*(1+Material!$K$14)</f>
        <v>71.11863281250001</v>
      </c>
      <c r="M225" s="79" t="str">
        <f>+Analisis!$J$5</f>
        <v>T5.0</v>
      </c>
      <c r="N225" s="80">
        <f>+VLOOKUP(M225,Material!$A$3:$B$58,2,FALSE)</f>
        <v>5000</v>
      </c>
      <c r="O225" s="79" t="s">
        <v>42</v>
      </c>
      <c r="P225" s="79" t="s">
        <v>43</v>
      </c>
      <c r="Q225" s="81">
        <f>+IF(O225="ACERO A36",VLOOKUP(P225,'Velocidades Std 1500 w'!$B$2:$F$15,5,FALSE),IF(O225="INOXIDABLE",VLOOKUP(P225,'Velocidades Std 1500 w'!$B$17:$F$28,5,FALSE),IF(O225="ALUMINIO",VLOOKUP(P225,'Velocidades Std 1500 w'!$B$30:$F$38,5,FALSE))))</f>
        <v>4.3859649122807014E-6</v>
      </c>
      <c r="R225" s="82">
        <f t="shared" si="339"/>
        <v>2.1929824561403508E-2</v>
      </c>
      <c r="S225" s="83">
        <f t="shared" si="340"/>
        <v>28.222474736842099</v>
      </c>
      <c r="T225" s="110">
        <f t="shared" si="341"/>
        <v>1787.4233999999999</v>
      </c>
      <c r="U225" s="80">
        <f t="shared" si="342"/>
        <v>39.197881578947367</v>
      </c>
      <c r="V225" s="98">
        <v>10</v>
      </c>
      <c r="W225" s="84">
        <f>+IF(O225="ACERO A36",VLOOKUP(P225,'Tiempo Objeto'!$B$2:$C$12,2,FALSE),IF(O225="INOXIDABLE",VLOOKUP(P225,'Tiempo Objeto'!$B$14:$C$22,2,FALSE),IF(O225="ALUMINIO",VLOOKUP(P225,'Tiempo Objeto'!$B$24:$C$32,2,FALSE))))</f>
        <v>1.84</v>
      </c>
      <c r="X225" s="84">
        <f t="shared" si="343"/>
        <v>18.400000000000002</v>
      </c>
      <c r="Y225" s="80">
        <f t="shared" si="344"/>
        <v>25.555555555555561</v>
      </c>
      <c r="Z225" s="100">
        <v>4</v>
      </c>
      <c r="AA225" s="85">
        <f t="shared" si="345"/>
        <v>120</v>
      </c>
      <c r="AB225" s="86">
        <f>+Z225*Analisis!$J$6</f>
        <v>100</v>
      </c>
      <c r="AC225" s="100">
        <v>0</v>
      </c>
      <c r="AD225" s="85">
        <f t="shared" si="346"/>
        <v>0</v>
      </c>
      <c r="AE225" s="86">
        <f>+AD225*Analisis!$J$7</f>
        <v>0</v>
      </c>
      <c r="AF225" s="86">
        <f t="shared" si="310"/>
        <v>235.87206994700296</v>
      </c>
      <c r="AG225" s="126">
        <f>+AF225/(1-Analisis!$E$9)</f>
        <v>294.84008743375369</v>
      </c>
      <c r="AH225" s="128">
        <f t="shared" si="312"/>
        <v>0</v>
      </c>
    </row>
    <row r="226" spans="1:35" s="73" customFormat="1" x14ac:dyDescent="0.25">
      <c r="A226" s="100"/>
      <c r="B226" s="114" t="s">
        <v>418</v>
      </c>
      <c r="C226" s="74">
        <f>IFERROR(VLOOKUP(B226,'REQ GALV'!A:B,2,0),0)</f>
        <v>0</v>
      </c>
      <c r="D226" s="116">
        <f t="shared" si="311"/>
        <v>332.7325308959247</v>
      </c>
      <c r="E226" s="103" t="s">
        <v>44</v>
      </c>
      <c r="F226" s="75" t="s">
        <v>147</v>
      </c>
      <c r="G226" s="90">
        <v>3.51</v>
      </c>
      <c r="H226" s="90">
        <v>29.5</v>
      </c>
      <c r="I226" s="76">
        <v>0.105</v>
      </c>
      <c r="J226" s="77">
        <v>28.24</v>
      </c>
      <c r="K226" s="78">
        <f t="shared" si="338"/>
        <v>7.264084465740086</v>
      </c>
      <c r="L226" s="58">
        <f>+VLOOKUP(E226,Material!$H$2:$M$17,6,FALSE)*G226*H226*(1+Material!$K$14)</f>
        <v>93.244429687500002</v>
      </c>
      <c r="M226" s="79" t="str">
        <f>+Analisis!$J$5</f>
        <v>T5.0</v>
      </c>
      <c r="N226" s="80">
        <f>+VLOOKUP(M226,Material!$A$3:$B$58,2,FALSE)</f>
        <v>5000</v>
      </c>
      <c r="O226" s="79" t="s">
        <v>42</v>
      </c>
      <c r="P226" s="79" t="s">
        <v>43</v>
      </c>
      <c r="Q226" s="81">
        <f>+IF(O226="ACERO A36",VLOOKUP(P226,'Velocidades Std 1500 w'!$B$2:$F$15,5,FALSE),IF(O226="INOXIDABLE",VLOOKUP(P226,'Velocidades Std 1500 w'!$B$17:$F$28,5,FALSE),IF(O226="ALUMINIO",VLOOKUP(P226,'Velocidades Std 1500 w'!$B$30:$F$38,5,FALSE))))</f>
        <v>4.3859649122807014E-6</v>
      </c>
      <c r="R226" s="82">
        <f t="shared" si="339"/>
        <v>2.1929824561403508E-2</v>
      </c>
      <c r="S226" s="83">
        <f t="shared" si="340"/>
        <v>34.117948421052624</v>
      </c>
      <c r="T226" s="110">
        <f t="shared" si="341"/>
        <v>2160.8033999999998</v>
      </c>
      <c r="U226" s="80">
        <f t="shared" si="342"/>
        <v>47.3860394736842</v>
      </c>
      <c r="V226" s="98">
        <v>10</v>
      </c>
      <c r="W226" s="84">
        <f>+IF(O226="ACERO A36",VLOOKUP(P226,'Tiempo Objeto'!$B$2:$C$12,2,FALSE),IF(O226="INOXIDABLE",VLOOKUP(P226,'Tiempo Objeto'!$B$14:$C$22,2,FALSE),IF(O226="ALUMINIO",VLOOKUP(P226,'Tiempo Objeto'!$B$24:$C$32,2,FALSE))))</f>
        <v>1.84</v>
      </c>
      <c r="X226" s="84">
        <f t="shared" si="343"/>
        <v>18.400000000000002</v>
      </c>
      <c r="Y226" s="80">
        <f t="shared" si="344"/>
        <v>25.555555555555561</v>
      </c>
      <c r="Z226" s="100">
        <v>4</v>
      </c>
      <c r="AA226" s="85">
        <f t="shared" si="345"/>
        <v>120</v>
      </c>
      <c r="AB226" s="86">
        <f>+Z226*Analisis!$J$6</f>
        <v>100</v>
      </c>
      <c r="AC226" s="100">
        <v>0</v>
      </c>
      <c r="AD226" s="85">
        <f t="shared" si="346"/>
        <v>0</v>
      </c>
      <c r="AE226" s="86">
        <f>+AD226*Analisis!$J$7</f>
        <v>0</v>
      </c>
      <c r="AF226" s="86">
        <f t="shared" si="310"/>
        <v>266.18602471673978</v>
      </c>
      <c r="AG226" s="126">
        <f>+AF226/(1-Analisis!$E$9)</f>
        <v>332.7325308959247</v>
      </c>
      <c r="AH226" s="128">
        <f t="shared" si="312"/>
        <v>0</v>
      </c>
    </row>
    <row r="227" spans="1:35" s="73" customFormat="1" x14ac:dyDescent="0.25">
      <c r="A227" s="100"/>
      <c r="B227" s="114" t="s">
        <v>419</v>
      </c>
      <c r="C227" s="74">
        <f>IFERROR(VLOOKUP(B227,'REQ GALV'!A:B,2,0),0)</f>
        <v>0</v>
      </c>
      <c r="D227" s="116">
        <f t="shared" si="311"/>
        <v>359.7985619403326</v>
      </c>
      <c r="E227" s="103" t="s">
        <v>44</v>
      </c>
      <c r="F227" s="75" t="s">
        <v>147</v>
      </c>
      <c r="G227" s="90">
        <v>3.51</v>
      </c>
      <c r="H227" s="90">
        <v>34.5</v>
      </c>
      <c r="I227" s="76">
        <v>0.105</v>
      </c>
      <c r="J227" s="77">
        <v>28.24</v>
      </c>
      <c r="K227" s="78">
        <f t="shared" si="338"/>
        <v>8.4952852226451849</v>
      </c>
      <c r="L227" s="58">
        <f>+VLOOKUP(E227,Material!$H$2:$M$17,6,FALSE)*G227*H227*(1+Material!$K$14)</f>
        <v>109.0485703125</v>
      </c>
      <c r="M227" s="79" t="str">
        <f>+Analisis!$J$5</f>
        <v>T5.0</v>
      </c>
      <c r="N227" s="80">
        <f>+VLOOKUP(M227,Material!$A$3:$B$58,2,FALSE)</f>
        <v>5000</v>
      </c>
      <c r="O227" s="79" t="s">
        <v>42</v>
      </c>
      <c r="P227" s="79" t="s">
        <v>43</v>
      </c>
      <c r="Q227" s="81">
        <f>+IF(O227="ACERO A36",VLOOKUP(P227,'Velocidades Std 1500 w'!$B$2:$F$15,5,FALSE),IF(O227="INOXIDABLE",VLOOKUP(P227,'Velocidades Std 1500 w'!$B$17:$F$28,5,FALSE),IF(O227="ALUMINIO",VLOOKUP(P227,'Velocidades Std 1500 w'!$B$30:$F$38,5,FALSE))))</f>
        <v>4.3859649122807014E-6</v>
      </c>
      <c r="R227" s="82">
        <f t="shared" si="339"/>
        <v>2.1929824561403508E-2</v>
      </c>
      <c r="S227" s="83">
        <f t="shared" si="340"/>
        <v>38.329001052631575</v>
      </c>
      <c r="T227" s="110">
        <f t="shared" si="341"/>
        <v>2427.5034000000001</v>
      </c>
      <c r="U227" s="80">
        <f t="shared" si="342"/>
        <v>53.234723684210522</v>
      </c>
      <c r="V227" s="98">
        <v>10</v>
      </c>
      <c r="W227" s="84">
        <f>+IF(O227="ACERO A36",VLOOKUP(P227,'Tiempo Objeto'!$B$2:$C$12,2,FALSE),IF(O227="INOXIDABLE",VLOOKUP(P227,'Tiempo Objeto'!$B$14:$C$22,2,FALSE),IF(O227="ALUMINIO",VLOOKUP(P227,'Tiempo Objeto'!$B$24:$C$32,2,FALSE))))</f>
        <v>1.84</v>
      </c>
      <c r="X227" s="84">
        <f t="shared" si="343"/>
        <v>18.400000000000002</v>
      </c>
      <c r="Y227" s="80">
        <f t="shared" si="344"/>
        <v>25.555555555555561</v>
      </c>
      <c r="Z227" s="100">
        <v>4</v>
      </c>
      <c r="AA227" s="85">
        <f t="shared" si="345"/>
        <v>120</v>
      </c>
      <c r="AB227" s="86">
        <f>+Z227*Analisis!$J$6</f>
        <v>100</v>
      </c>
      <c r="AC227" s="100">
        <v>0</v>
      </c>
      <c r="AD227" s="85">
        <f t="shared" si="346"/>
        <v>0</v>
      </c>
      <c r="AE227" s="86">
        <f>+AD227*Analisis!$J$7</f>
        <v>0</v>
      </c>
      <c r="AF227" s="86">
        <f t="shared" si="310"/>
        <v>287.83884955226608</v>
      </c>
      <c r="AG227" s="126">
        <f>+AF227/(1-Analisis!$E$9)</f>
        <v>359.7985619403326</v>
      </c>
      <c r="AH227" s="128">
        <f t="shared" si="312"/>
        <v>0</v>
      </c>
    </row>
    <row r="228" spans="1:35" s="73" customFormat="1" x14ac:dyDescent="0.25">
      <c r="A228" s="100"/>
      <c r="B228" s="114" t="s">
        <v>420</v>
      </c>
      <c r="C228" s="74">
        <f>IFERROR(VLOOKUP(B228,'REQ GALV'!A:B,2,0),0)</f>
        <v>0</v>
      </c>
      <c r="D228" s="116">
        <f t="shared" si="311"/>
        <v>483.60798190789478</v>
      </c>
      <c r="E228" s="103" t="s">
        <v>41</v>
      </c>
      <c r="F228" s="75" t="s">
        <v>147</v>
      </c>
      <c r="G228" s="90">
        <v>18.95</v>
      </c>
      <c r="H228" s="90">
        <v>11.89</v>
      </c>
      <c r="I228" s="76">
        <v>0.105</v>
      </c>
      <c r="J228" s="77">
        <v>28.24</v>
      </c>
      <c r="K228" s="78">
        <f t="shared" si="256"/>
        <v>12.969648115360407</v>
      </c>
      <c r="L228" s="58">
        <f>+VLOOKUP(E228,Material!$H$2:$M$17,6,FALSE)*G228*H228*(1+Material!$K$14)</f>
        <v>166.48311944444447</v>
      </c>
      <c r="M228" s="79" t="str">
        <f>+Analisis!$J$5</f>
        <v>T5.0</v>
      </c>
      <c r="N228" s="80">
        <f>+VLOOKUP(M228,Material!$A$3:$B$58,2,FALSE)</f>
        <v>5000</v>
      </c>
      <c r="O228" s="79" t="s">
        <v>42</v>
      </c>
      <c r="P228" s="79" t="s">
        <v>43</v>
      </c>
      <c r="Q228" s="81">
        <f>+IF(O228="ACERO A36",VLOOKUP(P228,'Velocidades Std 1500 w'!$B$2:$F$15,5,FALSE),IF(O228="INOXIDABLE",VLOOKUP(P228,'Velocidades Std 1500 w'!$B$17:$F$28,5,FALSE),IF(O228="ALUMINIO",VLOOKUP(P228,'Velocidades Std 1500 w'!$B$30:$F$38,5,FALSE))))</f>
        <v>4.3859649122807014E-6</v>
      </c>
      <c r="R228" s="82">
        <f t="shared" si="257"/>
        <v>2.1929824561403508E-2</v>
      </c>
      <c r="S228" s="83">
        <f t="shared" si="258"/>
        <v>32.290351578947366</v>
      </c>
      <c r="T228" s="110">
        <f t="shared" si="259"/>
        <v>2045.0556000000001</v>
      </c>
      <c r="U228" s="80">
        <f t="shared" si="260"/>
        <v>44.847710526315787</v>
      </c>
      <c r="V228" s="98">
        <v>10</v>
      </c>
      <c r="W228" s="84">
        <f>+IF(O228="ACERO A36",VLOOKUP(P228,'Tiempo Objeto'!$B$2:$C$12,2,FALSE),IF(O228="INOXIDABLE",VLOOKUP(P228,'Tiempo Objeto'!$B$14:$C$22,2,FALSE),IF(O228="ALUMINIO",VLOOKUP(P228,'Tiempo Objeto'!$B$24:$C$32,2,FALSE))))</f>
        <v>1.84</v>
      </c>
      <c r="X228" s="84">
        <f t="shared" si="261"/>
        <v>18.400000000000002</v>
      </c>
      <c r="Y228" s="80">
        <f t="shared" si="262"/>
        <v>25.555555555555561</v>
      </c>
      <c r="Z228" s="100">
        <v>6</v>
      </c>
      <c r="AA228" s="85">
        <f t="shared" si="263"/>
        <v>180</v>
      </c>
      <c r="AB228" s="86">
        <f>+Z228*Analisis!$J$6</f>
        <v>150</v>
      </c>
      <c r="AC228" s="100">
        <v>0</v>
      </c>
      <c r="AD228" s="85">
        <f t="shared" si="264"/>
        <v>0</v>
      </c>
      <c r="AE228" s="86">
        <f>+AD228*Analisis!$J$7</f>
        <v>0</v>
      </c>
      <c r="AF228" s="86">
        <f t="shared" si="310"/>
        <v>386.88638552631585</v>
      </c>
      <c r="AG228" s="126">
        <f>+AF228/(1-Analisis!$E$9)</f>
        <v>483.60798190789478</v>
      </c>
      <c r="AH228" s="128">
        <f t="shared" si="312"/>
        <v>0</v>
      </c>
    </row>
    <row r="229" spans="1:35" s="73" customFormat="1" x14ac:dyDescent="0.25">
      <c r="A229" s="100"/>
      <c r="B229" s="114" t="s">
        <v>421</v>
      </c>
      <c r="C229" s="74">
        <f>IFERROR(VLOOKUP(B229,'REQ GALV'!A:B,2,0),0)</f>
        <v>0</v>
      </c>
      <c r="D229" s="116">
        <f t="shared" si="311"/>
        <v>559.46638834064322</v>
      </c>
      <c r="E229" s="103" t="s">
        <v>41</v>
      </c>
      <c r="F229" s="75" t="s">
        <v>147</v>
      </c>
      <c r="G229" s="90">
        <v>18.95</v>
      </c>
      <c r="H229" s="90">
        <v>15.89</v>
      </c>
      <c r="I229" s="76">
        <v>0.105</v>
      </c>
      <c r="J229" s="77">
        <v>28.24</v>
      </c>
      <c r="K229" s="78">
        <f t="shared" ref="K229:K241" si="347">+L229*2.2/J229</f>
        <v>17.332860265187286</v>
      </c>
      <c r="L229" s="58">
        <f>+VLOOKUP(E229,Material!$H$2:$M$17,6,FALSE)*G229*H229*(1+Material!$K$14)</f>
        <v>222.49089722222223</v>
      </c>
      <c r="M229" s="79" t="str">
        <f>+Analisis!$J$5</f>
        <v>T5.0</v>
      </c>
      <c r="N229" s="80">
        <f>+VLOOKUP(M229,Material!$A$3:$B$58,2,FALSE)</f>
        <v>5000</v>
      </c>
      <c r="O229" s="79" t="s">
        <v>42</v>
      </c>
      <c r="P229" s="79" t="s">
        <v>43</v>
      </c>
      <c r="Q229" s="81">
        <f>+IF(O229="ACERO A36",VLOOKUP(P229,'Velocidades Std 1500 w'!$B$2:$F$15,5,FALSE),IF(O229="INOXIDABLE",VLOOKUP(P229,'Velocidades Std 1500 w'!$B$17:$F$28,5,FALSE),IF(O229="ALUMINIO",VLOOKUP(P229,'Velocidades Std 1500 w'!$B$30:$F$38,5,FALSE))))</f>
        <v>4.3859649122807014E-6</v>
      </c>
      <c r="R229" s="82">
        <f t="shared" ref="R229:R241" si="348">+Q229*N229</f>
        <v>2.1929824561403508E-2</v>
      </c>
      <c r="S229" s="83">
        <f t="shared" ref="S229:S241" si="349">+Q229*T229*3600</f>
        <v>35.659193684210521</v>
      </c>
      <c r="T229" s="110">
        <f t="shared" ref="T229:T241" si="350">(+H229*2+G229*2+V229*1.5)*25.4*1.05</f>
        <v>2258.4155999999998</v>
      </c>
      <c r="U229" s="80">
        <f t="shared" ref="U229:U241" si="351">+T229*R229</f>
        <v>49.526657894736836</v>
      </c>
      <c r="V229" s="98">
        <v>10</v>
      </c>
      <c r="W229" s="84">
        <f>+IF(O229="ACERO A36",VLOOKUP(P229,'Tiempo Objeto'!$B$2:$C$12,2,FALSE),IF(O229="INOXIDABLE",VLOOKUP(P229,'Tiempo Objeto'!$B$14:$C$22,2,FALSE),IF(O229="ALUMINIO",VLOOKUP(P229,'Tiempo Objeto'!$B$24:$C$32,2,FALSE))))</f>
        <v>1.84</v>
      </c>
      <c r="X229" s="84">
        <f t="shared" ref="X229:X241" si="352">+W229*V229</f>
        <v>18.400000000000002</v>
      </c>
      <c r="Y229" s="80">
        <f t="shared" ref="Y229:Y241" si="353">+X229*N229/3600</f>
        <v>25.555555555555561</v>
      </c>
      <c r="Z229" s="100">
        <v>6</v>
      </c>
      <c r="AA229" s="85">
        <f t="shared" ref="AA229:AA241" si="354">30*Z229+Z229*$C229*1.5</f>
        <v>180</v>
      </c>
      <c r="AB229" s="86">
        <f>+Z229*Analisis!$J$6</f>
        <v>150</v>
      </c>
      <c r="AC229" s="100">
        <v>0</v>
      </c>
      <c r="AD229" s="85">
        <f t="shared" ref="AD229:AD241" si="355">30*AC229+AC229*$C229*1.5</f>
        <v>0</v>
      </c>
      <c r="AE229" s="86">
        <f>+AD229*Analisis!$J$7</f>
        <v>0</v>
      </c>
      <c r="AF229" s="86">
        <f t="shared" si="310"/>
        <v>447.57311067251459</v>
      </c>
      <c r="AG229" s="126">
        <f>+AF229/(1-Analisis!$E$9)</f>
        <v>559.46638834064322</v>
      </c>
      <c r="AH229" s="128">
        <f t="shared" si="312"/>
        <v>0</v>
      </c>
    </row>
    <row r="230" spans="1:35" s="73" customFormat="1" x14ac:dyDescent="0.25">
      <c r="A230" s="100"/>
      <c r="B230" s="114" t="s">
        <v>422</v>
      </c>
      <c r="C230" s="138">
        <f>IFERROR(VLOOKUP(B230,'REQ GALV'!A:B,2,0),0)</f>
        <v>15</v>
      </c>
      <c r="D230" s="116">
        <f t="shared" si="311"/>
        <v>597.3955915570175</v>
      </c>
      <c r="E230" s="103" t="s">
        <v>41</v>
      </c>
      <c r="F230" s="75" t="s">
        <v>147</v>
      </c>
      <c r="G230" s="90">
        <v>18.95</v>
      </c>
      <c r="H230" s="90">
        <v>17.89</v>
      </c>
      <c r="I230" s="76">
        <v>0.105</v>
      </c>
      <c r="J230" s="77">
        <v>28.24</v>
      </c>
      <c r="K230" s="78">
        <f t="shared" si="347"/>
        <v>19.514466340100729</v>
      </c>
      <c r="L230" s="58">
        <f>+VLOOKUP(E230,Material!$H$2:$M$17,6,FALSE)*G230*H230*(1+Material!$K$14)</f>
        <v>250.49478611111115</v>
      </c>
      <c r="M230" s="79" t="str">
        <f>+Analisis!$J$5</f>
        <v>T5.0</v>
      </c>
      <c r="N230" s="80">
        <f>+VLOOKUP(M230,Material!$A$3:$B$58,2,FALSE)</f>
        <v>5000</v>
      </c>
      <c r="O230" s="79" t="s">
        <v>42</v>
      </c>
      <c r="P230" s="79" t="s">
        <v>43</v>
      </c>
      <c r="Q230" s="81">
        <f>+IF(O230="ACERO A36",VLOOKUP(P230,'Velocidades Std 1500 w'!$B$2:$F$15,5,FALSE),IF(O230="INOXIDABLE",VLOOKUP(P230,'Velocidades Std 1500 w'!$B$17:$F$28,5,FALSE),IF(O230="ALUMINIO",VLOOKUP(P230,'Velocidades Std 1500 w'!$B$30:$F$38,5,FALSE))))</f>
        <v>4.3859649122807014E-6</v>
      </c>
      <c r="R230" s="82">
        <f t="shared" si="348"/>
        <v>2.1929824561403508E-2</v>
      </c>
      <c r="S230" s="83">
        <f t="shared" si="349"/>
        <v>37.343614736842106</v>
      </c>
      <c r="T230" s="110">
        <f t="shared" si="350"/>
        <v>2365.0956000000001</v>
      </c>
      <c r="U230" s="80">
        <f t="shared" si="351"/>
        <v>51.866131578947368</v>
      </c>
      <c r="V230" s="98">
        <v>10</v>
      </c>
      <c r="W230" s="84">
        <f>+IF(O230="ACERO A36",VLOOKUP(P230,'Tiempo Objeto'!$B$2:$C$12,2,FALSE),IF(O230="INOXIDABLE",VLOOKUP(P230,'Tiempo Objeto'!$B$14:$C$22,2,FALSE),IF(O230="ALUMINIO",VLOOKUP(P230,'Tiempo Objeto'!$B$24:$C$32,2,FALSE))))</f>
        <v>1.84</v>
      </c>
      <c r="X230" s="84">
        <f t="shared" si="352"/>
        <v>18.400000000000002</v>
      </c>
      <c r="Y230" s="80">
        <f t="shared" si="353"/>
        <v>25.555555555555561</v>
      </c>
      <c r="Z230" s="100">
        <v>6</v>
      </c>
      <c r="AA230" s="85">
        <f t="shared" si="354"/>
        <v>315</v>
      </c>
      <c r="AB230" s="86">
        <f>+Z230*Analisis!$J$6</f>
        <v>150</v>
      </c>
      <c r="AC230" s="100">
        <v>0</v>
      </c>
      <c r="AD230" s="85">
        <f t="shared" si="355"/>
        <v>0</v>
      </c>
      <c r="AE230" s="86">
        <f>+AD230*Analisis!$J$7</f>
        <v>0</v>
      </c>
      <c r="AF230" s="86">
        <f t="shared" si="310"/>
        <v>477.91647324561404</v>
      </c>
      <c r="AG230" s="126">
        <f>+AF230/(1-Analisis!$E$9)</f>
        <v>597.3955915570175</v>
      </c>
      <c r="AH230" s="128">
        <f t="shared" si="312"/>
        <v>8960.9338733552631</v>
      </c>
      <c r="AI230" s="128">
        <f>+L230*C230</f>
        <v>3757.4217916666671</v>
      </c>
    </row>
    <row r="231" spans="1:35" s="73" customFormat="1" x14ac:dyDescent="0.25">
      <c r="A231" s="100"/>
      <c r="B231" s="114" t="s">
        <v>423</v>
      </c>
      <c r="C231" s="74">
        <f>IFERROR(VLOOKUP(B231,'REQ GALV'!A:B,2,0),0)</f>
        <v>0</v>
      </c>
      <c r="D231" s="116">
        <f t="shared" si="311"/>
        <v>711.18320120614044</v>
      </c>
      <c r="E231" s="103" t="s">
        <v>41</v>
      </c>
      <c r="F231" s="75" t="s">
        <v>147</v>
      </c>
      <c r="G231" s="90">
        <v>18.95</v>
      </c>
      <c r="H231" s="90">
        <v>23.89</v>
      </c>
      <c r="I231" s="76">
        <v>0.105</v>
      </c>
      <c r="J231" s="77">
        <v>28.24</v>
      </c>
      <c r="K231" s="78">
        <f t="shared" si="347"/>
        <v>26.059284564841054</v>
      </c>
      <c r="L231" s="58">
        <f>+VLOOKUP(E231,Material!$H$2:$M$17,6,FALSE)*G231*H231*(1+Material!$K$14)</f>
        <v>334.50645277777784</v>
      </c>
      <c r="M231" s="79" t="str">
        <f>+Analisis!$J$5</f>
        <v>T5.0</v>
      </c>
      <c r="N231" s="80">
        <f>+VLOOKUP(M231,Material!$A$3:$B$58,2,FALSE)</f>
        <v>5000</v>
      </c>
      <c r="O231" s="79" t="s">
        <v>42</v>
      </c>
      <c r="P231" s="79" t="s">
        <v>43</v>
      </c>
      <c r="Q231" s="81">
        <f>+IF(O231="ACERO A36",VLOOKUP(P231,'Velocidades Std 1500 w'!$B$2:$F$15,5,FALSE),IF(O231="INOXIDABLE",VLOOKUP(P231,'Velocidades Std 1500 w'!$B$17:$F$28,5,FALSE),IF(O231="ALUMINIO",VLOOKUP(P231,'Velocidades Std 1500 w'!$B$30:$F$38,5,FALSE))))</f>
        <v>4.3859649122807014E-6</v>
      </c>
      <c r="R231" s="82">
        <f t="shared" si="348"/>
        <v>2.1929824561403508E-2</v>
      </c>
      <c r="S231" s="83">
        <f t="shared" si="349"/>
        <v>42.396877894736839</v>
      </c>
      <c r="T231" s="110">
        <f t="shared" si="350"/>
        <v>2685.1356000000001</v>
      </c>
      <c r="U231" s="80">
        <f t="shared" si="351"/>
        <v>58.884552631578948</v>
      </c>
      <c r="V231" s="98">
        <v>10</v>
      </c>
      <c r="W231" s="84">
        <f>+IF(O231="ACERO A36",VLOOKUP(P231,'Tiempo Objeto'!$B$2:$C$12,2,FALSE),IF(O231="INOXIDABLE",VLOOKUP(P231,'Tiempo Objeto'!$B$14:$C$22,2,FALSE),IF(O231="ALUMINIO",VLOOKUP(P231,'Tiempo Objeto'!$B$24:$C$32,2,FALSE))))</f>
        <v>1.84</v>
      </c>
      <c r="X231" s="84">
        <f t="shared" si="352"/>
        <v>18.400000000000002</v>
      </c>
      <c r="Y231" s="80">
        <f t="shared" si="353"/>
        <v>25.555555555555561</v>
      </c>
      <c r="Z231" s="100">
        <v>6</v>
      </c>
      <c r="AA231" s="85">
        <f t="shared" si="354"/>
        <v>180</v>
      </c>
      <c r="AB231" s="86">
        <f>+Z231*Analisis!$J$6</f>
        <v>150</v>
      </c>
      <c r="AC231" s="100">
        <v>0</v>
      </c>
      <c r="AD231" s="85">
        <f t="shared" si="355"/>
        <v>0</v>
      </c>
      <c r="AE231" s="86">
        <f>+AD231*Analisis!$J$7</f>
        <v>0</v>
      </c>
      <c r="AF231" s="86">
        <f t="shared" si="310"/>
        <v>568.94656096491235</v>
      </c>
      <c r="AG231" s="126">
        <f>+AF231/(1-Analisis!$E$9)</f>
        <v>711.18320120614044</v>
      </c>
      <c r="AH231" s="128">
        <f t="shared" si="312"/>
        <v>0</v>
      </c>
    </row>
    <row r="232" spans="1:35" s="73" customFormat="1" x14ac:dyDescent="0.25">
      <c r="A232" s="100"/>
      <c r="B232" s="114" t="s">
        <v>424</v>
      </c>
      <c r="C232" s="74">
        <f>IFERROR(VLOOKUP(B232,'REQ GALV'!A:B,2,0),0)</f>
        <v>0</v>
      </c>
      <c r="D232" s="116">
        <f t="shared" si="311"/>
        <v>749.11240442251449</v>
      </c>
      <c r="E232" s="103" t="s">
        <v>41</v>
      </c>
      <c r="F232" s="75" t="s">
        <v>147</v>
      </c>
      <c r="G232" s="90">
        <v>18.95</v>
      </c>
      <c r="H232" s="90">
        <v>25.89</v>
      </c>
      <c r="I232" s="76">
        <v>0.105</v>
      </c>
      <c r="J232" s="77">
        <v>28.24</v>
      </c>
      <c r="K232" s="78">
        <f t="shared" si="347"/>
        <v>28.240890639754493</v>
      </c>
      <c r="L232" s="58">
        <f>+VLOOKUP(E232,Material!$H$2:$M$17,6,FALSE)*G232*H232*(1+Material!$K$14)</f>
        <v>362.5103416666667</v>
      </c>
      <c r="M232" s="79" t="str">
        <f>+Analisis!$J$5</f>
        <v>T5.0</v>
      </c>
      <c r="N232" s="80">
        <f>+VLOOKUP(M232,Material!$A$3:$B$58,2,FALSE)</f>
        <v>5000</v>
      </c>
      <c r="O232" s="79" t="s">
        <v>42</v>
      </c>
      <c r="P232" s="79" t="s">
        <v>43</v>
      </c>
      <c r="Q232" s="81">
        <f>+IF(O232="ACERO A36",VLOOKUP(P232,'Velocidades Std 1500 w'!$B$2:$F$15,5,FALSE),IF(O232="INOXIDABLE",VLOOKUP(P232,'Velocidades Std 1500 w'!$B$17:$F$28,5,FALSE),IF(O232="ALUMINIO",VLOOKUP(P232,'Velocidades Std 1500 w'!$B$30:$F$38,5,FALSE))))</f>
        <v>4.3859649122807014E-6</v>
      </c>
      <c r="R232" s="82">
        <f t="shared" si="348"/>
        <v>2.1929824561403508E-2</v>
      </c>
      <c r="S232" s="83">
        <f t="shared" si="349"/>
        <v>44.081298947368417</v>
      </c>
      <c r="T232" s="110">
        <f t="shared" si="350"/>
        <v>2791.8155999999999</v>
      </c>
      <c r="U232" s="80">
        <f t="shared" si="351"/>
        <v>61.224026315789466</v>
      </c>
      <c r="V232" s="98">
        <v>10</v>
      </c>
      <c r="W232" s="84">
        <f>+IF(O232="ACERO A36",VLOOKUP(P232,'Tiempo Objeto'!$B$2:$C$12,2,FALSE),IF(O232="INOXIDABLE",VLOOKUP(P232,'Tiempo Objeto'!$B$14:$C$22,2,FALSE),IF(O232="ALUMINIO",VLOOKUP(P232,'Tiempo Objeto'!$B$24:$C$32,2,FALSE))))</f>
        <v>1.84</v>
      </c>
      <c r="X232" s="84">
        <f t="shared" si="352"/>
        <v>18.400000000000002</v>
      </c>
      <c r="Y232" s="80">
        <f t="shared" si="353"/>
        <v>25.555555555555561</v>
      </c>
      <c r="Z232" s="100">
        <v>6</v>
      </c>
      <c r="AA232" s="85">
        <f t="shared" si="354"/>
        <v>180</v>
      </c>
      <c r="AB232" s="86">
        <f>+Z232*Analisis!$J$6</f>
        <v>150</v>
      </c>
      <c r="AC232" s="100">
        <v>0</v>
      </c>
      <c r="AD232" s="85">
        <f t="shared" si="355"/>
        <v>0</v>
      </c>
      <c r="AE232" s="86">
        <f>+AD232*Analisis!$J$7</f>
        <v>0</v>
      </c>
      <c r="AF232" s="86">
        <f t="shared" si="310"/>
        <v>599.28992353801164</v>
      </c>
      <c r="AG232" s="126">
        <f>+AF232/(1-Analisis!$E$9)</f>
        <v>749.11240442251449</v>
      </c>
      <c r="AH232" s="128">
        <f t="shared" si="312"/>
        <v>0</v>
      </c>
    </row>
    <row r="233" spans="1:35" s="73" customFormat="1" x14ac:dyDescent="0.25">
      <c r="A233" s="100"/>
      <c r="B233" s="114" t="s">
        <v>425</v>
      </c>
      <c r="C233" s="138">
        <f>IFERROR(VLOOKUP(B233,'REQ GALV'!A:B,2,0),0)</f>
        <v>45</v>
      </c>
      <c r="D233" s="116">
        <f t="shared" si="311"/>
        <v>824.97081085526315</v>
      </c>
      <c r="E233" s="103" t="s">
        <v>41</v>
      </c>
      <c r="F233" s="75" t="s">
        <v>147</v>
      </c>
      <c r="G233" s="90">
        <v>18.95</v>
      </c>
      <c r="H233" s="90">
        <v>29.89</v>
      </c>
      <c r="I233" s="76">
        <v>0.105</v>
      </c>
      <c r="J233" s="77">
        <v>28.24</v>
      </c>
      <c r="K233" s="78">
        <f t="shared" si="347"/>
        <v>32.604102789581376</v>
      </c>
      <c r="L233" s="58">
        <f>+VLOOKUP(E233,Material!$H$2:$M$17,6,FALSE)*G233*H233*(1+Material!$K$14)</f>
        <v>418.51811944444449</v>
      </c>
      <c r="M233" s="79" t="str">
        <f>+Analisis!$J$5</f>
        <v>T5.0</v>
      </c>
      <c r="N233" s="80">
        <f>+VLOOKUP(M233,Material!$A$3:$B$58,2,FALSE)</f>
        <v>5000</v>
      </c>
      <c r="O233" s="79" t="s">
        <v>42</v>
      </c>
      <c r="P233" s="79" t="s">
        <v>43</v>
      </c>
      <c r="Q233" s="81">
        <f>+IF(O233="ACERO A36",VLOOKUP(P233,'Velocidades Std 1500 w'!$B$2:$F$15,5,FALSE),IF(O233="INOXIDABLE",VLOOKUP(P233,'Velocidades Std 1500 w'!$B$17:$F$28,5,FALSE),IF(O233="ALUMINIO",VLOOKUP(P233,'Velocidades Std 1500 w'!$B$30:$F$38,5,FALSE))))</f>
        <v>4.3859649122807014E-6</v>
      </c>
      <c r="R233" s="82">
        <f t="shared" si="348"/>
        <v>2.1929824561403508E-2</v>
      </c>
      <c r="S233" s="83">
        <f t="shared" si="349"/>
        <v>47.450141052631579</v>
      </c>
      <c r="T233" s="110">
        <f t="shared" si="350"/>
        <v>3005.1756</v>
      </c>
      <c r="U233" s="80">
        <f t="shared" si="351"/>
        <v>65.902973684210522</v>
      </c>
      <c r="V233" s="98">
        <v>10</v>
      </c>
      <c r="W233" s="84">
        <f>+IF(O233="ACERO A36",VLOOKUP(P233,'Tiempo Objeto'!$B$2:$C$12,2,FALSE),IF(O233="INOXIDABLE",VLOOKUP(P233,'Tiempo Objeto'!$B$14:$C$22,2,FALSE),IF(O233="ALUMINIO",VLOOKUP(P233,'Tiempo Objeto'!$B$24:$C$32,2,FALSE))))</f>
        <v>1.84</v>
      </c>
      <c r="X233" s="84">
        <f t="shared" si="352"/>
        <v>18.400000000000002</v>
      </c>
      <c r="Y233" s="80">
        <f t="shared" si="353"/>
        <v>25.555555555555561</v>
      </c>
      <c r="Z233" s="100">
        <v>6</v>
      </c>
      <c r="AA233" s="85">
        <f t="shared" si="354"/>
        <v>585</v>
      </c>
      <c r="AB233" s="86">
        <f>+Z233*Analisis!$J$6</f>
        <v>150</v>
      </c>
      <c r="AC233" s="100">
        <v>0</v>
      </c>
      <c r="AD233" s="85">
        <f t="shared" si="355"/>
        <v>0</v>
      </c>
      <c r="AE233" s="86">
        <f>+AD233*Analisis!$J$7</f>
        <v>0</v>
      </c>
      <c r="AF233" s="86">
        <f t="shared" si="310"/>
        <v>659.97664868421055</v>
      </c>
      <c r="AG233" s="126">
        <f>+AF233/(1-Analisis!$E$9)</f>
        <v>824.97081085526315</v>
      </c>
      <c r="AH233" s="128">
        <f t="shared" si="312"/>
        <v>37123.686488486841</v>
      </c>
      <c r="AI233" s="128">
        <f>+L233*C233</f>
        <v>18833.315375000002</v>
      </c>
    </row>
    <row r="234" spans="1:35" s="73" customFormat="1" x14ac:dyDescent="0.25">
      <c r="A234" s="100"/>
      <c r="B234" s="114" t="s">
        <v>426</v>
      </c>
      <c r="C234" s="74">
        <f>IFERROR(VLOOKUP(B234,'REQ GALV'!A:B,2,0),0)</f>
        <v>0</v>
      </c>
      <c r="D234" s="116">
        <f t="shared" si="311"/>
        <v>881.86461567982462</v>
      </c>
      <c r="E234" s="103" t="s">
        <v>41</v>
      </c>
      <c r="F234" s="75" t="s">
        <v>147</v>
      </c>
      <c r="G234" s="90">
        <v>18.95</v>
      </c>
      <c r="H234" s="90">
        <v>32.89</v>
      </c>
      <c r="I234" s="76">
        <v>0.105</v>
      </c>
      <c r="J234" s="77">
        <v>28.24</v>
      </c>
      <c r="K234" s="78">
        <f t="shared" si="347"/>
        <v>35.876511901951531</v>
      </c>
      <c r="L234" s="58">
        <f>+VLOOKUP(E234,Material!$H$2:$M$17,6,FALSE)*G234*H234*(1+Material!$K$14)</f>
        <v>460.52395277777782</v>
      </c>
      <c r="M234" s="79" t="str">
        <f>+Analisis!$J$5</f>
        <v>T5.0</v>
      </c>
      <c r="N234" s="80">
        <f>+VLOOKUP(M234,Material!$A$3:$B$58,2,FALSE)</f>
        <v>5000</v>
      </c>
      <c r="O234" s="79" t="s">
        <v>42</v>
      </c>
      <c r="P234" s="79" t="s">
        <v>43</v>
      </c>
      <c r="Q234" s="81">
        <f>+IF(O234="ACERO A36",VLOOKUP(P234,'Velocidades Std 1500 w'!$B$2:$F$15,5,FALSE),IF(O234="INOXIDABLE",VLOOKUP(P234,'Velocidades Std 1500 w'!$B$17:$F$28,5,FALSE),IF(O234="ALUMINIO",VLOOKUP(P234,'Velocidades Std 1500 w'!$B$30:$F$38,5,FALSE))))</f>
        <v>4.3859649122807014E-6</v>
      </c>
      <c r="R234" s="82">
        <f t="shared" si="348"/>
        <v>2.1929824561403508E-2</v>
      </c>
      <c r="S234" s="83">
        <f t="shared" si="349"/>
        <v>49.976772631578946</v>
      </c>
      <c r="T234" s="110">
        <f t="shared" si="350"/>
        <v>3165.1956000000005</v>
      </c>
      <c r="U234" s="80">
        <f t="shared" si="351"/>
        <v>69.41218421052632</v>
      </c>
      <c r="V234" s="98">
        <v>10</v>
      </c>
      <c r="W234" s="84">
        <f>+IF(O234="ACERO A36",VLOOKUP(P234,'Tiempo Objeto'!$B$2:$C$12,2,FALSE),IF(O234="INOXIDABLE",VLOOKUP(P234,'Tiempo Objeto'!$B$14:$C$22,2,FALSE),IF(O234="ALUMINIO",VLOOKUP(P234,'Tiempo Objeto'!$B$24:$C$32,2,FALSE))))</f>
        <v>1.84</v>
      </c>
      <c r="X234" s="84">
        <f t="shared" si="352"/>
        <v>18.400000000000002</v>
      </c>
      <c r="Y234" s="80">
        <f t="shared" si="353"/>
        <v>25.555555555555561</v>
      </c>
      <c r="Z234" s="100">
        <v>6</v>
      </c>
      <c r="AA234" s="85">
        <f t="shared" si="354"/>
        <v>180</v>
      </c>
      <c r="AB234" s="86">
        <f>+Z234*Analisis!$J$6</f>
        <v>150</v>
      </c>
      <c r="AC234" s="100">
        <v>0</v>
      </c>
      <c r="AD234" s="85">
        <f t="shared" si="355"/>
        <v>0</v>
      </c>
      <c r="AE234" s="86">
        <f>+AD234*Analisis!$J$7</f>
        <v>0</v>
      </c>
      <c r="AF234" s="86">
        <f t="shared" si="310"/>
        <v>705.4916925438597</v>
      </c>
      <c r="AG234" s="126">
        <f>+AF234/(1-Analisis!$E$9)</f>
        <v>881.86461567982462</v>
      </c>
      <c r="AH234" s="128">
        <f t="shared" si="312"/>
        <v>0</v>
      </c>
    </row>
    <row r="235" spans="1:35" s="73" customFormat="1" x14ac:dyDescent="0.25">
      <c r="A235" s="100"/>
      <c r="B235" s="114" t="s">
        <v>338</v>
      </c>
      <c r="C235" s="138">
        <f>IFERROR(VLOOKUP(B235,'REQ GALV'!A:B,2,0),0)</f>
        <v>75</v>
      </c>
      <c r="D235" s="116">
        <f t="shared" si="311"/>
        <v>938.75842050438598</v>
      </c>
      <c r="E235" s="103" t="s">
        <v>41</v>
      </c>
      <c r="F235" s="75" t="s">
        <v>147</v>
      </c>
      <c r="G235" s="90">
        <v>18.95</v>
      </c>
      <c r="H235" s="90">
        <v>35.89</v>
      </c>
      <c r="I235" s="76">
        <v>0.105</v>
      </c>
      <c r="J235" s="77">
        <v>28.24</v>
      </c>
      <c r="K235" s="78">
        <f t="shared" si="347"/>
        <v>39.148921014321701</v>
      </c>
      <c r="L235" s="58">
        <f>+VLOOKUP(E235,Material!$H$2:$M$17,6,FALSE)*G235*H235*(1+Material!$K$14)</f>
        <v>502.52978611111121</v>
      </c>
      <c r="M235" s="79" t="str">
        <f>+Analisis!$J$5</f>
        <v>T5.0</v>
      </c>
      <c r="N235" s="80">
        <f>+VLOOKUP(M235,Material!$A$3:$B$58,2,FALSE)</f>
        <v>5000</v>
      </c>
      <c r="O235" s="79" t="s">
        <v>42</v>
      </c>
      <c r="P235" s="79" t="s">
        <v>43</v>
      </c>
      <c r="Q235" s="81">
        <f>+IF(O235="ACERO A36",VLOOKUP(P235,'Velocidades Std 1500 w'!$B$2:$F$15,5,FALSE),IF(O235="INOXIDABLE",VLOOKUP(P235,'Velocidades Std 1500 w'!$B$17:$F$28,5,FALSE),IF(O235="ALUMINIO",VLOOKUP(P235,'Velocidades Std 1500 w'!$B$30:$F$38,5,FALSE))))</f>
        <v>4.3859649122807014E-6</v>
      </c>
      <c r="R235" s="82">
        <f t="shared" si="348"/>
        <v>2.1929824561403508E-2</v>
      </c>
      <c r="S235" s="83">
        <f t="shared" si="349"/>
        <v>52.503404210526313</v>
      </c>
      <c r="T235" s="110">
        <f t="shared" si="350"/>
        <v>3325.2156</v>
      </c>
      <c r="U235" s="80">
        <f t="shared" si="351"/>
        <v>72.921394736842103</v>
      </c>
      <c r="V235" s="98">
        <v>10</v>
      </c>
      <c r="W235" s="84">
        <f>+IF(O235="ACERO A36",VLOOKUP(P235,'Tiempo Objeto'!$B$2:$C$12,2,FALSE),IF(O235="INOXIDABLE",VLOOKUP(P235,'Tiempo Objeto'!$B$14:$C$22,2,FALSE),IF(O235="ALUMINIO",VLOOKUP(P235,'Tiempo Objeto'!$B$24:$C$32,2,FALSE))))</f>
        <v>1.84</v>
      </c>
      <c r="X235" s="84">
        <f t="shared" si="352"/>
        <v>18.400000000000002</v>
      </c>
      <c r="Y235" s="80">
        <f t="shared" si="353"/>
        <v>25.555555555555561</v>
      </c>
      <c r="Z235" s="100">
        <v>6</v>
      </c>
      <c r="AA235" s="85">
        <f t="shared" si="354"/>
        <v>855</v>
      </c>
      <c r="AB235" s="86">
        <f>+Z235*Analisis!$J$6</f>
        <v>150</v>
      </c>
      <c r="AC235" s="100">
        <v>0</v>
      </c>
      <c r="AD235" s="85">
        <f t="shared" si="355"/>
        <v>0</v>
      </c>
      <c r="AE235" s="86">
        <f>+AD235*Analisis!$J$7</f>
        <v>0</v>
      </c>
      <c r="AF235" s="86">
        <f t="shared" si="310"/>
        <v>751.00673640350885</v>
      </c>
      <c r="AG235" s="126">
        <f>+AF235/(1-Analisis!$E$9)</f>
        <v>938.75842050438598</v>
      </c>
      <c r="AH235" s="128">
        <f t="shared" si="312"/>
        <v>70406.881537828944</v>
      </c>
      <c r="AI235" s="128">
        <f>+L235*C235</f>
        <v>37689.733958333338</v>
      </c>
    </row>
    <row r="236" spans="1:35" s="73" customFormat="1" x14ac:dyDescent="0.25">
      <c r="A236" s="100"/>
      <c r="B236" s="114" t="s">
        <v>427</v>
      </c>
      <c r="C236" s="74">
        <f>IFERROR(VLOOKUP(B236,'REQ GALV'!A:B,2,0),0)</f>
        <v>0</v>
      </c>
      <c r="D236" s="116">
        <f t="shared" si="311"/>
        <v>976.68762372076037</v>
      </c>
      <c r="E236" s="103" t="s">
        <v>41</v>
      </c>
      <c r="F236" s="75" t="s">
        <v>147</v>
      </c>
      <c r="G236" s="90">
        <v>18.95</v>
      </c>
      <c r="H236" s="90">
        <v>37.89</v>
      </c>
      <c r="I236" s="76">
        <v>0.105</v>
      </c>
      <c r="J236" s="77">
        <v>28.24</v>
      </c>
      <c r="K236" s="78">
        <f t="shared" si="347"/>
        <v>41.33052708923514</v>
      </c>
      <c r="L236" s="58">
        <f>+VLOOKUP(E236,Material!$H$2:$M$17,6,FALSE)*G236*H236*(1+Material!$K$14)</f>
        <v>530.53367500000013</v>
      </c>
      <c r="M236" s="79" t="str">
        <f>+Analisis!$J$5</f>
        <v>T5.0</v>
      </c>
      <c r="N236" s="80">
        <f>+VLOOKUP(M236,Material!$A$3:$B$58,2,FALSE)</f>
        <v>5000</v>
      </c>
      <c r="O236" s="79" t="s">
        <v>42</v>
      </c>
      <c r="P236" s="79" t="s">
        <v>43</v>
      </c>
      <c r="Q236" s="81">
        <f>+IF(O236="ACERO A36",VLOOKUP(P236,'Velocidades Std 1500 w'!$B$2:$F$15,5,FALSE),IF(O236="INOXIDABLE",VLOOKUP(P236,'Velocidades Std 1500 w'!$B$17:$F$28,5,FALSE),IF(O236="ALUMINIO",VLOOKUP(P236,'Velocidades Std 1500 w'!$B$30:$F$38,5,FALSE))))</f>
        <v>4.3859649122807014E-6</v>
      </c>
      <c r="R236" s="82">
        <f t="shared" si="348"/>
        <v>2.1929824561403508E-2</v>
      </c>
      <c r="S236" s="83">
        <f t="shared" si="349"/>
        <v>54.187825263157897</v>
      </c>
      <c r="T236" s="110">
        <f t="shared" si="350"/>
        <v>3431.8956000000003</v>
      </c>
      <c r="U236" s="80">
        <f t="shared" si="351"/>
        <v>75.260868421052635</v>
      </c>
      <c r="V236" s="98">
        <v>10</v>
      </c>
      <c r="W236" s="84">
        <f>+IF(O236="ACERO A36",VLOOKUP(P236,'Tiempo Objeto'!$B$2:$C$12,2,FALSE),IF(O236="INOXIDABLE",VLOOKUP(P236,'Tiempo Objeto'!$B$14:$C$22,2,FALSE),IF(O236="ALUMINIO",VLOOKUP(P236,'Tiempo Objeto'!$B$24:$C$32,2,FALSE))))</f>
        <v>1.84</v>
      </c>
      <c r="X236" s="84">
        <f t="shared" si="352"/>
        <v>18.400000000000002</v>
      </c>
      <c r="Y236" s="80">
        <f t="shared" si="353"/>
        <v>25.555555555555561</v>
      </c>
      <c r="Z236" s="100">
        <v>6</v>
      </c>
      <c r="AA236" s="85">
        <f t="shared" si="354"/>
        <v>180</v>
      </c>
      <c r="AB236" s="86">
        <f>+Z236*Analisis!$J$6</f>
        <v>150</v>
      </c>
      <c r="AC236" s="100">
        <v>0</v>
      </c>
      <c r="AD236" s="85">
        <f t="shared" si="355"/>
        <v>0</v>
      </c>
      <c r="AE236" s="86">
        <f>+AD236*Analisis!$J$7</f>
        <v>0</v>
      </c>
      <c r="AF236" s="86">
        <f t="shared" si="310"/>
        <v>781.35009897660836</v>
      </c>
      <c r="AG236" s="126">
        <f>+AF236/(1-Analisis!$E$9)</f>
        <v>976.68762372076037</v>
      </c>
      <c r="AH236" s="128">
        <f t="shared" si="312"/>
        <v>0</v>
      </c>
    </row>
    <row r="237" spans="1:35" s="73" customFormat="1" x14ac:dyDescent="0.25">
      <c r="A237" s="100"/>
      <c r="B237" s="114" t="s">
        <v>428</v>
      </c>
      <c r="C237" s="138">
        <f>IFERROR(VLOOKUP(B237,'REQ GALV'!A:B,2,0),0)</f>
        <v>30</v>
      </c>
      <c r="D237" s="116">
        <f t="shared" si="311"/>
        <v>1090.4752333698832</v>
      </c>
      <c r="E237" s="103" t="s">
        <v>41</v>
      </c>
      <c r="F237" s="75" t="s">
        <v>147</v>
      </c>
      <c r="G237" s="90">
        <v>18.95</v>
      </c>
      <c r="H237" s="90">
        <v>43.89</v>
      </c>
      <c r="I237" s="76">
        <v>0.105</v>
      </c>
      <c r="J237" s="77">
        <v>28.24</v>
      </c>
      <c r="K237" s="78">
        <f t="shared" si="347"/>
        <v>47.875345313975458</v>
      </c>
      <c r="L237" s="58">
        <f>+VLOOKUP(E237,Material!$H$2:$M$17,6,FALSE)*G237*H237*(1+Material!$K$14)</f>
        <v>614.54534166666679</v>
      </c>
      <c r="M237" s="79" t="str">
        <f>+Analisis!$J$5</f>
        <v>T5.0</v>
      </c>
      <c r="N237" s="80">
        <f>+VLOOKUP(M237,Material!$A$3:$B$58,2,FALSE)</f>
        <v>5000</v>
      </c>
      <c r="O237" s="79" t="s">
        <v>42</v>
      </c>
      <c r="P237" s="79" t="s">
        <v>43</v>
      </c>
      <c r="Q237" s="81">
        <f>+IF(O237="ACERO A36",VLOOKUP(P237,'Velocidades Std 1500 w'!$B$2:$F$15,5,FALSE),IF(O237="INOXIDABLE",VLOOKUP(P237,'Velocidades Std 1500 w'!$B$17:$F$28,5,FALSE),IF(O237="ALUMINIO",VLOOKUP(P237,'Velocidades Std 1500 w'!$B$30:$F$38,5,FALSE))))</f>
        <v>4.3859649122807014E-6</v>
      </c>
      <c r="R237" s="82">
        <f t="shared" si="348"/>
        <v>2.1929824561403508E-2</v>
      </c>
      <c r="S237" s="83">
        <f t="shared" si="349"/>
        <v>59.241088421052631</v>
      </c>
      <c r="T237" s="110">
        <f t="shared" si="350"/>
        <v>3751.9356000000002</v>
      </c>
      <c r="U237" s="80">
        <f t="shared" si="351"/>
        <v>82.279289473684216</v>
      </c>
      <c r="V237" s="98">
        <v>10</v>
      </c>
      <c r="W237" s="84">
        <f>+IF(O237="ACERO A36",VLOOKUP(P237,'Tiempo Objeto'!$B$2:$C$12,2,FALSE),IF(O237="INOXIDABLE",VLOOKUP(P237,'Tiempo Objeto'!$B$14:$C$22,2,FALSE),IF(O237="ALUMINIO",VLOOKUP(P237,'Tiempo Objeto'!$B$24:$C$32,2,FALSE))))</f>
        <v>1.84</v>
      </c>
      <c r="X237" s="84">
        <f t="shared" si="352"/>
        <v>18.400000000000002</v>
      </c>
      <c r="Y237" s="80">
        <f t="shared" si="353"/>
        <v>25.555555555555561</v>
      </c>
      <c r="Z237" s="100">
        <v>6</v>
      </c>
      <c r="AA237" s="85">
        <f t="shared" si="354"/>
        <v>450</v>
      </c>
      <c r="AB237" s="86">
        <f>+Z237*Analisis!$J$6</f>
        <v>150</v>
      </c>
      <c r="AC237" s="100">
        <v>0</v>
      </c>
      <c r="AD237" s="85">
        <f t="shared" si="355"/>
        <v>0</v>
      </c>
      <c r="AE237" s="86">
        <f>+AD237*Analisis!$J$7</f>
        <v>0</v>
      </c>
      <c r="AF237" s="86">
        <f t="shared" si="310"/>
        <v>872.38018669590656</v>
      </c>
      <c r="AG237" s="126">
        <f>+AF237/(1-Analisis!$E$9)</f>
        <v>1090.4752333698832</v>
      </c>
      <c r="AH237" s="128">
        <f t="shared" si="312"/>
        <v>32714.257001096496</v>
      </c>
      <c r="AI237" s="128">
        <f>+L237*C237</f>
        <v>18436.360250000005</v>
      </c>
    </row>
    <row r="238" spans="1:35" s="73" customFormat="1" x14ac:dyDescent="0.25">
      <c r="A238" s="100"/>
      <c r="B238" s="114" t="s">
        <v>429</v>
      </c>
      <c r="C238" s="74">
        <f>IFERROR(VLOOKUP(B238,'REQ GALV'!A:B,2,0),0)</f>
        <v>0</v>
      </c>
      <c r="D238" s="116">
        <f t="shared" si="311"/>
        <v>1128.4044365862571</v>
      </c>
      <c r="E238" s="103" t="s">
        <v>41</v>
      </c>
      <c r="F238" s="75" t="s">
        <v>147</v>
      </c>
      <c r="G238" s="90">
        <v>18.95</v>
      </c>
      <c r="H238" s="90">
        <v>45.89</v>
      </c>
      <c r="I238" s="76">
        <v>0.105</v>
      </c>
      <c r="J238" s="77">
        <v>28.24</v>
      </c>
      <c r="K238" s="78">
        <f t="shared" si="347"/>
        <v>50.056951388888898</v>
      </c>
      <c r="L238" s="58">
        <f>+VLOOKUP(E238,Material!$H$2:$M$17,6,FALSE)*G238*H238*(1+Material!$K$14)</f>
        <v>642.5492305555556</v>
      </c>
      <c r="M238" s="79" t="str">
        <f>+Analisis!$J$5</f>
        <v>T5.0</v>
      </c>
      <c r="N238" s="80">
        <f>+VLOOKUP(M238,Material!$A$3:$B$58,2,FALSE)</f>
        <v>5000</v>
      </c>
      <c r="O238" s="79" t="s">
        <v>42</v>
      </c>
      <c r="P238" s="79" t="s">
        <v>43</v>
      </c>
      <c r="Q238" s="81">
        <f>+IF(O238="ACERO A36",VLOOKUP(P238,'Velocidades Std 1500 w'!$B$2:$F$15,5,FALSE),IF(O238="INOXIDABLE",VLOOKUP(P238,'Velocidades Std 1500 w'!$B$17:$F$28,5,FALSE),IF(O238="ALUMINIO",VLOOKUP(P238,'Velocidades Std 1500 w'!$B$30:$F$38,5,FALSE))))</f>
        <v>4.3859649122807014E-6</v>
      </c>
      <c r="R238" s="82">
        <f t="shared" si="348"/>
        <v>2.1929824561403508E-2</v>
      </c>
      <c r="S238" s="83">
        <f t="shared" si="349"/>
        <v>60.925509473684201</v>
      </c>
      <c r="T238" s="110">
        <f t="shared" si="350"/>
        <v>3858.6156000000001</v>
      </c>
      <c r="U238" s="80">
        <f t="shared" si="351"/>
        <v>84.618763157894733</v>
      </c>
      <c r="V238" s="98">
        <v>10</v>
      </c>
      <c r="W238" s="84">
        <f>+IF(O238="ACERO A36",VLOOKUP(P238,'Tiempo Objeto'!$B$2:$C$12,2,FALSE),IF(O238="INOXIDABLE",VLOOKUP(P238,'Tiempo Objeto'!$B$14:$C$22,2,FALSE),IF(O238="ALUMINIO",VLOOKUP(P238,'Tiempo Objeto'!$B$24:$C$32,2,FALSE))))</f>
        <v>1.84</v>
      </c>
      <c r="X238" s="84">
        <f t="shared" si="352"/>
        <v>18.400000000000002</v>
      </c>
      <c r="Y238" s="80">
        <f t="shared" si="353"/>
        <v>25.555555555555561</v>
      </c>
      <c r="Z238" s="100">
        <v>6</v>
      </c>
      <c r="AA238" s="85">
        <f t="shared" si="354"/>
        <v>180</v>
      </c>
      <c r="AB238" s="86">
        <f>+Z238*Analisis!$J$6</f>
        <v>150</v>
      </c>
      <c r="AC238" s="100">
        <v>0</v>
      </c>
      <c r="AD238" s="85">
        <f t="shared" si="355"/>
        <v>0</v>
      </c>
      <c r="AE238" s="86">
        <f>+AD238*Analisis!$J$7</f>
        <v>0</v>
      </c>
      <c r="AF238" s="86">
        <f t="shared" si="310"/>
        <v>902.72354926900584</v>
      </c>
      <c r="AG238" s="126">
        <f>+AF238/(1-Analisis!$E$9)</f>
        <v>1128.4044365862571</v>
      </c>
      <c r="AH238" s="128">
        <f t="shared" si="312"/>
        <v>0</v>
      </c>
    </row>
    <row r="239" spans="1:35" s="73" customFormat="1" x14ac:dyDescent="0.25">
      <c r="A239" s="100"/>
      <c r="B239" s="114" t="s">
        <v>430</v>
      </c>
      <c r="C239" s="74">
        <f>IFERROR(VLOOKUP(B239,'REQ GALV'!A:B,2,0),0)</f>
        <v>0</v>
      </c>
      <c r="D239" s="116">
        <f t="shared" si="311"/>
        <v>1204.2628430190059</v>
      </c>
      <c r="E239" s="103" t="s">
        <v>41</v>
      </c>
      <c r="F239" s="75" t="s">
        <v>147</v>
      </c>
      <c r="G239" s="90">
        <v>18.95</v>
      </c>
      <c r="H239" s="90">
        <v>49.89</v>
      </c>
      <c r="I239" s="76">
        <v>0.105</v>
      </c>
      <c r="J239" s="77">
        <v>28.24</v>
      </c>
      <c r="K239" s="78">
        <f t="shared" si="347"/>
        <v>54.420163538715791</v>
      </c>
      <c r="L239" s="58">
        <f>+VLOOKUP(E239,Material!$H$2:$M$17,6,FALSE)*G239*H239*(1+Material!$K$14)</f>
        <v>698.55700833333344</v>
      </c>
      <c r="M239" s="79" t="str">
        <f>+Analisis!$J$5</f>
        <v>T5.0</v>
      </c>
      <c r="N239" s="80">
        <f>+VLOOKUP(M239,Material!$A$3:$B$58,2,FALSE)</f>
        <v>5000</v>
      </c>
      <c r="O239" s="79" t="s">
        <v>42</v>
      </c>
      <c r="P239" s="79" t="s">
        <v>43</v>
      </c>
      <c r="Q239" s="81">
        <f>+IF(O239="ACERO A36",VLOOKUP(P239,'Velocidades Std 1500 w'!$B$2:$F$15,5,FALSE),IF(O239="INOXIDABLE",VLOOKUP(P239,'Velocidades Std 1500 w'!$B$17:$F$28,5,FALSE),IF(O239="ALUMINIO",VLOOKUP(P239,'Velocidades Std 1500 w'!$B$30:$F$38,5,FALSE))))</f>
        <v>4.3859649122807014E-6</v>
      </c>
      <c r="R239" s="82">
        <f t="shared" si="348"/>
        <v>2.1929824561403508E-2</v>
      </c>
      <c r="S239" s="83">
        <f t="shared" si="349"/>
        <v>64.294351578947371</v>
      </c>
      <c r="T239" s="110">
        <f t="shared" si="350"/>
        <v>4071.9756000000002</v>
      </c>
      <c r="U239" s="80">
        <f t="shared" si="351"/>
        <v>89.297710526315782</v>
      </c>
      <c r="V239" s="98">
        <v>10</v>
      </c>
      <c r="W239" s="84">
        <f>+IF(O239="ACERO A36",VLOOKUP(P239,'Tiempo Objeto'!$B$2:$C$12,2,FALSE),IF(O239="INOXIDABLE",VLOOKUP(P239,'Tiempo Objeto'!$B$14:$C$22,2,FALSE),IF(O239="ALUMINIO",VLOOKUP(P239,'Tiempo Objeto'!$B$24:$C$32,2,FALSE))))</f>
        <v>1.84</v>
      </c>
      <c r="X239" s="84">
        <f t="shared" si="352"/>
        <v>18.400000000000002</v>
      </c>
      <c r="Y239" s="80">
        <f t="shared" si="353"/>
        <v>25.555555555555561</v>
      </c>
      <c r="Z239" s="100">
        <v>6</v>
      </c>
      <c r="AA239" s="85">
        <f t="shared" si="354"/>
        <v>180</v>
      </c>
      <c r="AB239" s="86">
        <f>+Z239*Analisis!$J$6</f>
        <v>150</v>
      </c>
      <c r="AC239" s="100">
        <v>0</v>
      </c>
      <c r="AD239" s="85">
        <f t="shared" si="355"/>
        <v>0</v>
      </c>
      <c r="AE239" s="86">
        <f>+AD239*Analisis!$J$7</f>
        <v>0</v>
      </c>
      <c r="AF239" s="86">
        <f t="shared" si="310"/>
        <v>963.41027441520475</v>
      </c>
      <c r="AG239" s="126">
        <f>+AF239/(1-Analisis!$E$9)</f>
        <v>1204.2628430190059</v>
      </c>
      <c r="AH239" s="128">
        <f t="shared" si="312"/>
        <v>0</v>
      </c>
    </row>
    <row r="240" spans="1:35" s="73" customFormat="1" x14ac:dyDescent="0.25">
      <c r="A240" s="100"/>
      <c r="B240" s="114" t="s">
        <v>431</v>
      </c>
      <c r="C240" s="74">
        <f>IFERROR(VLOOKUP(B240,'REQ GALV'!A:B,2,0),0)</f>
        <v>0</v>
      </c>
      <c r="D240" s="116">
        <f t="shared" si="311"/>
        <v>1318.0504526681289</v>
      </c>
      <c r="E240" s="103" t="s">
        <v>41</v>
      </c>
      <c r="F240" s="75" t="s">
        <v>147</v>
      </c>
      <c r="G240" s="90">
        <v>18.95</v>
      </c>
      <c r="H240" s="90">
        <v>55.89</v>
      </c>
      <c r="I240" s="76">
        <v>0.105</v>
      </c>
      <c r="J240" s="77">
        <v>28.24</v>
      </c>
      <c r="K240" s="78">
        <f t="shared" si="347"/>
        <v>60.964981763456109</v>
      </c>
      <c r="L240" s="58">
        <f>+VLOOKUP(E240,Material!$H$2:$M$17,6,FALSE)*G240*H240*(1+Material!$K$14)</f>
        <v>782.5686750000001</v>
      </c>
      <c r="M240" s="79" t="str">
        <f>+Analisis!$J$5</f>
        <v>T5.0</v>
      </c>
      <c r="N240" s="80">
        <f>+VLOOKUP(M240,Material!$A$3:$B$58,2,FALSE)</f>
        <v>5000</v>
      </c>
      <c r="O240" s="79" t="s">
        <v>42</v>
      </c>
      <c r="P240" s="79" t="s">
        <v>43</v>
      </c>
      <c r="Q240" s="81">
        <f>+IF(O240="ACERO A36",VLOOKUP(P240,'Velocidades Std 1500 w'!$B$2:$F$15,5,FALSE),IF(O240="INOXIDABLE",VLOOKUP(P240,'Velocidades Std 1500 w'!$B$17:$F$28,5,FALSE),IF(O240="ALUMINIO",VLOOKUP(P240,'Velocidades Std 1500 w'!$B$30:$F$38,5,FALSE))))</f>
        <v>4.3859649122807014E-6</v>
      </c>
      <c r="R240" s="82">
        <f t="shared" si="348"/>
        <v>2.1929824561403508E-2</v>
      </c>
      <c r="S240" s="83">
        <f t="shared" si="349"/>
        <v>69.347614736842118</v>
      </c>
      <c r="T240" s="110">
        <f t="shared" si="350"/>
        <v>4392.0156000000006</v>
      </c>
      <c r="U240" s="80">
        <f t="shared" si="351"/>
        <v>96.316131578947378</v>
      </c>
      <c r="V240" s="98">
        <v>10</v>
      </c>
      <c r="W240" s="84">
        <f>+IF(O240="ACERO A36",VLOOKUP(P240,'Tiempo Objeto'!$B$2:$C$12,2,FALSE),IF(O240="INOXIDABLE",VLOOKUP(P240,'Tiempo Objeto'!$B$14:$C$22,2,FALSE),IF(O240="ALUMINIO",VLOOKUP(P240,'Tiempo Objeto'!$B$24:$C$32,2,FALSE))))</f>
        <v>1.84</v>
      </c>
      <c r="X240" s="84">
        <f t="shared" si="352"/>
        <v>18.400000000000002</v>
      </c>
      <c r="Y240" s="80">
        <f t="shared" si="353"/>
        <v>25.555555555555561</v>
      </c>
      <c r="Z240" s="100">
        <v>6</v>
      </c>
      <c r="AA240" s="85">
        <f t="shared" si="354"/>
        <v>180</v>
      </c>
      <c r="AB240" s="86">
        <f>+Z240*Analisis!$J$6</f>
        <v>150</v>
      </c>
      <c r="AC240" s="100">
        <v>0</v>
      </c>
      <c r="AD240" s="85">
        <f t="shared" si="355"/>
        <v>0</v>
      </c>
      <c r="AE240" s="86">
        <f>+AD240*Analisis!$J$7</f>
        <v>0</v>
      </c>
      <c r="AF240" s="86">
        <f t="shared" si="310"/>
        <v>1054.4403621345032</v>
      </c>
      <c r="AG240" s="126">
        <f>+AF240/(1-Analisis!$E$9)</f>
        <v>1318.0504526681289</v>
      </c>
      <c r="AH240" s="128">
        <f t="shared" si="312"/>
        <v>0</v>
      </c>
    </row>
    <row r="241" spans="1:35" s="73" customFormat="1" x14ac:dyDescent="0.25">
      <c r="A241" s="100"/>
      <c r="B241" s="114" t="s">
        <v>432</v>
      </c>
      <c r="C241" s="138">
        <f>IFERROR(VLOOKUP(B241,'REQ GALV'!A:B,2,0),0)</f>
        <v>45</v>
      </c>
      <c r="D241" s="116">
        <f t="shared" si="311"/>
        <v>692.33238720760232</v>
      </c>
      <c r="E241" s="103" t="s">
        <v>41</v>
      </c>
      <c r="F241" s="75" t="s">
        <v>147</v>
      </c>
      <c r="G241" s="90">
        <v>18.95</v>
      </c>
      <c r="H241" s="90">
        <v>22.896000000000001</v>
      </c>
      <c r="I241" s="76">
        <v>0.105</v>
      </c>
      <c r="J241" s="77">
        <v>28.24</v>
      </c>
      <c r="K241" s="78">
        <f t="shared" si="347"/>
        <v>24.975026345609077</v>
      </c>
      <c r="L241" s="58">
        <f>+VLOOKUP(E241,Material!$H$2:$M$17,6,FALSE)*G241*H241*(1+Material!$K$14)</f>
        <v>320.58852000000007</v>
      </c>
      <c r="M241" s="79" t="str">
        <f>+Analisis!$J$5</f>
        <v>T5.0</v>
      </c>
      <c r="N241" s="80">
        <f>+VLOOKUP(M241,Material!$A$3:$B$58,2,FALSE)</f>
        <v>5000</v>
      </c>
      <c r="O241" s="79" t="s">
        <v>42</v>
      </c>
      <c r="P241" s="79" t="s">
        <v>43</v>
      </c>
      <c r="Q241" s="81">
        <f>+IF(O241="ACERO A36",VLOOKUP(P241,'Velocidades Std 1500 w'!$B$2:$F$15,5,FALSE),IF(O241="INOXIDABLE",VLOOKUP(P241,'Velocidades Std 1500 w'!$B$17:$F$28,5,FALSE),IF(O241="ALUMINIO",VLOOKUP(P241,'Velocidades Std 1500 w'!$B$30:$F$38,5,FALSE))))</f>
        <v>4.3859649122807014E-6</v>
      </c>
      <c r="R241" s="82">
        <f t="shared" si="348"/>
        <v>2.1929824561403508E-2</v>
      </c>
      <c r="S241" s="83">
        <f t="shared" si="349"/>
        <v>41.559720631578948</v>
      </c>
      <c r="T241" s="110">
        <f t="shared" si="350"/>
        <v>2632.11564</v>
      </c>
      <c r="U241" s="80">
        <f t="shared" si="351"/>
        <v>57.72183421052631</v>
      </c>
      <c r="V241" s="98">
        <v>10</v>
      </c>
      <c r="W241" s="84">
        <f>+IF(O241="ACERO A36",VLOOKUP(P241,'Tiempo Objeto'!$B$2:$C$12,2,FALSE),IF(O241="INOXIDABLE",VLOOKUP(P241,'Tiempo Objeto'!$B$14:$C$22,2,FALSE),IF(O241="ALUMINIO",VLOOKUP(P241,'Tiempo Objeto'!$B$24:$C$32,2,FALSE))))</f>
        <v>1.84</v>
      </c>
      <c r="X241" s="84">
        <f t="shared" si="352"/>
        <v>18.400000000000002</v>
      </c>
      <c r="Y241" s="80">
        <f t="shared" si="353"/>
        <v>25.555555555555561</v>
      </c>
      <c r="Z241" s="100">
        <v>6</v>
      </c>
      <c r="AA241" s="85">
        <f t="shared" si="354"/>
        <v>585</v>
      </c>
      <c r="AB241" s="86">
        <f>+Z241*Analisis!$J$6</f>
        <v>150</v>
      </c>
      <c r="AC241" s="100">
        <v>0</v>
      </c>
      <c r="AD241" s="85">
        <f t="shared" si="355"/>
        <v>0</v>
      </c>
      <c r="AE241" s="86">
        <f>+AD241*Analisis!$J$7</f>
        <v>0</v>
      </c>
      <c r="AF241" s="86">
        <f t="shared" si="310"/>
        <v>553.86590976608193</v>
      </c>
      <c r="AG241" s="126">
        <f>+AF241/(1-Analisis!$E$9)</f>
        <v>692.33238720760232</v>
      </c>
      <c r="AH241" s="128">
        <f t="shared" si="312"/>
        <v>31154.957424342105</v>
      </c>
      <c r="AI241" s="128">
        <f>+L241*C241</f>
        <v>14426.483400000003</v>
      </c>
    </row>
    <row r="242" spans="1:35" s="73" customFormat="1" x14ac:dyDescent="0.25">
      <c r="A242" s="100"/>
      <c r="B242" s="114" t="s">
        <v>339</v>
      </c>
      <c r="C242" s="138">
        <f>IFERROR(VLOOKUP(B242,'REQ GALV'!A:B,2,0),0)</f>
        <v>1350</v>
      </c>
      <c r="D242" s="116">
        <f t="shared" si="311"/>
        <v>65.989280884502932</v>
      </c>
      <c r="E242" s="103" t="s">
        <v>41</v>
      </c>
      <c r="F242" s="75" t="s">
        <v>147</v>
      </c>
      <c r="G242" s="90">
        <v>1.75</v>
      </c>
      <c r="H242" s="90">
        <v>2.09</v>
      </c>
      <c r="I242" s="76">
        <v>0.105</v>
      </c>
      <c r="J242" s="77">
        <v>28.24</v>
      </c>
      <c r="K242" s="78">
        <f t="shared" si="256"/>
        <v>0.21053362055398181</v>
      </c>
      <c r="L242" s="58">
        <f>+VLOOKUP(E242,Material!$H$2:$M$17,6,FALSE)*G242*H242*(1+Material!$K$14)</f>
        <v>2.7024861111111114</v>
      </c>
      <c r="M242" s="79" t="str">
        <f>+Analisis!$J$5</f>
        <v>T5.0</v>
      </c>
      <c r="N242" s="80">
        <f>+VLOOKUP(M242,Material!$A$3:$B$58,2,FALSE)</f>
        <v>5000</v>
      </c>
      <c r="O242" s="79" t="s">
        <v>42</v>
      </c>
      <c r="P242" s="79" t="s">
        <v>43</v>
      </c>
      <c r="Q242" s="81">
        <f>+IF(O242="ACERO A36",VLOOKUP(P242,'Velocidades Std 1500 w'!$B$2:$F$15,5,FALSE),IF(O242="INOXIDABLE",VLOOKUP(P242,'Velocidades Std 1500 w'!$B$17:$F$28,5,FALSE),IF(O242="ALUMINIO",VLOOKUP(P242,'Velocidades Std 1500 w'!$B$30:$F$38,5,FALSE))))</f>
        <v>4.3859649122807014E-6</v>
      </c>
      <c r="R242" s="82">
        <f t="shared" si="257"/>
        <v>2.1929824561403508E-2</v>
      </c>
      <c r="S242" s="83">
        <f t="shared" si="258"/>
        <v>7.0240357894736833</v>
      </c>
      <c r="T242" s="110">
        <f t="shared" si="259"/>
        <v>444.85559999999998</v>
      </c>
      <c r="U242" s="80">
        <f t="shared" si="260"/>
        <v>9.7556052631578947</v>
      </c>
      <c r="V242" s="98">
        <v>6</v>
      </c>
      <c r="W242" s="84">
        <f>+IF(O242="ACERO A36",VLOOKUP(P242,'Tiempo Objeto'!$B$2:$C$12,2,FALSE),IF(O242="INOXIDABLE",VLOOKUP(P242,'Tiempo Objeto'!$B$14:$C$22,2,FALSE),IF(O242="ALUMINIO",VLOOKUP(P242,'Tiempo Objeto'!$B$24:$C$32,2,FALSE))))</f>
        <v>1.84</v>
      </c>
      <c r="X242" s="84">
        <f t="shared" si="261"/>
        <v>11.040000000000001</v>
      </c>
      <c r="Y242" s="80">
        <f t="shared" si="262"/>
        <v>15.333333333333336</v>
      </c>
      <c r="Z242" s="100">
        <v>1</v>
      </c>
      <c r="AA242" s="85">
        <f t="shared" si="263"/>
        <v>2055</v>
      </c>
      <c r="AB242" s="86">
        <f>+Z242*Analisis!$J$6</f>
        <v>25</v>
      </c>
      <c r="AC242" s="100">
        <v>0</v>
      </c>
      <c r="AD242" s="85">
        <f t="shared" si="264"/>
        <v>0</v>
      </c>
      <c r="AE242" s="86">
        <f>+AD242*Analisis!$J$7</f>
        <v>0</v>
      </c>
      <c r="AF242" s="86">
        <f t="shared" si="310"/>
        <v>52.791424707602346</v>
      </c>
      <c r="AG242" s="126">
        <f>+AF242/(1-Analisis!$E$9)</f>
        <v>65.989280884502932</v>
      </c>
      <c r="AH242" s="128">
        <f t="shared" si="312"/>
        <v>89085.529194078961</v>
      </c>
      <c r="AI242" s="128">
        <f>+L242*C242</f>
        <v>3648.3562500000003</v>
      </c>
    </row>
    <row r="243" spans="1:35" s="73" customFormat="1" x14ac:dyDescent="0.25">
      <c r="A243" s="100"/>
      <c r="B243" s="114" t="s">
        <v>340</v>
      </c>
      <c r="C243" s="138">
        <f>IFERROR(VLOOKUP(B243,'REQ GALV'!A:B,2,0),0)</f>
        <v>1350</v>
      </c>
      <c r="D243" s="116">
        <f t="shared" si="311"/>
        <v>55.130769627192976</v>
      </c>
      <c r="E243" s="103" t="s">
        <v>130</v>
      </c>
      <c r="F243" s="75" t="s">
        <v>147</v>
      </c>
      <c r="G243" s="90">
        <v>2.2599999999999998</v>
      </c>
      <c r="H243" s="90">
        <v>2.72</v>
      </c>
      <c r="I243" s="76">
        <v>0.105</v>
      </c>
      <c r="J243" s="77">
        <v>28.24</v>
      </c>
      <c r="K243" s="78">
        <f t="shared" si="256"/>
        <v>0.23221153210576018</v>
      </c>
      <c r="L243" s="58">
        <f>+VLOOKUP(E243,Material!$H$2:$M$17,6,FALSE)*G243*H243*(1+Material!$K$14)</f>
        <v>2.9807516666666665</v>
      </c>
      <c r="M243" s="79" t="str">
        <f>+Analisis!$J$5</f>
        <v>T5.0</v>
      </c>
      <c r="N243" s="80">
        <f>+VLOOKUP(M243,Material!$A$3:$B$58,2,FALSE)</f>
        <v>5000</v>
      </c>
      <c r="O243" s="79" t="s">
        <v>42</v>
      </c>
      <c r="P243" s="79" t="s">
        <v>43</v>
      </c>
      <c r="Q243" s="81">
        <f>+IF(O243="ACERO A36",VLOOKUP(P243,'Velocidades Std 1500 w'!$B$2:$F$15,5,FALSE),IF(O243="INOXIDABLE",VLOOKUP(P243,'Velocidades Std 1500 w'!$B$17:$F$28,5,FALSE),IF(O243="ALUMINIO",VLOOKUP(P243,'Velocidades Std 1500 w'!$B$30:$F$38,5,FALSE))))</f>
        <v>4.3859649122807014E-6</v>
      </c>
      <c r="R243" s="82">
        <f t="shared" si="257"/>
        <v>2.1929824561403508E-2</v>
      </c>
      <c r="S243" s="83">
        <f t="shared" si="258"/>
        <v>6.0891821052631574</v>
      </c>
      <c r="T243" s="110">
        <f t="shared" si="259"/>
        <v>385.64820000000003</v>
      </c>
      <c r="U243" s="80">
        <f t="shared" si="260"/>
        <v>8.4571973684210526</v>
      </c>
      <c r="V243" s="98">
        <v>3</v>
      </c>
      <c r="W243" s="84">
        <f>+IF(O243="ACERO A36",VLOOKUP(P243,'Tiempo Objeto'!$B$2:$C$12,2,FALSE),IF(O243="INOXIDABLE",VLOOKUP(P243,'Tiempo Objeto'!$B$14:$C$22,2,FALSE),IF(O243="ALUMINIO",VLOOKUP(P243,'Tiempo Objeto'!$B$24:$C$32,2,FALSE))))</f>
        <v>1.84</v>
      </c>
      <c r="X243" s="84">
        <f t="shared" si="261"/>
        <v>5.5200000000000005</v>
      </c>
      <c r="Y243" s="80">
        <f t="shared" si="262"/>
        <v>7.6666666666666679</v>
      </c>
      <c r="Z243" s="100">
        <v>1</v>
      </c>
      <c r="AA243" s="85">
        <f t="shared" si="263"/>
        <v>2055</v>
      </c>
      <c r="AB243" s="86">
        <f>+Z243*Analisis!$J$6</f>
        <v>25</v>
      </c>
      <c r="AC243" s="100">
        <v>0</v>
      </c>
      <c r="AD243" s="85">
        <f t="shared" si="264"/>
        <v>0</v>
      </c>
      <c r="AE243" s="86">
        <f>+AD243*Analisis!$J$7</f>
        <v>0</v>
      </c>
      <c r="AF243" s="86">
        <f t="shared" si="310"/>
        <v>44.104615701754383</v>
      </c>
      <c r="AG243" s="126">
        <f>+AF243/(1-Analisis!$E$9)</f>
        <v>55.130769627192976</v>
      </c>
      <c r="AH243" s="128">
        <f t="shared" si="312"/>
        <v>74426.538996710515</v>
      </c>
      <c r="AI243" s="128">
        <f>+L243*C243</f>
        <v>4024.0147499999998</v>
      </c>
    </row>
    <row r="244" spans="1:35" s="73" customFormat="1" x14ac:dyDescent="0.25">
      <c r="A244" s="100"/>
      <c r="B244" s="114" t="s">
        <v>433</v>
      </c>
      <c r="C244" s="74">
        <f>IFERROR(VLOOKUP(B244,'REQ GALV'!A:B,2,0),0)</f>
        <v>0</v>
      </c>
      <c r="D244" s="116">
        <f t="shared" si="311"/>
        <v>634.5318234283626</v>
      </c>
      <c r="E244" s="103" t="s">
        <v>41</v>
      </c>
      <c r="F244" s="75" t="s">
        <v>147</v>
      </c>
      <c r="G244" s="90">
        <v>27.63</v>
      </c>
      <c r="H244" s="90">
        <v>11.89</v>
      </c>
      <c r="I244" s="76">
        <v>0.105</v>
      </c>
      <c r="J244" s="77">
        <v>28.24</v>
      </c>
      <c r="K244" s="78">
        <f t="shared" si="256"/>
        <v>18.910362924929181</v>
      </c>
      <c r="L244" s="58">
        <f>+VLOOKUP(E244,Material!$H$2:$M$17,6,FALSE)*G244*H244*(1+Material!$K$14)</f>
        <v>242.74029500000003</v>
      </c>
      <c r="M244" s="79" t="str">
        <f>+Analisis!$J$5</f>
        <v>T5.0</v>
      </c>
      <c r="N244" s="80">
        <f>+VLOOKUP(M244,Material!$A$3:$B$58,2,FALSE)</f>
        <v>5000</v>
      </c>
      <c r="O244" s="79" t="s">
        <v>42</v>
      </c>
      <c r="P244" s="79" t="s">
        <v>43</v>
      </c>
      <c r="Q244" s="81">
        <f>+IF(O244="ACERO A36",VLOOKUP(P244,'Velocidades Std 1500 w'!$B$2:$F$15,5,FALSE),IF(O244="INOXIDABLE",VLOOKUP(P244,'Velocidades Std 1500 w'!$B$17:$F$28,5,FALSE),IF(O244="ALUMINIO",VLOOKUP(P244,'Velocidades Std 1500 w'!$B$30:$F$38,5,FALSE))))</f>
        <v>4.3859649122807014E-6</v>
      </c>
      <c r="R244" s="82">
        <f t="shared" si="257"/>
        <v>2.1929824561403508E-2</v>
      </c>
      <c r="S244" s="83">
        <f t="shared" si="258"/>
        <v>45.91731789473684</v>
      </c>
      <c r="T244" s="110">
        <f t="shared" si="259"/>
        <v>2908.0967999999998</v>
      </c>
      <c r="U244" s="80">
        <f t="shared" si="260"/>
        <v>63.77405263157894</v>
      </c>
      <c r="V244" s="98">
        <v>20</v>
      </c>
      <c r="W244" s="84">
        <f>+IF(O244="ACERO A36",VLOOKUP(P244,'Tiempo Objeto'!$B$2:$C$12,2,FALSE),IF(O244="INOXIDABLE",VLOOKUP(P244,'Tiempo Objeto'!$B$14:$C$22,2,FALSE),IF(O244="ALUMINIO",VLOOKUP(P244,'Tiempo Objeto'!$B$24:$C$32,2,FALSE))))</f>
        <v>1.84</v>
      </c>
      <c r="X244" s="84">
        <f t="shared" si="261"/>
        <v>36.800000000000004</v>
      </c>
      <c r="Y244" s="80">
        <f t="shared" si="262"/>
        <v>51.111111111111121</v>
      </c>
      <c r="Z244" s="100">
        <v>6</v>
      </c>
      <c r="AA244" s="85">
        <f t="shared" si="263"/>
        <v>180</v>
      </c>
      <c r="AB244" s="86">
        <f>+Z244*Analisis!$J$6</f>
        <v>150</v>
      </c>
      <c r="AC244" s="100">
        <v>0</v>
      </c>
      <c r="AD244" s="85">
        <f t="shared" si="264"/>
        <v>0</v>
      </c>
      <c r="AE244" s="86">
        <f>+AD244*Analisis!$J$7</f>
        <v>0</v>
      </c>
      <c r="AF244" s="86">
        <f t="shared" si="310"/>
        <v>507.62545874269011</v>
      </c>
      <c r="AG244" s="126">
        <f>+AF244/(1-Analisis!$E$9)</f>
        <v>634.5318234283626</v>
      </c>
      <c r="AH244" s="128">
        <f t="shared" si="312"/>
        <v>0</v>
      </c>
    </row>
    <row r="245" spans="1:35" s="73" customFormat="1" x14ac:dyDescent="0.25">
      <c r="A245" s="100"/>
      <c r="B245" s="114" t="s">
        <v>434</v>
      </c>
      <c r="C245" s="74">
        <f>IFERROR(VLOOKUP(B245,'REQ GALV'!A:B,2,0),0)</f>
        <v>0</v>
      </c>
      <c r="D245" s="116">
        <f t="shared" si="311"/>
        <v>742.45800763888894</v>
      </c>
      <c r="E245" s="103" t="s">
        <v>41</v>
      </c>
      <c r="F245" s="75" t="s">
        <v>147</v>
      </c>
      <c r="G245" s="90">
        <v>27.63</v>
      </c>
      <c r="H245" s="90">
        <v>15.89</v>
      </c>
      <c r="I245" s="76">
        <v>0.105</v>
      </c>
      <c r="J245" s="77">
        <v>28.24</v>
      </c>
      <c r="K245" s="78">
        <f t="shared" ref="K245:K268" si="356">+L245*2.2/J245</f>
        <v>25.272133463172807</v>
      </c>
      <c r="L245" s="58">
        <f>+VLOOKUP(E245,Material!$H$2:$M$17,6,FALSE)*G245*H245*(1+Material!$K$14)</f>
        <v>324.40229499999998</v>
      </c>
      <c r="M245" s="79" t="str">
        <f>+Analisis!$J$5</f>
        <v>T5.0</v>
      </c>
      <c r="N245" s="80">
        <f>+VLOOKUP(M245,Material!$A$3:$B$58,2,FALSE)</f>
        <v>5000</v>
      </c>
      <c r="O245" s="79" t="s">
        <v>42</v>
      </c>
      <c r="P245" s="79" t="s">
        <v>43</v>
      </c>
      <c r="Q245" s="81">
        <f>+IF(O245="ACERO A36",VLOOKUP(P245,'Velocidades Std 1500 w'!$B$2:$F$15,5,FALSE),IF(O245="INOXIDABLE",VLOOKUP(P245,'Velocidades Std 1500 w'!$B$17:$F$28,5,FALSE),IF(O245="ALUMINIO",VLOOKUP(P245,'Velocidades Std 1500 w'!$B$30:$F$38,5,FALSE))))</f>
        <v>4.3859649122807014E-6</v>
      </c>
      <c r="R245" s="82">
        <f t="shared" ref="R245:R268" si="357">+Q245*N245</f>
        <v>2.1929824561403508E-2</v>
      </c>
      <c r="S245" s="83">
        <f t="shared" ref="S245:S268" si="358">+Q245*T245*3600</f>
        <v>49.286159999999995</v>
      </c>
      <c r="T245" s="110">
        <f t="shared" ref="T245:T268" si="359">(+H245*2+G245*2+V245*1.5)*25.4*1.05</f>
        <v>3121.4567999999999</v>
      </c>
      <c r="U245" s="80">
        <f t="shared" ref="U245:U268" si="360">+T245*R245</f>
        <v>68.452999999999989</v>
      </c>
      <c r="V245" s="98">
        <v>20</v>
      </c>
      <c r="W245" s="84">
        <f>+IF(O245="ACERO A36",VLOOKUP(P245,'Tiempo Objeto'!$B$2:$C$12,2,FALSE),IF(O245="INOXIDABLE",VLOOKUP(P245,'Tiempo Objeto'!$B$14:$C$22,2,FALSE),IF(O245="ALUMINIO",VLOOKUP(P245,'Tiempo Objeto'!$B$24:$C$32,2,FALSE))))</f>
        <v>1.84</v>
      </c>
      <c r="X245" s="84">
        <f t="shared" ref="X245:X268" si="361">+W245*V245</f>
        <v>36.800000000000004</v>
      </c>
      <c r="Y245" s="80">
        <f t="shared" ref="Y245:Y268" si="362">+X245*N245/3600</f>
        <v>51.111111111111121</v>
      </c>
      <c r="Z245" s="100">
        <v>6</v>
      </c>
      <c r="AA245" s="85">
        <f t="shared" ref="AA245:AA268" si="363">30*Z245+Z245*$C245*1.5</f>
        <v>180</v>
      </c>
      <c r="AB245" s="86">
        <f>+Z245*Analisis!$J$6</f>
        <v>150</v>
      </c>
      <c r="AC245" s="100">
        <v>0</v>
      </c>
      <c r="AD245" s="85">
        <f t="shared" ref="AD245:AD268" si="364">30*AC245+AC245*$C245*1.5</f>
        <v>0</v>
      </c>
      <c r="AE245" s="86">
        <f>+AD245*Analisis!$J$7</f>
        <v>0</v>
      </c>
      <c r="AF245" s="86">
        <f t="shared" si="310"/>
        <v>593.96640611111116</v>
      </c>
      <c r="AG245" s="126">
        <f>+AF245/(1-Analisis!$E$9)</f>
        <v>742.45800763888894</v>
      </c>
      <c r="AH245" s="128">
        <f t="shared" si="312"/>
        <v>0</v>
      </c>
    </row>
    <row r="246" spans="1:35" s="73" customFormat="1" x14ac:dyDescent="0.25">
      <c r="A246" s="100"/>
      <c r="B246" s="114" t="s">
        <v>435</v>
      </c>
      <c r="C246" s="74">
        <f>IFERROR(VLOOKUP(B246,'REQ GALV'!A:B,2,0),0)</f>
        <v>0</v>
      </c>
      <c r="D246" s="116">
        <f t="shared" si="311"/>
        <v>796.421099744152</v>
      </c>
      <c r="E246" s="103" t="s">
        <v>41</v>
      </c>
      <c r="F246" s="75" t="s">
        <v>147</v>
      </c>
      <c r="G246" s="90">
        <v>27.63</v>
      </c>
      <c r="H246" s="90">
        <v>17.89</v>
      </c>
      <c r="I246" s="76">
        <v>0.105</v>
      </c>
      <c r="J246" s="77">
        <v>28.24</v>
      </c>
      <c r="K246" s="78">
        <f t="shared" si="356"/>
        <v>28.453018732294623</v>
      </c>
      <c r="L246" s="58">
        <f>+VLOOKUP(E246,Material!$H$2:$M$17,6,FALSE)*G246*H246*(1+Material!$K$14)</f>
        <v>365.233295</v>
      </c>
      <c r="M246" s="79" t="str">
        <f>+Analisis!$J$5</f>
        <v>T5.0</v>
      </c>
      <c r="N246" s="80">
        <f>+VLOOKUP(M246,Material!$A$3:$B$58,2,FALSE)</f>
        <v>5000</v>
      </c>
      <c r="O246" s="79" t="s">
        <v>42</v>
      </c>
      <c r="P246" s="79" t="s">
        <v>43</v>
      </c>
      <c r="Q246" s="81">
        <f>+IF(O246="ACERO A36",VLOOKUP(P246,'Velocidades Std 1500 w'!$B$2:$F$15,5,FALSE),IF(O246="INOXIDABLE",VLOOKUP(P246,'Velocidades Std 1500 w'!$B$17:$F$28,5,FALSE),IF(O246="ALUMINIO",VLOOKUP(P246,'Velocidades Std 1500 w'!$B$30:$F$38,5,FALSE))))</f>
        <v>4.3859649122807014E-6</v>
      </c>
      <c r="R246" s="82">
        <f t="shared" si="357"/>
        <v>2.1929824561403508E-2</v>
      </c>
      <c r="S246" s="83">
        <f t="shared" si="358"/>
        <v>50.970581052631573</v>
      </c>
      <c r="T246" s="110">
        <f t="shared" si="359"/>
        <v>3228.1367999999998</v>
      </c>
      <c r="U246" s="80">
        <f t="shared" si="360"/>
        <v>70.79247368421052</v>
      </c>
      <c r="V246" s="98">
        <v>20</v>
      </c>
      <c r="W246" s="84">
        <f>+IF(O246="ACERO A36",VLOOKUP(P246,'Tiempo Objeto'!$B$2:$C$12,2,FALSE),IF(O246="INOXIDABLE",VLOOKUP(P246,'Tiempo Objeto'!$B$14:$C$22,2,FALSE),IF(O246="ALUMINIO",VLOOKUP(P246,'Tiempo Objeto'!$B$24:$C$32,2,FALSE))))</f>
        <v>1.84</v>
      </c>
      <c r="X246" s="84">
        <f t="shared" si="361"/>
        <v>36.800000000000004</v>
      </c>
      <c r="Y246" s="80">
        <f t="shared" si="362"/>
        <v>51.111111111111121</v>
      </c>
      <c r="Z246" s="100">
        <v>6</v>
      </c>
      <c r="AA246" s="85">
        <f t="shared" si="363"/>
        <v>180</v>
      </c>
      <c r="AB246" s="86">
        <f>+Z246*Analisis!$J$6</f>
        <v>150</v>
      </c>
      <c r="AC246" s="100">
        <v>0</v>
      </c>
      <c r="AD246" s="85">
        <f t="shared" si="364"/>
        <v>0</v>
      </c>
      <c r="AE246" s="86">
        <f>+AD246*Analisis!$J$7</f>
        <v>0</v>
      </c>
      <c r="AF246" s="86">
        <f t="shared" si="310"/>
        <v>637.13687979532165</v>
      </c>
      <c r="AG246" s="126">
        <f>+AF246/(1-Analisis!$E$9)</f>
        <v>796.421099744152</v>
      </c>
      <c r="AH246" s="128">
        <f t="shared" si="312"/>
        <v>0</v>
      </c>
    </row>
    <row r="247" spans="1:35" s="73" customFormat="1" x14ac:dyDescent="0.25">
      <c r="A247" s="100"/>
      <c r="B247" s="114" t="s">
        <v>436</v>
      </c>
      <c r="C247" s="74">
        <f>IFERROR(VLOOKUP(B247,'REQ GALV'!A:B,2,0),0)</f>
        <v>0</v>
      </c>
      <c r="D247" s="116">
        <f t="shared" si="311"/>
        <v>958.31037605994152</v>
      </c>
      <c r="E247" s="103" t="s">
        <v>41</v>
      </c>
      <c r="F247" s="75" t="s">
        <v>147</v>
      </c>
      <c r="G247" s="90">
        <v>27.63</v>
      </c>
      <c r="H247" s="90">
        <v>23.89</v>
      </c>
      <c r="I247" s="76">
        <v>0.105</v>
      </c>
      <c r="J247" s="77">
        <v>28.24</v>
      </c>
      <c r="K247" s="78">
        <f t="shared" si="356"/>
        <v>37.995674539660065</v>
      </c>
      <c r="L247" s="58">
        <f>+VLOOKUP(E247,Material!$H$2:$M$17,6,FALSE)*G247*H247*(1+Material!$K$14)</f>
        <v>487.72629500000005</v>
      </c>
      <c r="M247" s="79" t="str">
        <f>+Analisis!$J$5</f>
        <v>T5.0</v>
      </c>
      <c r="N247" s="80">
        <f>+VLOOKUP(M247,Material!$A$3:$B$58,2,FALSE)</f>
        <v>5000</v>
      </c>
      <c r="O247" s="79" t="s">
        <v>42</v>
      </c>
      <c r="P247" s="79" t="s">
        <v>43</v>
      </c>
      <c r="Q247" s="81">
        <f>+IF(O247="ACERO A36",VLOOKUP(P247,'Velocidades Std 1500 w'!$B$2:$F$15,5,FALSE),IF(O247="INOXIDABLE",VLOOKUP(P247,'Velocidades Std 1500 w'!$B$17:$F$28,5,FALSE),IF(O247="ALUMINIO",VLOOKUP(P247,'Velocidades Std 1500 w'!$B$30:$F$38,5,FALSE))))</f>
        <v>4.3859649122807014E-6</v>
      </c>
      <c r="R247" s="82">
        <f t="shared" si="357"/>
        <v>2.1929824561403508E-2</v>
      </c>
      <c r="S247" s="83">
        <f t="shared" si="358"/>
        <v>56.023844210526306</v>
      </c>
      <c r="T247" s="110">
        <f t="shared" si="359"/>
        <v>3548.1767999999997</v>
      </c>
      <c r="U247" s="80">
        <f t="shared" si="360"/>
        <v>77.810894736842101</v>
      </c>
      <c r="V247" s="98">
        <v>20</v>
      </c>
      <c r="W247" s="84">
        <f>+IF(O247="ACERO A36",VLOOKUP(P247,'Tiempo Objeto'!$B$2:$C$12,2,FALSE),IF(O247="INOXIDABLE",VLOOKUP(P247,'Tiempo Objeto'!$B$14:$C$22,2,FALSE),IF(O247="ALUMINIO",VLOOKUP(P247,'Tiempo Objeto'!$B$24:$C$32,2,FALSE))))</f>
        <v>1.84</v>
      </c>
      <c r="X247" s="84">
        <f t="shared" si="361"/>
        <v>36.800000000000004</v>
      </c>
      <c r="Y247" s="80">
        <f t="shared" si="362"/>
        <v>51.111111111111121</v>
      </c>
      <c r="Z247" s="100">
        <v>6</v>
      </c>
      <c r="AA247" s="85">
        <f t="shared" si="363"/>
        <v>180</v>
      </c>
      <c r="AB247" s="86">
        <f>+Z247*Analisis!$J$6</f>
        <v>150</v>
      </c>
      <c r="AC247" s="100">
        <v>0</v>
      </c>
      <c r="AD247" s="85">
        <f t="shared" si="364"/>
        <v>0</v>
      </c>
      <c r="AE247" s="86">
        <f>+AD247*Analisis!$J$7</f>
        <v>0</v>
      </c>
      <c r="AF247" s="86">
        <f t="shared" si="310"/>
        <v>766.64830084795324</v>
      </c>
      <c r="AG247" s="126">
        <f>+AF247/(1-Analisis!$E$9)</f>
        <v>958.31037605994152</v>
      </c>
      <c r="AH247" s="128">
        <f t="shared" si="312"/>
        <v>0</v>
      </c>
    </row>
    <row r="248" spans="1:35" s="73" customFormat="1" x14ac:dyDescent="0.25">
      <c r="A248" s="100"/>
      <c r="B248" s="114" t="s">
        <v>437</v>
      </c>
      <c r="C248" s="74">
        <f>IFERROR(VLOOKUP(B248,'REQ GALV'!A:B,2,0),0)</f>
        <v>0</v>
      </c>
      <c r="D248" s="116">
        <f t="shared" si="311"/>
        <v>1012.2734681652048</v>
      </c>
      <c r="E248" s="103" t="s">
        <v>41</v>
      </c>
      <c r="F248" s="75" t="s">
        <v>147</v>
      </c>
      <c r="G248" s="90">
        <v>27.63</v>
      </c>
      <c r="H248" s="90">
        <v>25.89</v>
      </c>
      <c r="I248" s="76">
        <v>0.105</v>
      </c>
      <c r="J248" s="77">
        <v>28.24</v>
      </c>
      <c r="K248" s="78">
        <f t="shared" si="356"/>
        <v>41.176559808781882</v>
      </c>
      <c r="L248" s="58">
        <f>+VLOOKUP(E248,Material!$H$2:$M$17,6,FALSE)*G248*H248*(1+Material!$K$14)</f>
        <v>528.55729500000007</v>
      </c>
      <c r="M248" s="79" t="str">
        <f>+Analisis!$J$5</f>
        <v>T5.0</v>
      </c>
      <c r="N248" s="80">
        <f>+VLOOKUP(M248,Material!$A$3:$B$58,2,FALSE)</f>
        <v>5000</v>
      </c>
      <c r="O248" s="79" t="s">
        <v>42</v>
      </c>
      <c r="P248" s="79" t="s">
        <v>43</v>
      </c>
      <c r="Q248" s="81">
        <f>+IF(O248="ACERO A36",VLOOKUP(P248,'Velocidades Std 1500 w'!$B$2:$F$15,5,FALSE),IF(O248="INOXIDABLE",VLOOKUP(P248,'Velocidades Std 1500 w'!$B$17:$F$28,5,FALSE),IF(O248="ALUMINIO",VLOOKUP(P248,'Velocidades Std 1500 w'!$B$30:$F$38,5,FALSE))))</f>
        <v>4.3859649122807014E-6</v>
      </c>
      <c r="R248" s="82">
        <f t="shared" si="357"/>
        <v>2.1929824561403508E-2</v>
      </c>
      <c r="S248" s="83">
        <f t="shared" si="358"/>
        <v>57.708265263157884</v>
      </c>
      <c r="T248" s="110">
        <f t="shared" si="359"/>
        <v>3654.8568</v>
      </c>
      <c r="U248" s="80">
        <f t="shared" si="360"/>
        <v>80.150368421052633</v>
      </c>
      <c r="V248" s="98">
        <v>20</v>
      </c>
      <c r="W248" s="84">
        <f>+IF(O248="ACERO A36",VLOOKUP(P248,'Tiempo Objeto'!$B$2:$C$12,2,FALSE),IF(O248="INOXIDABLE",VLOOKUP(P248,'Tiempo Objeto'!$B$14:$C$22,2,FALSE),IF(O248="ALUMINIO",VLOOKUP(P248,'Tiempo Objeto'!$B$24:$C$32,2,FALSE))))</f>
        <v>1.84</v>
      </c>
      <c r="X248" s="84">
        <f t="shared" si="361"/>
        <v>36.800000000000004</v>
      </c>
      <c r="Y248" s="80">
        <f t="shared" si="362"/>
        <v>51.111111111111121</v>
      </c>
      <c r="Z248" s="100">
        <v>6</v>
      </c>
      <c r="AA248" s="85">
        <f t="shared" si="363"/>
        <v>180</v>
      </c>
      <c r="AB248" s="86">
        <f>+Z248*Analisis!$J$6</f>
        <v>150</v>
      </c>
      <c r="AC248" s="100">
        <v>0</v>
      </c>
      <c r="AD248" s="85">
        <f t="shared" si="364"/>
        <v>0</v>
      </c>
      <c r="AE248" s="86">
        <f>+AD248*Analisis!$J$7</f>
        <v>0</v>
      </c>
      <c r="AF248" s="86">
        <f t="shared" si="310"/>
        <v>809.81877453216384</v>
      </c>
      <c r="AG248" s="126">
        <f>+AF248/(1-Analisis!$E$9)</f>
        <v>1012.2734681652048</v>
      </c>
      <c r="AH248" s="128">
        <f t="shared" si="312"/>
        <v>0</v>
      </c>
    </row>
    <row r="249" spans="1:35" s="73" customFormat="1" x14ac:dyDescent="0.25">
      <c r="A249" s="100"/>
      <c r="B249" s="114" t="s">
        <v>438</v>
      </c>
      <c r="C249" s="74">
        <f>IFERROR(VLOOKUP(B249,'REQ GALV'!A:B,2,0),0)</f>
        <v>0</v>
      </c>
      <c r="D249" s="116">
        <f t="shared" si="311"/>
        <v>1120.1996523757309</v>
      </c>
      <c r="E249" s="103" t="s">
        <v>41</v>
      </c>
      <c r="F249" s="75" t="s">
        <v>147</v>
      </c>
      <c r="G249" s="90">
        <v>27.63</v>
      </c>
      <c r="H249" s="90">
        <v>29.89</v>
      </c>
      <c r="I249" s="76">
        <v>0.105</v>
      </c>
      <c r="J249" s="77">
        <v>28.24</v>
      </c>
      <c r="K249" s="78">
        <f t="shared" si="356"/>
        <v>47.538330347025507</v>
      </c>
      <c r="L249" s="58">
        <f>+VLOOKUP(E249,Material!$H$2:$M$17,6,FALSE)*G249*H249*(1+Material!$K$14)</f>
        <v>610.2192950000001</v>
      </c>
      <c r="M249" s="79" t="str">
        <f>+Analisis!$J$5</f>
        <v>T5.0</v>
      </c>
      <c r="N249" s="80">
        <f>+VLOOKUP(M249,Material!$A$3:$B$58,2,FALSE)</f>
        <v>5000</v>
      </c>
      <c r="O249" s="79" t="s">
        <v>42</v>
      </c>
      <c r="P249" s="79" t="s">
        <v>43</v>
      </c>
      <c r="Q249" s="81">
        <f>+IF(O249="ACERO A36",VLOOKUP(P249,'Velocidades Std 1500 w'!$B$2:$F$15,5,FALSE),IF(O249="INOXIDABLE",VLOOKUP(P249,'Velocidades Std 1500 w'!$B$17:$F$28,5,FALSE),IF(O249="ALUMINIO",VLOOKUP(P249,'Velocidades Std 1500 w'!$B$30:$F$38,5,FALSE))))</f>
        <v>4.3859649122807014E-6</v>
      </c>
      <c r="R249" s="82">
        <f t="shared" si="357"/>
        <v>2.1929824561403508E-2</v>
      </c>
      <c r="S249" s="83">
        <f t="shared" si="358"/>
        <v>61.077107368421039</v>
      </c>
      <c r="T249" s="110">
        <f t="shared" si="359"/>
        <v>3868.2167999999997</v>
      </c>
      <c r="U249" s="80">
        <f t="shared" si="360"/>
        <v>84.829315789473668</v>
      </c>
      <c r="V249" s="98">
        <v>20</v>
      </c>
      <c r="W249" s="84">
        <f>+IF(O249="ACERO A36",VLOOKUP(P249,'Tiempo Objeto'!$B$2:$C$12,2,FALSE),IF(O249="INOXIDABLE",VLOOKUP(P249,'Tiempo Objeto'!$B$14:$C$22,2,FALSE),IF(O249="ALUMINIO",VLOOKUP(P249,'Tiempo Objeto'!$B$24:$C$32,2,FALSE))))</f>
        <v>1.84</v>
      </c>
      <c r="X249" s="84">
        <f t="shared" si="361"/>
        <v>36.800000000000004</v>
      </c>
      <c r="Y249" s="80">
        <f t="shared" si="362"/>
        <v>51.111111111111121</v>
      </c>
      <c r="Z249" s="100">
        <v>6</v>
      </c>
      <c r="AA249" s="85">
        <f t="shared" si="363"/>
        <v>180</v>
      </c>
      <c r="AB249" s="86">
        <f>+Z249*Analisis!$J$6</f>
        <v>150</v>
      </c>
      <c r="AC249" s="100">
        <v>0</v>
      </c>
      <c r="AD249" s="85">
        <f t="shared" si="364"/>
        <v>0</v>
      </c>
      <c r="AE249" s="86">
        <f>+AD249*Analisis!$J$7</f>
        <v>0</v>
      </c>
      <c r="AF249" s="86">
        <f t="shared" si="310"/>
        <v>896.15972190058483</v>
      </c>
      <c r="AG249" s="126">
        <f>+AF249/(1-Analisis!$E$9)</f>
        <v>1120.1996523757309</v>
      </c>
      <c r="AH249" s="128">
        <f t="shared" si="312"/>
        <v>0</v>
      </c>
    </row>
    <row r="250" spans="1:35" s="73" customFormat="1" x14ac:dyDescent="0.25">
      <c r="A250" s="100"/>
      <c r="B250" s="114" t="s">
        <v>439</v>
      </c>
      <c r="C250" s="74">
        <f>IFERROR(VLOOKUP(B250,'REQ GALV'!A:B,2,0),0)</f>
        <v>0</v>
      </c>
      <c r="D250" s="116">
        <f t="shared" si="311"/>
        <v>1201.1442905336255</v>
      </c>
      <c r="E250" s="103" t="s">
        <v>41</v>
      </c>
      <c r="F250" s="75" t="s">
        <v>147</v>
      </c>
      <c r="G250" s="90">
        <v>27.63</v>
      </c>
      <c r="H250" s="90">
        <v>32.89</v>
      </c>
      <c r="I250" s="76">
        <v>0.105</v>
      </c>
      <c r="J250" s="77">
        <v>28.24</v>
      </c>
      <c r="K250" s="78">
        <f t="shared" si="356"/>
        <v>52.309658250708218</v>
      </c>
      <c r="L250" s="58">
        <f>+VLOOKUP(E250,Material!$H$2:$M$17,6,FALSE)*G250*H250*(1+Material!$K$14)</f>
        <v>671.46579499999996</v>
      </c>
      <c r="M250" s="79" t="str">
        <f>+Analisis!$J$5</f>
        <v>T5.0</v>
      </c>
      <c r="N250" s="80">
        <f>+VLOOKUP(M250,Material!$A$3:$B$58,2,FALSE)</f>
        <v>5000</v>
      </c>
      <c r="O250" s="79" t="s">
        <v>42</v>
      </c>
      <c r="P250" s="79" t="s">
        <v>43</v>
      </c>
      <c r="Q250" s="81">
        <f>+IF(O250="ACERO A36",VLOOKUP(P250,'Velocidades Std 1500 w'!$B$2:$F$15,5,FALSE),IF(O250="INOXIDABLE",VLOOKUP(P250,'Velocidades Std 1500 w'!$B$17:$F$28,5,FALSE),IF(O250="ALUMINIO",VLOOKUP(P250,'Velocidades Std 1500 w'!$B$30:$F$38,5,FALSE))))</f>
        <v>4.3859649122807014E-6</v>
      </c>
      <c r="R250" s="82">
        <f t="shared" si="357"/>
        <v>2.1929824561403508E-2</v>
      </c>
      <c r="S250" s="83">
        <f t="shared" si="358"/>
        <v>63.60373894736842</v>
      </c>
      <c r="T250" s="110">
        <f t="shared" si="359"/>
        <v>4028.2367999999997</v>
      </c>
      <c r="U250" s="80">
        <f t="shared" si="360"/>
        <v>88.338526315789466</v>
      </c>
      <c r="V250" s="98">
        <v>20</v>
      </c>
      <c r="W250" s="84">
        <f>+IF(O250="ACERO A36",VLOOKUP(P250,'Tiempo Objeto'!$B$2:$C$12,2,FALSE),IF(O250="INOXIDABLE",VLOOKUP(P250,'Tiempo Objeto'!$B$14:$C$22,2,FALSE),IF(O250="ALUMINIO",VLOOKUP(P250,'Tiempo Objeto'!$B$24:$C$32,2,FALSE))))</f>
        <v>1.84</v>
      </c>
      <c r="X250" s="84">
        <f t="shared" si="361"/>
        <v>36.800000000000004</v>
      </c>
      <c r="Y250" s="80">
        <f t="shared" si="362"/>
        <v>51.111111111111121</v>
      </c>
      <c r="Z250" s="100">
        <v>6</v>
      </c>
      <c r="AA250" s="85">
        <f t="shared" si="363"/>
        <v>180</v>
      </c>
      <c r="AB250" s="86">
        <f>+Z250*Analisis!$J$6</f>
        <v>150</v>
      </c>
      <c r="AC250" s="100">
        <v>0</v>
      </c>
      <c r="AD250" s="85">
        <f t="shared" si="364"/>
        <v>0</v>
      </c>
      <c r="AE250" s="86">
        <f>+AD250*Analisis!$J$7</f>
        <v>0</v>
      </c>
      <c r="AF250" s="86">
        <f t="shared" si="310"/>
        <v>960.91543242690045</v>
      </c>
      <c r="AG250" s="126">
        <f>+AF250/(1-Analisis!$E$9)</f>
        <v>1201.1442905336255</v>
      </c>
      <c r="AH250" s="128">
        <f t="shared" si="312"/>
        <v>0</v>
      </c>
    </row>
    <row r="251" spans="1:35" s="73" customFormat="1" x14ac:dyDescent="0.25">
      <c r="A251" s="100"/>
      <c r="B251" s="114" t="s">
        <v>341</v>
      </c>
      <c r="C251" s="74">
        <f>IFERROR(VLOOKUP(B251,'REQ GALV'!A:B,2,0),0)</f>
        <v>0</v>
      </c>
      <c r="D251" s="116">
        <f t="shared" si="311"/>
        <v>1282.0889286915206</v>
      </c>
      <c r="E251" s="103" t="s">
        <v>41</v>
      </c>
      <c r="F251" s="75" t="s">
        <v>147</v>
      </c>
      <c r="G251" s="90">
        <v>27.63</v>
      </c>
      <c r="H251" s="90">
        <v>35.89</v>
      </c>
      <c r="I251" s="76">
        <v>0.105</v>
      </c>
      <c r="J251" s="77">
        <v>28.24</v>
      </c>
      <c r="K251" s="78">
        <f t="shared" si="356"/>
        <v>57.080986154390956</v>
      </c>
      <c r="L251" s="58">
        <f>+VLOOKUP(E251,Material!$H$2:$M$17,6,FALSE)*G251*H251*(1+Material!$K$14)</f>
        <v>732.71229500000015</v>
      </c>
      <c r="M251" s="79" t="str">
        <f>+Analisis!$J$5</f>
        <v>T5.0</v>
      </c>
      <c r="N251" s="80">
        <f>+VLOOKUP(M251,Material!$A$3:$B$58,2,FALSE)</f>
        <v>5000</v>
      </c>
      <c r="O251" s="79" t="s">
        <v>42</v>
      </c>
      <c r="P251" s="79" t="s">
        <v>43</v>
      </c>
      <c r="Q251" s="81">
        <f>+IF(O251="ACERO A36",VLOOKUP(P251,'Velocidades Std 1500 w'!$B$2:$F$15,5,FALSE),IF(O251="INOXIDABLE",VLOOKUP(P251,'Velocidades Std 1500 w'!$B$17:$F$28,5,FALSE),IF(O251="ALUMINIO",VLOOKUP(P251,'Velocidades Std 1500 w'!$B$30:$F$38,5,FALSE))))</f>
        <v>4.3859649122807014E-6</v>
      </c>
      <c r="R251" s="82">
        <f t="shared" si="357"/>
        <v>2.1929824561403508E-2</v>
      </c>
      <c r="S251" s="83">
        <f t="shared" si="358"/>
        <v>66.130370526315772</v>
      </c>
      <c r="T251" s="110">
        <f t="shared" si="359"/>
        <v>4188.2567999999992</v>
      </c>
      <c r="U251" s="80">
        <f t="shared" si="360"/>
        <v>91.847736842105235</v>
      </c>
      <c r="V251" s="98">
        <v>20</v>
      </c>
      <c r="W251" s="84">
        <f>+IF(O251="ACERO A36",VLOOKUP(P251,'Tiempo Objeto'!$B$2:$C$12,2,FALSE),IF(O251="INOXIDABLE",VLOOKUP(P251,'Tiempo Objeto'!$B$14:$C$22,2,FALSE),IF(O251="ALUMINIO",VLOOKUP(P251,'Tiempo Objeto'!$B$24:$C$32,2,FALSE))))</f>
        <v>1.84</v>
      </c>
      <c r="X251" s="84">
        <f t="shared" si="361"/>
        <v>36.800000000000004</v>
      </c>
      <c r="Y251" s="80">
        <f t="shared" si="362"/>
        <v>51.111111111111121</v>
      </c>
      <c r="Z251" s="100">
        <v>6</v>
      </c>
      <c r="AA251" s="85">
        <f t="shared" si="363"/>
        <v>180</v>
      </c>
      <c r="AB251" s="86">
        <f>+Z251*Analisis!$J$6</f>
        <v>150</v>
      </c>
      <c r="AC251" s="100">
        <v>0</v>
      </c>
      <c r="AD251" s="85">
        <f t="shared" si="364"/>
        <v>0</v>
      </c>
      <c r="AE251" s="86">
        <f>+AD251*Analisis!$J$7</f>
        <v>0</v>
      </c>
      <c r="AF251" s="86">
        <f t="shared" si="310"/>
        <v>1025.6711429532165</v>
      </c>
      <c r="AG251" s="126">
        <f>+AF251/(1-Analisis!$E$9)</f>
        <v>1282.0889286915206</v>
      </c>
      <c r="AH251" s="128">
        <f t="shared" si="312"/>
        <v>0</v>
      </c>
    </row>
    <row r="252" spans="1:35" s="73" customFormat="1" x14ac:dyDescent="0.25">
      <c r="A252" s="100"/>
      <c r="B252" s="114" t="s">
        <v>440</v>
      </c>
      <c r="C252" s="74">
        <f>IFERROR(VLOOKUP(B252,'REQ GALV'!A:B,2,0),0)</f>
        <v>0</v>
      </c>
      <c r="D252" s="116">
        <f t="shared" si="311"/>
        <v>1336.0520207967834</v>
      </c>
      <c r="E252" s="103" t="s">
        <v>41</v>
      </c>
      <c r="F252" s="75" t="s">
        <v>147</v>
      </c>
      <c r="G252" s="90">
        <v>27.63</v>
      </c>
      <c r="H252" s="90">
        <v>37.89</v>
      </c>
      <c r="I252" s="76">
        <v>0.105</v>
      </c>
      <c r="J252" s="77">
        <v>28.24</v>
      </c>
      <c r="K252" s="78">
        <f t="shared" si="356"/>
        <v>60.261871423512758</v>
      </c>
      <c r="L252" s="58">
        <f>+VLOOKUP(E252,Material!$H$2:$M$17,6,FALSE)*G252*H252*(1+Material!$K$14)</f>
        <v>773.54329500000006</v>
      </c>
      <c r="M252" s="79" t="str">
        <f>+Analisis!$J$5</f>
        <v>T5.0</v>
      </c>
      <c r="N252" s="80">
        <f>+VLOOKUP(M252,Material!$A$3:$B$58,2,FALSE)</f>
        <v>5000</v>
      </c>
      <c r="O252" s="79" t="s">
        <v>42</v>
      </c>
      <c r="P252" s="79" t="s">
        <v>43</v>
      </c>
      <c r="Q252" s="81">
        <f>+IF(O252="ACERO A36",VLOOKUP(P252,'Velocidades Std 1500 w'!$B$2:$F$15,5,FALSE),IF(O252="INOXIDABLE",VLOOKUP(P252,'Velocidades Std 1500 w'!$B$17:$F$28,5,FALSE),IF(O252="ALUMINIO",VLOOKUP(P252,'Velocidades Std 1500 w'!$B$30:$F$38,5,FALSE))))</f>
        <v>4.3859649122807014E-6</v>
      </c>
      <c r="R252" s="82">
        <f t="shared" si="357"/>
        <v>2.1929824561403508E-2</v>
      </c>
      <c r="S252" s="83">
        <f t="shared" si="358"/>
        <v>67.814791578947364</v>
      </c>
      <c r="T252" s="110">
        <f t="shared" si="359"/>
        <v>4294.9367999999995</v>
      </c>
      <c r="U252" s="80">
        <f t="shared" si="360"/>
        <v>94.187210526315766</v>
      </c>
      <c r="V252" s="98">
        <v>20</v>
      </c>
      <c r="W252" s="84">
        <f>+IF(O252="ACERO A36",VLOOKUP(P252,'Tiempo Objeto'!$B$2:$C$12,2,FALSE),IF(O252="INOXIDABLE",VLOOKUP(P252,'Tiempo Objeto'!$B$14:$C$22,2,FALSE),IF(O252="ALUMINIO",VLOOKUP(P252,'Tiempo Objeto'!$B$24:$C$32,2,FALSE))))</f>
        <v>1.84</v>
      </c>
      <c r="X252" s="84">
        <f t="shared" si="361"/>
        <v>36.800000000000004</v>
      </c>
      <c r="Y252" s="80">
        <f t="shared" si="362"/>
        <v>51.111111111111121</v>
      </c>
      <c r="Z252" s="100">
        <v>6</v>
      </c>
      <c r="AA252" s="85">
        <f t="shared" si="363"/>
        <v>180</v>
      </c>
      <c r="AB252" s="86">
        <f>+Z252*Analisis!$J$6</f>
        <v>150</v>
      </c>
      <c r="AC252" s="100">
        <v>0</v>
      </c>
      <c r="AD252" s="85">
        <f t="shared" si="364"/>
        <v>0</v>
      </c>
      <c r="AE252" s="86">
        <f>+AD252*Analisis!$J$7</f>
        <v>0</v>
      </c>
      <c r="AF252" s="86">
        <f t="shared" si="310"/>
        <v>1068.8416166374268</v>
      </c>
      <c r="AG252" s="126">
        <f>+AF252/(1-Analisis!$E$9)</f>
        <v>1336.0520207967834</v>
      </c>
      <c r="AH252" s="128">
        <f t="shared" si="312"/>
        <v>0</v>
      </c>
    </row>
    <row r="253" spans="1:35" s="73" customFormat="1" x14ac:dyDescent="0.25">
      <c r="A253" s="100"/>
      <c r="B253" s="114" t="s">
        <v>441</v>
      </c>
      <c r="C253" s="74">
        <f>IFERROR(VLOOKUP(B253,'REQ GALV'!A:B,2,0),0)</f>
        <v>0</v>
      </c>
      <c r="D253" s="116">
        <f t="shared" si="311"/>
        <v>1497.941297112573</v>
      </c>
      <c r="E253" s="103" t="s">
        <v>41</v>
      </c>
      <c r="F253" s="75" t="s">
        <v>147</v>
      </c>
      <c r="G253" s="90">
        <v>27.63</v>
      </c>
      <c r="H253" s="90">
        <v>43.89</v>
      </c>
      <c r="I253" s="76">
        <v>0.105</v>
      </c>
      <c r="J253" s="77">
        <v>28.24</v>
      </c>
      <c r="K253" s="78">
        <f t="shared" si="356"/>
        <v>69.804527230878193</v>
      </c>
      <c r="L253" s="58">
        <f>+VLOOKUP(E253,Material!$H$2:$M$17,6,FALSE)*G253*H253*(1+Material!$K$14)</f>
        <v>896.036295</v>
      </c>
      <c r="M253" s="79" t="str">
        <f>+Analisis!$J$5</f>
        <v>T5.0</v>
      </c>
      <c r="N253" s="80">
        <f>+VLOOKUP(M253,Material!$A$3:$B$58,2,FALSE)</f>
        <v>5000</v>
      </c>
      <c r="O253" s="79" t="s">
        <v>42</v>
      </c>
      <c r="P253" s="79" t="s">
        <v>43</v>
      </c>
      <c r="Q253" s="81">
        <f>+IF(O253="ACERO A36",VLOOKUP(P253,'Velocidades Std 1500 w'!$B$2:$F$15,5,FALSE),IF(O253="INOXIDABLE",VLOOKUP(P253,'Velocidades Std 1500 w'!$B$17:$F$28,5,FALSE),IF(O253="ALUMINIO",VLOOKUP(P253,'Velocidades Std 1500 w'!$B$30:$F$38,5,FALSE))))</f>
        <v>4.3859649122807014E-6</v>
      </c>
      <c r="R253" s="82">
        <f t="shared" si="357"/>
        <v>2.1929824561403508E-2</v>
      </c>
      <c r="S253" s="83">
        <f t="shared" si="358"/>
        <v>72.868054736842083</v>
      </c>
      <c r="T253" s="110">
        <f t="shared" si="359"/>
        <v>4614.9767999999995</v>
      </c>
      <c r="U253" s="80">
        <f t="shared" si="360"/>
        <v>101.20563157894735</v>
      </c>
      <c r="V253" s="98">
        <v>20</v>
      </c>
      <c r="W253" s="84">
        <f>+IF(O253="ACERO A36",VLOOKUP(P253,'Tiempo Objeto'!$B$2:$C$12,2,FALSE),IF(O253="INOXIDABLE",VLOOKUP(P253,'Tiempo Objeto'!$B$14:$C$22,2,FALSE),IF(O253="ALUMINIO",VLOOKUP(P253,'Tiempo Objeto'!$B$24:$C$32,2,FALSE))))</f>
        <v>1.84</v>
      </c>
      <c r="X253" s="84">
        <f t="shared" si="361"/>
        <v>36.800000000000004</v>
      </c>
      <c r="Y253" s="80">
        <f t="shared" si="362"/>
        <v>51.111111111111121</v>
      </c>
      <c r="Z253" s="100">
        <v>6</v>
      </c>
      <c r="AA253" s="85">
        <f t="shared" si="363"/>
        <v>180</v>
      </c>
      <c r="AB253" s="86">
        <f>+Z253*Analisis!$J$6</f>
        <v>150</v>
      </c>
      <c r="AC253" s="100">
        <v>0</v>
      </c>
      <c r="AD253" s="85">
        <f t="shared" si="364"/>
        <v>0</v>
      </c>
      <c r="AE253" s="86">
        <f>+AD253*Analisis!$J$7</f>
        <v>0</v>
      </c>
      <c r="AF253" s="86">
        <f t="shared" si="310"/>
        <v>1198.3530376900585</v>
      </c>
      <c r="AG253" s="126">
        <f>+AF253/(1-Analisis!$E$9)</f>
        <v>1497.941297112573</v>
      </c>
      <c r="AH253" s="128">
        <f t="shared" si="312"/>
        <v>0</v>
      </c>
    </row>
    <row r="254" spans="1:35" s="73" customFormat="1" x14ac:dyDescent="0.25">
      <c r="A254" s="100"/>
      <c r="B254" s="114" t="s">
        <v>442</v>
      </c>
      <c r="C254" s="74">
        <f>IFERROR(VLOOKUP(B254,'REQ GALV'!A:B,2,0),0)</f>
        <v>0</v>
      </c>
      <c r="D254" s="116">
        <f t="shared" si="311"/>
        <v>1551.9043892178361</v>
      </c>
      <c r="E254" s="103" t="s">
        <v>41</v>
      </c>
      <c r="F254" s="75" t="s">
        <v>147</v>
      </c>
      <c r="G254" s="90">
        <v>27.63</v>
      </c>
      <c r="H254" s="90">
        <v>45.89</v>
      </c>
      <c r="I254" s="76">
        <v>0.105</v>
      </c>
      <c r="J254" s="77">
        <v>28.24</v>
      </c>
      <c r="K254" s="78">
        <f t="shared" si="356"/>
        <v>72.985412500000024</v>
      </c>
      <c r="L254" s="58">
        <f>+VLOOKUP(E254,Material!$H$2:$M$17,6,FALSE)*G254*H254*(1+Material!$K$14)</f>
        <v>936.86729500000013</v>
      </c>
      <c r="M254" s="79" t="str">
        <f>+Analisis!$J$5</f>
        <v>T5.0</v>
      </c>
      <c r="N254" s="80">
        <f>+VLOOKUP(M254,Material!$A$3:$B$58,2,FALSE)</f>
        <v>5000</v>
      </c>
      <c r="O254" s="79" t="s">
        <v>42</v>
      </c>
      <c r="P254" s="79" t="s">
        <v>43</v>
      </c>
      <c r="Q254" s="81">
        <f>+IF(O254="ACERO A36",VLOOKUP(P254,'Velocidades Std 1500 w'!$B$2:$F$15,5,FALSE),IF(O254="INOXIDABLE",VLOOKUP(P254,'Velocidades Std 1500 w'!$B$17:$F$28,5,FALSE),IF(O254="ALUMINIO",VLOOKUP(P254,'Velocidades Std 1500 w'!$B$30:$F$38,5,FALSE))))</f>
        <v>4.3859649122807014E-6</v>
      </c>
      <c r="R254" s="82">
        <f t="shared" si="357"/>
        <v>2.1929824561403508E-2</v>
      </c>
      <c r="S254" s="83">
        <f t="shared" si="358"/>
        <v>74.552475789473675</v>
      </c>
      <c r="T254" s="110">
        <f t="shared" si="359"/>
        <v>4721.6567999999997</v>
      </c>
      <c r="U254" s="80">
        <f t="shared" si="360"/>
        <v>103.54510526315788</v>
      </c>
      <c r="V254" s="98">
        <v>20</v>
      </c>
      <c r="W254" s="84">
        <f>+IF(O254="ACERO A36",VLOOKUP(P254,'Tiempo Objeto'!$B$2:$C$12,2,FALSE),IF(O254="INOXIDABLE",VLOOKUP(P254,'Tiempo Objeto'!$B$14:$C$22,2,FALSE),IF(O254="ALUMINIO",VLOOKUP(P254,'Tiempo Objeto'!$B$24:$C$32,2,FALSE))))</f>
        <v>1.84</v>
      </c>
      <c r="X254" s="84">
        <f t="shared" si="361"/>
        <v>36.800000000000004</v>
      </c>
      <c r="Y254" s="80">
        <f t="shared" si="362"/>
        <v>51.111111111111121</v>
      </c>
      <c r="Z254" s="100">
        <v>6</v>
      </c>
      <c r="AA254" s="85">
        <f t="shared" si="363"/>
        <v>180</v>
      </c>
      <c r="AB254" s="86">
        <f>+Z254*Analisis!$J$6</f>
        <v>150</v>
      </c>
      <c r="AC254" s="100">
        <v>0</v>
      </c>
      <c r="AD254" s="85">
        <f t="shared" si="364"/>
        <v>0</v>
      </c>
      <c r="AE254" s="86">
        <f>+AD254*Analisis!$J$7</f>
        <v>0</v>
      </c>
      <c r="AF254" s="86">
        <f t="shared" si="310"/>
        <v>1241.523511374269</v>
      </c>
      <c r="AG254" s="126">
        <f>+AF254/(1-Analisis!$E$9)</f>
        <v>1551.9043892178361</v>
      </c>
      <c r="AH254" s="128">
        <f t="shared" si="312"/>
        <v>0</v>
      </c>
    </row>
    <row r="255" spans="1:35" s="73" customFormat="1" x14ac:dyDescent="0.25">
      <c r="A255" s="100"/>
      <c r="B255" s="114" t="s">
        <v>443</v>
      </c>
      <c r="C255" s="74">
        <f>IFERROR(VLOOKUP(B255,'REQ GALV'!A:B,2,0),0)</f>
        <v>0</v>
      </c>
      <c r="D255" s="116">
        <f t="shared" si="311"/>
        <v>1659.8305734283624</v>
      </c>
      <c r="E255" s="103" t="s">
        <v>41</v>
      </c>
      <c r="F255" s="75" t="s">
        <v>147</v>
      </c>
      <c r="G255" s="90">
        <v>27.63</v>
      </c>
      <c r="H255" s="90">
        <v>49.89</v>
      </c>
      <c r="I255" s="76">
        <v>0.105</v>
      </c>
      <c r="J255" s="77">
        <v>28.24</v>
      </c>
      <c r="K255" s="78">
        <f t="shared" si="356"/>
        <v>79.347183038243642</v>
      </c>
      <c r="L255" s="58">
        <f>+VLOOKUP(E255,Material!$H$2:$M$17,6,FALSE)*G255*H255*(1+Material!$K$14)</f>
        <v>1018.529295</v>
      </c>
      <c r="M255" s="79" t="str">
        <f>+Analisis!$J$5</f>
        <v>T5.0</v>
      </c>
      <c r="N255" s="80">
        <f>+VLOOKUP(M255,Material!$A$3:$B$58,2,FALSE)</f>
        <v>5000</v>
      </c>
      <c r="O255" s="79" t="s">
        <v>42</v>
      </c>
      <c r="P255" s="79" t="s">
        <v>43</v>
      </c>
      <c r="Q255" s="81">
        <f>+IF(O255="ACERO A36",VLOOKUP(P255,'Velocidades Std 1500 w'!$B$2:$F$15,5,FALSE),IF(O255="INOXIDABLE",VLOOKUP(P255,'Velocidades Std 1500 w'!$B$17:$F$28,5,FALSE),IF(O255="ALUMINIO",VLOOKUP(P255,'Velocidades Std 1500 w'!$B$30:$F$38,5,FALSE))))</f>
        <v>4.3859649122807014E-6</v>
      </c>
      <c r="R255" s="82">
        <f t="shared" si="357"/>
        <v>2.1929824561403508E-2</v>
      </c>
      <c r="S255" s="83">
        <f t="shared" si="358"/>
        <v>77.921317894736831</v>
      </c>
      <c r="T255" s="110">
        <f t="shared" si="359"/>
        <v>4935.0167999999994</v>
      </c>
      <c r="U255" s="80">
        <f t="shared" si="360"/>
        <v>108.22405263157893</v>
      </c>
      <c r="V255" s="98">
        <v>20</v>
      </c>
      <c r="W255" s="84">
        <f>+IF(O255="ACERO A36",VLOOKUP(P255,'Tiempo Objeto'!$B$2:$C$12,2,FALSE),IF(O255="INOXIDABLE",VLOOKUP(P255,'Tiempo Objeto'!$B$14:$C$22,2,FALSE),IF(O255="ALUMINIO",VLOOKUP(P255,'Tiempo Objeto'!$B$24:$C$32,2,FALSE))))</f>
        <v>1.84</v>
      </c>
      <c r="X255" s="84">
        <f t="shared" si="361"/>
        <v>36.800000000000004</v>
      </c>
      <c r="Y255" s="80">
        <f t="shared" si="362"/>
        <v>51.111111111111121</v>
      </c>
      <c r="Z255" s="100">
        <v>6</v>
      </c>
      <c r="AA255" s="85">
        <f t="shared" si="363"/>
        <v>180</v>
      </c>
      <c r="AB255" s="86">
        <f>+Z255*Analisis!$J$6</f>
        <v>150</v>
      </c>
      <c r="AC255" s="100">
        <v>0</v>
      </c>
      <c r="AD255" s="85">
        <f t="shared" si="364"/>
        <v>0</v>
      </c>
      <c r="AE255" s="86">
        <f>+AD255*Analisis!$J$7</f>
        <v>0</v>
      </c>
      <c r="AF255" s="86">
        <f t="shared" ref="AF255:AF313" si="365">+L255+U255+Y255+AB255+AE255</f>
        <v>1327.86445874269</v>
      </c>
      <c r="AG255" s="126">
        <f>+AF255/(1-Analisis!$E$9)</f>
        <v>1659.8305734283624</v>
      </c>
      <c r="AH255" s="128">
        <f t="shared" si="312"/>
        <v>0</v>
      </c>
    </row>
    <row r="256" spans="1:35" s="73" customFormat="1" x14ac:dyDescent="0.25">
      <c r="A256" s="100"/>
      <c r="B256" s="114" t="s">
        <v>444</v>
      </c>
      <c r="C256" s="74">
        <f>IFERROR(VLOOKUP(B256,'REQ GALV'!A:B,2,0),0)</f>
        <v>0</v>
      </c>
      <c r="D256" s="116">
        <f t="shared" ref="D256:D314" si="366">+AG256</f>
        <v>1821.719849744152</v>
      </c>
      <c r="E256" s="103" t="s">
        <v>41</v>
      </c>
      <c r="F256" s="75" t="s">
        <v>147</v>
      </c>
      <c r="G256" s="90">
        <v>27.63</v>
      </c>
      <c r="H256" s="90">
        <v>55.89</v>
      </c>
      <c r="I256" s="76">
        <v>0.105</v>
      </c>
      <c r="J256" s="77">
        <v>28.24</v>
      </c>
      <c r="K256" s="78">
        <f t="shared" si="356"/>
        <v>88.889838845609077</v>
      </c>
      <c r="L256" s="58">
        <f>+VLOOKUP(E256,Material!$H$2:$M$17,6,FALSE)*G256*H256*(1+Material!$K$14)</f>
        <v>1141.022295</v>
      </c>
      <c r="M256" s="79" t="str">
        <f>+Analisis!$J$5</f>
        <v>T5.0</v>
      </c>
      <c r="N256" s="80">
        <f>+VLOOKUP(M256,Material!$A$3:$B$58,2,FALSE)</f>
        <v>5000</v>
      </c>
      <c r="O256" s="79" t="s">
        <v>42</v>
      </c>
      <c r="P256" s="79" t="s">
        <v>43</v>
      </c>
      <c r="Q256" s="81">
        <f>+IF(O256="ACERO A36",VLOOKUP(P256,'Velocidades Std 1500 w'!$B$2:$F$15,5,FALSE),IF(O256="INOXIDABLE",VLOOKUP(P256,'Velocidades Std 1500 w'!$B$17:$F$28,5,FALSE),IF(O256="ALUMINIO",VLOOKUP(P256,'Velocidades Std 1500 w'!$B$30:$F$38,5,FALSE))))</f>
        <v>4.3859649122807014E-6</v>
      </c>
      <c r="R256" s="82">
        <f t="shared" si="357"/>
        <v>2.1929824561403508E-2</v>
      </c>
      <c r="S256" s="83">
        <f t="shared" si="358"/>
        <v>82.974581052631578</v>
      </c>
      <c r="T256" s="110">
        <f t="shared" si="359"/>
        <v>5255.0568000000003</v>
      </c>
      <c r="U256" s="80">
        <f t="shared" si="360"/>
        <v>115.24247368421052</v>
      </c>
      <c r="V256" s="98">
        <v>20</v>
      </c>
      <c r="W256" s="84">
        <f>+IF(O256="ACERO A36",VLOOKUP(P256,'Tiempo Objeto'!$B$2:$C$12,2,FALSE),IF(O256="INOXIDABLE",VLOOKUP(P256,'Tiempo Objeto'!$B$14:$C$22,2,FALSE),IF(O256="ALUMINIO",VLOOKUP(P256,'Tiempo Objeto'!$B$24:$C$32,2,FALSE))))</f>
        <v>1.84</v>
      </c>
      <c r="X256" s="84">
        <f t="shared" si="361"/>
        <v>36.800000000000004</v>
      </c>
      <c r="Y256" s="80">
        <f t="shared" si="362"/>
        <v>51.111111111111121</v>
      </c>
      <c r="Z256" s="100">
        <v>6</v>
      </c>
      <c r="AA256" s="85">
        <f t="shared" si="363"/>
        <v>180</v>
      </c>
      <c r="AB256" s="86">
        <f>+Z256*Analisis!$J$6</f>
        <v>150</v>
      </c>
      <c r="AC256" s="100">
        <v>0</v>
      </c>
      <c r="AD256" s="85">
        <f t="shared" si="364"/>
        <v>0</v>
      </c>
      <c r="AE256" s="86">
        <f>+AD256*Analisis!$J$7</f>
        <v>0</v>
      </c>
      <c r="AF256" s="86">
        <f t="shared" si="365"/>
        <v>1457.3758797953217</v>
      </c>
      <c r="AG256" s="126">
        <f>+AF256/(1-Analisis!$E$9)</f>
        <v>1821.719849744152</v>
      </c>
      <c r="AH256" s="128">
        <f t="shared" ref="AH256:AH314" si="367">+AG256*C256</f>
        <v>0</v>
      </c>
    </row>
    <row r="257" spans="1:35" s="73" customFormat="1" x14ac:dyDescent="0.25">
      <c r="A257" s="100"/>
      <c r="B257" s="114" t="s">
        <v>445</v>
      </c>
      <c r="C257" s="74">
        <f>IFERROR(VLOOKUP(B257,'REQ GALV'!A:B,2,0),0)</f>
        <v>0</v>
      </c>
      <c r="D257" s="116">
        <f t="shared" si="366"/>
        <v>510.09275179093567</v>
      </c>
      <c r="E257" s="103" t="s">
        <v>41</v>
      </c>
      <c r="F257" s="75" t="s">
        <v>147</v>
      </c>
      <c r="G257" s="90">
        <v>17.63</v>
      </c>
      <c r="H257" s="90">
        <v>11.89</v>
      </c>
      <c r="I257" s="76">
        <v>0.105</v>
      </c>
      <c r="J257" s="77">
        <v>28.24</v>
      </c>
      <c r="K257" s="78">
        <f t="shared" si="356"/>
        <v>12.066221439250869</v>
      </c>
      <c r="L257" s="58">
        <f>+VLOOKUP(E257,Material!$H$2:$M$17,6,FALSE)*G257*H257*(1+Material!$K$14)</f>
        <v>154.88640611111114</v>
      </c>
      <c r="M257" s="79" t="str">
        <f>+Analisis!$J$5</f>
        <v>T5.0</v>
      </c>
      <c r="N257" s="80">
        <f>+VLOOKUP(M257,Material!$A$3:$B$58,2,FALSE)</f>
        <v>5000</v>
      </c>
      <c r="O257" s="79" t="s">
        <v>42</v>
      </c>
      <c r="P257" s="79" t="s">
        <v>43</v>
      </c>
      <c r="Q257" s="81">
        <f>+IF(O257="ACERO A36",VLOOKUP(P257,'Velocidades Std 1500 w'!$B$2:$F$15,5,FALSE),IF(O257="INOXIDABLE",VLOOKUP(P257,'Velocidades Std 1500 w'!$B$17:$F$28,5,FALSE),IF(O257="ALUMINIO",VLOOKUP(P257,'Velocidades Std 1500 w'!$B$30:$F$38,5,FALSE))))</f>
        <v>4.3859649122807014E-6</v>
      </c>
      <c r="R257" s="82">
        <f t="shared" si="357"/>
        <v>2.1929824561403508E-2</v>
      </c>
      <c r="S257" s="83">
        <f t="shared" si="358"/>
        <v>37.495212631578937</v>
      </c>
      <c r="T257" s="110">
        <f t="shared" si="359"/>
        <v>2374.6967999999997</v>
      </c>
      <c r="U257" s="80">
        <f t="shared" si="360"/>
        <v>52.076684210526309</v>
      </c>
      <c r="V257" s="98">
        <v>20</v>
      </c>
      <c r="W257" s="84">
        <f>+IF(O257="ACERO A36",VLOOKUP(P257,'Tiempo Objeto'!$B$2:$C$12,2,FALSE),IF(O257="INOXIDABLE",VLOOKUP(P257,'Tiempo Objeto'!$B$14:$C$22,2,FALSE),IF(O257="ALUMINIO",VLOOKUP(P257,'Tiempo Objeto'!$B$24:$C$32,2,FALSE))))</f>
        <v>1.84</v>
      </c>
      <c r="X257" s="84">
        <f t="shared" si="361"/>
        <v>36.800000000000004</v>
      </c>
      <c r="Y257" s="80">
        <f t="shared" si="362"/>
        <v>51.111111111111121</v>
      </c>
      <c r="Z257" s="100">
        <v>6</v>
      </c>
      <c r="AA257" s="85">
        <f t="shared" si="363"/>
        <v>180</v>
      </c>
      <c r="AB257" s="86">
        <f>+Z257*Analisis!$J$6</f>
        <v>150</v>
      </c>
      <c r="AC257" s="100">
        <v>0</v>
      </c>
      <c r="AD257" s="85">
        <f t="shared" si="364"/>
        <v>0</v>
      </c>
      <c r="AE257" s="86">
        <f>+AD257*Analisis!$J$7</f>
        <v>0</v>
      </c>
      <c r="AF257" s="86">
        <f t="shared" si="365"/>
        <v>408.07420143274857</v>
      </c>
      <c r="AG257" s="126">
        <f>+AF257/(1-Analisis!$E$9)</f>
        <v>510.09275179093567</v>
      </c>
      <c r="AH257" s="128">
        <f t="shared" si="367"/>
        <v>0</v>
      </c>
    </row>
    <row r="258" spans="1:35" s="73" customFormat="1" x14ac:dyDescent="0.25">
      <c r="A258" s="100"/>
      <c r="B258" s="114" t="s">
        <v>446</v>
      </c>
      <c r="C258" s="138">
        <f>IFERROR(VLOOKUP(B258,'REQ GALV'!A:B,2,0),0)</f>
        <v>15</v>
      </c>
      <c r="D258" s="116">
        <f t="shared" si="366"/>
        <v>616.5653614400585</v>
      </c>
      <c r="E258" s="103" t="s">
        <v>41</v>
      </c>
      <c r="F258" s="75" t="s">
        <v>147</v>
      </c>
      <c r="G258" s="90">
        <v>17.63</v>
      </c>
      <c r="H258" s="90">
        <v>17.89</v>
      </c>
      <c r="I258" s="76">
        <v>0.105</v>
      </c>
      <c r="J258" s="77">
        <v>28.24</v>
      </c>
      <c r="K258" s="78">
        <f t="shared" si="356"/>
        <v>18.155147312716402</v>
      </c>
      <c r="L258" s="58">
        <f>+VLOOKUP(E258,Material!$H$2:$M$17,6,FALSE)*G258*H258*(1+Material!$K$14)</f>
        <v>233.04607277777779</v>
      </c>
      <c r="M258" s="79" t="str">
        <f>+Analisis!$J$5</f>
        <v>T5.0</v>
      </c>
      <c r="N258" s="80">
        <f>+VLOOKUP(M258,Material!$A$3:$B$58,2,FALSE)</f>
        <v>5000</v>
      </c>
      <c r="O258" s="79" t="s">
        <v>42</v>
      </c>
      <c r="P258" s="79" t="s">
        <v>43</v>
      </c>
      <c r="Q258" s="81">
        <f>+IF(O258="ACERO A36",VLOOKUP(P258,'Velocidades Std 1500 w'!$B$2:$F$15,5,FALSE),IF(O258="INOXIDABLE",VLOOKUP(P258,'Velocidades Std 1500 w'!$B$17:$F$28,5,FALSE),IF(O258="ALUMINIO",VLOOKUP(P258,'Velocidades Std 1500 w'!$B$30:$F$38,5,FALSE))))</f>
        <v>4.3859649122807014E-6</v>
      </c>
      <c r="R258" s="82">
        <f t="shared" si="357"/>
        <v>2.1929824561403508E-2</v>
      </c>
      <c r="S258" s="83">
        <f t="shared" si="358"/>
        <v>42.548475789473677</v>
      </c>
      <c r="T258" s="110">
        <f t="shared" si="359"/>
        <v>2694.7367999999997</v>
      </c>
      <c r="U258" s="80">
        <f t="shared" si="360"/>
        <v>59.095105263157883</v>
      </c>
      <c r="V258" s="98">
        <v>20</v>
      </c>
      <c r="W258" s="84">
        <f>+IF(O258="ACERO A36",VLOOKUP(P258,'Tiempo Objeto'!$B$2:$C$12,2,FALSE),IF(O258="INOXIDABLE",VLOOKUP(P258,'Tiempo Objeto'!$B$14:$C$22,2,FALSE),IF(O258="ALUMINIO",VLOOKUP(P258,'Tiempo Objeto'!$B$24:$C$32,2,FALSE))))</f>
        <v>1.84</v>
      </c>
      <c r="X258" s="84">
        <f t="shared" si="361"/>
        <v>36.800000000000004</v>
      </c>
      <c r="Y258" s="80">
        <f t="shared" si="362"/>
        <v>51.111111111111121</v>
      </c>
      <c r="Z258" s="100">
        <v>6</v>
      </c>
      <c r="AA258" s="85">
        <f t="shared" si="363"/>
        <v>315</v>
      </c>
      <c r="AB258" s="86">
        <f>+Z258*Analisis!$J$6</f>
        <v>150</v>
      </c>
      <c r="AC258" s="100">
        <v>0</v>
      </c>
      <c r="AD258" s="85">
        <f t="shared" si="364"/>
        <v>0</v>
      </c>
      <c r="AE258" s="86">
        <f>+AD258*Analisis!$J$7</f>
        <v>0</v>
      </c>
      <c r="AF258" s="86">
        <f t="shared" si="365"/>
        <v>493.25228915204684</v>
      </c>
      <c r="AG258" s="126">
        <f>+AF258/(1-Analisis!$E$9)</f>
        <v>616.5653614400585</v>
      </c>
      <c r="AH258" s="128">
        <f t="shared" si="367"/>
        <v>9248.4804216008779</v>
      </c>
      <c r="AI258" s="128">
        <f>+L258*C258</f>
        <v>3495.691091666667</v>
      </c>
    </row>
    <row r="259" spans="1:35" s="73" customFormat="1" x14ac:dyDescent="0.25">
      <c r="A259" s="100"/>
      <c r="B259" s="114" t="s">
        <v>447</v>
      </c>
      <c r="C259" s="74">
        <f>IFERROR(VLOOKUP(B259,'REQ GALV'!A:B,2,0),0)</f>
        <v>0</v>
      </c>
      <c r="D259" s="116">
        <f t="shared" si="366"/>
        <v>723.03797108918127</v>
      </c>
      <c r="E259" s="103" t="s">
        <v>41</v>
      </c>
      <c r="F259" s="75" t="s">
        <v>147</v>
      </c>
      <c r="G259" s="90">
        <v>17.63</v>
      </c>
      <c r="H259" s="90">
        <v>23.89</v>
      </c>
      <c r="I259" s="76">
        <v>0.105</v>
      </c>
      <c r="J259" s="77">
        <v>28.24</v>
      </c>
      <c r="K259" s="78">
        <f t="shared" si="356"/>
        <v>24.244073186181936</v>
      </c>
      <c r="L259" s="58">
        <f>+VLOOKUP(E259,Material!$H$2:$M$17,6,FALSE)*G259*H259*(1+Material!$K$14)</f>
        <v>311.20573944444448</v>
      </c>
      <c r="M259" s="79" t="str">
        <f>+Analisis!$J$5</f>
        <v>T5.0</v>
      </c>
      <c r="N259" s="80">
        <f>+VLOOKUP(M259,Material!$A$3:$B$58,2,FALSE)</f>
        <v>5000</v>
      </c>
      <c r="O259" s="79" t="s">
        <v>42</v>
      </c>
      <c r="P259" s="79" t="s">
        <v>43</v>
      </c>
      <c r="Q259" s="81">
        <f>+IF(O259="ACERO A36",VLOOKUP(P259,'Velocidades Std 1500 w'!$B$2:$F$15,5,FALSE),IF(O259="INOXIDABLE",VLOOKUP(P259,'Velocidades Std 1500 w'!$B$17:$F$28,5,FALSE),IF(O259="ALUMINIO",VLOOKUP(P259,'Velocidades Std 1500 w'!$B$30:$F$38,5,FALSE))))</f>
        <v>4.3859649122807014E-6</v>
      </c>
      <c r="R259" s="82">
        <f t="shared" si="357"/>
        <v>2.1929824561403508E-2</v>
      </c>
      <c r="S259" s="83">
        <f t="shared" si="358"/>
        <v>47.60173894736841</v>
      </c>
      <c r="T259" s="110">
        <f t="shared" si="359"/>
        <v>3014.7767999999996</v>
      </c>
      <c r="U259" s="80">
        <f t="shared" si="360"/>
        <v>66.113526315789457</v>
      </c>
      <c r="V259" s="98">
        <v>20</v>
      </c>
      <c r="W259" s="84">
        <f>+IF(O259="ACERO A36",VLOOKUP(P259,'Tiempo Objeto'!$B$2:$C$12,2,FALSE),IF(O259="INOXIDABLE",VLOOKUP(P259,'Tiempo Objeto'!$B$14:$C$22,2,FALSE),IF(O259="ALUMINIO",VLOOKUP(P259,'Tiempo Objeto'!$B$24:$C$32,2,FALSE))))</f>
        <v>1.84</v>
      </c>
      <c r="X259" s="84">
        <f t="shared" si="361"/>
        <v>36.800000000000004</v>
      </c>
      <c r="Y259" s="80">
        <f t="shared" si="362"/>
        <v>51.111111111111121</v>
      </c>
      <c r="Z259" s="100">
        <v>6</v>
      </c>
      <c r="AA259" s="85">
        <f t="shared" si="363"/>
        <v>180</v>
      </c>
      <c r="AB259" s="86">
        <f>+Z259*Analisis!$J$6</f>
        <v>150</v>
      </c>
      <c r="AC259" s="100">
        <v>0</v>
      </c>
      <c r="AD259" s="85">
        <f t="shared" si="364"/>
        <v>0</v>
      </c>
      <c r="AE259" s="86">
        <f>+AD259*Analisis!$J$7</f>
        <v>0</v>
      </c>
      <c r="AF259" s="86">
        <f t="shared" si="365"/>
        <v>578.43037687134506</v>
      </c>
      <c r="AG259" s="126">
        <f>+AF259/(1-Analisis!$E$9)</f>
        <v>723.03797108918127</v>
      </c>
      <c r="AH259" s="128">
        <f t="shared" si="367"/>
        <v>0</v>
      </c>
    </row>
    <row r="260" spans="1:35" s="73" customFormat="1" x14ac:dyDescent="0.25">
      <c r="A260" s="100"/>
      <c r="B260" s="114" t="s">
        <v>448</v>
      </c>
      <c r="C260" s="74">
        <f>IFERROR(VLOOKUP(B260,'REQ GALV'!A:B,2,0),0)</f>
        <v>0</v>
      </c>
      <c r="D260" s="116">
        <f t="shared" si="366"/>
        <v>758.52884097222227</v>
      </c>
      <c r="E260" s="103" t="s">
        <v>41</v>
      </c>
      <c r="F260" s="75" t="s">
        <v>147</v>
      </c>
      <c r="G260" s="90">
        <v>17.63</v>
      </c>
      <c r="H260" s="90">
        <v>25.89</v>
      </c>
      <c r="I260" s="76">
        <v>0.105</v>
      </c>
      <c r="J260" s="77">
        <v>28.24</v>
      </c>
      <c r="K260" s="78">
        <f t="shared" si="356"/>
        <v>26.273715144003784</v>
      </c>
      <c r="L260" s="58">
        <f>+VLOOKUP(E260,Material!$H$2:$M$17,6,FALSE)*G260*H260*(1+Material!$K$14)</f>
        <v>337.25896166666672</v>
      </c>
      <c r="M260" s="79" t="str">
        <f>+Analisis!$J$5</f>
        <v>T5.0</v>
      </c>
      <c r="N260" s="80">
        <f>+VLOOKUP(M260,Material!$A$3:$B$58,2,FALSE)</f>
        <v>5000</v>
      </c>
      <c r="O260" s="79" t="s">
        <v>42</v>
      </c>
      <c r="P260" s="79" t="s">
        <v>43</v>
      </c>
      <c r="Q260" s="81">
        <f>+IF(O260="ACERO A36",VLOOKUP(P260,'Velocidades Std 1500 w'!$B$2:$F$15,5,FALSE),IF(O260="INOXIDABLE",VLOOKUP(P260,'Velocidades Std 1500 w'!$B$17:$F$28,5,FALSE),IF(O260="ALUMINIO",VLOOKUP(P260,'Velocidades Std 1500 w'!$B$30:$F$38,5,FALSE))))</f>
        <v>4.3859649122807014E-6</v>
      </c>
      <c r="R260" s="82">
        <f t="shared" si="357"/>
        <v>2.1929824561403508E-2</v>
      </c>
      <c r="S260" s="83">
        <f t="shared" si="358"/>
        <v>49.286159999999995</v>
      </c>
      <c r="T260" s="110">
        <f t="shared" si="359"/>
        <v>3121.4567999999999</v>
      </c>
      <c r="U260" s="80">
        <f t="shared" si="360"/>
        <v>68.452999999999989</v>
      </c>
      <c r="V260" s="98">
        <v>20</v>
      </c>
      <c r="W260" s="84">
        <f>+IF(O260="ACERO A36",VLOOKUP(P260,'Tiempo Objeto'!$B$2:$C$12,2,FALSE),IF(O260="INOXIDABLE",VLOOKUP(P260,'Tiempo Objeto'!$B$14:$C$22,2,FALSE),IF(O260="ALUMINIO",VLOOKUP(P260,'Tiempo Objeto'!$B$24:$C$32,2,FALSE))))</f>
        <v>1.84</v>
      </c>
      <c r="X260" s="84">
        <f t="shared" si="361"/>
        <v>36.800000000000004</v>
      </c>
      <c r="Y260" s="80">
        <f t="shared" si="362"/>
        <v>51.111111111111121</v>
      </c>
      <c r="Z260" s="100">
        <v>6</v>
      </c>
      <c r="AA260" s="85">
        <f t="shared" si="363"/>
        <v>180</v>
      </c>
      <c r="AB260" s="86">
        <f>+Z260*Analisis!$J$6</f>
        <v>150</v>
      </c>
      <c r="AC260" s="100">
        <v>0</v>
      </c>
      <c r="AD260" s="85">
        <f t="shared" si="364"/>
        <v>0</v>
      </c>
      <c r="AE260" s="86">
        <f>+AD260*Analisis!$J$7</f>
        <v>0</v>
      </c>
      <c r="AF260" s="86">
        <f t="shared" si="365"/>
        <v>606.82307277777784</v>
      </c>
      <c r="AG260" s="126">
        <f>+AF260/(1-Analisis!$E$9)</f>
        <v>758.52884097222227</v>
      </c>
      <c r="AH260" s="128">
        <f t="shared" si="367"/>
        <v>0</v>
      </c>
    </row>
    <row r="261" spans="1:35" s="73" customFormat="1" x14ac:dyDescent="0.25">
      <c r="A261" s="100"/>
      <c r="B261" s="114" t="s">
        <v>449</v>
      </c>
      <c r="C261" s="138">
        <f>IFERROR(VLOOKUP(B261,'REQ GALV'!A:B,2,0),0)</f>
        <v>45</v>
      </c>
      <c r="D261" s="116">
        <f t="shared" si="366"/>
        <v>829.51058073830404</v>
      </c>
      <c r="E261" s="103" t="s">
        <v>41</v>
      </c>
      <c r="F261" s="75" t="s">
        <v>147</v>
      </c>
      <c r="G261" s="90">
        <v>17.63</v>
      </c>
      <c r="H261" s="90">
        <v>29.89</v>
      </c>
      <c r="I261" s="76">
        <v>0.105</v>
      </c>
      <c r="J261" s="77">
        <v>28.24</v>
      </c>
      <c r="K261" s="78">
        <f t="shared" si="356"/>
        <v>30.332999059647467</v>
      </c>
      <c r="L261" s="58">
        <f>+VLOOKUP(E261,Material!$H$2:$M$17,6,FALSE)*G261*H261*(1+Material!$K$14)</f>
        <v>389.3654061111111</v>
      </c>
      <c r="M261" s="79" t="str">
        <f>+Analisis!$J$5</f>
        <v>T5.0</v>
      </c>
      <c r="N261" s="80">
        <f>+VLOOKUP(M261,Material!$A$3:$B$58,2,FALSE)</f>
        <v>5000</v>
      </c>
      <c r="O261" s="79" t="s">
        <v>42</v>
      </c>
      <c r="P261" s="79" t="s">
        <v>43</v>
      </c>
      <c r="Q261" s="81">
        <f>+IF(O261="ACERO A36",VLOOKUP(P261,'Velocidades Std 1500 w'!$B$2:$F$15,5,FALSE),IF(O261="INOXIDABLE",VLOOKUP(P261,'Velocidades Std 1500 w'!$B$17:$F$28,5,FALSE),IF(O261="ALUMINIO",VLOOKUP(P261,'Velocidades Std 1500 w'!$B$30:$F$38,5,FALSE))))</f>
        <v>4.3859649122807014E-6</v>
      </c>
      <c r="R261" s="82">
        <f t="shared" si="357"/>
        <v>2.1929824561403508E-2</v>
      </c>
      <c r="S261" s="83">
        <f t="shared" si="358"/>
        <v>52.655002105263151</v>
      </c>
      <c r="T261" s="110">
        <f t="shared" si="359"/>
        <v>3334.8167999999996</v>
      </c>
      <c r="U261" s="80">
        <f t="shared" si="360"/>
        <v>73.131947368421038</v>
      </c>
      <c r="V261" s="98">
        <v>20</v>
      </c>
      <c r="W261" s="84">
        <f>+IF(O261="ACERO A36",VLOOKUP(P261,'Tiempo Objeto'!$B$2:$C$12,2,FALSE),IF(O261="INOXIDABLE",VLOOKUP(P261,'Tiempo Objeto'!$B$14:$C$22,2,FALSE),IF(O261="ALUMINIO",VLOOKUP(P261,'Tiempo Objeto'!$B$24:$C$32,2,FALSE))))</f>
        <v>1.84</v>
      </c>
      <c r="X261" s="84">
        <f t="shared" si="361"/>
        <v>36.800000000000004</v>
      </c>
      <c r="Y261" s="80">
        <f t="shared" si="362"/>
        <v>51.111111111111121</v>
      </c>
      <c r="Z261" s="100">
        <v>6</v>
      </c>
      <c r="AA261" s="85">
        <f t="shared" si="363"/>
        <v>585</v>
      </c>
      <c r="AB261" s="86">
        <f>+Z261*Analisis!$J$6</f>
        <v>150</v>
      </c>
      <c r="AC261" s="100">
        <v>0</v>
      </c>
      <c r="AD261" s="85">
        <f t="shared" si="364"/>
        <v>0</v>
      </c>
      <c r="AE261" s="86">
        <f>+AD261*Analisis!$J$7</f>
        <v>0</v>
      </c>
      <c r="AF261" s="86">
        <f t="shared" si="365"/>
        <v>663.60846459064328</v>
      </c>
      <c r="AG261" s="126">
        <f>+AF261/(1-Analisis!$E$9)</f>
        <v>829.51058073830404</v>
      </c>
      <c r="AH261" s="128">
        <f t="shared" si="367"/>
        <v>37327.976133223681</v>
      </c>
      <c r="AI261" s="128">
        <f>+L261*C261</f>
        <v>17521.443274999998</v>
      </c>
    </row>
    <row r="262" spans="1:35" s="73" customFormat="1" x14ac:dyDescent="0.25">
      <c r="A262" s="100"/>
      <c r="B262" s="114" t="s">
        <v>450</v>
      </c>
      <c r="C262" s="74">
        <f>IFERROR(VLOOKUP(B262,'REQ GALV'!A:B,2,0),0)</f>
        <v>0</v>
      </c>
      <c r="D262" s="116">
        <f t="shared" si="366"/>
        <v>882.74688556286549</v>
      </c>
      <c r="E262" s="103" t="s">
        <v>41</v>
      </c>
      <c r="F262" s="75" t="s">
        <v>147</v>
      </c>
      <c r="G262" s="90">
        <v>17.63</v>
      </c>
      <c r="H262" s="90">
        <v>32.89</v>
      </c>
      <c r="I262" s="76">
        <v>0.105</v>
      </c>
      <c r="J262" s="77">
        <v>28.24</v>
      </c>
      <c r="K262" s="78">
        <f t="shared" si="356"/>
        <v>33.377461996380241</v>
      </c>
      <c r="L262" s="58">
        <f>+VLOOKUP(E262,Material!$H$2:$M$17,6,FALSE)*G262*H262*(1+Material!$K$14)</f>
        <v>428.4452394444445</v>
      </c>
      <c r="M262" s="79" t="str">
        <f>+Analisis!$J$5</f>
        <v>T5.0</v>
      </c>
      <c r="N262" s="80">
        <f>+VLOOKUP(M262,Material!$A$3:$B$58,2,FALSE)</f>
        <v>5000</v>
      </c>
      <c r="O262" s="79" t="s">
        <v>42</v>
      </c>
      <c r="P262" s="79" t="s">
        <v>43</v>
      </c>
      <c r="Q262" s="81">
        <f>+IF(O262="ACERO A36",VLOOKUP(P262,'Velocidades Std 1500 w'!$B$2:$F$15,5,FALSE),IF(O262="INOXIDABLE",VLOOKUP(P262,'Velocidades Std 1500 w'!$B$17:$F$28,5,FALSE),IF(O262="ALUMINIO",VLOOKUP(P262,'Velocidades Std 1500 w'!$B$30:$F$38,5,FALSE))))</f>
        <v>4.3859649122807014E-6</v>
      </c>
      <c r="R262" s="82">
        <f t="shared" si="357"/>
        <v>2.1929824561403508E-2</v>
      </c>
      <c r="S262" s="83">
        <f t="shared" si="358"/>
        <v>55.181633684210524</v>
      </c>
      <c r="T262" s="110">
        <f t="shared" si="359"/>
        <v>3494.8368</v>
      </c>
      <c r="U262" s="80">
        <f t="shared" si="360"/>
        <v>76.641157894736835</v>
      </c>
      <c r="V262" s="98">
        <v>20</v>
      </c>
      <c r="W262" s="84">
        <f>+IF(O262="ACERO A36",VLOOKUP(P262,'Tiempo Objeto'!$B$2:$C$12,2,FALSE),IF(O262="INOXIDABLE",VLOOKUP(P262,'Tiempo Objeto'!$B$14:$C$22,2,FALSE),IF(O262="ALUMINIO",VLOOKUP(P262,'Tiempo Objeto'!$B$24:$C$32,2,FALSE))))</f>
        <v>1.84</v>
      </c>
      <c r="X262" s="84">
        <f t="shared" si="361"/>
        <v>36.800000000000004</v>
      </c>
      <c r="Y262" s="80">
        <f t="shared" si="362"/>
        <v>51.111111111111121</v>
      </c>
      <c r="Z262" s="100">
        <v>6</v>
      </c>
      <c r="AA262" s="85">
        <f t="shared" si="363"/>
        <v>180</v>
      </c>
      <c r="AB262" s="86">
        <f>+Z262*Analisis!$J$6</f>
        <v>150</v>
      </c>
      <c r="AC262" s="100">
        <v>0</v>
      </c>
      <c r="AD262" s="85">
        <f t="shared" si="364"/>
        <v>0</v>
      </c>
      <c r="AE262" s="86">
        <f>+AD262*Analisis!$J$7</f>
        <v>0</v>
      </c>
      <c r="AF262" s="86">
        <f t="shared" si="365"/>
        <v>706.19750845029239</v>
      </c>
      <c r="AG262" s="126">
        <f>+AF262/(1-Analisis!$E$9)</f>
        <v>882.74688556286549</v>
      </c>
      <c r="AH262" s="128">
        <f t="shared" si="367"/>
        <v>0</v>
      </c>
    </row>
    <row r="263" spans="1:35" s="73" customFormat="1" x14ac:dyDescent="0.25">
      <c r="A263" s="100"/>
      <c r="B263" s="114" t="s">
        <v>451</v>
      </c>
      <c r="C263" s="138">
        <f>IFERROR(VLOOKUP(B263,'REQ GALV'!A:B,2,0),0)</f>
        <v>75</v>
      </c>
      <c r="D263" s="116">
        <f t="shared" si="366"/>
        <v>935.98319038742682</v>
      </c>
      <c r="E263" s="103" t="s">
        <v>41</v>
      </c>
      <c r="F263" s="75" t="s">
        <v>147</v>
      </c>
      <c r="G263" s="90">
        <v>17.63</v>
      </c>
      <c r="H263" s="90">
        <v>35.89</v>
      </c>
      <c r="I263" s="76">
        <v>0.105</v>
      </c>
      <c r="J263" s="77">
        <v>28.24</v>
      </c>
      <c r="K263" s="78">
        <f t="shared" si="356"/>
        <v>36.421924933113004</v>
      </c>
      <c r="L263" s="58">
        <f>+VLOOKUP(E263,Material!$H$2:$M$17,6,FALSE)*G263*H263*(1+Material!$K$14)</f>
        <v>467.52507277777784</v>
      </c>
      <c r="M263" s="79" t="str">
        <f>+Analisis!$J$5</f>
        <v>T5.0</v>
      </c>
      <c r="N263" s="80">
        <f>+VLOOKUP(M263,Material!$A$3:$B$58,2,FALSE)</f>
        <v>5000</v>
      </c>
      <c r="O263" s="79" t="s">
        <v>42</v>
      </c>
      <c r="P263" s="79" t="s">
        <v>43</v>
      </c>
      <c r="Q263" s="81">
        <f>+IF(O263="ACERO A36",VLOOKUP(P263,'Velocidades Std 1500 w'!$B$2:$F$15,5,FALSE),IF(O263="INOXIDABLE",VLOOKUP(P263,'Velocidades Std 1500 w'!$B$17:$F$28,5,FALSE),IF(O263="ALUMINIO",VLOOKUP(P263,'Velocidades Std 1500 w'!$B$30:$F$38,5,FALSE))))</f>
        <v>4.3859649122807014E-6</v>
      </c>
      <c r="R263" s="82">
        <f t="shared" si="357"/>
        <v>2.1929824561403508E-2</v>
      </c>
      <c r="S263" s="83">
        <f t="shared" si="358"/>
        <v>57.708265263157884</v>
      </c>
      <c r="T263" s="110">
        <f t="shared" si="359"/>
        <v>3654.8568</v>
      </c>
      <c r="U263" s="80">
        <f t="shared" si="360"/>
        <v>80.150368421052633</v>
      </c>
      <c r="V263" s="98">
        <v>20</v>
      </c>
      <c r="W263" s="84">
        <f>+IF(O263="ACERO A36",VLOOKUP(P263,'Tiempo Objeto'!$B$2:$C$12,2,FALSE),IF(O263="INOXIDABLE",VLOOKUP(P263,'Tiempo Objeto'!$B$14:$C$22,2,FALSE),IF(O263="ALUMINIO",VLOOKUP(P263,'Tiempo Objeto'!$B$24:$C$32,2,FALSE))))</f>
        <v>1.84</v>
      </c>
      <c r="X263" s="84">
        <f t="shared" si="361"/>
        <v>36.800000000000004</v>
      </c>
      <c r="Y263" s="80">
        <f t="shared" si="362"/>
        <v>51.111111111111121</v>
      </c>
      <c r="Z263" s="100">
        <v>6</v>
      </c>
      <c r="AA263" s="85">
        <f t="shared" si="363"/>
        <v>855</v>
      </c>
      <c r="AB263" s="86">
        <f>+Z263*Analisis!$J$6</f>
        <v>150</v>
      </c>
      <c r="AC263" s="100">
        <v>0</v>
      </c>
      <c r="AD263" s="85">
        <f t="shared" si="364"/>
        <v>0</v>
      </c>
      <c r="AE263" s="86">
        <f>+AD263*Analisis!$J$7</f>
        <v>0</v>
      </c>
      <c r="AF263" s="86">
        <f t="shared" si="365"/>
        <v>748.7865523099415</v>
      </c>
      <c r="AG263" s="126">
        <f>+AF263/(1-Analisis!$E$9)</f>
        <v>935.98319038742682</v>
      </c>
      <c r="AH263" s="128">
        <f t="shared" si="367"/>
        <v>70198.739279057016</v>
      </c>
      <c r="AI263" s="128">
        <f>+L263*C263</f>
        <v>35064.38045833334</v>
      </c>
    </row>
    <row r="264" spans="1:35" s="73" customFormat="1" x14ac:dyDescent="0.25">
      <c r="A264" s="100"/>
      <c r="B264" s="114" t="s">
        <v>452</v>
      </c>
      <c r="C264" s="74">
        <f>IFERROR(VLOOKUP(B264,'REQ GALV'!A:B,2,0),0)</f>
        <v>0</v>
      </c>
      <c r="D264" s="116">
        <f t="shared" si="366"/>
        <v>971.47406027046782</v>
      </c>
      <c r="E264" s="103" t="s">
        <v>41</v>
      </c>
      <c r="F264" s="75" t="s">
        <v>147</v>
      </c>
      <c r="G264" s="90">
        <v>17.63</v>
      </c>
      <c r="H264" s="90">
        <v>37.89</v>
      </c>
      <c r="I264" s="76">
        <v>0.105</v>
      </c>
      <c r="J264" s="77">
        <v>28.24</v>
      </c>
      <c r="K264" s="78">
        <f t="shared" si="356"/>
        <v>38.451566890934856</v>
      </c>
      <c r="L264" s="58">
        <f>+VLOOKUP(E264,Material!$H$2:$M$17,6,FALSE)*G264*H264*(1+Material!$K$14)</f>
        <v>493.57829500000003</v>
      </c>
      <c r="M264" s="79" t="str">
        <f>+Analisis!$J$5</f>
        <v>T5.0</v>
      </c>
      <c r="N264" s="80">
        <f>+VLOOKUP(M264,Material!$A$3:$B$58,2,FALSE)</f>
        <v>5000</v>
      </c>
      <c r="O264" s="79" t="s">
        <v>42</v>
      </c>
      <c r="P264" s="79" t="s">
        <v>43</v>
      </c>
      <c r="Q264" s="81">
        <f>+IF(O264="ACERO A36",VLOOKUP(P264,'Velocidades Std 1500 w'!$B$2:$F$15,5,FALSE),IF(O264="INOXIDABLE",VLOOKUP(P264,'Velocidades Std 1500 w'!$B$17:$F$28,5,FALSE),IF(O264="ALUMINIO",VLOOKUP(P264,'Velocidades Std 1500 w'!$B$30:$F$38,5,FALSE))))</f>
        <v>4.3859649122807014E-6</v>
      </c>
      <c r="R264" s="82">
        <f t="shared" si="357"/>
        <v>2.1929824561403508E-2</v>
      </c>
      <c r="S264" s="83">
        <f t="shared" si="358"/>
        <v>59.392686315789462</v>
      </c>
      <c r="T264" s="110">
        <f t="shared" si="359"/>
        <v>3761.5367999999999</v>
      </c>
      <c r="U264" s="80">
        <f t="shared" si="360"/>
        <v>82.489842105263151</v>
      </c>
      <c r="V264" s="98">
        <v>20</v>
      </c>
      <c r="W264" s="84">
        <f>+IF(O264="ACERO A36",VLOOKUP(P264,'Tiempo Objeto'!$B$2:$C$12,2,FALSE),IF(O264="INOXIDABLE",VLOOKUP(P264,'Tiempo Objeto'!$B$14:$C$22,2,FALSE),IF(O264="ALUMINIO",VLOOKUP(P264,'Tiempo Objeto'!$B$24:$C$32,2,FALSE))))</f>
        <v>1.84</v>
      </c>
      <c r="X264" s="84">
        <f t="shared" si="361"/>
        <v>36.800000000000004</v>
      </c>
      <c r="Y264" s="80">
        <f t="shared" si="362"/>
        <v>51.111111111111121</v>
      </c>
      <c r="Z264" s="100">
        <v>6</v>
      </c>
      <c r="AA264" s="85">
        <f t="shared" si="363"/>
        <v>180</v>
      </c>
      <c r="AB264" s="86">
        <f>+Z264*Analisis!$J$6</f>
        <v>150</v>
      </c>
      <c r="AC264" s="100">
        <v>0</v>
      </c>
      <c r="AD264" s="85">
        <f t="shared" si="364"/>
        <v>0</v>
      </c>
      <c r="AE264" s="86">
        <f>+AD264*Analisis!$J$7</f>
        <v>0</v>
      </c>
      <c r="AF264" s="86">
        <f t="shared" si="365"/>
        <v>777.17924821637428</v>
      </c>
      <c r="AG264" s="126">
        <f>+AF264/(1-Analisis!$E$9)</f>
        <v>971.47406027046782</v>
      </c>
      <c r="AH264" s="128">
        <f t="shared" si="367"/>
        <v>0</v>
      </c>
    </row>
    <row r="265" spans="1:35" s="73" customFormat="1" x14ac:dyDescent="0.25">
      <c r="A265" s="100"/>
      <c r="B265" s="114" t="s">
        <v>453</v>
      </c>
      <c r="C265" s="138">
        <f>IFERROR(VLOOKUP(B265,'REQ GALV'!A:B,2,0),0)</f>
        <v>30</v>
      </c>
      <c r="D265" s="116">
        <f t="shared" si="366"/>
        <v>1077.9466699195905</v>
      </c>
      <c r="E265" s="103" t="s">
        <v>41</v>
      </c>
      <c r="F265" s="75" t="s">
        <v>147</v>
      </c>
      <c r="G265" s="90">
        <v>17.63</v>
      </c>
      <c r="H265" s="90">
        <v>43.89</v>
      </c>
      <c r="I265" s="76">
        <v>0.105</v>
      </c>
      <c r="J265" s="77">
        <v>28.24</v>
      </c>
      <c r="K265" s="78">
        <f t="shared" si="356"/>
        <v>44.540492764400391</v>
      </c>
      <c r="L265" s="58">
        <f>+VLOOKUP(E265,Material!$H$2:$M$17,6,FALSE)*G265*H265*(1+Material!$K$14)</f>
        <v>571.73796166666671</v>
      </c>
      <c r="M265" s="79" t="str">
        <f>+Analisis!$J$5</f>
        <v>T5.0</v>
      </c>
      <c r="N265" s="80">
        <f>+VLOOKUP(M265,Material!$A$3:$B$58,2,FALSE)</f>
        <v>5000</v>
      </c>
      <c r="O265" s="79" t="s">
        <v>42</v>
      </c>
      <c r="P265" s="79" t="s">
        <v>43</v>
      </c>
      <c r="Q265" s="81">
        <f>+IF(O265="ACERO A36",VLOOKUP(P265,'Velocidades Std 1500 w'!$B$2:$F$15,5,FALSE),IF(O265="INOXIDABLE",VLOOKUP(P265,'Velocidades Std 1500 w'!$B$17:$F$28,5,FALSE),IF(O265="ALUMINIO",VLOOKUP(P265,'Velocidades Std 1500 w'!$B$30:$F$38,5,FALSE))))</f>
        <v>4.3859649122807014E-6</v>
      </c>
      <c r="R265" s="82">
        <f t="shared" si="357"/>
        <v>2.1929824561403508E-2</v>
      </c>
      <c r="S265" s="83">
        <f t="shared" si="358"/>
        <v>64.445949473684195</v>
      </c>
      <c r="T265" s="110">
        <f t="shared" si="359"/>
        <v>4081.5767999999994</v>
      </c>
      <c r="U265" s="80">
        <f t="shared" si="360"/>
        <v>89.508263157894717</v>
      </c>
      <c r="V265" s="98">
        <v>20</v>
      </c>
      <c r="W265" s="84">
        <f>+IF(O265="ACERO A36",VLOOKUP(P265,'Tiempo Objeto'!$B$2:$C$12,2,FALSE),IF(O265="INOXIDABLE",VLOOKUP(P265,'Tiempo Objeto'!$B$14:$C$22,2,FALSE),IF(O265="ALUMINIO",VLOOKUP(P265,'Tiempo Objeto'!$B$24:$C$32,2,FALSE))))</f>
        <v>1.84</v>
      </c>
      <c r="X265" s="84">
        <f t="shared" si="361"/>
        <v>36.800000000000004</v>
      </c>
      <c r="Y265" s="80">
        <f t="shared" si="362"/>
        <v>51.111111111111121</v>
      </c>
      <c r="Z265" s="100">
        <v>6</v>
      </c>
      <c r="AA265" s="85">
        <f t="shared" si="363"/>
        <v>450</v>
      </c>
      <c r="AB265" s="86">
        <f>+Z265*Analisis!$J$6</f>
        <v>150</v>
      </c>
      <c r="AC265" s="100">
        <v>0</v>
      </c>
      <c r="AD265" s="85">
        <f t="shared" si="364"/>
        <v>0</v>
      </c>
      <c r="AE265" s="86">
        <f>+AD265*Analisis!$J$7</f>
        <v>0</v>
      </c>
      <c r="AF265" s="86">
        <f t="shared" si="365"/>
        <v>862.35733593567249</v>
      </c>
      <c r="AG265" s="126">
        <f>+AF265/(1-Analisis!$E$9)</f>
        <v>1077.9466699195905</v>
      </c>
      <c r="AH265" s="128">
        <f t="shared" si="367"/>
        <v>32338.400097587713</v>
      </c>
      <c r="AI265" s="128">
        <f>+L265*C265</f>
        <v>17152.138850000003</v>
      </c>
    </row>
    <row r="266" spans="1:35" s="73" customFormat="1" x14ac:dyDescent="0.25">
      <c r="A266" s="100"/>
      <c r="B266" s="114" t="s">
        <v>454</v>
      </c>
      <c r="C266" s="74">
        <f>IFERROR(VLOOKUP(B266,'REQ GALV'!A:B,2,0),0)</f>
        <v>0</v>
      </c>
      <c r="D266" s="116">
        <f t="shared" si="366"/>
        <v>1113.4375398026316</v>
      </c>
      <c r="E266" s="103" t="s">
        <v>41</v>
      </c>
      <c r="F266" s="75" t="s">
        <v>147</v>
      </c>
      <c r="G266" s="90">
        <v>17.63</v>
      </c>
      <c r="H266" s="90">
        <v>45.89</v>
      </c>
      <c r="I266" s="76">
        <v>0.105</v>
      </c>
      <c r="J266" s="77">
        <v>28.24</v>
      </c>
      <c r="K266" s="78">
        <f t="shared" si="356"/>
        <v>46.570134722222228</v>
      </c>
      <c r="L266" s="58">
        <f>+VLOOKUP(E266,Material!$H$2:$M$17,6,FALSE)*G266*H266*(1+Material!$K$14)</f>
        <v>597.7911838888889</v>
      </c>
      <c r="M266" s="79" t="str">
        <f>+Analisis!$J$5</f>
        <v>T5.0</v>
      </c>
      <c r="N266" s="80">
        <f>+VLOOKUP(M266,Material!$A$3:$B$58,2,FALSE)</f>
        <v>5000</v>
      </c>
      <c r="O266" s="79" t="s">
        <v>42</v>
      </c>
      <c r="P266" s="79" t="s">
        <v>43</v>
      </c>
      <c r="Q266" s="81">
        <f>+IF(O266="ACERO A36",VLOOKUP(P266,'Velocidades Std 1500 w'!$B$2:$F$15,5,FALSE),IF(O266="INOXIDABLE",VLOOKUP(P266,'Velocidades Std 1500 w'!$B$17:$F$28,5,FALSE),IF(O266="ALUMINIO",VLOOKUP(P266,'Velocidades Std 1500 w'!$B$30:$F$38,5,FALSE))))</f>
        <v>4.3859649122807014E-6</v>
      </c>
      <c r="R266" s="82">
        <f t="shared" si="357"/>
        <v>2.1929824561403508E-2</v>
      </c>
      <c r="S266" s="83">
        <f t="shared" si="358"/>
        <v>66.130370526315772</v>
      </c>
      <c r="T266" s="110">
        <f t="shared" si="359"/>
        <v>4188.2567999999992</v>
      </c>
      <c r="U266" s="80">
        <f t="shared" si="360"/>
        <v>91.847736842105235</v>
      </c>
      <c r="V266" s="98">
        <v>20</v>
      </c>
      <c r="W266" s="84">
        <f>+IF(O266="ACERO A36",VLOOKUP(P266,'Tiempo Objeto'!$B$2:$C$12,2,FALSE),IF(O266="INOXIDABLE",VLOOKUP(P266,'Tiempo Objeto'!$B$14:$C$22,2,FALSE),IF(O266="ALUMINIO",VLOOKUP(P266,'Tiempo Objeto'!$B$24:$C$32,2,FALSE))))</f>
        <v>1.84</v>
      </c>
      <c r="X266" s="84">
        <f t="shared" si="361"/>
        <v>36.800000000000004</v>
      </c>
      <c r="Y266" s="80">
        <f t="shared" si="362"/>
        <v>51.111111111111121</v>
      </c>
      <c r="Z266" s="100">
        <v>6</v>
      </c>
      <c r="AA266" s="85">
        <f t="shared" si="363"/>
        <v>180</v>
      </c>
      <c r="AB266" s="86">
        <f>+Z266*Analisis!$J$6</f>
        <v>150</v>
      </c>
      <c r="AC266" s="100">
        <v>0</v>
      </c>
      <c r="AD266" s="85">
        <f t="shared" si="364"/>
        <v>0</v>
      </c>
      <c r="AE266" s="86">
        <f>+AD266*Analisis!$J$7</f>
        <v>0</v>
      </c>
      <c r="AF266" s="86">
        <f t="shared" si="365"/>
        <v>890.75003184210527</v>
      </c>
      <c r="AG266" s="126">
        <f>+AF266/(1-Analisis!$E$9)</f>
        <v>1113.4375398026316</v>
      </c>
      <c r="AH266" s="128">
        <f t="shared" si="367"/>
        <v>0</v>
      </c>
    </row>
    <row r="267" spans="1:35" s="73" customFormat="1" x14ac:dyDescent="0.25">
      <c r="A267" s="100"/>
      <c r="B267" s="114" t="s">
        <v>455</v>
      </c>
      <c r="C267" s="74">
        <f>IFERROR(VLOOKUP(B267,'REQ GALV'!A:B,2,0),0)</f>
        <v>0</v>
      </c>
      <c r="D267" s="116">
        <f t="shared" si="366"/>
        <v>1184.4192795687134</v>
      </c>
      <c r="E267" s="103" t="s">
        <v>41</v>
      </c>
      <c r="F267" s="75" t="s">
        <v>147</v>
      </c>
      <c r="G267" s="90">
        <v>17.63</v>
      </c>
      <c r="H267" s="90">
        <v>49.89</v>
      </c>
      <c r="I267" s="76">
        <v>0.105</v>
      </c>
      <c r="J267" s="77">
        <v>28.24</v>
      </c>
      <c r="K267" s="78">
        <f t="shared" si="356"/>
        <v>50.629418637865925</v>
      </c>
      <c r="L267" s="58">
        <f>+VLOOKUP(E267,Material!$H$2:$M$17,6,FALSE)*G267*H267*(1+Material!$K$14)</f>
        <v>649.89762833333339</v>
      </c>
      <c r="M267" s="79" t="str">
        <f>+Analisis!$J$5</f>
        <v>T5.0</v>
      </c>
      <c r="N267" s="80">
        <f>+VLOOKUP(M267,Material!$A$3:$B$58,2,FALSE)</f>
        <v>5000</v>
      </c>
      <c r="O267" s="79" t="s">
        <v>42</v>
      </c>
      <c r="P267" s="79" t="s">
        <v>43</v>
      </c>
      <c r="Q267" s="81">
        <f>+IF(O267="ACERO A36",VLOOKUP(P267,'Velocidades Std 1500 w'!$B$2:$F$15,5,FALSE),IF(O267="INOXIDABLE",VLOOKUP(P267,'Velocidades Std 1500 w'!$B$17:$F$28,5,FALSE),IF(O267="ALUMINIO",VLOOKUP(P267,'Velocidades Std 1500 w'!$B$30:$F$38,5,FALSE))))</f>
        <v>4.3859649122807014E-6</v>
      </c>
      <c r="R267" s="82">
        <f t="shared" si="357"/>
        <v>2.1929824561403508E-2</v>
      </c>
      <c r="S267" s="83">
        <f t="shared" si="358"/>
        <v>69.499212631578942</v>
      </c>
      <c r="T267" s="110">
        <f t="shared" si="359"/>
        <v>4401.6167999999998</v>
      </c>
      <c r="U267" s="80">
        <f t="shared" si="360"/>
        <v>96.526684210526312</v>
      </c>
      <c r="V267" s="98">
        <v>20</v>
      </c>
      <c r="W267" s="84">
        <f>+IF(O267="ACERO A36",VLOOKUP(P267,'Tiempo Objeto'!$B$2:$C$12,2,FALSE),IF(O267="INOXIDABLE",VLOOKUP(P267,'Tiempo Objeto'!$B$14:$C$22,2,FALSE),IF(O267="ALUMINIO",VLOOKUP(P267,'Tiempo Objeto'!$B$24:$C$32,2,FALSE))))</f>
        <v>1.84</v>
      </c>
      <c r="X267" s="84">
        <f t="shared" si="361"/>
        <v>36.800000000000004</v>
      </c>
      <c r="Y267" s="80">
        <f t="shared" si="362"/>
        <v>51.111111111111121</v>
      </c>
      <c r="Z267" s="100">
        <v>6</v>
      </c>
      <c r="AA267" s="85">
        <f t="shared" si="363"/>
        <v>180</v>
      </c>
      <c r="AB267" s="86">
        <f>+Z267*Analisis!$J$6</f>
        <v>150</v>
      </c>
      <c r="AC267" s="100">
        <v>0</v>
      </c>
      <c r="AD267" s="85">
        <f t="shared" si="364"/>
        <v>0</v>
      </c>
      <c r="AE267" s="86">
        <f>+AD267*Analisis!$J$7</f>
        <v>0</v>
      </c>
      <c r="AF267" s="86">
        <f t="shared" si="365"/>
        <v>947.53542365497083</v>
      </c>
      <c r="AG267" s="126">
        <f>+AF267/(1-Analisis!$E$9)</f>
        <v>1184.4192795687134</v>
      </c>
      <c r="AH267" s="128">
        <f t="shared" si="367"/>
        <v>0</v>
      </c>
    </row>
    <row r="268" spans="1:35" s="73" customFormat="1" x14ac:dyDescent="0.25">
      <c r="A268" s="100"/>
      <c r="B268" s="114" t="s">
        <v>456</v>
      </c>
      <c r="C268" s="74">
        <f>IFERROR(VLOOKUP(B268,'REQ GALV'!A:B,2,0),0)</f>
        <v>0</v>
      </c>
      <c r="D268" s="116">
        <f t="shared" si="366"/>
        <v>1290.8918892178363</v>
      </c>
      <c r="E268" s="103" t="s">
        <v>41</v>
      </c>
      <c r="F268" s="75" t="s">
        <v>147</v>
      </c>
      <c r="G268" s="90">
        <v>17.63</v>
      </c>
      <c r="H268" s="90">
        <v>55.89</v>
      </c>
      <c r="I268" s="76">
        <v>0.105</v>
      </c>
      <c r="J268" s="77">
        <v>28.24</v>
      </c>
      <c r="K268" s="78">
        <f t="shared" si="356"/>
        <v>56.718344511331459</v>
      </c>
      <c r="L268" s="58">
        <f>+VLOOKUP(E268,Material!$H$2:$M$17,6,FALSE)*G268*H268*(1+Material!$K$14)</f>
        <v>728.05729500000007</v>
      </c>
      <c r="M268" s="79" t="str">
        <f>+Analisis!$J$5</f>
        <v>T5.0</v>
      </c>
      <c r="N268" s="80">
        <f>+VLOOKUP(M268,Material!$A$3:$B$58,2,FALSE)</f>
        <v>5000</v>
      </c>
      <c r="O268" s="79" t="s">
        <v>42</v>
      </c>
      <c r="P268" s="79" t="s">
        <v>43</v>
      </c>
      <c r="Q268" s="81">
        <f>+IF(O268="ACERO A36",VLOOKUP(P268,'Velocidades Std 1500 w'!$B$2:$F$15,5,FALSE),IF(O268="INOXIDABLE",VLOOKUP(P268,'Velocidades Std 1500 w'!$B$17:$F$28,5,FALSE),IF(O268="ALUMINIO",VLOOKUP(P268,'Velocidades Std 1500 w'!$B$30:$F$38,5,FALSE))))</f>
        <v>4.3859649122807014E-6</v>
      </c>
      <c r="R268" s="82">
        <f t="shared" si="357"/>
        <v>2.1929824561403508E-2</v>
      </c>
      <c r="S268" s="83">
        <f t="shared" si="358"/>
        <v>74.552475789473675</v>
      </c>
      <c r="T268" s="110">
        <f t="shared" si="359"/>
        <v>4721.6567999999997</v>
      </c>
      <c r="U268" s="80">
        <f t="shared" si="360"/>
        <v>103.54510526315788</v>
      </c>
      <c r="V268" s="98">
        <v>20</v>
      </c>
      <c r="W268" s="84">
        <f>+IF(O268="ACERO A36",VLOOKUP(P268,'Tiempo Objeto'!$B$2:$C$12,2,FALSE),IF(O268="INOXIDABLE",VLOOKUP(P268,'Tiempo Objeto'!$B$14:$C$22,2,FALSE),IF(O268="ALUMINIO",VLOOKUP(P268,'Tiempo Objeto'!$B$24:$C$32,2,FALSE))))</f>
        <v>1.84</v>
      </c>
      <c r="X268" s="84">
        <f t="shared" si="361"/>
        <v>36.800000000000004</v>
      </c>
      <c r="Y268" s="80">
        <f t="shared" si="362"/>
        <v>51.111111111111121</v>
      </c>
      <c r="Z268" s="100">
        <v>6</v>
      </c>
      <c r="AA268" s="85">
        <f t="shared" si="363"/>
        <v>180</v>
      </c>
      <c r="AB268" s="86">
        <f>+Z268*Analisis!$J$6</f>
        <v>150</v>
      </c>
      <c r="AC268" s="100">
        <v>0</v>
      </c>
      <c r="AD268" s="85">
        <f t="shared" si="364"/>
        <v>0</v>
      </c>
      <c r="AE268" s="86">
        <f>+AD268*Analisis!$J$7</f>
        <v>0</v>
      </c>
      <c r="AF268" s="86">
        <f t="shared" si="365"/>
        <v>1032.713511374269</v>
      </c>
      <c r="AG268" s="126">
        <f>+AF268/(1-Analisis!$E$9)</f>
        <v>1290.8918892178363</v>
      </c>
      <c r="AH268" s="128">
        <f t="shared" si="367"/>
        <v>0</v>
      </c>
    </row>
    <row r="269" spans="1:35" s="73" customFormat="1" x14ac:dyDescent="0.25">
      <c r="A269" s="100"/>
      <c r="B269" s="114" t="s">
        <v>457</v>
      </c>
      <c r="C269" s="138">
        <f>IFERROR(VLOOKUP(B269,'REQ GALV'!A:B,2,0),0)</f>
        <v>45</v>
      </c>
      <c r="D269" s="116">
        <f t="shared" si="366"/>
        <v>705.29253614766083</v>
      </c>
      <c r="E269" s="103" t="s">
        <v>41</v>
      </c>
      <c r="F269" s="75" t="s">
        <v>147</v>
      </c>
      <c r="G269" s="90">
        <v>17.63</v>
      </c>
      <c r="H269" s="90">
        <v>22.89</v>
      </c>
      <c r="I269" s="76">
        <v>0.105</v>
      </c>
      <c r="J269" s="77">
        <v>28.24</v>
      </c>
      <c r="K269" s="78">
        <f t="shared" ref="K269:K271" si="368">+L269*2.2/J269</f>
        <v>23.229252207271017</v>
      </c>
      <c r="L269" s="58">
        <f>+VLOOKUP(E269,Material!$H$2:$M$17,6,FALSE)*G269*H269*(1+Material!$K$14)</f>
        <v>298.17912833333338</v>
      </c>
      <c r="M269" s="79" t="str">
        <f>+Analisis!$J$5</f>
        <v>T5.0</v>
      </c>
      <c r="N269" s="80">
        <f>+VLOOKUP(M269,Material!$A$3:$B$58,2,FALSE)</f>
        <v>5000</v>
      </c>
      <c r="O269" s="79" t="s">
        <v>42</v>
      </c>
      <c r="P269" s="79" t="s">
        <v>43</v>
      </c>
      <c r="Q269" s="81">
        <f>+IF(O269="ACERO A36",VLOOKUP(P269,'Velocidades Std 1500 w'!$B$2:$F$15,5,FALSE),IF(O269="INOXIDABLE",VLOOKUP(P269,'Velocidades Std 1500 w'!$B$17:$F$28,5,FALSE),IF(O269="ALUMINIO",VLOOKUP(P269,'Velocidades Std 1500 w'!$B$30:$F$38,5,FALSE))))</f>
        <v>4.3859649122807014E-6</v>
      </c>
      <c r="R269" s="82">
        <f t="shared" ref="R269:R271" si="369">+Q269*N269</f>
        <v>2.1929824561403508E-2</v>
      </c>
      <c r="S269" s="83">
        <f t="shared" ref="S269:S271" si="370">+Q269*T269*3600</f>
        <v>46.759528421052622</v>
      </c>
      <c r="T269" s="110">
        <f t="shared" ref="T269:T271" si="371">(+H269*2+G269*2+V269*1.5)*25.4*1.05</f>
        <v>2961.4367999999999</v>
      </c>
      <c r="U269" s="80">
        <f t="shared" ref="U269:U271" si="372">+T269*R269</f>
        <v>64.943789473684205</v>
      </c>
      <c r="V269" s="98">
        <v>20</v>
      </c>
      <c r="W269" s="84">
        <f>+IF(O269="ACERO A36",VLOOKUP(P269,'Tiempo Objeto'!$B$2:$C$12,2,FALSE),IF(O269="INOXIDABLE",VLOOKUP(P269,'Tiempo Objeto'!$B$14:$C$22,2,FALSE),IF(O269="ALUMINIO",VLOOKUP(P269,'Tiempo Objeto'!$B$24:$C$32,2,FALSE))))</f>
        <v>1.84</v>
      </c>
      <c r="X269" s="84">
        <f t="shared" ref="X269:X271" si="373">+W269*V269</f>
        <v>36.800000000000004</v>
      </c>
      <c r="Y269" s="80">
        <f t="shared" ref="Y269:Y271" si="374">+X269*N269/3600</f>
        <v>51.111111111111121</v>
      </c>
      <c r="Z269" s="100">
        <v>6</v>
      </c>
      <c r="AA269" s="85">
        <f t="shared" ref="AA269:AA271" si="375">30*Z269+Z269*$C269*1.5</f>
        <v>585</v>
      </c>
      <c r="AB269" s="86">
        <f>+Z269*Analisis!$J$6</f>
        <v>150</v>
      </c>
      <c r="AC269" s="100">
        <v>0</v>
      </c>
      <c r="AD269" s="85">
        <f t="shared" ref="AD269:AD271" si="376">30*AC269+AC269*$C269*1.5</f>
        <v>0</v>
      </c>
      <c r="AE269" s="86">
        <f>+AD269*Analisis!$J$7</f>
        <v>0</v>
      </c>
      <c r="AF269" s="86">
        <f t="shared" si="365"/>
        <v>564.23402891812873</v>
      </c>
      <c r="AG269" s="126">
        <f>+AF269/(1-Analisis!$E$9)</f>
        <v>705.29253614766083</v>
      </c>
      <c r="AH269" s="128">
        <f t="shared" si="367"/>
        <v>31738.164126644737</v>
      </c>
      <c r="AI269" s="128">
        <f>+L269*C269</f>
        <v>13418.060775000002</v>
      </c>
    </row>
    <row r="270" spans="1:35" s="73" customFormat="1" x14ac:dyDescent="0.25">
      <c r="A270" s="100"/>
      <c r="B270" s="114" t="s">
        <v>458</v>
      </c>
      <c r="C270" s="74">
        <f>IFERROR(VLOOKUP(B270,'REQ GALV'!A:B,2,0),0)</f>
        <v>0</v>
      </c>
      <c r="D270" s="116">
        <f t="shared" si="366"/>
        <v>931.32883000730976</v>
      </c>
      <c r="E270" s="103" t="s">
        <v>41</v>
      </c>
      <c r="F270" s="75" t="s">
        <v>147</v>
      </c>
      <c r="G270" s="90">
        <v>27.63</v>
      </c>
      <c r="H270" s="90">
        <v>22.89</v>
      </c>
      <c r="I270" s="76">
        <v>0.105</v>
      </c>
      <c r="J270" s="77">
        <v>28.24</v>
      </c>
      <c r="K270" s="78">
        <f t="shared" si="368"/>
        <v>36.405231905099157</v>
      </c>
      <c r="L270" s="58">
        <f>+VLOOKUP(E270,Material!$H$2:$M$17,6,FALSE)*G270*H270*(1+Material!$K$14)</f>
        <v>467.31079499999998</v>
      </c>
      <c r="M270" s="79" t="str">
        <f>+Analisis!$J$5</f>
        <v>T5.0</v>
      </c>
      <c r="N270" s="80">
        <f>+VLOOKUP(M270,Material!$A$3:$B$58,2,FALSE)</f>
        <v>5000</v>
      </c>
      <c r="O270" s="79" t="s">
        <v>42</v>
      </c>
      <c r="P270" s="79" t="s">
        <v>43</v>
      </c>
      <c r="Q270" s="81">
        <f>+IF(O270="ACERO A36",VLOOKUP(P270,'Velocidades Std 1500 w'!$B$2:$F$15,5,FALSE),IF(O270="INOXIDABLE",VLOOKUP(P270,'Velocidades Std 1500 w'!$B$17:$F$28,5,FALSE),IF(O270="ALUMINIO",VLOOKUP(P270,'Velocidades Std 1500 w'!$B$30:$F$38,5,FALSE))))</f>
        <v>4.3859649122807014E-6</v>
      </c>
      <c r="R270" s="82">
        <f t="shared" si="369"/>
        <v>2.1929824561403508E-2</v>
      </c>
      <c r="S270" s="83">
        <f t="shared" si="370"/>
        <v>55.181633684210524</v>
      </c>
      <c r="T270" s="110">
        <f t="shared" si="371"/>
        <v>3494.8368</v>
      </c>
      <c r="U270" s="80">
        <f t="shared" si="372"/>
        <v>76.641157894736835</v>
      </c>
      <c r="V270" s="98">
        <v>20</v>
      </c>
      <c r="W270" s="84">
        <f>+IF(O270="ACERO A36",VLOOKUP(P270,'Tiempo Objeto'!$B$2:$C$12,2,FALSE),IF(O270="INOXIDABLE",VLOOKUP(P270,'Tiempo Objeto'!$B$14:$C$22,2,FALSE),IF(O270="ALUMINIO",VLOOKUP(P270,'Tiempo Objeto'!$B$24:$C$32,2,FALSE))))</f>
        <v>1.84</v>
      </c>
      <c r="X270" s="84">
        <f t="shared" si="373"/>
        <v>36.800000000000004</v>
      </c>
      <c r="Y270" s="80">
        <f t="shared" si="374"/>
        <v>51.111111111111121</v>
      </c>
      <c r="Z270" s="100">
        <v>6</v>
      </c>
      <c r="AA270" s="85">
        <f t="shared" si="375"/>
        <v>180</v>
      </c>
      <c r="AB270" s="86">
        <f>+Z270*Analisis!$J$6</f>
        <v>150</v>
      </c>
      <c r="AC270" s="100">
        <v>0</v>
      </c>
      <c r="AD270" s="85">
        <f t="shared" si="376"/>
        <v>0</v>
      </c>
      <c r="AE270" s="86">
        <f>+AD270*Analisis!$J$7</f>
        <v>0</v>
      </c>
      <c r="AF270" s="86">
        <f t="shared" si="365"/>
        <v>745.06306400584788</v>
      </c>
      <c r="AG270" s="126">
        <f>+AF270/(1-Analisis!$E$9)</f>
        <v>931.32883000730976</v>
      </c>
      <c r="AH270" s="128">
        <f t="shared" si="367"/>
        <v>0</v>
      </c>
    </row>
    <row r="271" spans="1:35" s="73" customFormat="1" x14ac:dyDescent="0.25">
      <c r="A271" s="100"/>
      <c r="B271" s="114" t="s">
        <v>459</v>
      </c>
      <c r="C271" s="138">
        <f>IFERROR(VLOOKUP(B271,'REQ GALV'!A:B,2,0),0)</f>
        <v>60</v>
      </c>
      <c r="D271" s="116">
        <f t="shared" si="366"/>
        <v>94.046248172514623</v>
      </c>
      <c r="E271" s="103" t="s">
        <v>41</v>
      </c>
      <c r="F271" s="75" t="s">
        <v>147</v>
      </c>
      <c r="G271" s="90">
        <v>5.09</v>
      </c>
      <c r="H271" s="90">
        <v>5.5</v>
      </c>
      <c r="I271" s="76">
        <v>0.105</v>
      </c>
      <c r="J271" s="77">
        <v>28.24</v>
      </c>
      <c r="K271" s="78">
        <f t="shared" si="368"/>
        <v>1.6114528249921316</v>
      </c>
      <c r="L271" s="58">
        <f>+VLOOKUP(E271,Material!$H$2:$M$17,6,FALSE)*G271*H271*(1+Material!$K$14)</f>
        <v>20.685194444444448</v>
      </c>
      <c r="M271" s="79" t="str">
        <f>+Analisis!$J$5</f>
        <v>T5.0</v>
      </c>
      <c r="N271" s="80">
        <f>+VLOOKUP(M271,Material!$A$3:$B$58,2,FALSE)</f>
        <v>5000</v>
      </c>
      <c r="O271" s="79" t="s">
        <v>42</v>
      </c>
      <c r="P271" s="79" t="s">
        <v>43</v>
      </c>
      <c r="Q271" s="81">
        <f>+IF(O271="ACERO A36",VLOOKUP(P271,'Velocidades Std 1500 w'!$B$2:$F$15,5,FALSE),IF(O271="INOXIDABLE",VLOOKUP(P271,'Velocidades Std 1500 w'!$B$17:$F$28,5,FALSE),IF(O271="ALUMINIO",VLOOKUP(P271,'Velocidades Std 1500 w'!$B$30:$F$38,5,FALSE))))</f>
        <v>4.3859649122807014E-6</v>
      </c>
      <c r="R271" s="82">
        <f t="shared" si="369"/>
        <v>2.1929824561403508E-2</v>
      </c>
      <c r="S271" s="83">
        <f t="shared" si="370"/>
        <v>12.077298947368421</v>
      </c>
      <c r="T271" s="110">
        <f t="shared" si="371"/>
        <v>764.89560000000006</v>
      </c>
      <c r="U271" s="80">
        <f t="shared" si="372"/>
        <v>16.774026315789474</v>
      </c>
      <c r="V271" s="98">
        <v>5</v>
      </c>
      <c r="W271" s="84">
        <f>+IF(O271="ACERO A36",VLOOKUP(P271,'Tiempo Objeto'!$B$2:$C$12,2,FALSE),IF(O271="INOXIDABLE",VLOOKUP(P271,'Tiempo Objeto'!$B$14:$C$22,2,FALSE),IF(O271="ALUMINIO",VLOOKUP(P271,'Tiempo Objeto'!$B$24:$C$32,2,FALSE))))</f>
        <v>1.84</v>
      </c>
      <c r="X271" s="84">
        <f t="shared" si="373"/>
        <v>9.2000000000000011</v>
      </c>
      <c r="Y271" s="80">
        <f t="shared" si="374"/>
        <v>12.77777777777778</v>
      </c>
      <c r="Z271" s="100">
        <v>1</v>
      </c>
      <c r="AA271" s="85">
        <f t="shared" si="375"/>
        <v>120</v>
      </c>
      <c r="AB271" s="86">
        <f>+Z271*Analisis!$J$6</f>
        <v>25</v>
      </c>
      <c r="AC271" s="100">
        <v>0</v>
      </c>
      <c r="AD271" s="85">
        <f t="shared" si="376"/>
        <v>0</v>
      </c>
      <c r="AE271" s="86">
        <f>+AD271*Analisis!$J$7</f>
        <v>0</v>
      </c>
      <c r="AF271" s="86">
        <f t="shared" si="365"/>
        <v>75.236998538011704</v>
      </c>
      <c r="AG271" s="126">
        <f>+AF271/(1-Analisis!$E$9)</f>
        <v>94.046248172514623</v>
      </c>
      <c r="AH271" s="128">
        <f t="shared" si="367"/>
        <v>5642.7748903508773</v>
      </c>
      <c r="AI271" s="128">
        <f>+L271*C271</f>
        <v>1241.1116666666669</v>
      </c>
    </row>
    <row r="272" spans="1:35" s="73" customFormat="1" x14ac:dyDescent="0.25">
      <c r="A272" s="100"/>
      <c r="B272" s="114" t="s">
        <v>342</v>
      </c>
      <c r="C272" s="74">
        <f>IFERROR(VLOOKUP(B272,'REQ GALV'!A:B,2,0),0)</f>
        <v>0</v>
      </c>
      <c r="D272" s="116">
        <f t="shared" si="366"/>
        <v>101.56958516081872</v>
      </c>
      <c r="E272" s="103" t="s">
        <v>41</v>
      </c>
      <c r="F272" s="75" t="s">
        <v>147</v>
      </c>
      <c r="G272" s="90">
        <v>6.24</v>
      </c>
      <c r="H272" s="90">
        <v>5.5</v>
      </c>
      <c r="I272" s="76">
        <v>0.105</v>
      </c>
      <c r="J272" s="77">
        <v>28.24</v>
      </c>
      <c r="K272" s="78">
        <f t="shared" si="256"/>
        <v>1.9755335221907464</v>
      </c>
      <c r="L272" s="58">
        <f>+VLOOKUP(E272,Material!$H$2:$M$17,6,FALSE)*G272*H272*(1+Material!$K$14)</f>
        <v>25.358666666666668</v>
      </c>
      <c r="M272" s="79" t="str">
        <f>+Analisis!$J$5</f>
        <v>T5.0</v>
      </c>
      <c r="N272" s="80">
        <f>+VLOOKUP(M272,Material!$A$3:$B$58,2,FALSE)</f>
        <v>5000</v>
      </c>
      <c r="O272" s="79" t="s">
        <v>42</v>
      </c>
      <c r="P272" s="79" t="s">
        <v>43</v>
      </c>
      <c r="Q272" s="81">
        <f>+IF(O272="ACERO A36",VLOOKUP(P272,'Velocidades Std 1500 w'!$B$2:$F$15,5,FALSE),IF(O272="INOXIDABLE",VLOOKUP(P272,'Velocidades Std 1500 w'!$B$17:$F$28,5,FALSE),IF(O272="ALUMINIO",VLOOKUP(P272,'Velocidades Std 1500 w'!$B$30:$F$38,5,FALSE))))</f>
        <v>4.3859649122807014E-6</v>
      </c>
      <c r="R272" s="82">
        <f t="shared" si="257"/>
        <v>2.1929824561403508E-2</v>
      </c>
      <c r="S272" s="83">
        <f t="shared" si="258"/>
        <v>13.045841052631578</v>
      </c>
      <c r="T272" s="110">
        <f t="shared" si="259"/>
        <v>826.23659999999995</v>
      </c>
      <c r="U272" s="80">
        <f t="shared" si="260"/>
        <v>18.119223684210525</v>
      </c>
      <c r="V272" s="98">
        <v>5</v>
      </c>
      <c r="W272" s="84">
        <f>+IF(O272="ACERO A36",VLOOKUP(P272,'Tiempo Objeto'!$B$2:$C$12,2,FALSE),IF(O272="INOXIDABLE",VLOOKUP(P272,'Tiempo Objeto'!$B$14:$C$22,2,FALSE),IF(O272="ALUMINIO",VLOOKUP(P272,'Tiempo Objeto'!$B$24:$C$32,2,FALSE))))</f>
        <v>1.84</v>
      </c>
      <c r="X272" s="84">
        <f t="shared" si="261"/>
        <v>9.2000000000000011</v>
      </c>
      <c r="Y272" s="80">
        <f t="shared" si="262"/>
        <v>12.77777777777778</v>
      </c>
      <c r="Z272" s="100">
        <v>1</v>
      </c>
      <c r="AA272" s="85">
        <f t="shared" si="263"/>
        <v>30</v>
      </c>
      <c r="AB272" s="86">
        <f>+Z272*Analisis!$J$6</f>
        <v>25</v>
      </c>
      <c r="AC272" s="100">
        <v>0</v>
      </c>
      <c r="AD272" s="85">
        <f t="shared" si="264"/>
        <v>0</v>
      </c>
      <c r="AE272" s="86">
        <f>+AD272*Analisis!$J$7</f>
        <v>0</v>
      </c>
      <c r="AF272" s="86">
        <f t="shared" si="365"/>
        <v>81.255668128654975</v>
      </c>
      <c r="AG272" s="126">
        <f>+AF272/(1-Analisis!$E$9)</f>
        <v>101.56958516081872</v>
      </c>
      <c r="AH272" s="128">
        <f t="shared" si="367"/>
        <v>0</v>
      </c>
    </row>
    <row r="273" spans="1:34" s="73" customFormat="1" x14ac:dyDescent="0.25">
      <c r="A273" s="100"/>
      <c r="B273" s="114" t="s">
        <v>460</v>
      </c>
      <c r="C273" s="74">
        <f>IFERROR(VLOOKUP(B273,'REQ GALV'!A:B,2,0),0)</f>
        <v>0</v>
      </c>
      <c r="D273" s="116">
        <f t="shared" si="366"/>
        <v>84.698088450292389</v>
      </c>
      <c r="E273" s="103" t="s">
        <v>41</v>
      </c>
      <c r="F273" s="75" t="s">
        <v>147</v>
      </c>
      <c r="G273" s="90">
        <v>5.07</v>
      </c>
      <c r="H273" s="90">
        <v>4</v>
      </c>
      <c r="I273" s="76">
        <v>0.105</v>
      </c>
      <c r="J273" s="77">
        <v>28.24</v>
      </c>
      <c r="K273" s="78">
        <f t="shared" si="256"/>
        <v>1.1673607176581684</v>
      </c>
      <c r="L273" s="58">
        <f>+VLOOKUP(E273,Material!$H$2:$M$17,6,FALSE)*G273*H273*(1+Material!$K$14)</f>
        <v>14.984666666666669</v>
      </c>
      <c r="M273" s="79" t="str">
        <f>+Analisis!$J$5</f>
        <v>T5.0</v>
      </c>
      <c r="N273" s="80">
        <f>+VLOOKUP(M273,Material!$A$3:$B$58,2,FALSE)</f>
        <v>5000</v>
      </c>
      <c r="O273" s="79" t="s">
        <v>42</v>
      </c>
      <c r="P273" s="79" t="s">
        <v>43</v>
      </c>
      <c r="Q273" s="81">
        <f>+IF(O273="ACERO A36",VLOOKUP(P273,'Velocidades Std 1500 w'!$B$2:$F$15,5,FALSE),IF(O273="INOXIDABLE",VLOOKUP(P273,'Velocidades Std 1500 w'!$B$17:$F$28,5,FALSE),IF(O273="ALUMINIO",VLOOKUP(P273,'Velocidades Std 1500 w'!$B$30:$F$38,5,FALSE))))</f>
        <v>4.3859649122807014E-6</v>
      </c>
      <c r="R273" s="82">
        <f t="shared" si="257"/>
        <v>2.1929824561403508E-2</v>
      </c>
      <c r="S273" s="83">
        <f t="shared" si="258"/>
        <v>10.797138947368421</v>
      </c>
      <c r="T273" s="110">
        <f t="shared" si="259"/>
        <v>683.81880000000001</v>
      </c>
      <c r="U273" s="80">
        <f t="shared" si="260"/>
        <v>14.996026315789473</v>
      </c>
      <c r="V273" s="98">
        <v>5</v>
      </c>
      <c r="W273" s="84">
        <f>+IF(O273="ACERO A36",VLOOKUP(P273,'Tiempo Objeto'!$B$2:$C$12,2,FALSE),IF(O273="INOXIDABLE",VLOOKUP(P273,'Tiempo Objeto'!$B$14:$C$22,2,FALSE),IF(O273="ALUMINIO",VLOOKUP(P273,'Tiempo Objeto'!$B$24:$C$32,2,FALSE))))</f>
        <v>1.84</v>
      </c>
      <c r="X273" s="84">
        <f t="shared" si="261"/>
        <v>9.2000000000000011</v>
      </c>
      <c r="Y273" s="80">
        <f t="shared" si="262"/>
        <v>12.77777777777778</v>
      </c>
      <c r="Z273" s="100">
        <v>1</v>
      </c>
      <c r="AA273" s="85">
        <f t="shared" si="263"/>
        <v>30</v>
      </c>
      <c r="AB273" s="86">
        <f>+Z273*Analisis!$J$6</f>
        <v>25</v>
      </c>
      <c r="AC273" s="100">
        <v>0</v>
      </c>
      <c r="AD273" s="85">
        <f t="shared" si="264"/>
        <v>0</v>
      </c>
      <c r="AE273" s="86">
        <f>+AD273*Analisis!$J$7</f>
        <v>0</v>
      </c>
      <c r="AF273" s="86">
        <f t="shared" si="365"/>
        <v>67.758470760233919</v>
      </c>
      <c r="AG273" s="126">
        <f>+AF273/(1-Analisis!$E$9)</f>
        <v>84.698088450292389</v>
      </c>
      <c r="AH273" s="128">
        <f t="shared" si="367"/>
        <v>0</v>
      </c>
    </row>
    <row r="274" spans="1:34" s="73" customFormat="1" x14ac:dyDescent="0.25">
      <c r="A274" s="100"/>
      <c r="B274" s="114" t="s">
        <v>461</v>
      </c>
      <c r="C274" s="74">
        <f>IFERROR(VLOOKUP(B274,'REQ GALV'!A:B,2,0),0)</f>
        <v>0</v>
      </c>
      <c r="D274" s="116">
        <f t="shared" si="366"/>
        <v>88.720248538011674</v>
      </c>
      <c r="E274" s="103" t="s">
        <v>41</v>
      </c>
      <c r="F274" s="75" t="s">
        <v>147</v>
      </c>
      <c r="G274" s="90">
        <v>5.85</v>
      </c>
      <c r="H274" s="90">
        <v>4</v>
      </c>
      <c r="I274" s="76">
        <v>0.105</v>
      </c>
      <c r="J274" s="77">
        <v>28.24</v>
      </c>
      <c r="K274" s="78">
        <f t="shared" ref="K274:K276" si="377">+L274*2.2/J274</f>
        <v>1.3469546742209635</v>
      </c>
      <c r="L274" s="58">
        <f>+VLOOKUP(E274,Material!$H$2:$M$17,6,FALSE)*G274*H274*(1+Material!$K$14)</f>
        <v>17.29</v>
      </c>
      <c r="M274" s="79" t="str">
        <f>+Analisis!$J$5</f>
        <v>T5.0</v>
      </c>
      <c r="N274" s="80">
        <f>+VLOOKUP(M274,Material!$A$3:$B$58,2,FALSE)</f>
        <v>5000</v>
      </c>
      <c r="O274" s="79" t="s">
        <v>42</v>
      </c>
      <c r="P274" s="79" t="s">
        <v>43</v>
      </c>
      <c r="Q274" s="81">
        <f>+IF(O274="ACERO A36",VLOOKUP(P274,'Velocidades Std 1500 w'!$B$2:$F$15,5,FALSE),IF(O274="INOXIDABLE",VLOOKUP(P274,'Velocidades Std 1500 w'!$B$17:$F$28,5,FALSE),IF(O274="ALUMINIO",VLOOKUP(P274,'Velocidades Std 1500 w'!$B$30:$F$38,5,FALSE))))</f>
        <v>4.3859649122807014E-6</v>
      </c>
      <c r="R274" s="82">
        <f t="shared" ref="R274:R276" si="378">+Q274*N274</f>
        <v>2.1929824561403508E-2</v>
      </c>
      <c r="S274" s="83">
        <f t="shared" ref="S274:S276" si="379">+Q274*T274*3600</f>
        <v>11.454063157894735</v>
      </c>
      <c r="T274" s="110">
        <f t="shared" ref="T274:T276" si="380">(+H274*2+G274*2+V274*1.5)*25.4*1.05</f>
        <v>725.42399999999998</v>
      </c>
      <c r="U274" s="80">
        <f t="shared" ref="U274:U276" si="381">+T274*R274</f>
        <v>15.908421052631578</v>
      </c>
      <c r="V274" s="98">
        <v>5</v>
      </c>
      <c r="W274" s="84">
        <f>+IF(O274="ACERO A36",VLOOKUP(P274,'Tiempo Objeto'!$B$2:$C$12,2,FALSE),IF(O274="INOXIDABLE",VLOOKUP(P274,'Tiempo Objeto'!$B$14:$C$22,2,FALSE),IF(O274="ALUMINIO",VLOOKUP(P274,'Tiempo Objeto'!$B$24:$C$32,2,FALSE))))</f>
        <v>1.84</v>
      </c>
      <c r="X274" s="84">
        <f t="shared" ref="X274:X276" si="382">+W274*V274</f>
        <v>9.2000000000000011</v>
      </c>
      <c r="Y274" s="80">
        <f t="shared" ref="Y274:Y276" si="383">+X274*N274/3600</f>
        <v>12.77777777777778</v>
      </c>
      <c r="Z274" s="100">
        <v>1</v>
      </c>
      <c r="AA274" s="85">
        <f t="shared" ref="AA274:AA276" si="384">30*Z274+Z274*$C274*1.5</f>
        <v>30</v>
      </c>
      <c r="AB274" s="86">
        <f>+Z274*Analisis!$J$6</f>
        <v>25</v>
      </c>
      <c r="AC274" s="100">
        <v>0</v>
      </c>
      <c r="AD274" s="85">
        <f t="shared" ref="AD274:AD276" si="385">30*AC274+AC274*$C274*1.5</f>
        <v>0</v>
      </c>
      <c r="AE274" s="86">
        <f>+AD274*Analisis!$J$7</f>
        <v>0</v>
      </c>
      <c r="AF274" s="86">
        <f t="shared" si="365"/>
        <v>70.976198830409345</v>
      </c>
      <c r="AG274" s="126">
        <f>+AF274/(1-Analisis!$E$9)</f>
        <v>88.720248538011674</v>
      </c>
      <c r="AH274" s="128">
        <f t="shared" si="367"/>
        <v>0</v>
      </c>
    </row>
    <row r="275" spans="1:34" s="73" customFormat="1" x14ac:dyDescent="0.25">
      <c r="A275" s="100"/>
      <c r="B275" s="114" t="s">
        <v>343</v>
      </c>
      <c r="C275" s="74">
        <f>IFERROR(VLOOKUP(B275,'REQ GALV'!A:B,2,0),0)</f>
        <v>0</v>
      </c>
      <c r="D275" s="116">
        <f t="shared" si="366"/>
        <v>87.276396198830426</v>
      </c>
      <c r="E275" s="103" t="s">
        <v>41</v>
      </c>
      <c r="F275" s="75" t="s">
        <v>147</v>
      </c>
      <c r="G275" s="90">
        <v>5.57</v>
      </c>
      <c r="H275" s="90">
        <v>4</v>
      </c>
      <c r="I275" s="76">
        <v>0.105</v>
      </c>
      <c r="J275" s="77">
        <v>28.24</v>
      </c>
      <c r="K275" s="78">
        <f t="shared" si="377"/>
        <v>1.2824850487881652</v>
      </c>
      <c r="L275" s="58">
        <f>+VLOOKUP(E275,Material!$H$2:$M$17,6,FALSE)*G275*H275*(1+Material!$K$14)</f>
        <v>16.462444444444447</v>
      </c>
      <c r="M275" s="79" t="str">
        <f>+Analisis!$J$5</f>
        <v>T5.0</v>
      </c>
      <c r="N275" s="80">
        <f>+VLOOKUP(M275,Material!$A$3:$B$58,2,FALSE)</f>
        <v>5000</v>
      </c>
      <c r="O275" s="79" t="s">
        <v>42</v>
      </c>
      <c r="P275" s="79" t="s">
        <v>43</v>
      </c>
      <c r="Q275" s="81">
        <f>+IF(O275="ACERO A36",VLOOKUP(P275,'Velocidades Std 1500 w'!$B$2:$F$15,5,FALSE),IF(O275="INOXIDABLE",VLOOKUP(P275,'Velocidades Std 1500 w'!$B$17:$F$28,5,FALSE),IF(O275="ALUMINIO",VLOOKUP(P275,'Velocidades Std 1500 w'!$B$30:$F$38,5,FALSE))))</f>
        <v>4.3859649122807014E-6</v>
      </c>
      <c r="R275" s="82">
        <f t="shared" si="378"/>
        <v>2.1929824561403508E-2</v>
      </c>
      <c r="S275" s="83">
        <f t="shared" si="379"/>
        <v>11.218244210526313</v>
      </c>
      <c r="T275" s="110">
        <f t="shared" si="380"/>
        <v>710.48879999999997</v>
      </c>
      <c r="U275" s="80">
        <f t="shared" si="381"/>
        <v>15.580894736842104</v>
      </c>
      <c r="V275" s="98">
        <v>5</v>
      </c>
      <c r="W275" s="84">
        <f>+IF(O275="ACERO A36",VLOOKUP(P275,'Tiempo Objeto'!$B$2:$C$12,2,FALSE),IF(O275="INOXIDABLE",VLOOKUP(P275,'Tiempo Objeto'!$B$14:$C$22,2,FALSE),IF(O275="ALUMINIO",VLOOKUP(P275,'Tiempo Objeto'!$B$24:$C$32,2,FALSE))))</f>
        <v>1.84</v>
      </c>
      <c r="X275" s="84">
        <f t="shared" si="382"/>
        <v>9.2000000000000011</v>
      </c>
      <c r="Y275" s="80">
        <f t="shared" si="383"/>
        <v>12.77777777777778</v>
      </c>
      <c r="Z275" s="100">
        <v>1</v>
      </c>
      <c r="AA275" s="85">
        <f t="shared" si="384"/>
        <v>30</v>
      </c>
      <c r="AB275" s="86">
        <f>+Z275*Analisis!$J$6</f>
        <v>25</v>
      </c>
      <c r="AC275" s="100">
        <v>0</v>
      </c>
      <c r="AD275" s="85">
        <f t="shared" si="385"/>
        <v>0</v>
      </c>
      <c r="AE275" s="86">
        <f>+AD275*Analisis!$J$7</f>
        <v>0</v>
      </c>
      <c r="AF275" s="86">
        <f t="shared" si="365"/>
        <v>69.821116959064341</v>
      </c>
      <c r="AG275" s="126">
        <f>+AF275/(1-Analisis!$E$9)</f>
        <v>87.276396198830426</v>
      </c>
      <c r="AH275" s="128">
        <f t="shared" si="367"/>
        <v>0</v>
      </c>
    </row>
    <row r="276" spans="1:34" s="73" customFormat="1" x14ac:dyDescent="0.25">
      <c r="A276" s="100"/>
      <c r="B276" s="114" t="s">
        <v>462</v>
      </c>
      <c r="C276" s="74">
        <f>IFERROR(VLOOKUP(B276,'REQ GALV'!A:B,2,0),0)</f>
        <v>0</v>
      </c>
      <c r="D276" s="116">
        <f t="shared" si="366"/>
        <v>91.298556286549697</v>
      </c>
      <c r="E276" s="103" t="s">
        <v>41</v>
      </c>
      <c r="F276" s="75" t="s">
        <v>147</v>
      </c>
      <c r="G276" s="90">
        <v>6.35</v>
      </c>
      <c r="H276" s="90">
        <v>4</v>
      </c>
      <c r="I276" s="76">
        <v>0.105</v>
      </c>
      <c r="J276" s="77">
        <v>28.24</v>
      </c>
      <c r="K276" s="78">
        <f t="shared" si="377"/>
        <v>1.46207900535096</v>
      </c>
      <c r="L276" s="58">
        <f>+VLOOKUP(E276,Material!$H$2:$M$17,6,FALSE)*G276*H276*(1+Material!$K$14)</f>
        <v>18.767777777777777</v>
      </c>
      <c r="M276" s="79" t="str">
        <f>+Analisis!$J$5</f>
        <v>T5.0</v>
      </c>
      <c r="N276" s="80">
        <f>+VLOOKUP(M276,Material!$A$3:$B$58,2,FALSE)</f>
        <v>5000</v>
      </c>
      <c r="O276" s="79" t="s">
        <v>42</v>
      </c>
      <c r="P276" s="79" t="s">
        <v>43</v>
      </c>
      <c r="Q276" s="81">
        <f>+IF(O276="ACERO A36",VLOOKUP(P276,'Velocidades Std 1500 w'!$B$2:$F$15,5,FALSE),IF(O276="INOXIDABLE",VLOOKUP(P276,'Velocidades Std 1500 w'!$B$17:$F$28,5,FALSE),IF(O276="ALUMINIO",VLOOKUP(P276,'Velocidades Std 1500 w'!$B$30:$F$38,5,FALSE))))</f>
        <v>4.3859649122807014E-6</v>
      </c>
      <c r="R276" s="82">
        <f t="shared" si="378"/>
        <v>2.1929824561403508E-2</v>
      </c>
      <c r="S276" s="83">
        <f t="shared" si="379"/>
        <v>11.875168421052631</v>
      </c>
      <c r="T276" s="110">
        <f t="shared" si="380"/>
        <v>752.09400000000005</v>
      </c>
      <c r="U276" s="80">
        <f t="shared" si="381"/>
        <v>16.493289473684211</v>
      </c>
      <c r="V276" s="98">
        <v>5</v>
      </c>
      <c r="W276" s="84">
        <f>+IF(O276="ACERO A36",VLOOKUP(P276,'Tiempo Objeto'!$B$2:$C$12,2,FALSE),IF(O276="INOXIDABLE",VLOOKUP(P276,'Tiempo Objeto'!$B$14:$C$22,2,FALSE),IF(O276="ALUMINIO",VLOOKUP(P276,'Tiempo Objeto'!$B$24:$C$32,2,FALSE))))</f>
        <v>1.84</v>
      </c>
      <c r="X276" s="84">
        <f t="shared" si="382"/>
        <v>9.2000000000000011</v>
      </c>
      <c r="Y276" s="80">
        <f t="shared" si="383"/>
        <v>12.77777777777778</v>
      </c>
      <c r="Z276" s="100">
        <v>1</v>
      </c>
      <c r="AA276" s="85">
        <f t="shared" si="384"/>
        <v>30</v>
      </c>
      <c r="AB276" s="86">
        <f>+Z276*Analisis!$J$6</f>
        <v>25</v>
      </c>
      <c r="AC276" s="100">
        <v>0</v>
      </c>
      <c r="AD276" s="85">
        <f t="shared" si="385"/>
        <v>0</v>
      </c>
      <c r="AE276" s="86">
        <f>+AD276*Analisis!$J$7</f>
        <v>0</v>
      </c>
      <c r="AF276" s="86">
        <f t="shared" si="365"/>
        <v>73.038845029239766</v>
      </c>
      <c r="AG276" s="126">
        <f>+AF276/(1-Analisis!$E$9)</f>
        <v>91.298556286549697</v>
      </c>
      <c r="AH276" s="128">
        <f t="shared" si="367"/>
        <v>0</v>
      </c>
    </row>
    <row r="277" spans="1:34" s="73" customFormat="1" x14ac:dyDescent="0.25">
      <c r="A277" s="100"/>
      <c r="B277" s="114" t="s">
        <v>344</v>
      </c>
      <c r="C277" s="74">
        <f>IFERROR(VLOOKUP(B277,'REQ GALV'!A:B,2,0),0)</f>
        <v>0</v>
      </c>
      <c r="D277" s="116">
        <f t="shared" si="366"/>
        <v>68.944605263157897</v>
      </c>
      <c r="E277" s="103" t="s">
        <v>41</v>
      </c>
      <c r="F277" s="75" t="s">
        <v>147</v>
      </c>
      <c r="G277" s="90">
        <v>2</v>
      </c>
      <c r="H277" s="90">
        <v>5.32</v>
      </c>
      <c r="I277" s="76">
        <v>0.105</v>
      </c>
      <c r="J277" s="77">
        <v>28.24</v>
      </c>
      <c r="K277" s="78">
        <f t="shared" si="256"/>
        <v>0.61246144161158333</v>
      </c>
      <c r="L277" s="58">
        <f>+VLOOKUP(E277,Material!$H$2:$M$17,6,FALSE)*G277*H277*(1+Material!$K$14)</f>
        <v>7.8617777777777782</v>
      </c>
      <c r="M277" s="79" t="str">
        <f>+Analisis!$J$5</f>
        <v>T5.0</v>
      </c>
      <c r="N277" s="80">
        <f>+VLOOKUP(M277,Material!$A$3:$B$58,2,FALSE)</f>
        <v>5000</v>
      </c>
      <c r="O277" s="79" t="s">
        <v>42</v>
      </c>
      <c r="P277" s="79" t="s">
        <v>43</v>
      </c>
      <c r="Q277" s="81">
        <f>+IF(O277="ACERO A36",VLOOKUP(P277,'Velocidades Std 1500 w'!$B$2:$F$15,5,FALSE),IF(O277="INOXIDABLE",VLOOKUP(P277,'Velocidades Std 1500 w'!$B$17:$F$28,5,FALSE),IF(O277="ALUMINIO",VLOOKUP(P277,'Velocidades Std 1500 w'!$B$30:$F$38,5,FALSE))))</f>
        <v>4.3859649122807014E-6</v>
      </c>
      <c r="R277" s="82">
        <f t="shared" si="257"/>
        <v>2.1929824561403508E-2</v>
      </c>
      <c r="S277" s="83">
        <f t="shared" si="258"/>
        <v>8.6916126315789466</v>
      </c>
      <c r="T277" s="110">
        <f t="shared" si="259"/>
        <v>550.46879999999999</v>
      </c>
      <c r="U277" s="80">
        <f t="shared" si="260"/>
        <v>12.071684210526314</v>
      </c>
      <c r="V277" s="98">
        <v>4</v>
      </c>
      <c r="W277" s="84">
        <f>+IF(O277="ACERO A36",VLOOKUP(P277,'Tiempo Objeto'!$B$2:$C$12,2,FALSE),IF(O277="INOXIDABLE",VLOOKUP(P277,'Tiempo Objeto'!$B$14:$C$22,2,FALSE),IF(O277="ALUMINIO",VLOOKUP(P277,'Tiempo Objeto'!$B$24:$C$32,2,FALSE))))</f>
        <v>1.84</v>
      </c>
      <c r="X277" s="84">
        <f t="shared" si="261"/>
        <v>7.36</v>
      </c>
      <c r="Y277" s="80">
        <f t="shared" si="262"/>
        <v>10.222222222222221</v>
      </c>
      <c r="Z277" s="100">
        <v>1</v>
      </c>
      <c r="AA277" s="85">
        <f t="shared" si="263"/>
        <v>30</v>
      </c>
      <c r="AB277" s="86">
        <f>+Z277*Analisis!$J$6</f>
        <v>25</v>
      </c>
      <c r="AC277" s="100">
        <v>0</v>
      </c>
      <c r="AD277" s="85">
        <f t="shared" si="264"/>
        <v>0</v>
      </c>
      <c r="AE277" s="86">
        <f>+AD277*Analisis!$J$7</f>
        <v>0</v>
      </c>
      <c r="AF277" s="86">
        <f t="shared" si="365"/>
        <v>55.155684210526317</v>
      </c>
      <c r="AG277" s="126">
        <f>+AF277/(1-Analisis!$E$9)</f>
        <v>68.944605263157897</v>
      </c>
      <c r="AH277" s="128">
        <f t="shared" si="367"/>
        <v>0</v>
      </c>
    </row>
    <row r="278" spans="1:34" s="73" customFormat="1" x14ac:dyDescent="0.25">
      <c r="A278" s="100"/>
      <c r="B278" s="114" t="s">
        <v>463</v>
      </c>
      <c r="C278" s="74">
        <f>IFERROR(VLOOKUP(B278,'REQ GALV'!A:B,2,0),0)</f>
        <v>0</v>
      </c>
      <c r="D278" s="116">
        <f t="shared" si="366"/>
        <v>181.39213267543857</v>
      </c>
      <c r="E278" s="103" t="s">
        <v>41</v>
      </c>
      <c r="F278" s="75" t="s">
        <v>147</v>
      </c>
      <c r="G278" s="90">
        <v>9.5</v>
      </c>
      <c r="H278" s="90">
        <v>9</v>
      </c>
      <c r="I278" s="76">
        <v>0.105</v>
      </c>
      <c r="J278" s="77">
        <v>28.24</v>
      </c>
      <c r="K278" s="78">
        <f t="shared" si="256"/>
        <v>4.9215651558073663</v>
      </c>
      <c r="L278" s="58">
        <f>+VLOOKUP(E278,Material!$H$2:$M$17,6,FALSE)*G278*H278*(1+Material!$K$14)</f>
        <v>63.175000000000004</v>
      </c>
      <c r="M278" s="79" t="str">
        <f>+Analisis!$J$5</f>
        <v>T5.0</v>
      </c>
      <c r="N278" s="80">
        <f>+VLOOKUP(M278,Material!$A$3:$B$58,2,FALSE)</f>
        <v>5000</v>
      </c>
      <c r="O278" s="79" t="s">
        <v>42</v>
      </c>
      <c r="P278" s="79" t="s">
        <v>43</v>
      </c>
      <c r="Q278" s="81">
        <f>+IF(O278="ACERO A36",VLOOKUP(P278,'Velocidades Std 1500 w'!$B$2:$F$15,5,FALSE),IF(O278="INOXIDABLE",VLOOKUP(P278,'Velocidades Std 1500 w'!$B$17:$F$28,5,FALSE),IF(O278="ALUMINIO",VLOOKUP(P278,'Velocidades Std 1500 w'!$B$30:$F$38,5,FALSE))))</f>
        <v>4.3859649122807014E-6</v>
      </c>
      <c r="R278" s="82">
        <f t="shared" si="257"/>
        <v>2.1929824561403508E-2</v>
      </c>
      <c r="S278" s="83">
        <f t="shared" si="258"/>
        <v>17.475868421052631</v>
      </c>
      <c r="T278" s="110">
        <f t="shared" si="259"/>
        <v>1106.8050000000001</v>
      </c>
      <c r="U278" s="80">
        <f t="shared" si="260"/>
        <v>24.27203947368421</v>
      </c>
      <c r="V278" s="98">
        <v>3</v>
      </c>
      <c r="W278" s="84">
        <f>+IF(O278="ACERO A36",VLOOKUP(P278,'Tiempo Objeto'!$B$2:$C$12,2,FALSE),IF(O278="INOXIDABLE",VLOOKUP(P278,'Tiempo Objeto'!$B$14:$C$22,2,FALSE),IF(O278="ALUMINIO",VLOOKUP(P278,'Tiempo Objeto'!$B$24:$C$32,2,FALSE))))</f>
        <v>1.84</v>
      </c>
      <c r="X278" s="84">
        <f t="shared" si="261"/>
        <v>5.5200000000000005</v>
      </c>
      <c r="Y278" s="80">
        <f t="shared" si="262"/>
        <v>7.6666666666666679</v>
      </c>
      <c r="Z278" s="100">
        <v>2</v>
      </c>
      <c r="AA278" s="85">
        <f t="shared" si="263"/>
        <v>60</v>
      </c>
      <c r="AB278" s="86">
        <f>+Z278*Analisis!$J$6</f>
        <v>50</v>
      </c>
      <c r="AC278" s="100">
        <v>0</v>
      </c>
      <c r="AD278" s="85">
        <f t="shared" si="264"/>
        <v>0</v>
      </c>
      <c r="AE278" s="86">
        <f>+AD278*Analisis!$J$7</f>
        <v>0</v>
      </c>
      <c r="AF278" s="86">
        <f t="shared" si="365"/>
        <v>145.11370614035087</v>
      </c>
      <c r="AG278" s="126">
        <f>+AF278/(1-Analisis!$E$9)</f>
        <v>181.39213267543857</v>
      </c>
      <c r="AH278" s="128">
        <f t="shared" si="367"/>
        <v>0</v>
      </c>
    </row>
    <row r="279" spans="1:34" s="73" customFormat="1" x14ac:dyDescent="0.25">
      <c r="A279" s="100"/>
      <c r="B279" s="114" t="s">
        <v>345</v>
      </c>
      <c r="C279" s="74">
        <f>IFERROR(VLOOKUP(B279,'REQ GALV'!A:B,2,0),0)</f>
        <v>0</v>
      </c>
      <c r="D279" s="116">
        <f t="shared" si="366"/>
        <v>241.9598629385965</v>
      </c>
      <c r="E279" s="103" t="s">
        <v>41</v>
      </c>
      <c r="F279" s="75" t="s">
        <v>147</v>
      </c>
      <c r="G279" s="90">
        <v>11.88</v>
      </c>
      <c r="H279" s="90">
        <v>12</v>
      </c>
      <c r="I279" s="76">
        <v>0.105</v>
      </c>
      <c r="J279" s="77">
        <v>28.24</v>
      </c>
      <c r="K279" s="78">
        <f t="shared" ref="K279" si="386">+L279*2.2/J279</f>
        <v>8.2060623229461775</v>
      </c>
      <c r="L279" s="58">
        <f>+VLOOKUP(E279,Material!$H$2:$M$17,6,FALSE)*G279*H279*(1+Material!$K$14)</f>
        <v>105.33600000000001</v>
      </c>
      <c r="M279" s="79" t="str">
        <f>+Analisis!$J$5</f>
        <v>T5.0</v>
      </c>
      <c r="N279" s="80">
        <f>+VLOOKUP(M279,Material!$A$3:$B$58,2,FALSE)</f>
        <v>5000</v>
      </c>
      <c r="O279" s="79" t="s">
        <v>42</v>
      </c>
      <c r="P279" s="79" t="s">
        <v>43</v>
      </c>
      <c r="Q279" s="81">
        <f>+IF(O279="ACERO A36",VLOOKUP(P279,'Velocidades Std 1500 w'!$B$2:$F$15,5,FALSE),IF(O279="INOXIDABLE",VLOOKUP(P279,'Velocidades Std 1500 w'!$B$17:$F$28,5,FALSE),IF(O279="ALUMINIO",VLOOKUP(P279,'Velocidades Std 1500 w'!$B$30:$F$38,5,FALSE))))</f>
        <v>4.3859649122807014E-6</v>
      </c>
      <c r="R279" s="82">
        <f t="shared" ref="R279" si="387">+Q279*N279</f>
        <v>2.1929824561403508E-2</v>
      </c>
      <c r="S279" s="83">
        <f t="shared" ref="S279" si="388">+Q279*T279*3600</f>
        <v>22.006961052631578</v>
      </c>
      <c r="T279" s="110">
        <f t="shared" ref="T279" si="389">(+H279*2+G279*2+V279*1.5)*25.4*1.05</f>
        <v>1393.7742000000001</v>
      </c>
      <c r="U279" s="80">
        <f t="shared" ref="U279" si="390">+T279*R279</f>
        <v>30.565223684210526</v>
      </c>
      <c r="V279" s="98">
        <v>3</v>
      </c>
      <c r="W279" s="84">
        <f>+IF(O279="ACERO A36",VLOOKUP(P279,'Tiempo Objeto'!$B$2:$C$12,2,FALSE),IF(O279="INOXIDABLE",VLOOKUP(P279,'Tiempo Objeto'!$B$14:$C$22,2,FALSE),IF(O279="ALUMINIO",VLOOKUP(P279,'Tiempo Objeto'!$B$24:$C$32,2,FALSE))))</f>
        <v>1.84</v>
      </c>
      <c r="X279" s="84">
        <f t="shared" ref="X279" si="391">+W279*V279</f>
        <v>5.5200000000000005</v>
      </c>
      <c r="Y279" s="80">
        <f t="shared" ref="Y279" si="392">+X279*N279/3600</f>
        <v>7.6666666666666679</v>
      </c>
      <c r="Z279" s="100">
        <v>2</v>
      </c>
      <c r="AA279" s="85">
        <f t="shared" ref="AA279" si="393">30*Z279+Z279*$C279*1.5</f>
        <v>60</v>
      </c>
      <c r="AB279" s="86">
        <f>+Z279*Analisis!$J$6</f>
        <v>50</v>
      </c>
      <c r="AC279" s="100">
        <v>0</v>
      </c>
      <c r="AD279" s="85">
        <f t="shared" ref="AD279" si="394">30*AC279+AC279*$C279*1.5</f>
        <v>0</v>
      </c>
      <c r="AE279" s="86">
        <f>+AD279*Analisis!$J$7</f>
        <v>0</v>
      </c>
      <c r="AF279" s="86">
        <f t="shared" si="365"/>
        <v>193.56789035087721</v>
      </c>
      <c r="AG279" s="126">
        <f>+AF279/(1-Analisis!$E$9)</f>
        <v>241.9598629385965</v>
      </c>
      <c r="AH279" s="128">
        <f t="shared" si="367"/>
        <v>0</v>
      </c>
    </row>
    <row r="280" spans="1:34" s="73" customFormat="1" x14ac:dyDescent="0.25">
      <c r="A280" s="100"/>
      <c r="B280" s="114" t="s">
        <v>346</v>
      </c>
      <c r="C280" s="74">
        <f>IFERROR(VLOOKUP(B280,'REQ GALV'!A:B,2,0),0)</f>
        <v>0</v>
      </c>
      <c r="D280" s="116">
        <f t="shared" si="366"/>
        <v>84.96007127192982</v>
      </c>
      <c r="E280" s="103" t="s">
        <v>41</v>
      </c>
      <c r="F280" s="75" t="s">
        <v>147</v>
      </c>
      <c r="G280" s="90">
        <v>3.94</v>
      </c>
      <c r="H280" s="90">
        <v>0.75</v>
      </c>
      <c r="I280" s="76">
        <v>0.105</v>
      </c>
      <c r="J280" s="77">
        <v>28.24</v>
      </c>
      <c r="K280" s="78">
        <f t="shared" si="256"/>
        <v>0.1700961992445704</v>
      </c>
      <c r="L280" s="58">
        <f>+VLOOKUP(E280,Material!$H$2:$M$17,6,FALSE)*G280*H280*(1+Material!$K$14)</f>
        <v>2.183416666666667</v>
      </c>
      <c r="M280" s="79" t="str">
        <f>+Analisis!$J$5</f>
        <v>T5.0</v>
      </c>
      <c r="N280" s="80">
        <f>+VLOOKUP(M280,Material!$A$3:$B$58,2,FALSE)</f>
        <v>5000</v>
      </c>
      <c r="O280" s="79" t="s">
        <v>42</v>
      </c>
      <c r="P280" s="79" t="s">
        <v>43</v>
      </c>
      <c r="Q280" s="81">
        <f>+IF(O280="ACERO A36",VLOOKUP(P280,'Velocidades Std 1500 w'!$B$2:$F$15,5,FALSE),IF(O280="INOXIDABLE",VLOOKUP(P280,'Velocidades Std 1500 w'!$B$17:$F$28,5,FALSE),IF(O280="ALUMINIO",VLOOKUP(P280,'Velocidades Std 1500 w'!$B$30:$F$38,5,FALSE))))</f>
        <v>4.3859649122807014E-6</v>
      </c>
      <c r="R280" s="82">
        <f t="shared" si="257"/>
        <v>2.1929824561403508E-2</v>
      </c>
      <c r="S280" s="83">
        <f t="shared" si="258"/>
        <v>5.8449410526315777</v>
      </c>
      <c r="T280" s="110">
        <f t="shared" si="259"/>
        <v>370.17959999999999</v>
      </c>
      <c r="U280" s="80">
        <f t="shared" si="260"/>
        <v>8.1179736842105257</v>
      </c>
      <c r="V280" s="98">
        <v>3</v>
      </c>
      <c r="W280" s="84">
        <f>+IF(O280="ACERO A36",VLOOKUP(P280,'Tiempo Objeto'!$B$2:$C$12,2,FALSE),IF(O280="INOXIDABLE",VLOOKUP(P280,'Tiempo Objeto'!$B$14:$C$22,2,FALSE),IF(O280="ALUMINIO",VLOOKUP(P280,'Tiempo Objeto'!$B$24:$C$32,2,FALSE))))</f>
        <v>1.84</v>
      </c>
      <c r="X280" s="84">
        <f t="shared" si="261"/>
        <v>5.5200000000000005</v>
      </c>
      <c r="Y280" s="80">
        <f t="shared" si="262"/>
        <v>7.6666666666666679</v>
      </c>
      <c r="Z280" s="100">
        <v>2</v>
      </c>
      <c r="AA280" s="85">
        <f t="shared" si="263"/>
        <v>60</v>
      </c>
      <c r="AB280" s="86">
        <f>+Z280*Analisis!$J$6</f>
        <v>50</v>
      </c>
      <c r="AC280" s="100">
        <v>0</v>
      </c>
      <c r="AD280" s="85">
        <f t="shared" si="264"/>
        <v>0</v>
      </c>
      <c r="AE280" s="86">
        <f>+AD280*Analisis!$J$7</f>
        <v>0</v>
      </c>
      <c r="AF280" s="86">
        <f t="shared" si="365"/>
        <v>67.968057017543856</v>
      </c>
      <c r="AG280" s="126">
        <f>+AF280/(1-Analisis!$E$9)</f>
        <v>84.96007127192982</v>
      </c>
      <c r="AH280" s="128">
        <f t="shared" si="367"/>
        <v>0</v>
      </c>
    </row>
    <row r="281" spans="1:34" s="73" customFormat="1" x14ac:dyDescent="0.25">
      <c r="A281" s="100"/>
      <c r="B281" s="114" t="s">
        <v>464</v>
      </c>
      <c r="C281" s="74">
        <f>IFERROR(VLOOKUP(B281,'REQ GALV'!A:B,2,0),0)</f>
        <v>0</v>
      </c>
      <c r="D281" s="116">
        <f t="shared" si="366"/>
        <v>182.99898300438599</v>
      </c>
      <c r="E281" s="103" t="s">
        <v>41</v>
      </c>
      <c r="F281" s="75" t="s">
        <v>147</v>
      </c>
      <c r="G281" s="90">
        <v>1.75</v>
      </c>
      <c r="H281" s="90">
        <v>4.07</v>
      </c>
      <c r="I281" s="76">
        <v>0.105</v>
      </c>
      <c r="J281" s="77">
        <v>28.24</v>
      </c>
      <c r="K281" s="78">
        <f t="shared" si="256"/>
        <v>0.40998652423670146</v>
      </c>
      <c r="L281" s="58">
        <f>+VLOOKUP(E281,Material!$H$2:$M$17,6,FALSE)*G281*H281*(1+Material!$K$14)</f>
        <v>5.2627361111111126</v>
      </c>
      <c r="M281" s="79" t="str">
        <f>+Analisis!$J$5</f>
        <v>T5.0</v>
      </c>
      <c r="N281" s="80">
        <f>+VLOOKUP(M281,Material!$A$3:$B$58,2,FALSE)</f>
        <v>5000</v>
      </c>
      <c r="O281" s="79" t="s">
        <v>42</v>
      </c>
      <c r="P281" s="79" t="s">
        <v>43</v>
      </c>
      <c r="Q281" s="81">
        <f>+IF(O281="ACERO A36",VLOOKUP(P281,'Velocidades Std 1500 w'!$B$2:$F$15,5,FALSE),IF(O281="INOXIDABLE",VLOOKUP(P281,'Velocidades Std 1500 w'!$B$17:$F$28,5,FALSE),IF(O281="ALUMINIO",VLOOKUP(P281,'Velocidades Std 1500 w'!$B$30:$F$38,5,FALSE))))</f>
        <v>4.3859649122807014E-6</v>
      </c>
      <c r="R281" s="82">
        <f t="shared" si="257"/>
        <v>2.1929824561403508E-2</v>
      </c>
      <c r="S281" s="83">
        <f t="shared" si="258"/>
        <v>11.218244210526313</v>
      </c>
      <c r="T281" s="110">
        <f t="shared" si="259"/>
        <v>710.48879999999997</v>
      </c>
      <c r="U281" s="80">
        <f t="shared" si="260"/>
        <v>15.580894736842104</v>
      </c>
      <c r="V281" s="98">
        <v>10</v>
      </c>
      <c r="W281" s="84">
        <f>+IF(O281="ACERO A36",VLOOKUP(P281,'Tiempo Objeto'!$B$2:$C$12,2,FALSE),IF(O281="INOXIDABLE",VLOOKUP(P281,'Tiempo Objeto'!$B$14:$C$22,2,FALSE),IF(O281="ALUMINIO",VLOOKUP(P281,'Tiempo Objeto'!$B$24:$C$32,2,FALSE))))</f>
        <v>1.84</v>
      </c>
      <c r="X281" s="84">
        <f t="shared" si="261"/>
        <v>18.400000000000002</v>
      </c>
      <c r="Y281" s="80">
        <f t="shared" si="262"/>
        <v>25.555555555555561</v>
      </c>
      <c r="Z281" s="100">
        <v>4</v>
      </c>
      <c r="AA281" s="85">
        <f t="shared" si="263"/>
        <v>120</v>
      </c>
      <c r="AB281" s="86">
        <f>+Z281*Analisis!$J$6</f>
        <v>100</v>
      </c>
      <c r="AC281" s="100">
        <v>0</v>
      </c>
      <c r="AD281" s="85">
        <f t="shared" si="264"/>
        <v>0</v>
      </c>
      <c r="AE281" s="86">
        <f>+AD281*Analisis!$J$7</f>
        <v>0</v>
      </c>
      <c r="AF281" s="86">
        <f t="shared" si="365"/>
        <v>146.39918640350879</v>
      </c>
      <c r="AG281" s="126">
        <f>+AF281/(1-Analisis!$E$9)</f>
        <v>182.99898300438599</v>
      </c>
      <c r="AH281" s="128">
        <f t="shared" si="367"/>
        <v>0</v>
      </c>
    </row>
    <row r="282" spans="1:34" s="73" customFormat="1" x14ac:dyDescent="0.25">
      <c r="A282" s="100"/>
      <c r="B282" s="114" t="s">
        <v>347</v>
      </c>
      <c r="C282" s="74">
        <f>IFERROR(VLOOKUP(B282,'REQ GALV'!A:B,2,0),0)</f>
        <v>0</v>
      </c>
      <c r="D282" s="116">
        <f t="shared" si="366"/>
        <v>184.53822825292397</v>
      </c>
      <c r="E282" s="103" t="s">
        <v>41</v>
      </c>
      <c r="F282" s="75" t="s">
        <v>147</v>
      </c>
      <c r="G282" s="90">
        <v>1.75</v>
      </c>
      <c r="H282" s="90">
        <v>4.57</v>
      </c>
      <c r="I282" s="76">
        <v>0.105</v>
      </c>
      <c r="J282" s="77">
        <v>28.24</v>
      </c>
      <c r="K282" s="78">
        <f t="shared" ref="K282" si="395">+L282*2.2/J282</f>
        <v>0.46035341910607513</v>
      </c>
      <c r="L282" s="58">
        <f>+VLOOKUP(E282,Material!$H$2:$M$17,6,FALSE)*G282*H282*(1+Material!$K$14)</f>
        <v>5.9092638888888906</v>
      </c>
      <c r="M282" s="79" t="str">
        <f>+Analisis!$J$5</f>
        <v>T5.0</v>
      </c>
      <c r="N282" s="80">
        <f>+VLOOKUP(M282,Material!$A$3:$B$58,2,FALSE)</f>
        <v>5000</v>
      </c>
      <c r="O282" s="79" t="s">
        <v>42</v>
      </c>
      <c r="P282" s="79" t="s">
        <v>43</v>
      </c>
      <c r="Q282" s="81">
        <f>+IF(O282="ACERO A36",VLOOKUP(P282,'Velocidades Std 1500 w'!$B$2:$F$15,5,FALSE),IF(O282="INOXIDABLE",VLOOKUP(P282,'Velocidades Std 1500 w'!$B$17:$F$28,5,FALSE),IF(O282="ALUMINIO",VLOOKUP(P282,'Velocidades Std 1500 w'!$B$30:$F$38,5,FALSE))))</f>
        <v>4.3859649122807014E-6</v>
      </c>
      <c r="R282" s="82">
        <f t="shared" ref="R282" si="396">+Q282*N282</f>
        <v>2.1929824561403508E-2</v>
      </c>
      <c r="S282" s="83">
        <f t="shared" ref="S282" si="397">+Q282*T282*3600</f>
        <v>11.639349473684208</v>
      </c>
      <c r="T282" s="110">
        <f t="shared" ref="T282" si="398">(+H282*2+G282*2+V282*1.5)*25.4*1.05</f>
        <v>737.15879999999993</v>
      </c>
      <c r="U282" s="80">
        <f t="shared" ref="U282" si="399">+T282*R282</f>
        <v>16.165763157894734</v>
      </c>
      <c r="V282" s="98">
        <v>10</v>
      </c>
      <c r="W282" s="84">
        <f>+IF(O282="ACERO A36",VLOOKUP(P282,'Tiempo Objeto'!$B$2:$C$12,2,FALSE),IF(O282="INOXIDABLE",VLOOKUP(P282,'Tiempo Objeto'!$B$14:$C$22,2,FALSE),IF(O282="ALUMINIO",VLOOKUP(P282,'Tiempo Objeto'!$B$24:$C$32,2,FALSE))))</f>
        <v>1.84</v>
      </c>
      <c r="X282" s="84">
        <f t="shared" ref="X282" si="400">+W282*V282</f>
        <v>18.400000000000002</v>
      </c>
      <c r="Y282" s="80">
        <f t="shared" ref="Y282" si="401">+X282*N282/3600</f>
        <v>25.555555555555561</v>
      </c>
      <c r="Z282" s="100">
        <v>4</v>
      </c>
      <c r="AA282" s="85">
        <f t="shared" ref="AA282" si="402">30*Z282+Z282*$C282*1.5</f>
        <v>120</v>
      </c>
      <c r="AB282" s="86">
        <f>+Z282*Analisis!$J$6</f>
        <v>100</v>
      </c>
      <c r="AC282" s="100">
        <v>0</v>
      </c>
      <c r="AD282" s="85">
        <f t="shared" ref="AD282" si="403">30*AC282+AC282*$C282*1.5</f>
        <v>0</v>
      </c>
      <c r="AE282" s="86">
        <f>+AD282*Analisis!$J$7</f>
        <v>0</v>
      </c>
      <c r="AF282" s="86">
        <f t="shared" si="365"/>
        <v>147.63058260233919</v>
      </c>
      <c r="AG282" s="126">
        <f>+AF282/(1-Analisis!$E$9)</f>
        <v>184.53822825292397</v>
      </c>
      <c r="AH282" s="128">
        <f t="shared" si="367"/>
        <v>0</v>
      </c>
    </row>
    <row r="283" spans="1:34" s="73" customFormat="1" x14ac:dyDescent="0.25">
      <c r="A283" s="100"/>
      <c r="B283" s="114" t="s">
        <v>465</v>
      </c>
      <c r="C283" s="74">
        <f>IFERROR(VLOOKUP(B283,'REQ GALV'!A:B,2,0),0)</f>
        <v>0</v>
      </c>
      <c r="D283" s="116">
        <f t="shared" si="366"/>
        <v>239.73857821637424</v>
      </c>
      <c r="E283" s="103" t="s">
        <v>41</v>
      </c>
      <c r="F283" s="75" t="s">
        <v>147</v>
      </c>
      <c r="G283" s="90">
        <v>2.5</v>
      </c>
      <c r="H283" s="90">
        <v>11.25</v>
      </c>
      <c r="I283" s="76">
        <v>0.105</v>
      </c>
      <c r="J283" s="77">
        <v>28.24</v>
      </c>
      <c r="K283" s="78">
        <f t="shared" si="256"/>
        <v>1.6189359065155811</v>
      </c>
      <c r="L283" s="58">
        <f>+VLOOKUP(E283,Material!$H$2:$M$17,6,FALSE)*G283*H283*(1+Material!$K$14)</f>
        <v>20.78125</v>
      </c>
      <c r="M283" s="79" t="str">
        <f>+Analisis!$J$5</f>
        <v>T5.0</v>
      </c>
      <c r="N283" s="80">
        <f>+VLOOKUP(M283,Material!$A$3:$B$58,2,FALSE)</f>
        <v>5000</v>
      </c>
      <c r="O283" s="79" t="s">
        <v>42</v>
      </c>
      <c r="P283" s="79" t="s">
        <v>43</v>
      </c>
      <c r="Q283" s="81">
        <f>+IF(O283="ACERO A36",VLOOKUP(P283,'Velocidades Std 1500 w'!$B$2:$F$15,5,FALSE),IF(O283="INOXIDABLE",VLOOKUP(P283,'Velocidades Std 1500 w'!$B$17:$F$28,5,FALSE),IF(O283="ALUMINIO",VLOOKUP(P283,'Velocidades Std 1500 w'!$B$30:$F$38,5,FALSE))))</f>
        <v>4.3859649122807014E-6</v>
      </c>
      <c r="R283" s="82">
        <f t="shared" si="257"/>
        <v>2.1929824561403508E-2</v>
      </c>
      <c r="S283" s="83">
        <f t="shared" si="258"/>
        <v>21.686921052631575</v>
      </c>
      <c r="T283" s="110">
        <f t="shared" si="259"/>
        <v>1373.5049999999999</v>
      </c>
      <c r="U283" s="80">
        <f t="shared" si="260"/>
        <v>30.120723684210521</v>
      </c>
      <c r="V283" s="98">
        <v>16</v>
      </c>
      <c r="W283" s="84">
        <f>+IF(O283="ACERO A36",VLOOKUP(P283,'Tiempo Objeto'!$B$2:$C$12,2,FALSE),IF(O283="INOXIDABLE",VLOOKUP(P283,'Tiempo Objeto'!$B$14:$C$22,2,FALSE),IF(O283="ALUMINIO",VLOOKUP(P283,'Tiempo Objeto'!$B$24:$C$32,2,FALSE))))</f>
        <v>1.84</v>
      </c>
      <c r="X283" s="84">
        <f t="shared" si="261"/>
        <v>29.44</v>
      </c>
      <c r="Y283" s="80">
        <f t="shared" si="262"/>
        <v>40.888888888888886</v>
      </c>
      <c r="Z283" s="100">
        <v>4</v>
      </c>
      <c r="AA283" s="85">
        <f t="shared" si="263"/>
        <v>120</v>
      </c>
      <c r="AB283" s="86">
        <f>+Z283*Analisis!$J$6</f>
        <v>100</v>
      </c>
      <c r="AC283" s="100">
        <v>0</v>
      </c>
      <c r="AD283" s="85">
        <f t="shared" si="264"/>
        <v>0</v>
      </c>
      <c r="AE283" s="86">
        <f>+AD283*Analisis!$J$7</f>
        <v>0</v>
      </c>
      <c r="AF283" s="86">
        <f t="shared" si="365"/>
        <v>191.79086257309939</v>
      </c>
      <c r="AG283" s="126">
        <f>+AF283/(1-Analisis!$E$9)</f>
        <v>239.73857821637424</v>
      </c>
      <c r="AH283" s="128">
        <f t="shared" si="367"/>
        <v>0</v>
      </c>
    </row>
    <row r="284" spans="1:34" s="73" customFormat="1" x14ac:dyDescent="0.25">
      <c r="A284" s="100"/>
      <c r="B284" s="114" t="s">
        <v>466</v>
      </c>
      <c r="C284" s="74">
        <f>IFERROR(VLOOKUP(B284,'REQ GALV'!A:B,2,0),0)</f>
        <v>0</v>
      </c>
      <c r="D284" s="116">
        <f t="shared" si="366"/>
        <v>237.85297880116957</v>
      </c>
      <c r="E284" s="103" t="s">
        <v>41</v>
      </c>
      <c r="F284" s="75" t="s">
        <v>147</v>
      </c>
      <c r="G284" s="90">
        <v>2.5</v>
      </c>
      <c r="H284" s="90">
        <v>10.75</v>
      </c>
      <c r="I284" s="76">
        <v>0.105</v>
      </c>
      <c r="J284" s="77">
        <v>28.24</v>
      </c>
      <c r="K284" s="78">
        <f t="shared" ref="K284:K285" si="404">+L284*2.2/J284</f>
        <v>1.5469831995593328</v>
      </c>
      <c r="L284" s="58">
        <f>+VLOOKUP(E284,Material!$H$2:$M$17,6,FALSE)*G284*H284*(1+Material!$K$14)</f>
        <v>19.857638888888889</v>
      </c>
      <c r="M284" s="79" t="str">
        <f>+Analisis!$J$5</f>
        <v>T5.0</v>
      </c>
      <c r="N284" s="80">
        <f>+VLOOKUP(M284,Material!$A$3:$B$58,2,FALSE)</f>
        <v>5000</v>
      </c>
      <c r="O284" s="79" t="s">
        <v>42</v>
      </c>
      <c r="P284" s="79" t="s">
        <v>43</v>
      </c>
      <c r="Q284" s="81">
        <f>+IF(O284="ACERO A36",VLOOKUP(P284,'Velocidades Std 1500 w'!$B$2:$F$15,5,FALSE),IF(O284="INOXIDABLE",VLOOKUP(P284,'Velocidades Std 1500 w'!$B$17:$F$28,5,FALSE),IF(O284="ALUMINIO",VLOOKUP(P284,'Velocidades Std 1500 w'!$B$30:$F$38,5,FALSE))))</f>
        <v>4.3859649122807014E-6</v>
      </c>
      <c r="R284" s="82">
        <f t="shared" ref="R284:R285" si="405">+Q284*N284</f>
        <v>2.1929824561403508E-2</v>
      </c>
      <c r="S284" s="83">
        <f t="shared" ref="S284:S285" si="406">+Q284*T284*3600</f>
        <v>21.265815789473681</v>
      </c>
      <c r="T284" s="110">
        <f t="shared" ref="T284:T285" si="407">(+H284*2+G284*2+V284*1.5)*25.4*1.05</f>
        <v>1346.8349999999998</v>
      </c>
      <c r="U284" s="80">
        <f t="shared" ref="U284:U285" si="408">+T284*R284</f>
        <v>29.535855263157888</v>
      </c>
      <c r="V284" s="98">
        <v>16</v>
      </c>
      <c r="W284" s="84">
        <f>+IF(O284="ACERO A36",VLOOKUP(P284,'Tiempo Objeto'!$B$2:$C$12,2,FALSE),IF(O284="INOXIDABLE",VLOOKUP(P284,'Tiempo Objeto'!$B$14:$C$22,2,FALSE),IF(O284="ALUMINIO",VLOOKUP(P284,'Tiempo Objeto'!$B$24:$C$32,2,FALSE))))</f>
        <v>1.84</v>
      </c>
      <c r="X284" s="84">
        <f t="shared" ref="X284:X285" si="409">+W284*V284</f>
        <v>29.44</v>
      </c>
      <c r="Y284" s="80">
        <f t="shared" ref="Y284:Y285" si="410">+X284*N284/3600</f>
        <v>40.888888888888886</v>
      </c>
      <c r="Z284" s="100">
        <v>4</v>
      </c>
      <c r="AA284" s="85">
        <f t="shared" ref="AA284:AA285" si="411">30*Z284+Z284*$C284*1.5</f>
        <v>120</v>
      </c>
      <c r="AB284" s="86">
        <f>+Z284*Analisis!$J$6</f>
        <v>100</v>
      </c>
      <c r="AC284" s="100">
        <v>0</v>
      </c>
      <c r="AD284" s="85">
        <f t="shared" ref="AD284:AD285" si="412">30*AC284+AC284*$C284*1.5</f>
        <v>0</v>
      </c>
      <c r="AE284" s="86">
        <f>+AD284*Analisis!$J$7</f>
        <v>0</v>
      </c>
      <c r="AF284" s="86">
        <f t="shared" si="365"/>
        <v>190.28238304093566</v>
      </c>
      <c r="AG284" s="126">
        <f>+AF284/(1-Analisis!$E$9)</f>
        <v>237.85297880116957</v>
      </c>
      <c r="AH284" s="128">
        <f t="shared" si="367"/>
        <v>0</v>
      </c>
    </row>
    <row r="285" spans="1:34" s="73" customFormat="1" x14ac:dyDescent="0.25">
      <c r="A285" s="100"/>
      <c r="B285" s="114" t="s">
        <v>348</v>
      </c>
      <c r="C285" s="74">
        <f>IFERROR(VLOOKUP(B285,'REQ GALV'!A:B,2,0),0)</f>
        <v>0</v>
      </c>
      <c r="D285" s="116">
        <f t="shared" si="366"/>
        <v>241.62417763157893</v>
      </c>
      <c r="E285" s="103" t="s">
        <v>41</v>
      </c>
      <c r="F285" s="75" t="s">
        <v>147</v>
      </c>
      <c r="G285" s="90">
        <v>2.5</v>
      </c>
      <c r="H285" s="90">
        <v>11.75</v>
      </c>
      <c r="I285" s="76">
        <v>0.105</v>
      </c>
      <c r="J285" s="77">
        <v>28.24</v>
      </c>
      <c r="K285" s="78">
        <f t="shared" si="404"/>
        <v>1.6908886134718291</v>
      </c>
      <c r="L285" s="58">
        <f>+VLOOKUP(E285,Material!$H$2:$M$17,6,FALSE)*G285*H285*(1+Material!$K$14)</f>
        <v>21.704861111111111</v>
      </c>
      <c r="M285" s="79" t="str">
        <f>+Analisis!$J$5</f>
        <v>T5.0</v>
      </c>
      <c r="N285" s="80">
        <f>+VLOOKUP(M285,Material!$A$3:$B$58,2,FALSE)</f>
        <v>5000</v>
      </c>
      <c r="O285" s="79" t="s">
        <v>42</v>
      </c>
      <c r="P285" s="79" t="s">
        <v>43</v>
      </c>
      <c r="Q285" s="81">
        <f>+IF(O285="ACERO A36",VLOOKUP(P285,'Velocidades Std 1500 w'!$B$2:$F$15,5,FALSE),IF(O285="INOXIDABLE",VLOOKUP(P285,'Velocidades Std 1500 w'!$B$17:$F$28,5,FALSE),IF(O285="ALUMINIO",VLOOKUP(P285,'Velocidades Std 1500 w'!$B$30:$F$38,5,FALSE))))</f>
        <v>4.3859649122807014E-6</v>
      </c>
      <c r="R285" s="82">
        <f t="shared" si="405"/>
        <v>2.1929824561403508E-2</v>
      </c>
      <c r="S285" s="83">
        <f t="shared" si="406"/>
        <v>22.108026315789473</v>
      </c>
      <c r="T285" s="110">
        <f t="shared" si="407"/>
        <v>1400.175</v>
      </c>
      <c r="U285" s="80">
        <f t="shared" si="408"/>
        <v>30.705592105263154</v>
      </c>
      <c r="V285" s="98">
        <v>16</v>
      </c>
      <c r="W285" s="84">
        <f>+IF(O285="ACERO A36",VLOOKUP(P285,'Tiempo Objeto'!$B$2:$C$12,2,FALSE),IF(O285="INOXIDABLE",VLOOKUP(P285,'Tiempo Objeto'!$B$14:$C$22,2,FALSE),IF(O285="ALUMINIO",VLOOKUP(P285,'Tiempo Objeto'!$B$24:$C$32,2,FALSE))))</f>
        <v>1.84</v>
      </c>
      <c r="X285" s="84">
        <f t="shared" si="409"/>
        <v>29.44</v>
      </c>
      <c r="Y285" s="80">
        <f t="shared" si="410"/>
        <v>40.888888888888886</v>
      </c>
      <c r="Z285" s="100">
        <v>4</v>
      </c>
      <c r="AA285" s="85">
        <f t="shared" si="411"/>
        <v>120</v>
      </c>
      <c r="AB285" s="86">
        <f>+Z285*Analisis!$J$6</f>
        <v>100</v>
      </c>
      <c r="AC285" s="100">
        <v>0</v>
      </c>
      <c r="AD285" s="85">
        <f t="shared" si="412"/>
        <v>0</v>
      </c>
      <c r="AE285" s="86">
        <f>+AD285*Analisis!$J$7</f>
        <v>0</v>
      </c>
      <c r="AF285" s="86">
        <f t="shared" si="365"/>
        <v>193.29934210526315</v>
      </c>
      <c r="AG285" s="126">
        <f>+AF285/(1-Analisis!$E$9)</f>
        <v>241.62417763157893</v>
      </c>
      <c r="AH285" s="128">
        <f t="shared" si="367"/>
        <v>0</v>
      </c>
    </row>
    <row r="286" spans="1:34" s="73" customFormat="1" x14ac:dyDescent="0.25">
      <c r="A286" s="100"/>
      <c r="B286" s="114" t="s">
        <v>349</v>
      </c>
      <c r="C286" s="74">
        <f>IFERROR(VLOOKUP(B286,'REQ GALV'!A:B,2,0),0)</f>
        <v>0</v>
      </c>
      <c r="D286" s="116">
        <f t="shared" si="366"/>
        <v>85.314641812865489</v>
      </c>
      <c r="E286" s="103" t="s">
        <v>41</v>
      </c>
      <c r="F286" s="75" t="s">
        <v>147</v>
      </c>
      <c r="G286" s="90">
        <v>2</v>
      </c>
      <c r="H286" s="90">
        <v>5.08</v>
      </c>
      <c r="I286" s="76">
        <v>0.105</v>
      </c>
      <c r="J286" s="77">
        <v>28.24</v>
      </c>
      <c r="K286" s="78">
        <f t="shared" si="256"/>
        <v>0.5848316021403841</v>
      </c>
      <c r="L286" s="58">
        <f>+VLOOKUP(E286,Material!$H$2:$M$17,6,FALSE)*G286*H286*(1+Material!$K$14)</f>
        <v>7.5071111111111124</v>
      </c>
      <c r="M286" s="79" t="str">
        <f>+Analisis!$J$5</f>
        <v>T5.0</v>
      </c>
      <c r="N286" s="80">
        <f>+VLOOKUP(M286,Material!$A$3:$B$58,2,FALSE)</f>
        <v>5000</v>
      </c>
      <c r="O286" s="79" t="s">
        <v>42</v>
      </c>
      <c r="P286" s="79" t="s">
        <v>43</v>
      </c>
      <c r="Q286" s="81">
        <f>+IF(O286="ACERO A36",VLOOKUP(P286,'Velocidades Std 1500 w'!$B$2:$F$15,5,FALSE),IF(O286="INOXIDABLE",VLOOKUP(P286,'Velocidades Std 1500 w'!$B$17:$F$28,5,FALSE),IF(O286="ALUMINIO",VLOOKUP(P286,'Velocidades Std 1500 w'!$B$30:$F$38,5,FALSE))))</f>
        <v>4.3859649122807014E-6</v>
      </c>
      <c r="R286" s="82">
        <f t="shared" si="257"/>
        <v>2.1929824561403508E-2</v>
      </c>
      <c r="S286" s="83">
        <f t="shared" si="258"/>
        <v>11.016113684210524</v>
      </c>
      <c r="T286" s="110">
        <f t="shared" si="259"/>
        <v>697.68719999999996</v>
      </c>
      <c r="U286" s="80">
        <f t="shared" si="260"/>
        <v>15.30015789473684</v>
      </c>
      <c r="V286" s="98">
        <v>8</v>
      </c>
      <c r="W286" s="84">
        <f>+IF(O286="ACERO A36",VLOOKUP(P286,'Tiempo Objeto'!$B$2:$C$12,2,FALSE),IF(O286="INOXIDABLE",VLOOKUP(P286,'Tiempo Objeto'!$B$14:$C$22,2,FALSE),IF(O286="ALUMINIO",VLOOKUP(P286,'Tiempo Objeto'!$B$24:$C$32,2,FALSE))))</f>
        <v>1.84</v>
      </c>
      <c r="X286" s="84">
        <f t="shared" si="261"/>
        <v>14.72</v>
      </c>
      <c r="Y286" s="80">
        <f t="shared" si="262"/>
        <v>20.444444444444443</v>
      </c>
      <c r="Z286" s="100">
        <v>1</v>
      </c>
      <c r="AA286" s="85">
        <f t="shared" si="263"/>
        <v>30</v>
      </c>
      <c r="AB286" s="86">
        <f>+Z286*Analisis!$J$6</f>
        <v>25</v>
      </c>
      <c r="AC286" s="100">
        <v>0</v>
      </c>
      <c r="AD286" s="85">
        <f t="shared" si="264"/>
        <v>0</v>
      </c>
      <c r="AE286" s="86">
        <f>+AD286*Analisis!$J$7</f>
        <v>0</v>
      </c>
      <c r="AF286" s="86">
        <f t="shared" si="365"/>
        <v>68.251713450292399</v>
      </c>
      <c r="AG286" s="126">
        <f>+AF286/(1-Analisis!$E$9)</f>
        <v>85.314641812865489</v>
      </c>
      <c r="AH286" s="128">
        <f t="shared" si="367"/>
        <v>0</v>
      </c>
    </row>
    <row r="287" spans="1:34" s="73" customFormat="1" x14ac:dyDescent="0.25">
      <c r="A287" s="100"/>
      <c r="B287" s="114" t="s">
        <v>350</v>
      </c>
      <c r="C287" s="74">
        <f>IFERROR(VLOOKUP(B287,'REQ GALV'!A:B,2,0),0)</f>
        <v>0</v>
      </c>
      <c r="D287" s="116">
        <f t="shared" si="366"/>
        <v>112.48130116959064</v>
      </c>
      <c r="E287" s="103" t="s">
        <v>41</v>
      </c>
      <c r="F287" s="75" t="s">
        <v>147</v>
      </c>
      <c r="G287" s="90">
        <v>3.5</v>
      </c>
      <c r="H287" s="90">
        <v>4.0720000000000001</v>
      </c>
      <c r="I287" s="76">
        <v>0.105</v>
      </c>
      <c r="J287" s="77">
        <v>28.24</v>
      </c>
      <c r="K287" s="78">
        <f t="shared" si="256"/>
        <v>0.82037598363235775</v>
      </c>
      <c r="L287" s="58">
        <f>+VLOOKUP(E287,Material!$H$2:$M$17,6,FALSE)*G287*H287*(1+Material!$K$14)</f>
        <v>10.530644444444446</v>
      </c>
      <c r="M287" s="79" t="str">
        <f>+Analisis!$J$5</f>
        <v>T5.0</v>
      </c>
      <c r="N287" s="80">
        <f>+VLOOKUP(M287,Material!$A$3:$B$58,2,FALSE)</f>
        <v>5000</v>
      </c>
      <c r="O287" s="79" t="s">
        <v>42</v>
      </c>
      <c r="P287" s="79" t="s">
        <v>43</v>
      </c>
      <c r="Q287" s="81">
        <f>+IF(O287="ACERO A36",VLOOKUP(P287,'Velocidades Std 1500 w'!$B$2:$F$15,5,FALSE),IF(O287="INOXIDABLE",VLOOKUP(P287,'Velocidades Std 1500 w'!$B$17:$F$28,5,FALSE),IF(O287="ALUMINIO",VLOOKUP(P287,'Velocidades Std 1500 w'!$B$30:$F$38,5,FALSE))))</f>
        <v>4.3859649122807014E-6</v>
      </c>
      <c r="R287" s="82">
        <f t="shared" si="257"/>
        <v>2.1929824561403508E-2</v>
      </c>
      <c r="S287" s="83">
        <f t="shared" si="258"/>
        <v>10.167165473684207</v>
      </c>
      <c r="T287" s="110">
        <f t="shared" si="259"/>
        <v>643.92047999999988</v>
      </c>
      <c r="U287" s="80">
        <f t="shared" si="260"/>
        <v>14.121063157894733</v>
      </c>
      <c r="V287" s="98">
        <v>6</v>
      </c>
      <c r="W287" s="84">
        <f>+IF(O287="ACERO A36",VLOOKUP(P287,'Tiempo Objeto'!$B$2:$C$12,2,FALSE),IF(O287="INOXIDABLE",VLOOKUP(P287,'Tiempo Objeto'!$B$14:$C$22,2,FALSE),IF(O287="ALUMINIO",VLOOKUP(P287,'Tiempo Objeto'!$B$24:$C$32,2,FALSE))))</f>
        <v>1.84</v>
      </c>
      <c r="X287" s="84">
        <f t="shared" si="261"/>
        <v>11.040000000000001</v>
      </c>
      <c r="Y287" s="80">
        <f t="shared" si="262"/>
        <v>15.333333333333336</v>
      </c>
      <c r="Z287" s="100">
        <v>2</v>
      </c>
      <c r="AA287" s="85">
        <f t="shared" si="263"/>
        <v>60</v>
      </c>
      <c r="AB287" s="86">
        <f>+Z287*Analisis!$J$6</f>
        <v>50</v>
      </c>
      <c r="AC287" s="100">
        <v>0</v>
      </c>
      <c r="AD287" s="85">
        <f t="shared" si="264"/>
        <v>0</v>
      </c>
      <c r="AE287" s="86">
        <f>+AD287*Analisis!$J$7</f>
        <v>0</v>
      </c>
      <c r="AF287" s="86">
        <f t="shared" si="365"/>
        <v>89.985040935672515</v>
      </c>
      <c r="AG287" s="126">
        <f>+AF287/(1-Analisis!$E$9)</f>
        <v>112.48130116959064</v>
      </c>
      <c r="AH287" s="128">
        <f t="shared" si="367"/>
        <v>0</v>
      </c>
    </row>
    <row r="288" spans="1:34" s="73" customFormat="1" x14ac:dyDescent="0.25">
      <c r="A288" s="100"/>
      <c r="B288" s="114" t="s">
        <v>351</v>
      </c>
      <c r="C288" s="74">
        <f>IFERROR(VLOOKUP(B288,'REQ GALV'!A:B,2,0),0)</f>
        <v>0</v>
      </c>
      <c r="D288" s="116">
        <f t="shared" si="366"/>
        <v>86.995813596491232</v>
      </c>
      <c r="E288" s="103" t="s">
        <v>41</v>
      </c>
      <c r="F288" s="75" t="s">
        <v>147</v>
      </c>
      <c r="G288" s="90">
        <v>2</v>
      </c>
      <c r="H288" s="90">
        <v>5.5880000000000001</v>
      </c>
      <c r="I288" s="76">
        <v>0.105</v>
      </c>
      <c r="J288" s="77">
        <v>28.24</v>
      </c>
      <c r="K288" s="78">
        <f t="shared" si="256"/>
        <v>0.64331476235442264</v>
      </c>
      <c r="L288" s="58">
        <f>+VLOOKUP(E288,Material!$H$2:$M$17,6,FALSE)*G288*H288*(1+Material!$K$14)</f>
        <v>8.2578222222222237</v>
      </c>
      <c r="M288" s="79" t="str">
        <f>+Analisis!$J$5</f>
        <v>T5.0</v>
      </c>
      <c r="N288" s="80">
        <f>+VLOOKUP(M288,Material!$A$3:$B$58,2,FALSE)</f>
        <v>5000</v>
      </c>
      <c r="O288" s="79" t="s">
        <v>42</v>
      </c>
      <c r="P288" s="79" t="s">
        <v>43</v>
      </c>
      <c r="Q288" s="81">
        <f>+IF(O288="ACERO A36",VLOOKUP(P288,'Velocidades Std 1500 w'!$B$2:$F$15,5,FALSE),IF(O288="INOXIDABLE",VLOOKUP(P288,'Velocidades Std 1500 w'!$B$17:$F$28,5,FALSE),IF(O288="ALUMINIO",VLOOKUP(P288,'Velocidades Std 1500 w'!$B$30:$F$38,5,FALSE))))</f>
        <v>4.3859649122807014E-6</v>
      </c>
      <c r="R288" s="82">
        <f t="shared" si="257"/>
        <v>2.1929824561403508E-2</v>
      </c>
      <c r="S288" s="83">
        <f t="shared" si="258"/>
        <v>11.443956631578947</v>
      </c>
      <c r="T288" s="110">
        <f t="shared" si="259"/>
        <v>724.78392000000008</v>
      </c>
      <c r="U288" s="80">
        <f t="shared" si="260"/>
        <v>15.894384210526317</v>
      </c>
      <c r="V288" s="98">
        <v>8</v>
      </c>
      <c r="W288" s="84">
        <f>+IF(O288="ACERO A36",VLOOKUP(P288,'Tiempo Objeto'!$B$2:$C$12,2,FALSE),IF(O288="INOXIDABLE",VLOOKUP(P288,'Tiempo Objeto'!$B$14:$C$22,2,FALSE),IF(O288="ALUMINIO",VLOOKUP(P288,'Tiempo Objeto'!$B$24:$C$32,2,FALSE))))</f>
        <v>1.84</v>
      </c>
      <c r="X288" s="84">
        <f t="shared" si="261"/>
        <v>14.72</v>
      </c>
      <c r="Y288" s="80">
        <f t="shared" si="262"/>
        <v>20.444444444444443</v>
      </c>
      <c r="Z288" s="100">
        <v>1</v>
      </c>
      <c r="AA288" s="85">
        <f t="shared" si="263"/>
        <v>30</v>
      </c>
      <c r="AB288" s="86">
        <f>+Z288*Analisis!$J$6</f>
        <v>25</v>
      </c>
      <c r="AC288" s="100">
        <v>0</v>
      </c>
      <c r="AD288" s="85">
        <f t="shared" si="264"/>
        <v>0</v>
      </c>
      <c r="AE288" s="86">
        <f>+AD288*Analisis!$J$7</f>
        <v>0</v>
      </c>
      <c r="AF288" s="86">
        <f t="shared" si="365"/>
        <v>69.596650877192985</v>
      </c>
      <c r="AG288" s="126">
        <f>+AF288/(1-Analisis!$E$9)</f>
        <v>86.995813596491232</v>
      </c>
      <c r="AH288" s="128">
        <f t="shared" si="367"/>
        <v>0</v>
      </c>
    </row>
    <row r="289" spans="1:35" s="73" customFormat="1" x14ac:dyDescent="0.25">
      <c r="A289" s="100"/>
      <c r="B289" s="114" t="s">
        <v>352</v>
      </c>
      <c r="C289" s="74">
        <f>IFERROR(VLOOKUP(B289,'REQ GALV'!A:B,2,0),0)</f>
        <v>0</v>
      </c>
      <c r="D289" s="116">
        <f t="shared" si="366"/>
        <v>229.07585642543859</v>
      </c>
      <c r="E289" s="103" t="s">
        <v>41</v>
      </c>
      <c r="F289" s="75" t="s">
        <v>147</v>
      </c>
      <c r="G289" s="90">
        <v>4.2309999999999999</v>
      </c>
      <c r="H289" s="90">
        <v>8.64</v>
      </c>
      <c r="I289" s="76">
        <v>0.105</v>
      </c>
      <c r="J289" s="77">
        <v>28.24</v>
      </c>
      <c r="K289" s="78">
        <f t="shared" si="256"/>
        <v>2.1042333144475927</v>
      </c>
      <c r="L289" s="58">
        <f>+VLOOKUP(E289,Material!$H$2:$M$17,6,FALSE)*G289*H289*(1+Material!$K$14)</f>
        <v>27.010704000000004</v>
      </c>
      <c r="M289" s="79" t="str">
        <f>+Analisis!$J$5</f>
        <v>T5.0</v>
      </c>
      <c r="N289" s="80">
        <f>+VLOOKUP(M289,Material!$A$3:$B$58,2,FALSE)</f>
        <v>5000</v>
      </c>
      <c r="O289" s="79" t="s">
        <v>42</v>
      </c>
      <c r="P289" s="79" t="s">
        <v>43</v>
      </c>
      <c r="Q289" s="81">
        <f>+IF(O289="ACERO A36",VLOOKUP(P289,'Velocidades Std 1500 w'!$B$2:$F$15,5,FALSE),IF(O289="INOXIDABLE",VLOOKUP(P289,'Velocidades Std 1500 w'!$B$17:$F$28,5,FALSE),IF(O289="ALUMINIO",VLOOKUP(P289,'Velocidades Std 1500 w'!$B$30:$F$38,5,FALSE))))</f>
        <v>4.3859649122807014E-6</v>
      </c>
      <c r="R289" s="82">
        <f t="shared" si="257"/>
        <v>2.1929824561403508E-2</v>
      </c>
      <c r="S289" s="83">
        <f t="shared" si="258"/>
        <v>18.419986421052631</v>
      </c>
      <c r="T289" s="110">
        <f t="shared" si="259"/>
        <v>1166.59914</v>
      </c>
      <c r="U289" s="80">
        <f t="shared" si="260"/>
        <v>25.583314473684212</v>
      </c>
      <c r="V289" s="98">
        <v>12</v>
      </c>
      <c r="W289" s="84">
        <f>+IF(O289="ACERO A36",VLOOKUP(P289,'Tiempo Objeto'!$B$2:$C$12,2,FALSE),IF(O289="INOXIDABLE",VLOOKUP(P289,'Tiempo Objeto'!$B$14:$C$22,2,FALSE),IF(O289="ALUMINIO",VLOOKUP(P289,'Tiempo Objeto'!$B$24:$C$32,2,FALSE))))</f>
        <v>1.84</v>
      </c>
      <c r="X289" s="84">
        <f t="shared" si="261"/>
        <v>22.080000000000002</v>
      </c>
      <c r="Y289" s="80">
        <f t="shared" si="262"/>
        <v>30.666666666666671</v>
      </c>
      <c r="Z289" s="100">
        <v>4</v>
      </c>
      <c r="AA289" s="85">
        <f t="shared" si="263"/>
        <v>120</v>
      </c>
      <c r="AB289" s="86">
        <f>+Z289*Analisis!$J$6</f>
        <v>100</v>
      </c>
      <c r="AC289" s="100">
        <v>0</v>
      </c>
      <c r="AD289" s="85">
        <f t="shared" si="264"/>
        <v>0</v>
      </c>
      <c r="AE289" s="86">
        <f>+AD289*Analisis!$J$7</f>
        <v>0</v>
      </c>
      <c r="AF289" s="86">
        <f t="shared" si="365"/>
        <v>183.26068514035089</v>
      </c>
      <c r="AG289" s="126">
        <f>+AF289/(1-Analisis!$E$9)</f>
        <v>229.07585642543859</v>
      </c>
      <c r="AH289" s="128">
        <f t="shared" si="367"/>
        <v>0</v>
      </c>
    </row>
    <row r="290" spans="1:35" s="73" customFormat="1" x14ac:dyDescent="0.25">
      <c r="A290" s="100"/>
      <c r="B290" s="114" t="s">
        <v>353</v>
      </c>
      <c r="C290" s="74">
        <f>IFERROR(VLOOKUP(B290,'REQ GALV'!A:B,2,0),0)</f>
        <v>0</v>
      </c>
      <c r="D290" s="116">
        <f t="shared" si="366"/>
        <v>456.18233890350876</v>
      </c>
      <c r="E290" s="103" t="s">
        <v>41</v>
      </c>
      <c r="F290" s="75" t="s">
        <v>147</v>
      </c>
      <c r="G290" s="90">
        <v>4.8600000000000003</v>
      </c>
      <c r="H290" s="90">
        <v>43.642000000000003</v>
      </c>
      <c r="I290" s="76">
        <v>0.105</v>
      </c>
      <c r="J290" s="77">
        <v>28.24</v>
      </c>
      <c r="K290" s="78">
        <f t="shared" si="256"/>
        <v>12.208942223796038</v>
      </c>
      <c r="L290" s="58">
        <f>+VLOOKUP(E290,Material!$H$2:$M$17,6,FALSE)*G290*H290*(1+Material!$K$14)</f>
        <v>156.71842200000003</v>
      </c>
      <c r="M290" s="79" t="str">
        <f>+Analisis!$J$5</f>
        <v>T5.0</v>
      </c>
      <c r="N290" s="80">
        <f>+VLOOKUP(M290,Material!$A$3:$B$58,2,FALSE)</f>
        <v>5000</v>
      </c>
      <c r="O290" s="79" t="s">
        <v>42</v>
      </c>
      <c r="P290" s="79" t="s">
        <v>43</v>
      </c>
      <c r="Q290" s="81">
        <f>+IF(O290="ACERO A36",VLOOKUP(P290,'Velocidades Std 1500 w'!$B$2:$F$15,5,FALSE),IF(O290="INOXIDABLE",VLOOKUP(P290,'Velocidades Std 1500 w'!$B$17:$F$28,5,FALSE),IF(O290="ALUMINIO",VLOOKUP(P290,'Velocidades Std 1500 w'!$B$30:$F$38,5,FALSE))))</f>
        <v>4.3859649122807014E-6</v>
      </c>
      <c r="R290" s="82">
        <f t="shared" si="257"/>
        <v>2.1929824561403508E-2</v>
      </c>
      <c r="S290" s="83">
        <f t="shared" si="258"/>
        <v>50.323763368421055</v>
      </c>
      <c r="T290" s="110">
        <f t="shared" si="259"/>
        <v>3187.1716800000004</v>
      </c>
      <c r="U290" s="80">
        <f t="shared" si="260"/>
        <v>69.894115789473688</v>
      </c>
      <c r="V290" s="98">
        <v>15</v>
      </c>
      <c r="W290" s="84">
        <f>+IF(O290="ACERO A36",VLOOKUP(P290,'Tiempo Objeto'!$B$2:$C$12,2,FALSE),IF(O290="INOXIDABLE",VLOOKUP(P290,'Tiempo Objeto'!$B$14:$C$22,2,FALSE),IF(O290="ALUMINIO",VLOOKUP(P290,'Tiempo Objeto'!$B$24:$C$32,2,FALSE))))</f>
        <v>1.84</v>
      </c>
      <c r="X290" s="84">
        <f t="shared" si="261"/>
        <v>27.6</v>
      </c>
      <c r="Y290" s="80">
        <f t="shared" si="262"/>
        <v>38.333333333333336</v>
      </c>
      <c r="Z290" s="100">
        <v>4</v>
      </c>
      <c r="AA290" s="85">
        <f t="shared" si="263"/>
        <v>120</v>
      </c>
      <c r="AB290" s="86">
        <f>+Z290*Analisis!$J$6</f>
        <v>100</v>
      </c>
      <c r="AC290" s="100">
        <v>0</v>
      </c>
      <c r="AD290" s="85">
        <f t="shared" si="264"/>
        <v>0</v>
      </c>
      <c r="AE290" s="86">
        <f>+AD290*Analisis!$J$7</f>
        <v>0</v>
      </c>
      <c r="AF290" s="86">
        <f t="shared" si="365"/>
        <v>364.94587112280703</v>
      </c>
      <c r="AG290" s="126">
        <f>+AF290/(1-Analisis!$E$9)</f>
        <v>456.18233890350876</v>
      </c>
      <c r="AH290" s="128">
        <f t="shared" si="367"/>
        <v>0</v>
      </c>
    </row>
    <row r="291" spans="1:35" s="73" customFormat="1" x14ac:dyDescent="0.25">
      <c r="A291" s="100"/>
      <c r="B291" s="114" t="s">
        <v>354</v>
      </c>
      <c r="C291" s="74">
        <f>IFERROR(VLOOKUP(B291,'REQ GALV'!A:B,2,0),0)</f>
        <v>0</v>
      </c>
      <c r="D291" s="116">
        <f t="shared" si="366"/>
        <v>386.48792032163743</v>
      </c>
      <c r="E291" s="103" t="s">
        <v>41</v>
      </c>
      <c r="F291" s="75" t="s">
        <v>147</v>
      </c>
      <c r="G291" s="90">
        <v>4.3600000000000003</v>
      </c>
      <c r="H291" s="90">
        <v>34.75</v>
      </c>
      <c r="I291" s="76">
        <v>0.105</v>
      </c>
      <c r="J291" s="77">
        <v>28.24</v>
      </c>
      <c r="K291" s="78">
        <f t="shared" si="256"/>
        <v>8.7212437047529132</v>
      </c>
      <c r="L291" s="58">
        <f>+VLOOKUP(E291,Material!$H$2:$M$17,6,FALSE)*G291*H291*(1+Material!$K$14)</f>
        <v>111.94905555555557</v>
      </c>
      <c r="M291" s="79" t="str">
        <f>+Analisis!$J$5</f>
        <v>T5.0</v>
      </c>
      <c r="N291" s="80">
        <f>+VLOOKUP(M291,Material!$A$3:$B$58,2,FALSE)</f>
        <v>5000</v>
      </c>
      <c r="O291" s="79" t="s">
        <v>42</v>
      </c>
      <c r="P291" s="79" t="s">
        <v>43</v>
      </c>
      <c r="Q291" s="81">
        <f>+IF(O291="ACERO A36",VLOOKUP(P291,'Velocidades Std 1500 w'!$B$2:$F$15,5,FALSE),IF(O291="INOXIDABLE",VLOOKUP(P291,'Velocidades Std 1500 w'!$B$17:$F$28,5,FALSE),IF(O291="ALUMINIO",VLOOKUP(P291,'Velocidades Std 1500 w'!$B$30:$F$38,5,FALSE))))</f>
        <v>4.3859649122807014E-6</v>
      </c>
      <c r="R291" s="82">
        <f t="shared" si="257"/>
        <v>2.1929824561403508E-2</v>
      </c>
      <c r="S291" s="83">
        <f t="shared" si="258"/>
        <v>42.413722105263155</v>
      </c>
      <c r="T291" s="110">
        <f t="shared" si="259"/>
        <v>2686.2024000000001</v>
      </c>
      <c r="U291" s="80">
        <f t="shared" si="260"/>
        <v>58.907947368421056</v>
      </c>
      <c r="V291" s="98">
        <v>15</v>
      </c>
      <c r="W291" s="84">
        <f>+IF(O291="ACERO A36",VLOOKUP(P291,'Tiempo Objeto'!$B$2:$C$12,2,FALSE),IF(O291="INOXIDABLE",VLOOKUP(P291,'Tiempo Objeto'!$B$14:$C$22,2,FALSE),IF(O291="ALUMINIO",VLOOKUP(P291,'Tiempo Objeto'!$B$24:$C$32,2,FALSE))))</f>
        <v>1.84</v>
      </c>
      <c r="X291" s="84">
        <f t="shared" si="261"/>
        <v>27.6</v>
      </c>
      <c r="Y291" s="80">
        <f t="shared" si="262"/>
        <v>38.333333333333336</v>
      </c>
      <c r="Z291" s="100">
        <v>4</v>
      </c>
      <c r="AA291" s="85">
        <f t="shared" si="263"/>
        <v>120</v>
      </c>
      <c r="AB291" s="86">
        <f>+Z291*Analisis!$J$6</f>
        <v>100</v>
      </c>
      <c r="AC291" s="100">
        <v>0</v>
      </c>
      <c r="AD291" s="85">
        <f t="shared" si="264"/>
        <v>0</v>
      </c>
      <c r="AE291" s="86">
        <f>+AD291*Analisis!$J$7</f>
        <v>0</v>
      </c>
      <c r="AF291" s="86">
        <f t="shared" si="365"/>
        <v>309.19033625730998</v>
      </c>
      <c r="AG291" s="126">
        <f>+AF291/(1-Analisis!$E$9)</f>
        <v>386.48792032163743</v>
      </c>
      <c r="AH291" s="128">
        <f t="shared" si="367"/>
        <v>0</v>
      </c>
    </row>
    <row r="292" spans="1:35" s="73" customFormat="1" x14ac:dyDescent="0.25">
      <c r="A292" s="100"/>
      <c r="B292" s="114" t="s">
        <v>360</v>
      </c>
      <c r="C292" s="74">
        <f>IFERROR(VLOOKUP(B292,'REQ GALV'!A:B,2,0),0)</f>
        <v>0</v>
      </c>
      <c r="D292" s="116">
        <f t="shared" si="366"/>
        <v>451.57380884502925</v>
      </c>
      <c r="E292" s="103" t="s">
        <v>41</v>
      </c>
      <c r="F292" s="75" t="s">
        <v>147</v>
      </c>
      <c r="G292" s="90">
        <v>17.088000000000001</v>
      </c>
      <c r="H292" s="90">
        <v>22</v>
      </c>
      <c r="I292" s="76">
        <v>0.105</v>
      </c>
      <c r="J292" s="77">
        <v>28.24</v>
      </c>
      <c r="K292" s="78">
        <f t="shared" si="256"/>
        <v>21.639690273843254</v>
      </c>
      <c r="L292" s="58">
        <f>+VLOOKUP(E292,Material!$H$2:$M$17,6,FALSE)*G292*H292*(1+Material!$K$14)</f>
        <v>277.77493333333337</v>
      </c>
      <c r="M292" s="79" t="str">
        <f>+Analisis!$J$5</f>
        <v>T5.0</v>
      </c>
      <c r="N292" s="80">
        <f>+VLOOKUP(M292,Material!$A$3:$B$58,2,FALSE)</f>
        <v>5000</v>
      </c>
      <c r="O292" s="79" t="s">
        <v>42</v>
      </c>
      <c r="P292" s="79" t="s">
        <v>43</v>
      </c>
      <c r="Q292" s="81">
        <f>+IF(O292="ACERO A36",VLOOKUP(P292,'Velocidades Std 1500 w'!$B$2:$F$15,5,FALSE),IF(O292="INOXIDABLE",VLOOKUP(P292,'Velocidades Std 1500 w'!$B$17:$F$28,5,FALSE),IF(O292="ALUMINIO",VLOOKUP(P292,'Velocidades Std 1500 w'!$B$30:$F$38,5,FALSE))))</f>
        <v>4.3859649122807014E-6</v>
      </c>
      <c r="R292" s="82">
        <f t="shared" si="257"/>
        <v>2.1929824561403508E-2</v>
      </c>
      <c r="S292" s="83">
        <f t="shared" si="258"/>
        <v>39.868561894736835</v>
      </c>
      <c r="T292" s="110">
        <f t="shared" si="259"/>
        <v>2525.0089199999998</v>
      </c>
      <c r="U292" s="80">
        <f t="shared" si="260"/>
        <v>55.373002631578942</v>
      </c>
      <c r="V292" s="98">
        <v>11</v>
      </c>
      <c r="W292" s="84">
        <f>+IF(O292="ACERO A36",VLOOKUP(P292,'Tiempo Objeto'!$B$2:$C$12,2,FALSE),IF(O292="INOXIDABLE",VLOOKUP(P292,'Tiempo Objeto'!$B$14:$C$22,2,FALSE),IF(O292="ALUMINIO",VLOOKUP(P292,'Tiempo Objeto'!$B$24:$C$32,2,FALSE))))</f>
        <v>1.84</v>
      </c>
      <c r="X292" s="84">
        <f t="shared" si="261"/>
        <v>20.240000000000002</v>
      </c>
      <c r="Y292" s="80">
        <f t="shared" si="262"/>
        <v>28.111111111111114</v>
      </c>
      <c r="Z292" s="100">
        <v>0</v>
      </c>
      <c r="AA292" s="85">
        <f t="shared" si="263"/>
        <v>0</v>
      </c>
      <c r="AB292" s="86">
        <f>+Z292*Analisis!$J$6</f>
        <v>0</v>
      </c>
      <c r="AC292" s="100">
        <v>0</v>
      </c>
      <c r="AD292" s="85">
        <f t="shared" si="264"/>
        <v>0</v>
      </c>
      <c r="AE292" s="86">
        <f>+AD292*Analisis!$J$7</f>
        <v>0</v>
      </c>
      <c r="AF292" s="86">
        <f t="shared" si="365"/>
        <v>361.25904707602342</v>
      </c>
      <c r="AG292" s="126">
        <f>+AF292/(1-Analisis!$E$9)</f>
        <v>451.57380884502925</v>
      </c>
      <c r="AH292" s="128">
        <f t="shared" si="367"/>
        <v>0</v>
      </c>
    </row>
    <row r="293" spans="1:35" s="73" customFormat="1" x14ac:dyDescent="0.25">
      <c r="A293" s="100"/>
      <c r="B293" s="114" t="s">
        <v>361</v>
      </c>
      <c r="C293" s="74">
        <f>IFERROR(VLOOKUP(B293,'REQ GALV'!A:B,2,0),0)</f>
        <v>0</v>
      </c>
      <c r="D293" s="116">
        <f t="shared" si="366"/>
        <v>1083.0794086432747</v>
      </c>
      <c r="E293" s="103" t="s">
        <v>41</v>
      </c>
      <c r="F293" s="75" t="s">
        <v>147</v>
      </c>
      <c r="G293" s="90">
        <v>15.577999999999999</v>
      </c>
      <c r="H293" s="90">
        <v>45.707999999999998</v>
      </c>
      <c r="I293" s="76">
        <v>0.105</v>
      </c>
      <c r="J293" s="77">
        <v>28.24</v>
      </c>
      <c r="K293" s="78">
        <f t="shared" si="256"/>
        <v>40.986519700661006</v>
      </c>
      <c r="L293" s="58">
        <f>+VLOOKUP(E293,Material!$H$2:$M$17,6,FALSE)*G293*H293*(1+Material!$K$14)</f>
        <v>526.11787106666668</v>
      </c>
      <c r="M293" s="79" t="str">
        <f>+Analisis!$J$5</f>
        <v>T5.0</v>
      </c>
      <c r="N293" s="80">
        <f>+VLOOKUP(M293,Material!$A$3:$B$58,2,FALSE)</f>
        <v>5000</v>
      </c>
      <c r="O293" s="79" t="s">
        <v>42</v>
      </c>
      <c r="P293" s="79" t="s">
        <v>43</v>
      </c>
      <c r="Q293" s="81">
        <f>+IF(O293="ACERO A36",VLOOKUP(P293,'Velocidades Std 1500 w'!$B$2:$F$15,5,FALSE),IF(O293="INOXIDABLE",VLOOKUP(P293,'Velocidades Std 1500 w'!$B$17:$F$28,5,FALSE),IF(O293="ALUMINIO",VLOOKUP(P293,'Velocidades Std 1500 w'!$B$30:$F$38,5,FALSE))))</f>
        <v>4.3859649122807014E-6</v>
      </c>
      <c r="R293" s="82">
        <f t="shared" si="257"/>
        <v>2.1929824561403508E-2</v>
      </c>
      <c r="S293" s="83">
        <f t="shared" si="258"/>
        <v>64.248872210526315</v>
      </c>
      <c r="T293" s="110">
        <f t="shared" si="259"/>
        <v>4069.0952400000001</v>
      </c>
      <c r="U293" s="80">
        <f t="shared" si="260"/>
        <v>89.234544736842096</v>
      </c>
      <c r="V293" s="98">
        <v>20</v>
      </c>
      <c r="W293" s="84">
        <f>+IF(O293="ACERO A36",VLOOKUP(P293,'Tiempo Objeto'!$B$2:$C$12,2,FALSE),IF(O293="INOXIDABLE",VLOOKUP(P293,'Tiempo Objeto'!$B$14:$C$22,2,FALSE),IF(O293="ALUMINIO",VLOOKUP(P293,'Tiempo Objeto'!$B$24:$C$32,2,FALSE))))</f>
        <v>1.84</v>
      </c>
      <c r="X293" s="84">
        <f t="shared" si="261"/>
        <v>36.800000000000004</v>
      </c>
      <c r="Y293" s="80">
        <f t="shared" si="262"/>
        <v>51.111111111111121</v>
      </c>
      <c r="Z293" s="100">
        <v>8</v>
      </c>
      <c r="AA293" s="85">
        <f t="shared" si="263"/>
        <v>240</v>
      </c>
      <c r="AB293" s="86">
        <f>+Z293*Analisis!$J$6</f>
        <v>200</v>
      </c>
      <c r="AC293" s="100">
        <v>0</v>
      </c>
      <c r="AD293" s="85">
        <f t="shared" si="264"/>
        <v>0</v>
      </c>
      <c r="AE293" s="86">
        <f>+AD293*Analisis!$J$7</f>
        <v>0</v>
      </c>
      <c r="AF293" s="86">
        <f t="shared" si="365"/>
        <v>866.46352691461982</v>
      </c>
      <c r="AG293" s="126">
        <f>+AF293/(1-Analisis!$E$9)</f>
        <v>1083.0794086432747</v>
      </c>
      <c r="AH293" s="128">
        <f t="shared" si="367"/>
        <v>0</v>
      </c>
    </row>
    <row r="294" spans="1:35" s="73" customFormat="1" x14ac:dyDescent="0.25">
      <c r="A294" s="100"/>
      <c r="B294" s="114" t="s">
        <v>467</v>
      </c>
      <c r="C294" s="74">
        <f>IFERROR(VLOOKUP(B294,'REQ GALV'!A:B,2,0),0)</f>
        <v>0</v>
      </c>
      <c r="D294" s="116">
        <f t="shared" si="366"/>
        <v>232.47502470760233</v>
      </c>
      <c r="E294" s="103" t="s">
        <v>41</v>
      </c>
      <c r="F294" s="75" t="s">
        <v>147</v>
      </c>
      <c r="G294" s="90">
        <v>3.42</v>
      </c>
      <c r="H294" s="90">
        <v>12.89</v>
      </c>
      <c r="I294" s="76">
        <v>0.105</v>
      </c>
      <c r="J294" s="77">
        <v>28.24</v>
      </c>
      <c r="K294" s="78">
        <f t="shared" si="256"/>
        <v>2.5375589943342778</v>
      </c>
      <c r="L294" s="58">
        <f>+VLOOKUP(E294,Material!$H$2:$M$17,6,FALSE)*G294*H294*(1+Material!$K$14)</f>
        <v>32.573030000000003</v>
      </c>
      <c r="M294" s="79" t="str">
        <f>+Analisis!$J$5</f>
        <v>T5.0</v>
      </c>
      <c r="N294" s="80">
        <f>+VLOOKUP(M294,Material!$A$3:$B$58,2,FALSE)</f>
        <v>5000</v>
      </c>
      <c r="O294" s="79" t="s">
        <v>42</v>
      </c>
      <c r="P294" s="79" t="s">
        <v>43</v>
      </c>
      <c r="Q294" s="81">
        <f>+IF(O294="ACERO A36",VLOOKUP(P294,'Velocidades Std 1500 w'!$B$2:$F$15,5,FALSE),IF(O294="INOXIDABLE",VLOOKUP(P294,'Velocidades Std 1500 w'!$B$17:$F$28,5,FALSE),IF(O294="ALUMINIO",VLOOKUP(P294,'Velocidades Std 1500 w'!$B$30:$F$38,5,FALSE))))</f>
        <v>4.3859649122807014E-6</v>
      </c>
      <c r="R294" s="82">
        <f t="shared" si="257"/>
        <v>2.1929824561403508E-2</v>
      </c>
      <c r="S294" s="83">
        <f t="shared" si="258"/>
        <v>20.053032631578947</v>
      </c>
      <c r="T294" s="110">
        <f t="shared" si="259"/>
        <v>1270.0254</v>
      </c>
      <c r="U294" s="80">
        <f t="shared" si="260"/>
        <v>27.851434210526314</v>
      </c>
      <c r="V294" s="98">
        <v>10</v>
      </c>
      <c r="W294" s="84">
        <f>+IF(O294="ACERO A36",VLOOKUP(P294,'Tiempo Objeto'!$B$2:$C$12,2,FALSE),IF(O294="INOXIDABLE",VLOOKUP(P294,'Tiempo Objeto'!$B$14:$C$22,2,FALSE),IF(O294="ALUMINIO",VLOOKUP(P294,'Tiempo Objeto'!$B$24:$C$32,2,FALSE))))</f>
        <v>1.84</v>
      </c>
      <c r="X294" s="84">
        <f t="shared" si="261"/>
        <v>18.400000000000002</v>
      </c>
      <c r="Y294" s="80">
        <f t="shared" si="262"/>
        <v>25.555555555555561</v>
      </c>
      <c r="Z294" s="100">
        <v>4</v>
      </c>
      <c r="AA294" s="85">
        <f t="shared" si="263"/>
        <v>120</v>
      </c>
      <c r="AB294" s="86">
        <f>+Z294*Analisis!$J$6</f>
        <v>100</v>
      </c>
      <c r="AC294" s="100">
        <v>0</v>
      </c>
      <c r="AD294" s="85">
        <f t="shared" si="264"/>
        <v>0</v>
      </c>
      <c r="AE294" s="86">
        <f>+AD294*Analisis!$J$7</f>
        <v>0</v>
      </c>
      <c r="AF294" s="86">
        <f t="shared" si="365"/>
        <v>185.98001976608188</v>
      </c>
      <c r="AG294" s="126">
        <f>+AF294/(1-Analisis!$E$9)</f>
        <v>232.47502470760233</v>
      </c>
      <c r="AH294" s="128">
        <f t="shared" si="367"/>
        <v>0</v>
      </c>
    </row>
    <row r="295" spans="1:35" s="73" customFormat="1" x14ac:dyDescent="0.25">
      <c r="A295" s="100"/>
      <c r="B295" s="114" t="s">
        <v>468</v>
      </c>
      <c r="C295" s="74">
        <f>IFERROR(VLOOKUP(B295,'REQ GALV'!A:B,2,0),0)</f>
        <v>0</v>
      </c>
      <c r="D295" s="116">
        <f t="shared" si="366"/>
        <v>250.95870891812865</v>
      </c>
      <c r="E295" s="103" t="s">
        <v>41</v>
      </c>
      <c r="F295" s="75" t="s">
        <v>147</v>
      </c>
      <c r="G295" s="90">
        <v>3.42</v>
      </c>
      <c r="H295" s="90">
        <v>16.89</v>
      </c>
      <c r="I295" s="76">
        <v>0.105</v>
      </c>
      <c r="J295" s="77">
        <v>28.24</v>
      </c>
      <c r="K295" s="78">
        <f t="shared" ref="K295:K307" si="413">+L295*2.2/J295</f>
        <v>3.3250094192634569</v>
      </c>
      <c r="L295" s="58">
        <f>+VLOOKUP(E295,Material!$H$2:$M$17,6,FALSE)*G295*H295*(1+Material!$K$14)</f>
        <v>42.681030000000007</v>
      </c>
      <c r="M295" s="79" t="str">
        <f>+Analisis!$J$5</f>
        <v>T5.0</v>
      </c>
      <c r="N295" s="80">
        <f>+VLOOKUP(M295,Material!$A$3:$B$58,2,FALSE)</f>
        <v>5000</v>
      </c>
      <c r="O295" s="79" t="s">
        <v>42</v>
      </c>
      <c r="P295" s="79" t="s">
        <v>43</v>
      </c>
      <c r="Q295" s="81">
        <f>+IF(O295="ACERO A36",VLOOKUP(P295,'Velocidades Std 1500 w'!$B$2:$F$15,5,FALSE),IF(O295="INOXIDABLE",VLOOKUP(P295,'Velocidades Std 1500 w'!$B$17:$F$28,5,FALSE),IF(O295="ALUMINIO",VLOOKUP(P295,'Velocidades Std 1500 w'!$B$30:$F$38,5,FALSE))))</f>
        <v>4.3859649122807014E-6</v>
      </c>
      <c r="R295" s="82">
        <f t="shared" ref="R295:R307" si="414">+Q295*N295</f>
        <v>2.1929824561403508E-2</v>
      </c>
      <c r="S295" s="83">
        <f t="shared" ref="S295:S307" si="415">+Q295*T295*3600</f>
        <v>23.421874736842106</v>
      </c>
      <c r="T295" s="110">
        <f t="shared" ref="T295:T307" si="416">(+H295*2+G295*2+V295*1.5)*25.4*1.05</f>
        <v>1483.3854000000001</v>
      </c>
      <c r="U295" s="80">
        <f t="shared" ref="U295:U307" si="417">+T295*R295</f>
        <v>32.53038157894737</v>
      </c>
      <c r="V295" s="98">
        <v>10</v>
      </c>
      <c r="W295" s="84">
        <f>+IF(O295="ACERO A36",VLOOKUP(P295,'Tiempo Objeto'!$B$2:$C$12,2,FALSE),IF(O295="INOXIDABLE",VLOOKUP(P295,'Tiempo Objeto'!$B$14:$C$22,2,FALSE),IF(O295="ALUMINIO",VLOOKUP(P295,'Tiempo Objeto'!$B$24:$C$32,2,FALSE))))</f>
        <v>1.84</v>
      </c>
      <c r="X295" s="84">
        <f t="shared" ref="X295:X307" si="418">+W295*V295</f>
        <v>18.400000000000002</v>
      </c>
      <c r="Y295" s="80">
        <f t="shared" ref="Y295:Y307" si="419">+X295*N295/3600</f>
        <v>25.555555555555561</v>
      </c>
      <c r="Z295" s="100">
        <v>4</v>
      </c>
      <c r="AA295" s="85">
        <f t="shared" ref="AA295:AA307" si="420">30*Z295+Z295*$C295*1.5</f>
        <v>120</v>
      </c>
      <c r="AB295" s="86">
        <f>+Z295*Analisis!$J$6</f>
        <v>100</v>
      </c>
      <c r="AC295" s="100">
        <v>0</v>
      </c>
      <c r="AD295" s="85">
        <f t="shared" ref="AD295:AD307" si="421">30*AC295+AC295*$C295*1.5</f>
        <v>0</v>
      </c>
      <c r="AE295" s="86">
        <f>+AD295*Analisis!$J$7</f>
        <v>0</v>
      </c>
      <c r="AF295" s="86">
        <f t="shared" si="365"/>
        <v>200.76696713450292</v>
      </c>
      <c r="AG295" s="126">
        <f>+AF295/(1-Analisis!$E$9)</f>
        <v>250.95870891812865</v>
      </c>
      <c r="AH295" s="128">
        <f t="shared" si="367"/>
        <v>0</v>
      </c>
    </row>
    <row r="296" spans="1:35" s="73" customFormat="1" x14ac:dyDescent="0.25">
      <c r="A296" s="100"/>
      <c r="B296" s="114" t="s">
        <v>469</v>
      </c>
      <c r="C296" s="138">
        <f>IFERROR(VLOOKUP(B296,'REQ GALV'!A:B,2,0),0)</f>
        <v>90</v>
      </c>
      <c r="D296" s="116">
        <f t="shared" si="366"/>
        <v>260.20055102339182</v>
      </c>
      <c r="E296" s="103" t="s">
        <v>41</v>
      </c>
      <c r="F296" s="75" t="s">
        <v>147</v>
      </c>
      <c r="G296" s="90">
        <v>3.42</v>
      </c>
      <c r="H296" s="90">
        <v>18.89</v>
      </c>
      <c r="I296" s="76">
        <v>0.105</v>
      </c>
      <c r="J296" s="77">
        <v>28.24</v>
      </c>
      <c r="K296" s="78">
        <f t="shared" si="413"/>
        <v>3.7187346317280467</v>
      </c>
      <c r="L296" s="58">
        <f>+VLOOKUP(E296,Material!$H$2:$M$17,6,FALSE)*G296*H296*(1+Material!$K$14)</f>
        <v>47.735030000000009</v>
      </c>
      <c r="M296" s="79" t="str">
        <f>+Analisis!$J$5</f>
        <v>T5.0</v>
      </c>
      <c r="N296" s="80">
        <f>+VLOOKUP(M296,Material!$A$3:$B$58,2,FALSE)</f>
        <v>5000</v>
      </c>
      <c r="O296" s="79" t="s">
        <v>42</v>
      </c>
      <c r="P296" s="79" t="s">
        <v>43</v>
      </c>
      <c r="Q296" s="81">
        <f>+IF(O296="ACERO A36",VLOOKUP(P296,'Velocidades Std 1500 w'!$B$2:$F$15,5,FALSE),IF(O296="INOXIDABLE",VLOOKUP(P296,'Velocidades Std 1500 w'!$B$17:$F$28,5,FALSE),IF(O296="ALUMINIO",VLOOKUP(P296,'Velocidades Std 1500 w'!$B$30:$F$38,5,FALSE))))</f>
        <v>4.3859649122807014E-6</v>
      </c>
      <c r="R296" s="82">
        <f t="shared" si="414"/>
        <v>2.1929824561403508E-2</v>
      </c>
      <c r="S296" s="83">
        <f t="shared" si="415"/>
        <v>25.106295789473684</v>
      </c>
      <c r="T296" s="110">
        <f t="shared" si="416"/>
        <v>1590.0654</v>
      </c>
      <c r="U296" s="80">
        <f t="shared" si="417"/>
        <v>34.869855263157895</v>
      </c>
      <c r="V296" s="98">
        <v>10</v>
      </c>
      <c r="W296" s="84">
        <f>+IF(O296="ACERO A36",VLOOKUP(P296,'Tiempo Objeto'!$B$2:$C$12,2,FALSE),IF(O296="INOXIDABLE",VLOOKUP(P296,'Tiempo Objeto'!$B$14:$C$22,2,FALSE),IF(O296="ALUMINIO",VLOOKUP(P296,'Tiempo Objeto'!$B$24:$C$32,2,FALSE))))</f>
        <v>1.84</v>
      </c>
      <c r="X296" s="84">
        <f t="shared" si="418"/>
        <v>18.400000000000002</v>
      </c>
      <c r="Y296" s="80">
        <f t="shared" si="419"/>
        <v>25.555555555555561</v>
      </c>
      <c r="Z296" s="100">
        <v>4</v>
      </c>
      <c r="AA296" s="85">
        <f t="shared" si="420"/>
        <v>660</v>
      </c>
      <c r="AB296" s="86">
        <f>+Z296*Analisis!$J$6</f>
        <v>100</v>
      </c>
      <c r="AC296" s="100">
        <v>0</v>
      </c>
      <c r="AD296" s="85">
        <f t="shared" si="421"/>
        <v>0</v>
      </c>
      <c r="AE296" s="86">
        <f>+AD296*Analisis!$J$7</f>
        <v>0</v>
      </c>
      <c r="AF296" s="86">
        <f t="shared" si="365"/>
        <v>208.16044081871348</v>
      </c>
      <c r="AG296" s="126">
        <f>+AF296/(1-Analisis!$E$9)</f>
        <v>260.20055102339182</v>
      </c>
      <c r="AH296" s="128">
        <f t="shared" si="367"/>
        <v>23418.049592105264</v>
      </c>
      <c r="AI296" s="128">
        <f>+L296*C296</f>
        <v>4296.1527000000006</v>
      </c>
    </row>
    <row r="297" spans="1:35" s="73" customFormat="1" x14ac:dyDescent="0.25">
      <c r="A297" s="100"/>
      <c r="B297" s="114" t="s">
        <v>470</v>
      </c>
      <c r="C297" s="74">
        <f>IFERROR(VLOOKUP(B297,'REQ GALV'!A:B,2,0),0)</f>
        <v>0</v>
      </c>
      <c r="D297" s="116">
        <f t="shared" si="366"/>
        <v>287.92607733918129</v>
      </c>
      <c r="E297" s="103" t="s">
        <v>41</v>
      </c>
      <c r="F297" s="75" t="s">
        <v>147</v>
      </c>
      <c r="G297" s="90">
        <v>3.42</v>
      </c>
      <c r="H297" s="90">
        <v>24.89</v>
      </c>
      <c r="I297" s="76">
        <v>0.105</v>
      </c>
      <c r="J297" s="77">
        <v>28.24</v>
      </c>
      <c r="K297" s="78">
        <f t="shared" si="413"/>
        <v>4.8999102691218148</v>
      </c>
      <c r="L297" s="58">
        <f>+VLOOKUP(E297,Material!$H$2:$M$17,6,FALSE)*G297*H297*(1+Material!$K$14)</f>
        <v>62.897030000000008</v>
      </c>
      <c r="M297" s="79" t="str">
        <f>+Analisis!$J$5</f>
        <v>T5.0</v>
      </c>
      <c r="N297" s="80">
        <f>+VLOOKUP(M297,Material!$A$3:$B$58,2,FALSE)</f>
        <v>5000</v>
      </c>
      <c r="O297" s="79" t="s">
        <v>42</v>
      </c>
      <c r="P297" s="79" t="s">
        <v>43</v>
      </c>
      <c r="Q297" s="81">
        <f>+IF(O297="ACERO A36",VLOOKUP(P297,'Velocidades Std 1500 w'!$B$2:$F$15,5,FALSE),IF(O297="INOXIDABLE",VLOOKUP(P297,'Velocidades Std 1500 w'!$B$17:$F$28,5,FALSE),IF(O297="ALUMINIO",VLOOKUP(P297,'Velocidades Std 1500 w'!$B$30:$F$38,5,FALSE))))</f>
        <v>4.3859649122807014E-6</v>
      </c>
      <c r="R297" s="82">
        <f t="shared" si="414"/>
        <v>2.1929824561403508E-2</v>
      </c>
      <c r="S297" s="83">
        <f t="shared" si="415"/>
        <v>30.159558947368421</v>
      </c>
      <c r="T297" s="110">
        <f t="shared" si="416"/>
        <v>1910.1053999999999</v>
      </c>
      <c r="U297" s="80">
        <f t="shared" si="417"/>
        <v>41.888276315789469</v>
      </c>
      <c r="V297" s="98">
        <v>10</v>
      </c>
      <c r="W297" s="84">
        <f>+IF(O297="ACERO A36",VLOOKUP(P297,'Tiempo Objeto'!$B$2:$C$12,2,FALSE),IF(O297="INOXIDABLE",VLOOKUP(P297,'Tiempo Objeto'!$B$14:$C$22,2,FALSE),IF(O297="ALUMINIO",VLOOKUP(P297,'Tiempo Objeto'!$B$24:$C$32,2,FALSE))))</f>
        <v>1.84</v>
      </c>
      <c r="X297" s="84">
        <f t="shared" si="418"/>
        <v>18.400000000000002</v>
      </c>
      <c r="Y297" s="80">
        <f t="shared" si="419"/>
        <v>25.555555555555561</v>
      </c>
      <c r="Z297" s="100">
        <v>4</v>
      </c>
      <c r="AA297" s="85">
        <f t="shared" si="420"/>
        <v>120</v>
      </c>
      <c r="AB297" s="86">
        <f>+Z297*Analisis!$J$6</f>
        <v>100</v>
      </c>
      <c r="AC297" s="100">
        <v>0</v>
      </c>
      <c r="AD297" s="85">
        <f t="shared" si="421"/>
        <v>0</v>
      </c>
      <c r="AE297" s="86">
        <f>+AD297*Analisis!$J$7</f>
        <v>0</v>
      </c>
      <c r="AF297" s="86">
        <f t="shared" si="365"/>
        <v>230.34086187134506</v>
      </c>
      <c r="AG297" s="126">
        <f>+AF297/(1-Analisis!$E$9)</f>
        <v>287.92607733918129</v>
      </c>
      <c r="AH297" s="128">
        <f t="shared" si="367"/>
        <v>0</v>
      </c>
    </row>
    <row r="298" spans="1:35" s="73" customFormat="1" x14ac:dyDescent="0.25">
      <c r="A298" s="100"/>
      <c r="B298" s="114" t="s">
        <v>471</v>
      </c>
      <c r="C298" s="74">
        <f>IFERROR(VLOOKUP(B298,'REQ GALV'!A:B,2,0),0)</f>
        <v>0</v>
      </c>
      <c r="D298" s="116">
        <f t="shared" si="366"/>
        <v>297.16791944444446</v>
      </c>
      <c r="E298" s="103" t="s">
        <v>41</v>
      </c>
      <c r="F298" s="75" t="s">
        <v>147</v>
      </c>
      <c r="G298" s="90">
        <v>3.42</v>
      </c>
      <c r="H298" s="90">
        <v>26.89</v>
      </c>
      <c r="I298" s="76">
        <v>0.105</v>
      </c>
      <c r="J298" s="77">
        <v>28.24</v>
      </c>
      <c r="K298" s="78">
        <f t="shared" si="413"/>
        <v>5.2936354815864046</v>
      </c>
      <c r="L298" s="58">
        <f>+VLOOKUP(E298,Material!$H$2:$M$17,6,FALSE)*G298*H298*(1+Material!$K$14)</f>
        <v>67.951030000000017</v>
      </c>
      <c r="M298" s="79" t="str">
        <f>+Analisis!$J$5</f>
        <v>T5.0</v>
      </c>
      <c r="N298" s="80">
        <f>+VLOOKUP(M298,Material!$A$3:$B$58,2,FALSE)</f>
        <v>5000</v>
      </c>
      <c r="O298" s="79" t="s">
        <v>42</v>
      </c>
      <c r="P298" s="79" t="s">
        <v>43</v>
      </c>
      <c r="Q298" s="81">
        <f>+IF(O298="ACERO A36",VLOOKUP(P298,'Velocidades Std 1500 w'!$B$2:$F$15,5,FALSE),IF(O298="INOXIDABLE",VLOOKUP(P298,'Velocidades Std 1500 w'!$B$17:$F$28,5,FALSE),IF(O298="ALUMINIO",VLOOKUP(P298,'Velocidades Std 1500 w'!$B$30:$F$38,5,FALSE))))</f>
        <v>4.3859649122807014E-6</v>
      </c>
      <c r="R298" s="82">
        <f t="shared" si="414"/>
        <v>2.1929824561403508E-2</v>
      </c>
      <c r="S298" s="83">
        <f t="shared" si="415"/>
        <v>31.843980000000002</v>
      </c>
      <c r="T298" s="110">
        <f t="shared" si="416"/>
        <v>2016.7854000000002</v>
      </c>
      <c r="U298" s="80">
        <f t="shared" si="417"/>
        <v>44.22775</v>
      </c>
      <c r="V298" s="98">
        <v>10</v>
      </c>
      <c r="W298" s="84">
        <f>+IF(O298="ACERO A36",VLOOKUP(P298,'Tiempo Objeto'!$B$2:$C$12,2,FALSE),IF(O298="INOXIDABLE",VLOOKUP(P298,'Tiempo Objeto'!$B$14:$C$22,2,FALSE),IF(O298="ALUMINIO",VLOOKUP(P298,'Tiempo Objeto'!$B$24:$C$32,2,FALSE))))</f>
        <v>1.84</v>
      </c>
      <c r="X298" s="84">
        <f t="shared" si="418"/>
        <v>18.400000000000002</v>
      </c>
      <c r="Y298" s="80">
        <f t="shared" si="419"/>
        <v>25.555555555555561</v>
      </c>
      <c r="Z298" s="100">
        <v>4</v>
      </c>
      <c r="AA298" s="85">
        <f t="shared" si="420"/>
        <v>120</v>
      </c>
      <c r="AB298" s="86">
        <f>+Z298*Analisis!$J$6</f>
        <v>100</v>
      </c>
      <c r="AC298" s="100">
        <v>0</v>
      </c>
      <c r="AD298" s="85">
        <f t="shared" si="421"/>
        <v>0</v>
      </c>
      <c r="AE298" s="86">
        <f>+AD298*Analisis!$J$7</f>
        <v>0</v>
      </c>
      <c r="AF298" s="86">
        <f t="shared" si="365"/>
        <v>237.73433555555559</v>
      </c>
      <c r="AG298" s="126">
        <f>+AF298/(1-Analisis!$E$9)</f>
        <v>297.16791944444446</v>
      </c>
      <c r="AH298" s="128">
        <f t="shared" si="367"/>
        <v>0</v>
      </c>
    </row>
    <row r="299" spans="1:35" s="73" customFormat="1" x14ac:dyDescent="0.25">
      <c r="A299" s="100"/>
      <c r="B299" s="114" t="s">
        <v>472</v>
      </c>
      <c r="C299" s="138">
        <f>IFERROR(VLOOKUP(B299,'REQ GALV'!A:B,2,0),0)</f>
        <v>150</v>
      </c>
      <c r="D299" s="116">
        <f t="shared" si="366"/>
        <v>315.65160365497076</v>
      </c>
      <c r="E299" s="103" t="s">
        <v>41</v>
      </c>
      <c r="F299" s="75" t="s">
        <v>147</v>
      </c>
      <c r="G299" s="90">
        <v>3.42</v>
      </c>
      <c r="H299" s="90">
        <v>30.89</v>
      </c>
      <c r="I299" s="76">
        <v>0.105</v>
      </c>
      <c r="J299" s="77">
        <v>28.24</v>
      </c>
      <c r="K299" s="78">
        <f t="shared" si="413"/>
        <v>6.0810859065155816</v>
      </c>
      <c r="L299" s="58">
        <f>+VLOOKUP(E299,Material!$H$2:$M$17,6,FALSE)*G299*H299*(1+Material!$K$14)</f>
        <v>78.059030000000007</v>
      </c>
      <c r="M299" s="79" t="str">
        <f>+Analisis!$J$5</f>
        <v>T5.0</v>
      </c>
      <c r="N299" s="80">
        <f>+VLOOKUP(M299,Material!$A$3:$B$58,2,FALSE)</f>
        <v>5000</v>
      </c>
      <c r="O299" s="79" t="s">
        <v>42</v>
      </c>
      <c r="P299" s="79" t="s">
        <v>43</v>
      </c>
      <c r="Q299" s="81">
        <f>+IF(O299="ACERO A36",VLOOKUP(P299,'Velocidades Std 1500 w'!$B$2:$F$15,5,FALSE),IF(O299="INOXIDABLE",VLOOKUP(P299,'Velocidades Std 1500 w'!$B$17:$F$28,5,FALSE),IF(O299="ALUMINIO",VLOOKUP(P299,'Velocidades Std 1500 w'!$B$30:$F$38,5,FALSE))))</f>
        <v>4.3859649122807014E-6</v>
      </c>
      <c r="R299" s="82">
        <f t="shared" si="414"/>
        <v>2.1929824561403508E-2</v>
      </c>
      <c r="S299" s="83">
        <f t="shared" si="415"/>
        <v>35.212822105263157</v>
      </c>
      <c r="T299" s="110">
        <f t="shared" si="416"/>
        <v>2230.1453999999999</v>
      </c>
      <c r="U299" s="80">
        <f t="shared" si="417"/>
        <v>48.90669736842105</v>
      </c>
      <c r="V299" s="98">
        <v>10</v>
      </c>
      <c r="W299" s="84">
        <f>+IF(O299="ACERO A36",VLOOKUP(P299,'Tiempo Objeto'!$B$2:$C$12,2,FALSE),IF(O299="INOXIDABLE",VLOOKUP(P299,'Tiempo Objeto'!$B$14:$C$22,2,FALSE),IF(O299="ALUMINIO",VLOOKUP(P299,'Tiempo Objeto'!$B$24:$C$32,2,FALSE))))</f>
        <v>1.84</v>
      </c>
      <c r="X299" s="84">
        <f t="shared" si="418"/>
        <v>18.400000000000002</v>
      </c>
      <c r="Y299" s="80">
        <f t="shared" si="419"/>
        <v>25.555555555555561</v>
      </c>
      <c r="Z299" s="100">
        <v>4</v>
      </c>
      <c r="AA299" s="85">
        <f t="shared" si="420"/>
        <v>1020</v>
      </c>
      <c r="AB299" s="86">
        <f>+Z299*Analisis!$J$6</f>
        <v>100</v>
      </c>
      <c r="AC299" s="100">
        <v>0</v>
      </c>
      <c r="AD299" s="85">
        <f t="shared" si="421"/>
        <v>0</v>
      </c>
      <c r="AE299" s="86">
        <f>+AD299*Analisis!$J$7</f>
        <v>0</v>
      </c>
      <c r="AF299" s="86">
        <f t="shared" si="365"/>
        <v>252.52128292397663</v>
      </c>
      <c r="AG299" s="126">
        <f>+AF299/(1-Analisis!$E$9)</f>
        <v>315.65160365497076</v>
      </c>
      <c r="AH299" s="128">
        <f t="shared" si="367"/>
        <v>47347.740548245616</v>
      </c>
      <c r="AI299" s="128">
        <f>+L299*C299</f>
        <v>11708.854500000001</v>
      </c>
    </row>
    <row r="300" spans="1:35" s="73" customFormat="1" x14ac:dyDescent="0.25">
      <c r="A300" s="100"/>
      <c r="B300" s="114" t="s">
        <v>473</v>
      </c>
      <c r="C300" s="74">
        <f>IFERROR(VLOOKUP(B300,'REQ GALV'!A:B,2,0),0)</f>
        <v>0</v>
      </c>
      <c r="D300" s="116">
        <f t="shared" si="366"/>
        <v>329.51436681286549</v>
      </c>
      <c r="E300" s="103" t="s">
        <v>41</v>
      </c>
      <c r="F300" s="75" t="s">
        <v>147</v>
      </c>
      <c r="G300" s="90">
        <v>3.42</v>
      </c>
      <c r="H300" s="90">
        <v>33.89</v>
      </c>
      <c r="I300" s="76">
        <v>0.105</v>
      </c>
      <c r="J300" s="77">
        <v>28.24</v>
      </c>
      <c r="K300" s="78">
        <f t="shared" si="413"/>
        <v>6.6716737252124663</v>
      </c>
      <c r="L300" s="58">
        <f>+VLOOKUP(E300,Material!$H$2:$M$17,6,FALSE)*G300*H300*(1+Material!$K$14)</f>
        <v>85.64003000000001</v>
      </c>
      <c r="M300" s="79" t="str">
        <f>+Analisis!$J$5</f>
        <v>T5.0</v>
      </c>
      <c r="N300" s="80">
        <f>+VLOOKUP(M300,Material!$A$3:$B$58,2,FALSE)</f>
        <v>5000</v>
      </c>
      <c r="O300" s="79" t="s">
        <v>42</v>
      </c>
      <c r="P300" s="79" t="s">
        <v>43</v>
      </c>
      <c r="Q300" s="81">
        <f>+IF(O300="ACERO A36",VLOOKUP(P300,'Velocidades Std 1500 w'!$B$2:$F$15,5,FALSE),IF(O300="INOXIDABLE",VLOOKUP(P300,'Velocidades Std 1500 w'!$B$17:$F$28,5,FALSE),IF(O300="ALUMINIO",VLOOKUP(P300,'Velocidades Std 1500 w'!$B$30:$F$38,5,FALSE))))</f>
        <v>4.3859649122807014E-6</v>
      </c>
      <c r="R300" s="82">
        <f t="shared" si="414"/>
        <v>2.1929824561403508E-2</v>
      </c>
      <c r="S300" s="83">
        <f t="shared" si="415"/>
        <v>37.739453684210524</v>
      </c>
      <c r="T300" s="110">
        <f t="shared" si="416"/>
        <v>2390.1653999999999</v>
      </c>
      <c r="U300" s="80">
        <f t="shared" si="417"/>
        <v>52.415907894736833</v>
      </c>
      <c r="V300" s="98">
        <v>10</v>
      </c>
      <c r="W300" s="84">
        <f>+IF(O300="ACERO A36",VLOOKUP(P300,'Tiempo Objeto'!$B$2:$C$12,2,FALSE),IF(O300="INOXIDABLE",VLOOKUP(P300,'Tiempo Objeto'!$B$14:$C$22,2,FALSE),IF(O300="ALUMINIO",VLOOKUP(P300,'Tiempo Objeto'!$B$24:$C$32,2,FALSE))))</f>
        <v>1.84</v>
      </c>
      <c r="X300" s="84">
        <f t="shared" si="418"/>
        <v>18.400000000000002</v>
      </c>
      <c r="Y300" s="80">
        <f t="shared" si="419"/>
        <v>25.555555555555561</v>
      </c>
      <c r="Z300" s="100">
        <v>4</v>
      </c>
      <c r="AA300" s="85">
        <f t="shared" si="420"/>
        <v>120</v>
      </c>
      <c r="AB300" s="86">
        <f>+Z300*Analisis!$J$6</f>
        <v>100</v>
      </c>
      <c r="AC300" s="100">
        <v>0</v>
      </c>
      <c r="AD300" s="85">
        <f t="shared" si="421"/>
        <v>0</v>
      </c>
      <c r="AE300" s="86">
        <f>+AD300*Analisis!$J$7</f>
        <v>0</v>
      </c>
      <c r="AF300" s="86">
        <f t="shared" si="365"/>
        <v>263.61149345029241</v>
      </c>
      <c r="AG300" s="126">
        <f>+AF300/(1-Analisis!$E$9)</f>
        <v>329.51436681286549</v>
      </c>
      <c r="AH300" s="128">
        <f t="shared" si="367"/>
        <v>0</v>
      </c>
    </row>
    <row r="301" spans="1:35" s="73" customFormat="1" x14ac:dyDescent="0.25">
      <c r="A301" s="100"/>
      <c r="B301" s="114" t="s">
        <v>362</v>
      </c>
      <c r="C301" s="138">
        <f>IFERROR(VLOOKUP(B301,'REQ GALV'!A:B,2,0),0)</f>
        <v>210</v>
      </c>
      <c r="D301" s="116">
        <f t="shared" si="366"/>
        <v>343.37712997076022</v>
      </c>
      <c r="E301" s="103" t="s">
        <v>41</v>
      </c>
      <c r="F301" s="75" t="s">
        <v>147</v>
      </c>
      <c r="G301" s="90">
        <v>3.42</v>
      </c>
      <c r="H301" s="90">
        <v>36.89</v>
      </c>
      <c r="I301" s="76">
        <v>0.105</v>
      </c>
      <c r="J301" s="77">
        <v>28.24</v>
      </c>
      <c r="K301" s="78">
        <f t="shared" si="413"/>
        <v>7.262261543909351</v>
      </c>
      <c r="L301" s="58">
        <f>+VLOOKUP(E301,Material!$H$2:$M$17,6,FALSE)*G301*H301*(1+Material!$K$14)</f>
        <v>93.221030000000013</v>
      </c>
      <c r="M301" s="79" t="str">
        <f>+Analisis!$J$5</f>
        <v>T5.0</v>
      </c>
      <c r="N301" s="80">
        <f>+VLOOKUP(M301,Material!$A$3:$B$58,2,FALSE)</f>
        <v>5000</v>
      </c>
      <c r="O301" s="79" t="s">
        <v>42</v>
      </c>
      <c r="P301" s="79" t="s">
        <v>43</v>
      </c>
      <c r="Q301" s="81">
        <f>+IF(O301="ACERO A36",VLOOKUP(P301,'Velocidades Std 1500 w'!$B$2:$F$15,5,FALSE),IF(O301="INOXIDABLE",VLOOKUP(P301,'Velocidades Std 1500 w'!$B$17:$F$28,5,FALSE),IF(O301="ALUMINIO",VLOOKUP(P301,'Velocidades Std 1500 w'!$B$30:$F$38,5,FALSE))))</f>
        <v>4.3859649122807014E-6</v>
      </c>
      <c r="R301" s="82">
        <f t="shared" si="414"/>
        <v>2.1929824561403508E-2</v>
      </c>
      <c r="S301" s="83">
        <f t="shared" si="415"/>
        <v>40.266085263157898</v>
      </c>
      <c r="T301" s="110">
        <f t="shared" si="416"/>
        <v>2550.1854000000003</v>
      </c>
      <c r="U301" s="80">
        <f t="shared" si="417"/>
        <v>55.925118421052638</v>
      </c>
      <c r="V301" s="98">
        <v>10</v>
      </c>
      <c r="W301" s="84">
        <f>+IF(O301="ACERO A36",VLOOKUP(P301,'Tiempo Objeto'!$B$2:$C$12,2,FALSE),IF(O301="INOXIDABLE",VLOOKUP(P301,'Tiempo Objeto'!$B$14:$C$22,2,FALSE),IF(O301="ALUMINIO",VLOOKUP(P301,'Tiempo Objeto'!$B$24:$C$32,2,FALSE))))</f>
        <v>1.84</v>
      </c>
      <c r="X301" s="84">
        <f t="shared" si="418"/>
        <v>18.400000000000002</v>
      </c>
      <c r="Y301" s="80">
        <f t="shared" si="419"/>
        <v>25.555555555555561</v>
      </c>
      <c r="Z301" s="100">
        <v>4</v>
      </c>
      <c r="AA301" s="85">
        <f t="shared" si="420"/>
        <v>1380</v>
      </c>
      <c r="AB301" s="86">
        <f>+Z301*Analisis!$J$6</f>
        <v>100</v>
      </c>
      <c r="AC301" s="100">
        <v>0</v>
      </c>
      <c r="AD301" s="85">
        <f t="shared" si="421"/>
        <v>0</v>
      </c>
      <c r="AE301" s="86">
        <f>+AD301*Analisis!$J$7</f>
        <v>0</v>
      </c>
      <c r="AF301" s="86">
        <f t="shared" si="365"/>
        <v>274.7017039766082</v>
      </c>
      <c r="AG301" s="126">
        <f>+AF301/(1-Analisis!$E$9)</f>
        <v>343.37712997076022</v>
      </c>
      <c r="AH301" s="128">
        <f t="shared" si="367"/>
        <v>72109.197293859645</v>
      </c>
      <c r="AI301" s="128">
        <f>+L301*C301</f>
        <v>19576.416300000004</v>
      </c>
    </row>
    <row r="302" spans="1:35" s="73" customFormat="1" x14ac:dyDescent="0.25">
      <c r="A302" s="100"/>
      <c r="B302" s="114" t="s">
        <v>474</v>
      </c>
      <c r="C302" s="138">
        <f>IFERROR(VLOOKUP(B302,'REQ GALV'!A:B,2,0),0)</f>
        <v>60</v>
      </c>
      <c r="D302" s="116">
        <f t="shared" si="366"/>
        <v>380.34449839181292</v>
      </c>
      <c r="E302" s="103" t="s">
        <v>41</v>
      </c>
      <c r="F302" s="75" t="s">
        <v>147</v>
      </c>
      <c r="G302" s="90">
        <v>3.42</v>
      </c>
      <c r="H302" s="90">
        <v>44.89</v>
      </c>
      <c r="I302" s="76">
        <v>0.105</v>
      </c>
      <c r="J302" s="77">
        <v>28.24</v>
      </c>
      <c r="K302" s="78">
        <f t="shared" si="413"/>
        <v>8.8371623937677093</v>
      </c>
      <c r="L302" s="58">
        <f>+VLOOKUP(E302,Material!$H$2:$M$17,6,FALSE)*G302*H302*(1+Material!$K$14)</f>
        <v>113.43703000000002</v>
      </c>
      <c r="M302" s="79" t="str">
        <f>+Analisis!$J$5</f>
        <v>T5.0</v>
      </c>
      <c r="N302" s="80">
        <f>+VLOOKUP(M302,Material!$A$3:$B$58,2,FALSE)</f>
        <v>5000</v>
      </c>
      <c r="O302" s="79" t="s">
        <v>42</v>
      </c>
      <c r="P302" s="79" t="s">
        <v>43</v>
      </c>
      <c r="Q302" s="81">
        <f>+IF(O302="ACERO A36",VLOOKUP(P302,'Velocidades Std 1500 w'!$B$2:$F$15,5,FALSE),IF(O302="INOXIDABLE",VLOOKUP(P302,'Velocidades Std 1500 w'!$B$17:$F$28,5,FALSE),IF(O302="ALUMINIO",VLOOKUP(P302,'Velocidades Std 1500 w'!$B$30:$F$38,5,FALSE))))</f>
        <v>4.3859649122807014E-6</v>
      </c>
      <c r="R302" s="82">
        <f t="shared" si="414"/>
        <v>2.1929824561403508E-2</v>
      </c>
      <c r="S302" s="83">
        <f t="shared" si="415"/>
        <v>47.003769473684208</v>
      </c>
      <c r="T302" s="110">
        <f t="shared" si="416"/>
        <v>2976.9054000000001</v>
      </c>
      <c r="U302" s="80">
        <f t="shared" si="417"/>
        <v>65.283013157894729</v>
      </c>
      <c r="V302" s="98">
        <v>10</v>
      </c>
      <c r="W302" s="84">
        <f>+IF(O302="ACERO A36",VLOOKUP(P302,'Tiempo Objeto'!$B$2:$C$12,2,FALSE),IF(O302="INOXIDABLE",VLOOKUP(P302,'Tiempo Objeto'!$B$14:$C$22,2,FALSE),IF(O302="ALUMINIO",VLOOKUP(P302,'Tiempo Objeto'!$B$24:$C$32,2,FALSE))))</f>
        <v>1.84</v>
      </c>
      <c r="X302" s="84">
        <f t="shared" si="418"/>
        <v>18.400000000000002</v>
      </c>
      <c r="Y302" s="80">
        <f t="shared" si="419"/>
        <v>25.555555555555561</v>
      </c>
      <c r="Z302" s="100">
        <v>4</v>
      </c>
      <c r="AA302" s="85">
        <f t="shared" si="420"/>
        <v>480</v>
      </c>
      <c r="AB302" s="86">
        <f>+Z302*Analisis!$J$6</f>
        <v>100</v>
      </c>
      <c r="AC302" s="100">
        <v>0</v>
      </c>
      <c r="AD302" s="85">
        <f t="shared" si="421"/>
        <v>0</v>
      </c>
      <c r="AE302" s="86">
        <f>+AD302*Analisis!$J$7</f>
        <v>0</v>
      </c>
      <c r="AF302" s="86">
        <f t="shared" si="365"/>
        <v>304.27559871345034</v>
      </c>
      <c r="AG302" s="126">
        <f>+AF302/(1-Analisis!$E$9)</f>
        <v>380.34449839181292</v>
      </c>
      <c r="AH302" s="128">
        <f t="shared" si="367"/>
        <v>22820.669903508777</v>
      </c>
      <c r="AI302" s="128">
        <f>+L302*C302</f>
        <v>6806.2218000000012</v>
      </c>
    </row>
    <row r="303" spans="1:35" s="73" customFormat="1" x14ac:dyDescent="0.25">
      <c r="A303" s="100"/>
      <c r="B303" s="114" t="s">
        <v>475</v>
      </c>
      <c r="C303" s="74">
        <f>IFERROR(VLOOKUP(B303,'REQ GALV'!A:B,2,0),0)</f>
        <v>0</v>
      </c>
      <c r="D303" s="116">
        <f t="shared" si="366"/>
        <v>408.07002470760239</v>
      </c>
      <c r="E303" s="103" t="s">
        <v>41</v>
      </c>
      <c r="F303" s="75" t="s">
        <v>147</v>
      </c>
      <c r="G303" s="90">
        <v>3.42</v>
      </c>
      <c r="H303" s="90">
        <v>50.89</v>
      </c>
      <c r="I303" s="76">
        <v>0.105</v>
      </c>
      <c r="J303" s="77">
        <v>28.24</v>
      </c>
      <c r="K303" s="78">
        <f t="shared" si="413"/>
        <v>10.018338031161473</v>
      </c>
      <c r="L303" s="58">
        <f>+VLOOKUP(E303,Material!$H$2:$M$17,6,FALSE)*G303*H303*(1+Material!$K$14)</f>
        <v>128.59903</v>
      </c>
      <c r="M303" s="79" t="str">
        <f>+Analisis!$J$5</f>
        <v>T5.0</v>
      </c>
      <c r="N303" s="80">
        <f>+VLOOKUP(M303,Material!$A$3:$B$58,2,FALSE)</f>
        <v>5000</v>
      </c>
      <c r="O303" s="79" t="s">
        <v>42</v>
      </c>
      <c r="P303" s="79" t="s">
        <v>43</v>
      </c>
      <c r="Q303" s="81">
        <f>+IF(O303="ACERO A36",VLOOKUP(P303,'Velocidades Std 1500 w'!$B$2:$F$15,5,FALSE),IF(O303="INOXIDABLE",VLOOKUP(P303,'Velocidades Std 1500 w'!$B$17:$F$28,5,FALSE),IF(O303="ALUMINIO",VLOOKUP(P303,'Velocidades Std 1500 w'!$B$30:$F$38,5,FALSE))))</f>
        <v>4.3859649122807014E-6</v>
      </c>
      <c r="R303" s="82">
        <f t="shared" si="414"/>
        <v>2.1929824561403508E-2</v>
      </c>
      <c r="S303" s="83">
        <f t="shared" si="415"/>
        <v>52.057032631578942</v>
      </c>
      <c r="T303" s="110">
        <f t="shared" si="416"/>
        <v>3296.9454000000001</v>
      </c>
      <c r="U303" s="80">
        <f t="shared" si="417"/>
        <v>72.30143421052631</v>
      </c>
      <c r="V303" s="98">
        <v>10</v>
      </c>
      <c r="W303" s="84">
        <f>+IF(O303="ACERO A36",VLOOKUP(P303,'Tiempo Objeto'!$B$2:$C$12,2,FALSE),IF(O303="INOXIDABLE",VLOOKUP(P303,'Tiempo Objeto'!$B$14:$C$22,2,FALSE),IF(O303="ALUMINIO",VLOOKUP(P303,'Tiempo Objeto'!$B$24:$C$32,2,FALSE))))</f>
        <v>1.84</v>
      </c>
      <c r="X303" s="84">
        <f t="shared" si="418"/>
        <v>18.400000000000002</v>
      </c>
      <c r="Y303" s="80">
        <f t="shared" si="419"/>
        <v>25.555555555555561</v>
      </c>
      <c r="Z303" s="100">
        <v>4</v>
      </c>
      <c r="AA303" s="85">
        <f t="shared" si="420"/>
        <v>120</v>
      </c>
      <c r="AB303" s="86">
        <f>+Z303*Analisis!$J$6</f>
        <v>100</v>
      </c>
      <c r="AC303" s="100">
        <v>0</v>
      </c>
      <c r="AD303" s="85">
        <f t="shared" si="421"/>
        <v>0</v>
      </c>
      <c r="AE303" s="86">
        <f>+AD303*Analisis!$J$7</f>
        <v>0</v>
      </c>
      <c r="AF303" s="86">
        <f t="shared" si="365"/>
        <v>326.45601976608191</v>
      </c>
      <c r="AG303" s="126">
        <f>+AF303/(1-Analisis!$E$9)</f>
        <v>408.07002470760239</v>
      </c>
      <c r="AH303" s="128">
        <f t="shared" si="367"/>
        <v>0</v>
      </c>
    </row>
    <row r="304" spans="1:35" s="73" customFormat="1" x14ac:dyDescent="0.25">
      <c r="A304" s="100"/>
      <c r="B304" s="114" t="s">
        <v>476</v>
      </c>
      <c r="C304" s="74">
        <f>IFERROR(VLOOKUP(B304,'REQ GALV'!A:B,2,0),0)</f>
        <v>0</v>
      </c>
      <c r="D304" s="116">
        <f t="shared" si="366"/>
        <v>435.79555102339185</v>
      </c>
      <c r="E304" s="103" t="s">
        <v>41</v>
      </c>
      <c r="F304" s="75" t="s">
        <v>147</v>
      </c>
      <c r="G304" s="90">
        <v>3.42</v>
      </c>
      <c r="H304" s="90">
        <v>56.89</v>
      </c>
      <c r="I304" s="76">
        <v>0.105</v>
      </c>
      <c r="J304" s="77">
        <v>28.24</v>
      </c>
      <c r="K304" s="78">
        <f t="shared" si="413"/>
        <v>11.199513668555241</v>
      </c>
      <c r="L304" s="58">
        <f>+VLOOKUP(E304,Material!$H$2:$M$17,6,FALSE)*G304*H304*(1+Material!$K$14)</f>
        <v>143.76103000000001</v>
      </c>
      <c r="M304" s="79" t="str">
        <f>+Analisis!$J$5</f>
        <v>T5.0</v>
      </c>
      <c r="N304" s="80">
        <f>+VLOOKUP(M304,Material!$A$3:$B$58,2,FALSE)</f>
        <v>5000</v>
      </c>
      <c r="O304" s="79" t="s">
        <v>42</v>
      </c>
      <c r="P304" s="79" t="s">
        <v>43</v>
      </c>
      <c r="Q304" s="81">
        <f>+IF(O304="ACERO A36",VLOOKUP(P304,'Velocidades Std 1500 w'!$B$2:$F$15,5,FALSE),IF(O304="INOXIDABLE",VLOOKUP(P304,'Velocidades Std 1500 w'!$B$17:$F$28,5,FALSE),IF(O304="ALUMINIO",VLOOKUP(P304,'Velocidades Std 1500 w'!$B$30:$F$38,5,FALSE))))</f>
        <v>4.3859649122807014E-6</v>
      </c>
      <c r="R304" s="82">
        <f t="shared" si="414"/>
        <v>2.1929824561403508E-2</v>
      </c>
      <c r="S304" s="83">
        <f t="shared" si="415"/>
        <v>57.110295789473675</v>
      </c>
      <c r="T304" s="110">
        <f t="shared" si="416"/>
        <v>3616.9854</v>
      </c>
      <c r="U304" s="80">
        <f t="shared" si="417"/>
        <v>79.319855263157891</v>
      </c>
      <c r="V304" s="98">
        <v>10</v>
      </c>
      <c r="W304" s="84">
        <f>+IF(O304="ACERO A36",VLOOKUP(P304,'Tiempo Objeto'!$B$2:$C$12,2,FALSE),IF(O304="INOXIDABLE",VLOOKUP(P304,'Tiempo Objeto'!$B$14:$C$22,2,FALSE),IF(O304="ALUMINIO",VLOOKUP(P304,'Tiempo Objeto'!$B$24:$C$32,2,FALSE))))</f>
        <v>1.84</v>
      </c>
      <c r="X304" s="84">
        <f t="shared" si="418"/>
        <v>18.400000000000002</v>
      </c>
      <c r="Y304" s="80">
        <f t="shared" si="419"/>
        <v>25.555555555555561</v>
      </c>
      <c r="Z304" s="100">
        <v>4</v>
      </c>
      <c r="AA304" s="85">
        <f t="shared" si="420"/>
        <v>120</v>
      </c>
      <c r="AB304" s="86">
        <f>+Z304*Analisis!$J$6</f>
        <v>100</v>
      </c>
      <c r="AC304" s="100">
        <v>0</v>
      </c>
      <c r="AD304" s="85">
        <f t="shared" si="421"/>
        <v>0</v>
      </c>
      <c r="AE304" s="86">
        <f>+AD304*Analisis!$J$7</f>
        <v>0</v>
      </c>
      <c r="AF304" s="86">
        <f t="shared" si="365"/>
        <v>348.63644081871348</v>
      </c>
      <c r="AG304" s="126">
        <f>+AF304/(1-Analisis!$E$9)</f>
        <v>435.79555102339185</v>
      </c>
      <c r="AH304" s="128">
        <f t="shared" si="367"/>
        <v>0</v>
      </c>
    </row>
    <row r="305" spans="1:35" s="73" customFormat="1" x14ac:dyDescent="0.25">
      <c r="A305" s="100"/>
      <c r="B305" s="114" t="s">
        <v>477</v>
      </c>
      <c r="C305" s="74">
        <f>IFERROR(VLOOKUP(B305,'REQ GALV'!A:B,2,0),0)</f>
        <v>0</v>
      </c>
      <c r="D305" s="116">
        <f t="shared" si="366"/>
        <v>389.58634049707609</v>
      </c>
      <c r="E305" s="103" t="s">
        <v>41</v>
      </c>
      <c r="F305" s="75" t="s">
        <v>147</v>
      </c>
      <c r="G305" s="90">
        <v>3.42</v>
      </c>
      <c r="H305" s="90">
        <v>46.89</v>
      </c>
      <c r="I305" s="76">
        <v>0.105</v>
      </c>
      <c r="J305" s="77">
        <v>28.24</v>
      </c>
      <c r="K305" s="78">
        <f t="shared" si="413"/>
        <v>9.2308876062322973</v>
      </c>
      <c r="L305" s="58">
        <f>+VLOOKUP(E305,Material!$H$2:$M$17,6,FALSE)*G305*H305*(1+Material!$K$14)</f>
        <v>118.49103000000002</v>
      </c>
      <c r="M305" s="79" t="str">
        <f>+Analisis!$J$5</f>
        <v>T5.0</v>
      </c>
      <c r="N305" s="80">
        <f>+VLOOKUP(M305,Material!$A$3:$B$58,2,FALSE)</f>
        <v>5000</v>
      </c>
      <c r="O305" s="79" t="s">
        <v>42</v>
      </c>
      <c r="P305" s="79" t="s">
        <v>43</v>
      </c>
      <c r="Q305" s="81">
        <f>+IF(O305="ACERO A36",VLOOKUP(P305,'Velocidades Std 1500 w'!$B$2:$F$15,5,FALSE),IF(O305="INOXIDABLE",VLOOKUP(P305,'Velocidades Std 1500 w'!$B$17:$F$28,5,FALSE),IF(O305="ALUMINIO",VLOOKUP(P305,'Velocidades Std 1500 w'!$B$30:$F$38,5,FALSE))))</f>
        <v>4.3859649122807014E-6</v>
      </c>
      <c r="R305" s="82">
        <f t="shared" si="414"/>
        <v>2.1929824561403508E-2</v>
      </c>
      <c r="S305" s="83">
        <f t="shared" si="415"/>
        <v>48.688190526315793</v>
      </c>
      <c r="T305" s="110">
        <f t="shared" si="416"/>
        <v>3083.5854000000004</v>
      </c>
      <c r="U305" s="80">
        <f t="shared" si="417"/>
        <v>67.622486842105275</v>
      </c>
      <c r="V305" s="98">
        <v>10</v>
      </c>
      <c r="W305" s="84">
        <f>+IF(O305="ACERO A36",VLOOKUP(P305,'Tiempo Objeto'!$B$2:$C$12,2,FALSE),IF(O305="INOXIDABLE",VLOOKUP(P305,'Tiempo Objeto'!$B$14:$C$22,2,FALSE),IF(O305="ALUMINIO",VLOOKUP(P305,'Tiempo Objeto'!$B$24:$C$32,2,FALSE))))</f>
        <v>1.84</v>
      </c>
      <c r="X305" s="84">
        <f t="shared" si="418"/>
        <v>18.400000000000002</v>
      </c>
      <c r="Y305" s="80">
        <f t="shared" si="419"/>
        <v>25.555555555555561</v>
      </c>
      <c r="Z305" s="100">
        <v>4</v>
      </c>
      <c r="AA305" s="85">
        <f t="shared" si="420"/>
        <v>120</v>
      </c>
      <c r="AB305" s="86">
        <f>+Z305*Analisis!$J$6</f>
        <v>100</v>
      </c>
      <c r="AC305" s="100">
        <v>0</v>
      </c>
      <c r="AD305" s="85">
        <f t="shared" si="421"/>
        <v>0</v>
      </c>
      <c r="AE305" s="86">
        <f>+AD305*Analisis!$J$7</f>
        <v>0</v>
      </c>
      <c r="AF305" s="86">
        <f t="shared" si="365"/>
        <v>311.6690723976609</v>
      </c>
      <c r="AG305" s="126">
        <f>+AF305/(1-Analisis!$E$9)</f>
        <v>389.58634049707609</v>
      </c>
      <c r="AH305" s="128">
        <f t="shared" si="367"/>
        <v>0</v>
      </c>
    </row>
    <row r="306" spans="1:35" s="73" customFormat="1" x14ac:dyDescent="0.25">
      <c r="A306" s="100"/>
      <c r="B306" s="114" t="s">
        <v>478</v>
      </c>
      <c r="C306" s="74">
        <f>IFERROR(VLOOKUP(B306,'REQ GALV'!A:B,2,0),0)</f>
        <v>0</v>
      </c>
      <c r="D306" s="116">
        <f t="shared" si="366"/>
        <v>352.61897207602345</v>
      </c>
      <c r="E306" s="103" t="s">
        <v>41</v>
      </c>
      <c r="F306" s="75" t="s">
        <v>147</v>
      </c>
      <c r="G306" s="90">
        <v>3.42</v>
      </c>
      <c r="H306" s="90">
        <v>38.89</v>
      </c>
      <c r="I306" s="76">
        <v>0.105</v>
      </c>
      <c r="J306" s="77">
        <v>28.24</v>
      </c>
      <c r="K306" s="78">
        <f t="shared" si="413"/>
        <v>7.6559867563739399</v>
      </c>
      <c r="L306" s="58">
        <f>+VLOOKUP(E306,Material!$H$2:$M$17,6,FALSE)*G306*H306*(1+Material!$K$14)</f>
        <v>98.275030000000015</v>
      </c>
      <c r="M306" s="79" t="str">
        <f>+Analisis!$J$5</f>
        <v>T5.0</v>
      </c>
      <c r="N306" s="80">
        <f>+VLOOKUP(M306,Material!$A$3:$B$58,2,FALSE)</f>
        <v>5000</v>
      </c>
      <c r="O306" s="79" t="s">
        <v>42</v>
      </c>
      <c r="P306" s="79" t="s">
        <v>43</v>
      </c>
      <c r="Q306" s="81">
        <f>+IF(O306="ACERO A36",VLOOKUP(P306,'Velocidades Std 1500 w'!$B$2:$F$15,5,FALSE),IF(O306="INOXIDABLE",VLOOKUP(P306,'Velocidades Std 1500 w'!$B$17:$F$28,5,FALSE),IF(O306="ALUMINIO",VLOOKUP(P306,'Velocidades Std 1500 w'!$B$30:$F$38,5,FALSE))))</f>
        <v>4.3859649122807014E-6</v>
      </c>
      <c r="R306" s="82">
        <f t="shared" si="414"/>
        <v>2.1929824561403508E-2</v>
      </c>
      <c r="S306" s="83">
        <f t="shared" si="415"/>
        <v>41.950506315789475</v>
      </c>
      <c r="T306" s="110">
        <f t="shared" si="416"/>
        <v>2656.8654000000001</v>
      </c>
      <c r="U306" s="80">
        <f t="shared" si="417"/>
        <v>58.264592105263155</v>
      </c>
      <c r="V306" s="98">
        <v>10</v>
      </c>
      <c r="W306" s="84">
        <f>+IF(O306="ACERO A36",VLOOKUP(P306,'Tiempo Objeto'!$B$2:$C$12,2,FALSE),IF(O306="INOXIDABLE",VLOOKUP(P306,'Tiempo Objeto'!$B$14:$C$22,2,FALSE),IF(O306="ALUMINIO",VLOOKUP(P306,'Tiempo Objeto'!$B$24:$C$32,2,FALSE))))</f>
        <v>1.84</v>
      </c>
      <c r="X306" s="84">
        <f t="shared" si="418"/>
        <v>18.400000000000002</v>
      </c>
      <c r="Y306" s="80">
        <f t="shared" si="419"/>
        <v>25.555555555555561</v>
      </c>
      <c r="Z306" s="100">
        <v>4</v>
      </c>
      <c r="AA306" s="85">
        <f t="shared" si="420"/>
        <v>120</v>
      </c>
      <c r="AB306" s="86">
        <f>+Z306*Analisis!$J$6</f>
        <v>100</v>
      </c>
      <c r="AC306" s="100">
        <v>0</v>
      </c>
      <c r="AD306" s="85">
        <f t="shared" si="421"/>
        <v>0</v>
      </c>
      <c r="AE306" s="86">
        <f>+AD306*Analisis!$J$7</f>
        <v>0</v>
      </c>
      <c r="AF306" s="86">
        <f t="shared" si="365"/>
        <v>282.09517766081876</v>
      </c>
      <c r="AG306" s="126">
        <f>+AF306/(1-Analisis!$E$9)</f>
        <v>352.61897207602345</v>
      </c>
      <c r="AH306" s="128">
        <f t="shared" si="367"/>
        <v>0</v>
      </c>
    </row>
    <row r="307" spans="1:35" s="73" customFormat="1" x14ac:dyDescent="0.25">
      <c r="A307" s="100"/>
      <c r="B307" s="114" t="s">
        <v>479</v>
      </c>
      <c r="C307" s="138">
        <f>IFERROR(VLOOKUP(B307,'REQ GALV'!A:B,2,0),0)</f>
        <v>90</v>
      </c>
      <c r="D307" s="116">
        <f t="shared" si="366"/>
        <v>283.30515628654967</v>
      </c>
      <c r="E307" s="103" t="s">
        <v>41</v>
      </c>
      <c r="F307" s="75" t="s">
        <v>147</v>
      </c>
      <c r="G307" s="90">
        <v>3.42</v>
      </c>
      <c r="H307" s="90">
        <v>23.89</v>
      </c>
      <c r="I307" s="76">
        <v>0.105</v>
      </c>
      <c r="J307" s="77">
        <v>28.24</v>
      </c>
      <c r="K307" s="78">
        <f t="shared" si="413"/>
        <v>4.7030476628895199</v>
      </c>
      <c r="L307" s="58">
        <f>+VLOOKUP(E307,Material!$H$2:$M$17,6,FALSE)*G307*H307*(1+Material!$K$14)</f>
        <v>60.370030000000007</v>
      </c>
      <c r="M307" s="79" t="str">
        <f>+Analisis!$J$5</f>
        <v>T5.0</v>
      </c>
      <c r="N307" s="80">
        <f>+VLOOKUP(M307,Material!$A$3:$B$58,2,FALSE)</f>
        <v>5000</v>
      </c>
      <c r="O307" s="79" t="s">
        <v>42</v>
      </c>
      <c r="P307" s="79" t="s">
        <v>43</v>
      </c>
      <c r="Q307" s="81">
        <f>+IF(O307="ACERO A36",VLOOKUP(P307,'Velocidades Std 1500 w'!$B$2:$F$15,5,FALSE),IF(O307="INOXIDABLE",VLOOKUP(P307,'Velocidades Std 1500 w'!$B$17:$F$28,5,FALSE),IF(O307="ALUMINIO",VLOOKUP(P307,'Velocidades Std 1500 w'!$B$30:$F$38,5,FALSE))))</f>
        <v>4.3859649122807014E-6</v>
      </c>
      <c r="R307" s="82">
        <f t="shared" si="414"/>
        <v>2.1929824561403508E-2</v>
      </c>
      <c r="S307" s="83">
        <f t="shared" si="415"/>
        <v>29.317348421052632</v>
      </c>
      <c r="T307" s="110">
        <f t="shared" si="416"/>
        <v>1856.7654</v>
      </c>
      <c r="U307" s="80">
        <f t="shared" si="417"/>
        <v>40.71853947368421</v>
      </c>
      <c r="V307" s="98">
        <v>10</v>
      </c>
      <c r="W307" s="84">
        <f>+IF(O307="ACERO A36",VLOOKUP(P307,'Tiempo Objeto'!$B$2:$C$12,2,FALSE),IF(O307="INOXIDABLE",VLOOKUP(P307,'Tiempo Objeto'!$B$14:$C$22,2,FALSE),IF(O307="ALUMINIO",VLOOKUP(P307,'Tiempo Objeto'!$B$24:$C$32,2,FALSE))))</f>
        <v>1.84</v>
      </c>
      <c r="X307" s="84">
        <f t="shared" si="418"/>
        <v>18.400000000000002</v>
      </c>
      <c r="Y307" s="80">
        <f t="shared" si="419"/>
        <v>25.555555555555561</v>
      </c>
      <c r="Z307" s="100">
        <v>4</v>
      </c>
      <c r="AA307" s="85">
        <f t="shared" si="420"/>
        <v>660</v>
      </c>
      <c r="AB307" s="86">
        <f>+Z307*Analisis!$J$6</f>
        <v>100</v>
      </c>
      <c r="AC307" s="100">
        <v>0</v>
      </c>
      <c r="AD307" s="85">
        <f t="shared" si="421"/>
        <v>0</v>
      </c>
      <c r="AE307" s="86">
        <f>+AD307*Analisis!$J$7</f>
        <v>0</v>
      </c>
      <c r="AF307" s="86">
        <f t="shared" si="365"/>
        <v>226.64412502923977</v>
      </c>
      <c r="AG307" s="126">
        <f>+AF307/(1-Analisis!$E$9)</f>
        <v>283.30515628654967</v>
      </c>
      <c r="AH307" s="128">
        <f t="shared" si="367"/>
        <v>25497.464065789471</v>
      </c>
      <c r="AI307" s="128">
        <f>+L307*C307</f>
        <v>5433.3027000000002</v>
      </c>
    </row>
    <row r="308" spans="1:35" s="73" customFormat="1" x14ac:dyDescent="0.25">
      <c r="A308" s="100"/>
      <c r="B308" s="108" t="s">
        <v>480</v>
      </c>
      <c r="C308" s="74">
        <f>IFERROR(VLOOKUP(B308,'REQ GALV'!A:B,2,0),0)</f>
        <v>0</v>
      </c>
      <c r="D308" s="116">
        <f t="shared" si="366"/>
        <v>699.85889414862027</v>
      </c>
      <c r="E308" s="103" t="s">
        <v>47</v>
      </c>
      <c r="F308" s="75" t="s">
        <v>147</v>
      </c>
      <c r="G308" s="90">
        <v>11.21</v>
      </c>
      <c r="H308" s="90">
        <v>39.340000000000003</v>
      </c>
      <c r="I308" s="76">
        <v>0.105</v>
      </c>
      <c r="J308" s="77">
        <v>28.24</v>
      </c>
      <c r="K308" s="78">
        <f t="shared" si="0"/>
        <v>17.84882503209101</v>
      </c>
      <c r="L308" s="58">
        <f>+VLOOKUP(E308,Material!$H$2:$M$17,6,FALSE)*G308*H308*(1+Material!$K$14)</f>
        <v>229.11400859375004</v>
      </c>
      <c r="M308" s="79" t="str">
        <f>+Analisis!$J$5</f>
        <v>T5.0</v>
      </c>
      <c r="N308" s="80">
        <f>+VLOOKUP(M308,Material!$A$3:$B$58,2,FALSE)</f>
        <v>5000</v>
      </c>
      <c r="O308" s="79" t="s">
        <v>42</v>
      </c>
      <c r="P308" s="79" t="s">
        <v>43</v>
      </c>
      <c r="Q308" s="81">
        <f>+IF(O308="ACERO A36",VLOOKUP(P308,'Velocidades Std 1500 w'!$B$2:$F$15,5,FALSE),IF(O308="INOXIDABLE",VLOOKUP(P308,'Velocidades Std 1500 w'!$B$17:$F$28,5,FALSE),IF(O308="ALUMINIO",VLOOKUP(P308,'Velocidades Std 1500 w'!$B$30:$F$38,5,FALSE))))</f>
        <v>4.3859649122807014E-6</v>
      </c>
      <c r="R308" s="82">
        <f t="shared" si="1"/>
        <v>2.1929824561403508E-2</v>
      </c>
      <c r="S308" s="83">
        <f t="shared" si="2"/>
        <v>74.156636842105257</v>
      </c>
      <c r="T308" s="110">
        <f t="shared" si="9"/>
        <v>4696.5870000000004</v>
      </c>
      <c r="U308" s="80">
        <f t="shared" si="3"/>
        <v>102.99532894736842</v>
      </c>
      <c r="V308" s="98">
        <v>50</v>
      </c>
      <c r="W308" s="84">
        <f>+IF(O308="ACERO A36",VLOOKUP(P308,'Tiempo Objeto'!$B$2:$C$12,2,FALSE),IF(O308="INOXIDABLE",VLOOKUP(P308,'Tiempo Objeto'!$B$14:$C$22,2,FALSE),IF(O308="ALUMINIO",VLOOKUP(P308,'Tiempo Objeto'!$B$24:$C$32,2,FALSE))))</f>
        <v>1.84</v>
      </c>
      <c r="X308" s="84">
        <f t="shared" si="10"/>
        <v>92</v>
      </c>
      <c r="Y308" s="80">
        <f t="shared" si="11"/>
        <v>127.77777777777777</v>
      </c>
      <c r="Z308" s="100">
        <v>4</v>
      </c>
      <c r="AA308" s="85">
        <f t="shared" si="12"/>
        <v>120</v>
      </c>
      <c r="AB308" s="86">
        <f>+Z308*Analisis!$J$6</f>
        <v>100</v>
      </c>
      <c r="AC308" s="100">
        <v>0</v>
      </c>
      <c r="AD308" s="85">
        <f t="shared" si="13"/>
        <v>0</v>
      </c>
      <c r="AE308" s="86">
        <f>+AD308*Analisis!$J$7</f>
        <v>0</v>
      </c>
      <c r="AF308" s="86">
        <f t="shared" si="365"/>
        <v>559.88711531889624</v>
      </c>
      <c r="AG308" s="126">
        <f>+AF308/(1-Analisis!$E$9)</f>
        <v>699.85889414862027</v>
      </c>
      <c r="AH308" s="128">
        <f t="shared" si="367"/>
        <v>0</v>
      </c>
    </row>
    <row r="309" spans="1:35" s="73" customFormat="1" x14ac:dyDescent="0.25">
      <c r="A309" s="100"/>
      <c r="B309" s="108" t="s">
        <v>481</v>
      </c>
      <c r="C309" s="74">
        <f>IFERROR(VLOOKUP(B309,'REQ GALV'!A:B,2,0),0)</f>
        <v>0</v>
      </c>
      <c r="D309" s="116">
        <f t="shared" si="366"/>
        <v>581.05172247350151</v>
      </c>
      <c r="E309" s="103" t="s">
        <v>44</v>
      </c>
      <c r="F309" s="75" t="s">
        <v>147</v>
      </c>
      <c r="G309" s="90">
        <v>13.1</v>
      </c>
      <c r="H309" s="90">
        <v>32.020000000000003</v>
      </c>
      <c r="I309" s="76">
        <v>0.105</v>
      </c>
      <c r="J309" s="77">
        <v>28.24</v>
      </c>
      <c r="K309" s="78">
        <f t="shared" si="0"/>
        <v>29.426890706149678</v>
      </c>
      <c r="L309" s="58">
        <f>+VLOOKUP(E309,Material!$H$2:$M$17,6,FALSE)*G309*H309*(1+Material!$K$14)</f>
        <v>377.73426979166675</v>
      </c>
      <c r="M309" s="79" t="str">
        <f>+Analisis!$J$5</f>
        <v>T5.0</v>
      </c>
      <c r="N309" s="80">
        <f>+VLOOKUP(M309,Material!$A$3:$B$58,2,FALSE)</f>
        <v>5000</v>
      </c>
      <c r="O309" s="79" t="s">
        <v>42</v>
      </c>
      <c r="P309" s="79" t="s">
        <v>43</v>
      </c>
      <c r="Q309" s="81">
        <f>+IF(O309="ACERO A36",VLOOKUP(P309,'Velocidades Std 1500 w'!$B$2:$F$15,5,FALSE),IF(O309="INOXIDABLE",VLOOKUP(P309,'Velocidades Std 1500 w'!$B$17:$F$28,5,FALSE),IF(O309="ALUMINIO",VLOOKUP(P309,'Velocidades Std 1500 w'!$B$30:$F$38,5,FALSE))))</f>
        <v>4.3859649122807014E-6</v>
      </c>
      <c r="R309" s="82">
        <f t="shared" si="1"/>
        <v>2.1929824561403508E-2</v>
      </c>
      <c r="S309" s="83">
        <f t="shared" si="2"/>
        <v>44.317117894736839</v>
      </c>
      <c r="T309" s="110">
        <f t="shared" si="9"/>
        <v>2806.7508000000003</v>
      </c>
      <c r="U309" s="80">
        <f t="shared" si="3"/>
        <v>61.55155263157895</v>
      </c>
      <c r="V309" s="98">
        <v>10</v>
      </c>
      <c r="W309" s="84">
        <f>+IF(O309="ACERO A36",VLOOKUP(P309,'Tiempo Objeto'!$B$2:$C$12,2,FALSE),IF(O309="INOXIDABLE",VLOOKUP(P309,'Tiempo Objeto'!$B$14:$C$22,2,FALSE),IF(O309="ALUMINIO",VLOOKUP(P309,'Tiempo Objeto'!$B$24:$C$32,2,FALSE))))</f>
        <v>1.84</v>
      </c>
      <c r="X309" s="84">
        <f t="shared" si="10"/>
        <v>18.400000000000002</v>
      </c>
      <c r="Y309" s="80">
        <f t="shared" si="11"/>
        <v>25.555555555555561</v>
      </c>
      <c r="Z309" s="100">
        <v>0</v>
      </c>
      <c r="AA309" s="85">
        <f t="shared" si="12"/>
        <v>0</v>
      </c>
      <c r="AB309" s="86">
        <f>+Z309*Analisis!$J$6</f>
        <v>0</v>
      </c>
      <c r="AC309" s="100">
        <v>0</v>
      </c>
      <c r="AD309" s="85">
        <f t="shared" si="13"/>
        <v>0</v>
      </c>
      <c r="AE309" s="86">
        <f>+AD309*Analisis!$J$7</f>
        <v>0</v>
      </c>
      <c r="AF309" s="86">
        <f t="shared" si="365"/>
        <v>464.84137797880123</v>
      </c>
      <c r="AG309" s="126">
        <f>+AF309/(1-Analisis!$E$9)</f>
        <v>581.05172247350151</v>
      </c>
      <c r="AH309" s="128">
        <f t="shared" si="367"/>
        <v>0</v>
      </c>
    </row>
    <row r="310" spans="1:35" s="73" customFormat="1" x14ac:dyDescent="0.25">
      <c r="A310" s="100"/>
      <c r="B310" s="108" t="s">
        <v>482</v>
      </c>
      <c r="C310" s="74">
        <f>IFERROR(VLOOKUP(B310,'REQ GALV'!A:B,2,0),0)</f>
        <v>0</v>
      </c>
      <c r="D310" s="116">
        <f t="shared" si="366"/>
        <v>219.67056374269006</v>
      </c>
      <c r="E310" s="103" t="s">
        <v>41</v>
      </c>
      <c r="F310" s="75" t="s">
        <v>147</v>
      </c>
      <c r="G310" s="90">
        <v>7.06</v>
      </c>
      <c r="H310" s="90">
        <v>13.02</v>
      </c>
      <c r="I310" s="76">
        <v>0.105</v>
      </c>
      <c r="J310" s="77">
        <v>28.24</v>
      </c>
      <c r="K310" s="78">
        <f t="shared" si="0"/>
        <v>5.2911833333333345</v>
      </c>
      <c r="L310" s="58">
        <f>+VLOOKUP(E310,Material!$H$2:$M$17,6,FALSE)*G310*H310*(1+Material!$K$14)</f>
        <v>67.91955333333334</v>
      </c>
      <c r="M310" s="79" t="str">
        <f>+Analisis!$J$5</f>
        <v>T5.0</v>
      </c>
      <c r="N310" s="80">
        <f>+VLOOKUP(M310,Material!$A$3:$B$58,2,FALSE)</f>
        <v>5000</v>
      </c>
      <c r="O310" s="79" t="s">
        <v>42</v>
      </c>
      <c r="P310" s="79" t="s">
        <v>43</v>
      </c>
      <c r="Q310" s="81">
        <f>+IF(O310="ACERO A36",VLOOKUP(P310,'Velocidades Std 1500 w'!$B$2:$F$15,5,FALSE),IF(O310="INOXIDABLE",VLOOKUP(P310,'Velocidades Std 1500 w'!$B$17:$F$28,5,FALSE),IF(O310="ALUMINIO",VLOOKUP(P310,'Velocidades Std 1500 w'!$B$30:$F$38,5,FALSE))))</f>
        <v>4.3859649122807014E-6</v>
      </c>
      <c r="R310" s="82">
        <f t="shared" si="1"/>
        <v>2.1929824561403508E-2</v>
      </c>
      <c r="S310" s="83">
        <f t="shared" si="2"/>
        <v>23.228166315789473</v>
      </c>
      <c r="T310" s="110">
        <f t="shared" si="9"/>
        <v>1471.1171999999999</v>
      </c>
      <c r="U310" s="80">
        <f t="shared" si="3"/>
        <v>32.261342105263154</v>
      </c>
      <c r="V310" s="98">
        <v>10</v>
      </c>
      <c r="W310" s="84">
        <f>+IF(O310="ACERO A36",VLOOKUP(P310,'Tiempo Objeto'!$B$2:$C$12,2,FALSE),IF(O310="INOXIDABLE",VLOOKUP(P310,'Tiempo Objeto'!$B$14:$C$22,2,FALSE),IF(O310="ALUMINIO",VLOOKUP(P310,'Tiempo Objeto'!$B$24:$C$32,2,FALSE))))</f>
        <v>1.84</v>
      </c>
      <c r="X310" s="84">
        <f t="shared" si="10"/>
        <v>18.400000000000002</v>
      </c>
      <c r="Y310" s="80">
        <f t="shared" si="11"/>
        <v>25.555555555555561</v>
      </c>
      <c r="Z310" s="100">
        <v>2</v>
      </c>
      <c r="AA310" s="85">
        <f t="shared" si="12"/>
        <v>60</v>
      </c>
      <c r="AB310" s="86">
        <f>+Z310*Analisis!$J$6</f>
        <v>50</v>
      </c>
      <c r="AC310" s="100">
        <v>0</v>
      </c>
      <c r="AD310" s="85">
        <f t="shared" si="13"/>
        <v>0</v>
      </c>
      <c r="AE310" s="86">
        <f>+AD310*Analisis!$J$7</f>
        <v>0</v>
      </c>
      <c r="AF310" s="86">
        <f t="shared" si="365"/>
        <v>175.73645099415205</v>
      </c>
      <c r="AG310" s="126">
        <f>+AF310/(1-Analisis!$E$9)</f>
        <v>219.67056374269006</v>
      </c>
      <c r="AH310" s="128">
        <f t="shared" si="367"/>
        <v>0</v>
      </c>
    </row>
    <row r="311" spans="1:35" s="73" customFormat="1" x14ac:dyDescent="0.25">
      <c r="A311" s="100"/>
      <c r="B311" s="108" t="s">
        <v>483</v>
      </c>
      <c r="C311" s="74">
        <f>IFERROR(VLOOKUP(B311,'REQ GALV'!A:B,2,0),0)</f>
        <v>0</v>
      </c>
      <c r="D311" s="116">
        <f t="shared" si="366"/>
        <v>219.67056374269006</v>
      </c>
      <c r="E311" s="103" t="s">
        <v>41</v>
      </c>
      <c r="F311" s="75" t="s">
        <v>147</v>
      </c>
      <c r="G311" s="90">
        <v>7.06</v>
      </c>
      <c r="H311" s="90">
        <v>13.02</v>
      </c>
      <c r="I311" s="76">
        <v>0.105</v>
      </c>
      <c r="J311" s="77">
        <v>28.24</v>
      </c>
      <c r="K311" s="78">
        <f t="shared" si="0"/>
        <v>5.2911833333333345</v>
      </c>
      <c r="L311" s="58">
        <f>+VLOOKUP(E311,Material!$H$2:$M$17,6,FALSE)*G311*H311*(1+Material!$K$14)</f>
        <v>67.91955333333334</v>
      </c>
      <c r="M311" s="79" t="str">
        <f>+Analisis!$J$5</f>
        <v>T5.0</v>
      </c>
      <c r="N311" s="80">
        <f>+VLOOKUP(M311,Material!$A$3:$B$58,2,FALSE)</f>
        <v>5000</v>
      </c>
      <c r="O311" s="79" t="s">
        <v>42</v>
      </c>
      <c r="P311" s="79" t="s">
        <v>43</v>
      </c>
      <c r="Q311" s="81">
        <f>+IF(O311="ACERO A36",VLOOKUP(P311,'Velocidades Std 1500 w'!$B$2:$F$15,5,FALSE),IF(O311="INOXIDABLE",VLOOKUP(P311,'Velocidades Std 1500 w'!$B$17:$F$28,5,FALSE),IF(O311="ALUMINIO",VLOOKUP(P311,'Velocidades Std 1500 w'!$B$30:$F$38,5,FALSE))))</f>
        <v>4.3859649122807014E-6</v>
      </c>
      <c r="R311" s="82">
        <f t="shared" si="1"/>
        <v>2.1929824561403508E-2</v>
      </c>
      <c r="S311" s="83">
        <f t="shared" si="2"/>
        <v>23.228166315789473</v>
      </c>
      <c r="T311" s="110">
        <f t="shared" si="9"/>
        <v>1471.1171999999999</v>
      </c>
      <c r="U311" s="80">
        <f t="shared" si="3"/>
        <v>32.261342105263154</v>
      </c>
      <c r="V311" s="98">
        <v>10</v>
      </c>
      <c r="W311" s="84">
        <f>+IF(O311="ACERO A36",VLOOKUP(P311,'Tiempo Objeto'!$B$2:$C$12,2,FALSE),IF(O311="INOXIDABLE",VLOOKUP(P311,'Tiempo Objeto'!$B$14:$C$22,2,FALSE),IF(O311="ALUMINIO",VLOOKUP(P311,'Tiempo Objeto'!$B$24:$C$32,2,FALSE))))</f>
        <v>1.84</v>
      </c>
      <c r="X311" s="84">
        <f t="shared" si="10"/>
        <v>18.400000000000002</v>
      </c>
      <c r="Y311" s="80">
        <f t="shared" si="11"/>
        <v>25.555555555555561</v>
      </c>
      <c r="Z311" s="100">
        <v>2</v>
      </c>
      <c r="AA311" s="85">
        <f t="shared" si="12"/>
        <v>60</v>
      </c>
      <c r="AB311" s="86">
        <f>+Z311*Analisis!$J$6</f>
        <v>50</v>
      </c>
      <c r="AC311" s="100">
        <v>0</v>
      </c>
      <c r="AD311" s="85">
        <f t="shared" si="13"/>
        <v>0</v>
      </c>
      <c r="AE311" s="86">
        <f>+AD311*Analisis!$J$7</f>
        <v>0</v>
      </c>
      <c r="AF311" s="86">
        <f t="shared" si="365"/>
        <v>175.73645099415205</v>
      </c>
      <c r="AG311" s="126">
        <f>+AF311/(1-Analisis!$E$9)</f>
        <v>219.67056374269006</v>
      </c>
      <c r="AH311" s="128">
        <f t="shared" si="367"/>
        <v>0</v>
      </c>
    </row>
    <row r="312" spans="1:35" s="73" customFormat="1" x14ac:dyDescent="0.25">
      <c r="A312" s="100"/>
      <c r="B312" t="s">
        <v>488</v>
      </c>
      <c r="C312" s="74">
        <f>IFERROR(VLOOKUP(B312,'REQ GALV'!A:B,2,0),0)</f>
        <v>0</v>
      </c>
      <c r="D312" s="116">
        <f t="shared" si="366"/>
        <v>384.28935672514615</v>
      </c>
      <c r="E312" s="103" t="s">
        <v>146</v>
      </c>
      <c r="F312" s="75" t="s">
        <v>147</v>
      </c>
      <c r="G312" s="90">
        <v>1.38</v>
      </c>
      <c r="H312" s="90">
        <f>1.88*8</f>
        <v>15.04</v>
      </c>
      <c r="I312" s="76">
        <v>0.105</v>
      </c>
      <c r="J312" s="77">
        <v>28.24</v>
      </c>
      <c r="K312" s="78">
        <f t="shared" si="0"/>
        <v>3.7334820585457975</v>
      </c>
      <c r="L312" s="58">
        <f>+VLOOKUP(E312,Material!$H$2:$M$17,6,FALSE)*G312*H312*(1+Material!$K$14)</f>
        <v>47.924333333333323</v>
      </c>
      <c r="M312" s="79" t="str">
        <f>+Analisis!$J$5</f>
        <v>T5.0</v>
      </c>
      <c r="N312" s="80">
        <f>+VLOOKUP(M312,Material!$A$3:$B$58,2,FALSE)</f>
        <v>5000</v>
      </c>
      <c r="O312" s="79" t="s">
        <v>42</v>
      </c>
      <c r="P312" s="79" t="s">
        <v>43</v>
      </c>
      <c r="Q312" s="81">
        <f>+IF(O312="ACERO A36",VLOOKUP(P312,'Velocidades Std 1500 w'!$B$2:$F$15,5,FALSE),IF(O312="INOXIDABLE",VLOOKUP(P312,'Velocidades Std 1500 w'!$B$17:$F$28,5,FALSE),IF(O312="ALUMINIO",VLOOKUP(P312,'Velocidades Std 1500 w'!$B$30:$F$38,5,FALSE))))</f>
        <v>4.3859649122807014E-6</v>
      </c>
      <c r="R312" s="82">
        <f t="shared" si="1"/>
        <v>2.1929824561403508E-2</v>
      </c>
      <c r="S312" s="83">
        <f t="shared" si="2"/>
        <v>58.045149473684212</v>
      </c>
      <c r="T312" s="110">
        <f t="shared" si="9"/>
        <v>3676.1928000000003</v>
      </c>
      <c r="U312" s="80">
        <f t="shared" si="3"/>
        <v>80.618263157894745</v>
      </c>
      <c r="V312" s="98">
        <v>70</v>
      </c>
      <c r="W312" s="84">
        <f>+IF(O312="ACERO A36",VLOOKUP(P312,'Tiempo Objeto'!$B$2:$C$12,2,FALSE),IF(O312="INOXIDABLE",VLOOKUP(P312,'Tiempo Objeto'!$B$14:$C$22,2,FALSE),IF(O312="ALUMINIO",VLOOKUP(P312,'Tiempo Objeto'!$B$24:$C$32,2,FALSE))))</f>
        <v>1.84</v>
      </c>
      <c r="X312" s="84">
        <f t="shared" si="10"/>
        <v>128.80000000000001</v>
      </c>
      <c r="Y312" s="80">
        <f t="shared" si="11"/>
        <v>178.88888888888889</v>
      </c>
      <c r="Z312" s="100">
        <v>0</v>
      </c>
      <c r="AA312" s="85">
        <f t="shared" si="12"/>
        <v>0</v>
      </c>
      <c r="AB312" s="86">
        <f>+Z312*Analisis!$J$6</f>
        <v>0</v>
      </c>
      <c r="AC312" s="100">
        <v>0</v>
      </c>
      <c r="AD312" s="85">
        <f t="shared" si="13"/>
        <v>0</v>
      </c>
      <c r="AE312" s="86">
        <f>+AD312*Analisis!$J$7</f>
        <v>0</v>
      </c>
      <c r="AF312" s="86">
        <f t="shared" si="365"/>
        <v>307.43148538011695</v>
      </c>
      <c r="AG312" s="126">
        <f>+AF312/(1-Analisis!$E$9)</f>
        <v>384.28935672514615</v>
      </c>
      <c r="AH312" s="128">
        <f t="shared" si="367"/>
        <v>0</v>
      </c>
    </row>
    <row r="313" spans="1:35" s="73" customFormat="1" x14ac:dyDescent="0.25">
      <c r="A313" s="100"/>
      <c r="B313" t="s">
        <v>489</v>
      </c>
      <c r="C313" s="74">
        <f>IFERROR(VLOOKUP(B313,'REQ GALV'!A:B,2,0),0)</f>
        <v>0</v>
      </c>
      <c r="D313" s="116">
        <f t="shared" si="366"/>
        <v>59.996253654970758</v>
      </c>
      <c r="E313" s="103" t="s">
        <v>41</v>
      </c>
      <c r="F313" s="75" t="s">
        <v>147</v>
      </c>
      <c r="G313" s="90">
        <v>3</v>
      </c>
      <c r="H313" s="90">
        <v>3</v>
      </c>
      <c r="I313" s="76">
        <v>0.105</v>
      </c>
      <c r="J313" s="77">
        <v>28.24</v>
      </c>
      <c r="K313" s="78">
        <f t="shared" ref="K313:K359" si="422">+L313*2.2/J313</f>
        <v>0.51805949008498597</v>
      </c>
      <c r="L313" s="58">
        <f>+VLOOKUP(E313,Material!$H$2:$M$17,6,FALSE)*G313*H313*(1+Material!$K$14)</f>
        <v>6.65</v>
      </c>
      <c r="M313" s="79" t="str">
        <f>+Analisis!$J$5</f>
        <v>T5.0</v>
      </c>
      <c r="N313" s="80">
        <f>+VLOOKUP(M313,Material!$A$3:$B$58,2,FALSE)</f>
        <v>5000</v>
      </c>
      <c r="O313" s="79" t="s">
        <v>42</v>
      </c>
      <c r="P313" s="79" t="s">
        <v>43</v>
      </c>
      <c r="Q313" s="81">
        <f>+IF(O313="ACERO A36",VLOOKUP(P313,'Velocidades Std 1500 w'!$B$2:$F$15,5,FALSE),IF(O313="INOXIDABLE",VLOOKUP(P313,'Velocidades Std 1500 w'!$B$17:$F$28,5,FALSE),IF(O313="ALUMINIO",VLOOKUP(P313,'Velocidades Std 1500 w'!$B$30:$F$38,5,FALSE))))</f>
        <v>4.3859649122807014E-6</v>
      </c>
      <c r="R313" s="82">
        <f t="shared" ref="R313:R359" si="423">+Q313*N313</f>
        <v>2.1929824561403508E-2</v>
      </c>
      <c r="S313" s="83">
        <f t="shared" ref="S313:S359" si="424">+Q313*T313*3600</f>
        <v>11.369842105263157</v>
      </c>
      <c r="T313" s="110">
        <f t="shared" ref="T313:T359" si="425">(+H313*2+G313*2+V313*1.5)*25.4*1.05</f>
        <v>720.09</v>
      </c>
      <c r="U313" s="80">
        <f t="shared" ref="U313:U359" si="426">+T313*R313</f>
        <v>15.791447368421052</v>
      </c>
      <c r="V313" s="98">
        <v>10</v>
      </c>
      <c r="W313" s="84">
        <f>+IF(O313="ACERO A36",VLOOKUP(P313,'Tiempo Objeto'!$B$2:$C$12,2,FALSE),IF(O313="INOXIDABLE",VLOOKUP(P313,'Tiempo Objeto'!$B$14:$C$22,2,FALSE),IF(O313="ALUMINIO",VLOOKUP(P313,'Tiempo Objeto'!$B$24:$C$32,2,FALSE))))</f>
        <v>1.84</v>
      </c>
      <c r="X313" s="84">
        <f t="shared" ref="X313:X359" si="427">+W313*V313</f>
        <v>18.400000000000002</v>
      </c>
      <c r="Y313" s="80">
        <f t="shared" ref="Y313:Y359" si="428">+X313*N313/3600</f>
        <v>25.555555555555561</v>
      </c>
      <c r="Z313" s="100">
        <v>0</v>
      </c>
      <c r="AA313" s="85">
        <f t="shared" ref="AA313:AA359" si="429">30*Z313+Z313*$C313*1.5</f>
        <v>0</v>
      </c>
      <c r="AB313" s="86">
        <f>+Z313*Analisis!$J$6</f>
        <v>0</v>
      </c>
      <c r="AC313" s="100">
        <v>0</v>
      </c>
      <c r="AD313" s="85">
        <f t="shared" ref="AD313:AD359" si="430">30*AC313+AC313*$C313*1.5</f>
        <v>0</v>
      </c>
      <c r="AE313" s="86">
        <f>+AD313*Analisis!$J$7</f>
        <v>0</v>
      </c>
      <c r="AF313" s="86">
        <f t="shared" si="365"/>
        <v>47.997002923976609</v>
      </c>
      <c r="AG313" s="126">
        <f>+AF313/(1-Analisis!$E$9)</f>
        <v>59.996253654970758</v>
      </c>
      <c r="AH313" s="128">
        <f t="shared" si="367"/>
        <v>0</v>
      </c>
    </row>
    <row r="314" spans="1:35" s="73" customFormat="1" x14ac:dyDescent="0.25">
      <c r="A314" s="100"/>
      <c r="B314" t="s">
        <v>490</v>
      </c>
      <c r="C314" s="74">
        <f>IFERROR(VLOOKUP(B314,'REQ GALV'!A:B,2,0),0)</f>
        <v>0</v>
      </c>
      <c r="D314" s="116">
        <f t="shared" si="366"/>
        <v>69.385873538011694</v>
      </c>
      <c r="E314" s="103" t="s">
        <v>41</v>
      </c>
      <c r="F314" s="75" t="s">
        <v>147</v>
      </c>
      <c r="G314" s="90">
        <v>4</v>
      </c>
      <c r="H314" s="90">
        <v>4</v>
      </c>
      <c r="I314" s="76">
        <v>0.105</v>
      </c>
      <c r="J314" s="77">
        <v>28.24</v>
      </c>
      <c r="K314" s="78">
        <f t="shared" ref="K314:K324" si="431">+L314*2.2/J314</f>
        <v>0.92099464903997508</v>
      </c>
      <c r="L314" s="58">
        <f>+VLOOKUP(E314,Material!$H$2:$M$17,6,FALSE)*G314*H314*(1+Material!$K$14)</f>
        <v>11.822222222222223</v>
      </c>
      <c r="M314" s="79" t="str">
        <f>+Analisis!$J$5</f>
        <v>T5.0</v>
      </c>
      <c r="N314" s="80">
        <f>+VLOOKUP(M314,Material!$A$3:$B$58,2,FALSE)</f>
        <v>5000</v>
      </c>
      <c r="O314" s="79" t="s">
        <v>42</v>
      </c>
      <c r="P314" s="79" t="s">
        <v>43</v>
      </c>
      <c r="Q314" s="81">
        <f>+IF(O314="ACERO A36",VLOOKUP(P314,'Velocidades Std 1500 w'!$B$2:$F$15,5,FALSE),IF(O314="INOXIDABLE",VLOOKUP(P314,'Velocidades Std 1500 w'!$B$17:$F$28,5,FALSE),IF(O314="ALUMINIO",VLOOKUP(P314,'Velocidades Std 1500 w'!$B$30:$F$38,5,FALSE))))</f>
        <v>4.3859649122807014E-6</v>
      </c>
      <c r="R314" s="82">
        <f t="shared" ref="R314:R324" si="432">+Q314*N314</f>
        <v>2.1929824561403508E-2</v>
      </c>
      <c r="S314" s="83">
        <f t="shared" ref="S314:S324" si="433">+Q314*T314*3600</f>
        <v>13.054263157894734</v>
      </c>
      <c r="T314" s="110">
        <f t="shared" ref="T314:T324" si="434">(+H314*2+G314*2+V314*1.5)*25.4*1.05</f>
        <v>826.77</v>
      </c>
      <c r="U314" s="80">
        <f t="shared" ref="U314:U324" si="435">+T314*R314</f>
        <v>18.130921052631578</v>
      </c>
      <c r="V314" s="98">
        <v>10</v>
      </c>
      <c r="W314" s="84">
        <f>+IF(O314="ACERO A36",VLOOKUP(P314,'Tiempo Objeto'!$B$2:$C$12,2,FALSE),IF(O314="INOXIDABLE",VLOOKUP(P314,'Tiempo Objeto'!$B$14:$C$22,2,FALSE),IF(O314="ALUMINIO",VLOOKUP(P314,'Tiempo Objeto'!$B$24:$C$32,2,FALSE))))</f>
        <v>1.84</v>
      </c>
      <c r="X314" s="84">
        <f t="shared" ref="X314:X324" si="436">+W314*V314</f>
        <v>18.400000000000002</v>
      </c>
      <c r="Y314" s="80">
        <f t="shared" ref="Y314:Y324" si="437">+X314*N314/3600</f>
        <v>25.555555555555561</v>
      </c>
      <c r="Z314" s="100">
        <v>0</v>
      </c>
      <c r="AA314" s="85">
        <f t="shared" ref="AA314:AA324" si="438">30*Z314+Z314*$C314*1.5</f>
        <v>0</v>
      </c>
      <c r="AB314" s="86">
        <f>+Z314*Analisis!$J$6</f>
        <v>0</v>
      </c>
      <c r="AC314" s="100">
        <v>0</v>
      </c>
      <c r="AD314" s="85">
        <f t="shared" ref="AD314:AD324" si="439">30*AC314+AC314*$C314*1.5</f>
        <v>0</v>
      </c>
      <c r="AE314" s="86">
        <f>+AD314*Analisis!$J$7</f>
        <v>0</v>
      </c>
      <c r="AF314" s="86">
        <f t="shared" ref="AF314:AF375" si="440">+L314+U314+Y314+AB314+AE314</f>
        <v>55.508698830409358</v>
      </c>
      <c r="AG314" s="126">
        <f>+AF314/(1-Analisis!$E$9)</f>
        <v>69.385873538011694</v>
      </c>
      <c r="AH314" s="128">
        <f t="shared" si="367"/>
        <v>0</v>
      </c>
    </row>
    <row r="315" spans="1:35" s="73" customFormat="1" x14ac:dyDescent="0.25">
      <c r="A315" s="100"/>
      <c r="B315" t="s">
        <v>491</v>
      </c>
      <c r="C315" s="74">
        <f>IFERROR(VLOOKUP(B315,'REQ GALV'!A:B,2,0),0)</f>
        <v>0</v>
      </c>
      <c r="D315" s="116">
        <f t="shared" ref="D315:D376" si="441">+AG315</f>
        <v>80.622715643274859</v>
      </c>
      <c r="E315" s="103" t="s">
        <v>41</v>
      </c>
      <c r="F315" s="75" t="s">
        <v>147</v>
      </c>
      <c r="G315" s="90">
        <v>5</v>
      </c>
      <c r="H315" s="90">
        <v>5</v>
      </c>
      <c r="I315" s="76">
        <v>0.105</v>
      </c>
      <c r="J315" s="77">
        <v>28.24</v>
      </c>
      <c r="K315" s="78">
        <f t="shared" si="431"/>
        <v>1.4390541391249612</v>
      </c>
      <c r="L315" s="58">
        <f>+VLOOKUP(E315,Material!$H$2:$M$17,6,FALSE)*G315*H315*(1+Material!$K$14)</f>
        <v>18.472222222222225</v>
      </c>
      <c r="M315" s="79" t="str">
        <f>+Analisis!$J$5</f>
        <v>T5.0</v>
      </c>
      <c r="N315" s="80">
        <f>+VLOOKUP(M315,Material!$A$3:$B$58,2,FALSE)</f>
        <v>5000</v>
      </c>
      <c r="O315" s="79" t="s">
        <v>42</v>
      </c>
      <c r="P315" s="79" t="s">
        <v>43</v>
      </c>
      <c r="Q315" s="81">
        <f>+IF(O315="ACERO A36",VLOOKUP(P315,'Velocidades Std 1500 w'!$B$2:$F$15,5,FALSE),IF(O315="INOXIDABLE",VLOOKUP(P315,'Velocidades Std 1500 w'!$B$17:$F$28,5,FALSE),IF(O315="ALUMINIO",VLOOKUP(P315,'Velocidades Std 1500 w'!$B$30:$F$38,5,FALSE))))</f>
        <v>4.3859649122807014E-6</v>
      </c>
      <c r="R315" s="82">
        <f t="shared" si="432"/>
        <v>2.1929824561403508E-2</v>
      </c>
      <c r="S315" s="83">
        <f t="shared" si="433"/>
        <v>14.738684210526316</v>
      </c>
      <c r="T315" s="110">
        <f t="shared" si="434"/>
        <v>933.45</v>
      </c>
      <c r="U315" s="80">
        <f t="shared" si="435"/>
        <v>20.470394736842106</v>
      </c>
      <c r="V315" s="98">
        <v>10</v>
      </c>
      <c r="W315" s="84">
        <f>+IF(O315="ACERO A36",VLOOKUP(P315,'Tiempo Objeto'!$B$2:$C$12,2,FALSE),IF(O315="INOXIDABLE",VLOOKUP(P315,'Tiempo Objeto'!$B$14:$C$22,2,FALSE),IF(O315="ALUMINIO",VLOOKUP(P315,'Tiempo Objeto'!$B$24:$C$32,2,FALSE))))</f>
        <v>1.84</v>
      </c>
      <c r="X315" s="84">
        <f t="shared" si="436"/>
        <v>18.400000000000002</v>
      </c>
      <c r="Y315" s="80">
        <f t="shared" si="437"/>
        <v>25.555555555555561</v>
      </c>
      <c r="Z315" s="100">
        <v>0</v>
      </c>
      <c r="AA315" s="85">
        <f t="shared" si="438"/>
        <v>0</v>
      </c>
      <c r="AB315" s="86">
        <f>+Z315*Analisis!$J$6</f>
        <v>0</v>
      </c>
      <c r="AC315" s="100">
        <v>0</v>
      </c>
      <c r="AD315" s="85">
        <f t="shared" si="439"/>
        <v>0</v>
      </c>
      <c r="AE315" s="86">
        <f>+AD315*Analisis!$J$7</f>
        <v>0</v>
      </c>
      <c r="AF315" s="86">
        <f t="shared" si="440"/>
        <v>64.498172514619895</v>
      </c>
      <c r="AG315" s="126">
        <f>+AF315/(1-Analisis!$E$9)</f>
        <v>80.622715643274859</v>
      </c>
      <c r="AH315" s="128">
        <f t="shared" ref="AH315:AH376" si="442">+AG315*C315</f>
        <v>0</v>
      </c>
    </row>
    <row r="316" spans="1:35" s="73" customFormat="1" x14ac:dyDescent="0.25">
      <c r="A316" s="100"/>
      <c r="B316" t="s">
        <v>492</v>
      </c>
      <c r="C316" s="74">
        <f>IFERROR(VLOOKUP(B316,'REQ GALV'!A:B,2,0),0)</f>
        <v>0</v>
      </c>
      <c r="D316" s="116">
        <f t="shared" si="441"/>
        <v>59.996253654970758</v>
      </c>
      <c r="E316" s="103" t="s">
        <v>41</v>
      </c>
      <c r="F316" s="75" t="s">
        <v>147</v>
      </c>
      <c r="G316" s="90">
        <v>3</v>
      </c>
      <c r="H316" s="90">
        <v>3</v>
      </c>
      <c r="I316" s="76">
        <v>0.105</v>
      </c>
      <c r="J316" s="77">
        <v>28.24</v>
      </c>
      <c r="K316" s="78">
        <f t="shared" si="431"/>
        <v>0.51805949008498597</v>
      </c>
      <c r="L316" s="58">
        <f>+VLOOKUP(E316,Material!$H$2:$M$17,6,FALSE)*G316*H316*(1+Material!$K$14)</f>
        <v>6.65</v>
      </c>
      <c r="M316" s="79" t="str">
        <f>+Analisis!$J$5</f>
        <v>T5.0</v>
      </c>
      <c r="N316" s="80">
        <f>+VLOOKUP(M316,Material!$A$3:$B$58,2,FALSE)</f>
        <v>5000</v>
      </c>
      <c r="O316" s="79" t="s">
        <v>42</v>
      </c>
      <c r="P316" s="79" t="s">
        <v>43</v>
      </c>
      <c r="Q316" s="81">
        <f>+IF(O316="ACERO A36",VLOOKUP(P316,'Velocidades Std 1500 w'!$B$2:$F$15,5,FALSE),IF(O316="INOXIDABLE",VLOOKUP(P316,'Velocidades Std 1500 w'!$B$17:$F$28,5,FALSE),IF(O316="ALUMINIO",VLOOKUP(P316,'Velocidades Std 1500 w'!$B$30:$F$38,5,FALSE))))</f>
        <v>4.3859649122807014E-6</v>
      </c>
      <c r="R316" s="82">
        <f t="shared" si="432"/>
        <v>2.1929824561403508E-2</v>
      </c>
      <c r="S316" s="83">
        <f t="shared" si="433"/>
        <v>11.369842105263157</v>
      </c>
      <c r="T316" s="110">
        <f t="shared" si="434"/>
        <v>720.09</v>
      </c>
      <c r="U316" s="80">
        <f t="shared" si="435"/>
        <v>15.791447368421052</v>
      </c>
      <c r="V316" s="98">
        <v>10</v>
      </c>
      <c r="W316" s="84">
        <f>+IF(O316="ACERO A36",VLOOKUP(P316,'Tiempo Objeto'!$B$2:$C$12,2,FALSE),IF(O316="INOXIDABLE",VLOOKUP(P316,'Tiempo Objeto'!$B$14:$C$22,2,FALSE),IF(O316="ALUMINIO",VLOOKUP(P316,'Tiempo Objeto'!$B$24:$C$32,2,FALSE))))</f>
        <v>1.84</v>
      </c>
      <c r="X316" s="84">
        <f t="shared" si="436"/>
        <v>18.400000000000002</v>
      </c>
      <c r="Y316" s="80">
        <f t="shared" si="437"/>
        <v>25.555555555555561</v>
      </c>
      <c r="Z316" s="100">
        <v>0</v>
      </c>
      <c r="AA316" s="85">
        <f t="shared" si="438"/>
        <v>0</v>
      </c>
      <c r="AB316" s="86">
        <f>+Z316*Analisis!$J$6</f>
        <v>0</v>
      </c>
      <c r="AC316" s="100">
        <v>0</v>
      </c>
      <c r="AD316" s="85">
        <f t="shared" si="439"/>
        <v>0</v>
      </c>
      <c r="AE316" s="86">
        <f>+AD316*Analisis!$J$7</f>
        <v>0</v>
      </c>
      <c r="AF316" s="86">
        <f t="shared" si="440"/>
        <v>47.997002923976609</v>
      </c>
      <c r="AG316" s="126">
        <f>+AF316/(1-Analisis!$E$9)</f>
        <v>59.996253654970758</v>
      </c>
      <c r="AH316" s="128">
        <f t="shared" si="442"/>
        <v>0</v>
      </c>
    </row>
    <row r="317" spans="1:35" s="73" customFormat="1" x14ac:dyDescent="0.25">
      <c r="A317" s="100"/>
      <c r="B317" t="s">
        <v>493</v>
      </c>
      <c r="C317" s="74">
        <f>IFERROR(VLOOKUP(B317,'REQ GALV'!A:B,2,0),0)</f>
        <v>0</v>
      </c>
      <c r="D317" s="116">
        <f t="shared" si="441"/>
        <v>69.385873538011694</v>
      </c>
      <c r="E317" s="103" t="s">
        <v>41</v>
      </c>
      <c r="F317" s="75" t="s">
        <v>147</v>
      </c>
      <c r="G317" s="90">
        <v>4</v>
      </c>
      <c r="H317" s="90">
        <v>4</v>
      </c>
      <c r="I317" s="76">
        <v>0.105</v>
      </c>
      <c r="J317" s="77">
        <v>28.24</v>
      </c>
      <c r="K317" s="78">
        <f t="shared" si="431"/>
        <v>0.92099464903997508</v>
      </c>
      <c r="L317" s="58">
        <f>+VLOOKUP(E317,Material!$H$2:$M$17,6,FALSE)*G317*H317*(1+Material!$K$14)</f>
        <v>11.822222222222223</v>
      </c>
      <c r="M317" s="79" t="str">
        <f>+Analisis!$J$5</f>
        <v>T5.0</v>
      </c>
      <c r="N317" s="80">
        <f>+VLOOKUP(M317,Material!$A$3:$B$58,2,FALSE)</f>
        <v>5000</v>
      </c>
      <c r="O317" s="79" t="s">
        <v>42</v>
      </c>
      <c r="P317" s="79" t="s">
        <v>43</v>
      </c>
      <c r="Q317" s="81">
        <f>+IF(O317="ACERO A36",VLOOKUP(P317,'Velocidades Std 1500 w'!$B$2:$F$15,5,FALSE),IF(O317="INOXIDABLE",VLOOKUP(P317,'Velocidades Std 1500 w'!$B$17:$F$28,5,FALSE),IF(O317="ALUMINIO",VLOOKUP(P317,'Velocidades Std 1500 w'!$B$30:$F$38,5,FALSE))))</f>
        <v>4.3859649122807014E-6</v>
      </c>
      <c r="R317" s="82">
        <f t="shared" si="432"/>
        <v>2.1929824561403508E-2</v>
      </c>
      <c r="S317" s="83">
        <f t="shared" si="433"/>
        <v>13.054263157894734</v>
      </c>
      <c r="T317" s="110">
        <f t="shared" si="434"/>
        <v>826.77</v>
      </c>
      <c r="U317" s="80">
        <f t="shared" si="435"/>
        <v>18.130921052631578</v>
      </c>
      <c r="V317" s="98">
        <v>10</v>
      </c>
      <c r="W317" s="84">
        <f>+IF(O317="ACERO A36",VLOOKUP(P317,'Tiempo Objeto'!$B$2:$C$12,2,FALSE),IF(O317="INOXIDABLE",VLOOKUP(P317,'Tiempo Objeto'!$B$14:$C$22,2,FALSE),IF(O317="ALUMINIO",VLOOKUP(P317,'Tiempo Objeto'!$B$24:$C$32,2,FALSE))))</f>
        <v>1.84</v>
      </c>
      <c r="X317" s="84">
        <f t="shared" si="436"/>
        <v>18.400000000000002</v>
      </c>
      <c r="Y317" s="80">
        <f t="shared" si="437"/>
        <v>25.555555555555561</v>
      </c>
      <c r="Z317" s="100">
        <v>0</v>
      </c>
      <c r="AA317" s="85">
        <f t="shared" si="438"/>
        <v>0</v>
      </c>
      <c r="AB317" s="86">
        <f>+Z317*Analisis!$J$6</f>
        <v>0</v>
      </c>
      <c r="AC317" s="100">
        <v>0</v>
      </c>
      <c r="AD317" s="85">
        <f t="shared" si="439"/>
        <v>0</v>
      </c>
      <c r="AE317" s="86">
        <f>+AD317*Analisis!$J$7</f>
        <v>0</v>
      </c>
      <c r="AF317" s="86">
        <f t="shared" si="440"/>
        <v>55.508698830409358</v>
      </c>
      <c r="AG317" s="126">
        <f>+AF317/(1-Analisis!$E$9)</f>
        <v>69.385873538011694</v>
      </c>
      <c r="AH317" s="128">
        <f t="shared" si="442"/>
        <v>0</v>
      </c>
    </row>
    <row r="318" spans="1:35" s="73" customFormat="1" x14ac:dyDescent="0.25">
      <c r="A318" s="100"/>
      <c r="B318" t="s">
        <v>494</v>
      </c>
      <c r="C318" s="74">
        <f>IFERROR(VLOOKUP(B318,'REQ GALV'!A:B,2,0),0)</f>
        <v>0</v>
      </c>
      <c r="D318" s="116">
        <f t="shared" si="441"/>
        <v>80.622715643274859</v>
      </c>
      <c r="E318" s="103" t="s">
        <v>41</v>
      </c>
      <c r="F318" s="75" t="s">
        <v>147</v>
      </c>
      <c r="G318" s="90">
        <v>5</v>
      </c>
      <c r="H318" s="90">
        <v>5</v>
      </c>
      <c r="I318" s="76">
        <v>0.105</v>
      </c>
      <c r="J318" s="77">
        <v>28.24</v>
      </c>
      <c r="K318" s="78">
        <f t="shared" si="431"/>
        <v>1.4390541391249612</v>
      </c>
      <c r="L318" s="58">
        <f>+VLOOKUP(E318,Material!$H$2:$M$17,6,FALSE)*G318*H318*(1+Material!$K$14)</f>
        <v>18.472222222222225</v>
      </c>
      <c r="M318" s="79" t="str">
        <f>+Analisis!$J$5</f>
        <v>T5.0</v>
      </c>
      <c r="N318" s="80">
        <f>+VLOOKUP(M318,Material!$A$3:$B$58,2,FALSE)</f>
        <v>5000</v>
      </c>
      <c r="O318" s="79" t="s">
        <v>42</v>
      </c>
      <c r="P318" s="79" t="s">
        <v>43</v>
      </c>
      <c r="Q318" s="81">
        <f>+IF(O318="ACERO A36",VLOOKUP(P318,'Velocidades Std 1500 w'!$B$2:$F$15,5,FALSE),IF(O318="INOXIDABLE",VLOOKUP(P318,'Velocidades Std 1500 w'!$B$17:$F$28,5,FALSE),IF(O318="ALUMINIO",VLOOKUP(P318,'Velocidades Std 1500 w'!$B$30:$F$38,5,FALSE))))</f>
        <v>4.3859649122807014E-6</v>
      </c>
      <c r="R318" s="82">
        <f t="shared" si="432"/>
        <v>2.1929824561403508E-2</v>
      </c>
      <c r="S318" s="83">
        <f t="shared" si="433"/>
        <v>14.738684210526316</v>
      </c>
      <c r="T318" s="110">
        <f t="shared" si="434"/>
        <v>933.45</v>
      </c>
      <c r="U318" s="80">
        <f t="shared" si="435"/>
        <v>20.470394736842106</v>
      </c>
      <c r="V318" s="98">
        <v>10</v>
      </c>
      <c r="W318" s="84">
        <f>+IF(O318="ACERO A36",VLOOKUP(P318,'Tiempo Objeto'!$B$2:$C$12,2,FALSE),IF(O318="INOXIDABLE",VLOOKUP(P318,'Tiempo Objeto'!$B$14:$C$22,2,FALSE),IF(O318="ALUMINIO",VLOOKUP(P318,'Tiempo Objeto'!$B$24:$C$32,2,FALSE))))</f>
        <v>1.84</v>
      </c>
      <c r="X318" s="84">
        <f t="shared" si="436"/>
        <v>18.400000000000002</v>
      </c>
      <c r="Y318" s="80">
        <f t="shared" si="437"/>
        <v>25.555555555555561</v>
      </c>
      <c r="Z318" s="100">
        <v>0</v>
      </c>
      <c r="AA318" s="85">
        <f t="shared" si="438"/>
        <v>0</v>
      </c>
      <c r="AB318" s="86">
        <f>+Z318*Analisis!$J$6</f>
        <v>0</v>
      </c>
      <c r="AC318" s="100">
        <v>0</v>
      </c>
      <c r="AD318" s="85">
        <f t="shared" si="439"/>
        <v>0</v>
      </c>
      <c r="AE318" s="86">
        <f>+AD318*Analisis!$J$7</f>
        <v>0</v>
      </c>
      <c r="AF318" s="86">
        <f t="shared" si="440"/>
        <v>64.498172514619895</v>
      </c>
      <c r="AG318" s="126">
        <f>+AF318/(1-Analisis!$E$9)</f>
        <v>80.622715643274859</v>
      </c>
      <c r="AH318" s="128">
        <f t="shared" si="442"/>
        <v>0</v>
      </c>
    </row>
    <row r="319" spans="1:35" s="73" customFormat="1" x14ac:dyDescent="0.25">
      <c r="A319" s="100"/>
      <c r="B319" t="s">
        <v>495</v>
      </c>
      <c r="C319" s="74">
        <f>IFERROR(VLOOKUP(B319,'REQ GALV'!A:B,2,0),0)</f>
        <v>0</v>
      </c>
      <c r="D319" s="116">
        <f t="shared" si="441"/>
        <v>69.385873538011694</v>
      </c>
      <c r="E319" s="103" t="s">
        <v>41</v>
      </c>
      <c r="F319" s="75" t="s">
        <v>147</v>
      </c>
      <c r="G319" s="90">
        <v>4</v>
      </c>
      <c r="H319" s="90">
        <v>4</v>
      </c>
      <c r="I319" s="76">
        <v>0.105</v>
      </c>
      <c r="J319" s="77">
        <v>28.24</v>
      </c>
      <c r="K319" s="78">
        <f t="shared" si="431"/>
        <v>0.92099464903997508</v>
      </c>
      <c r="L319" s="58">
        <f>+VLOOKUP(E319,Material!$H$2:$M$17,6,FALSE)*G319*H319*(1+Material!$K$14)</f>
        <v>11.822222222222223</v>
      </c>
      <c r="M319" s="79" t="str">
        <f>+Analisis!$J$5</f>
        <v>T5.0</v>
      </c>
      <c r="N319" s="80">
        <f>+VLOOKUP(M319,Material!$A$3:$B$58,2,FALSE)</f>
        <v>5000</v>
      </c>
      <c r="O319" s="79" t="s">
        <v>42</v>
      </c>
      <c r="P319" s="79" t="s">
        <v>43</v>
      </c>
      <c r="Q319" s="81">
        <f>+IF(O319="ACERO A36",VLOOKUP(P319,'Velocidades Std 1500 w'!$B$2:$F$15,5,FALSE),IF(O319="INOXIDABLE",VLOOKUP(P319,'Velocidades Std 1500 w'!$B$17:$F$28,5,FALSE),IF(O319="ALUMINIO",VLOOKUP(P319,'Velocidades Std 1500 w'!$B$30:$F$38,5,FALSE))))</f>
        <v>4.3859649122807014E-6</v>
      </c>
      <c r="R319" s="82">
        <f t="shared" si="432"/>
        <v>2.1929824561403508E-2</v>
      </c>
      <c r="S319" s="83">
        <f t="shared" si="433"/>
        <v>13.054263157894734</v>
      </c>
      <c r="T319" s="110">
        <f t="shared" si="434"/>
        <v>826.77</v>
      </c>
      <c r="U319" s="80">
        <f t="shared" si="435"/>
        <v>18.130921052631578</v>
      </c>
      <c r="V319" s="98">
        <v>10</v>
      </c>
      <c r="W319" s="84">
        <f>+IF(O319="ACERO A36",VLOOKUP(P319,'Tiempo Objeto'!$B$2:$C$12,2,FALSE),IF(O319="INOXIDABLE",VLOOKUP(P319,'Tiempo Objeto'!$B$14:$C$22,2,FALSE),IF(O319="ALUMINIO",VLOOKUP(P319,'Tiempo Objeto'!$B$24:$C$32,2,FALSE))))</f>
        <v>1.84</v>
      </c>
      <c r="X319" s="84">
        <f t="shared" si="436"/>
        <v>18.400000000000002</v>
      </c>
      <c r="Y319" s="80">
        <f t="shared" si="437"/>
        <v>25.555555555555561</v>
      </c>
      <c r="Z319" s="100">
        <v>0</v>
      </c>
      <c r="AA319" s="85">
        <f t="shared" si="438"/>
        <v>0</v>
      </c>
      <c r="AB319" s="86">
        <f>+Z319*Analisis!$J$6</f>
        <v>0</v>
      </c>
      <c r="AC319" s="100">
        <v>0</v>
      </c>
      <c r="AD319" s="85">
        <f t="shared" si="439"/>
        <v>0</v>
      </c>
      <c r="AE319" s="86">
        <f>+AD319*Analisis!$J$7</f>
        <v>0</v>
      </c>
      <c r="AF319" s="86">
        <f t="shared" si="440"/>
        <v>55.508698830409358</v>
      </c>
      <c r="AG319" s="126">
        <f>+AF319/(1-Analisis!$E$9)</f>
        <v>69.385873538011694</v>
      </c>
      <c r="AH319" s="128">
        <f t="shared" si="442"/>
        <v>0</v>
      </c>
    </row>
    <row r="320" spans="1:35" s="73" customFormat="1" x14ac:dyDescent="0.25">
      <c r="A320" s="100"/>
      <c r="B320" t="s">
        <v>496</v>
      </c>
      <c r="C320" s="74">
        <f>IFERROR(VLOOKUP(B320,'REQ GALV'!A:B,2,0),0)</f>
        <v>0</v>
      </c>
      <c r="D320" s="116">
        <f t="shared" si="441"/>
        <v>80.622715643274859</v>
      </c>
      <c r="E320" s="103" t="s">
        <v>41</v>
      </c>
      <c r="F320" s="75" t="s">
        <v>147</v>
      </c>
      <c r="G320" s="90">
        <v>5</v>
      </c>
      <c r="H320" s="90">
        <v>5</v>
      </c>
      <c r="I320" s="76">
        <v>0.105</v>
      </c>
      <c r="J320" s="77">
        <v>28.24</v>
      </c>
      <c r="K320" s="78">
        <f t="shared" si="431"/>
        <v>1.4390541391249612</v>
      </c>
      <c r="L320" s="58">
        <f>+VLOOKUP(E320,Material!$H$2:$M$17,6,FALSE)*G320*H320*(1+Material!$K$14)</f>
        <v>18.472222222222225</v>
      </c>
      <c r="M320" s="79" t="str">
        <f>+Analisis!$J$5</f>
        <v>T5.0</v>
      </c>
      <c r="N320" s="80">
        <f>+VLOOKUP(M320,Material!$A$3:$B$58,2,FALSE)</f>
        <v>5000</v>
      </c>
      <c r="O320" s="79" t="s">
        <v>42</v>
      </c>
      <c r="P320" s="79" t="s">
        <v>43</v>
      </c>
      <c r="Q320" s="81">
        <f>+IF(O320="ACERO A36",VLOOKUP(P320,'Velocidades Std 1500 w'!$B$2:$F$15,5,FALSE),IF(O320="INOXIDABLE",VLOOKUP(P320,'Velocidades Std 1500 w'!$B$17:$F$28,5,FALSE),IF(O320="ALUMINIO",VLOOKUP(P320,'Velocidades Std 1500 w'!$B$30:$F$38,5,FALSE))))</f>
        <v>4.3859649122807014E-6</v>
      </c>
      <c r="R320" s="82">
        <f t="shared" si="432"/>
        <v>2.1929824561403508E-2</v>
      </c>
      <c r="S320" s="83">
        <f t="shared" si="433"/>
        <v>14.738684210526316</v>
      </c>
      <c r="T320" s="110">
        <f t="shared" si="434"/>
        <v>933.45</v>
      </c>
      <c r="U320" s="80">
        <f t="shared" si="435"/>
        <v>20.470394736842106</v>
      </c>
      <c r="V320" s="98">
        <v>10</v>
      </c>
      <c r="W320" s="84">
        <f>+IF(O320="ACERO A36",VLOOKUP(P320,'Tiempo Objeto'!$B$2:$C$12,2,FALSE),IF(O320="INOXIDABLE",VLOOKUP(P320,'Tiempo Objeto'!$B$14:$C$22,2,FALSE),IF(O320="ALUMINIO",VLOOKUP(P320,'Tiempo Objeto'!$B$24:$C$32,2,FALSE))))</f>
        <v>1.84</v>
      </c>
      <c r="X320" s="84">
        <f t="shared" si="436"/>
        <v>18.400000000000002</v>
      </c>
      <c r="Y320" s="80">
        <f t="shared" si="437"/>
        <v>25.555555555555561</v>
      </c>
      <c r="Z320" s="100">
        <v>0</v>
      </c>
      <c r="AA320" s="85">
        <f t="shared" si="438"/>
        <v>0</v>
      </c>
      <c r="AB320" s="86">
        <f>+Z320*Analisis!$J$6</f>
        <v>0</v>
      </c>
      <c r="AC320" s="100">
        <v>0</v>
      </c>
      <c r="AD320" s="85">
        <f t="shared" si="439"/>
        <v>0</v>
      </c>
      <c r="AE320" s="86">
        <f>+AD320*Analisis!$J$7</f>
        <v>0</v>
      </c>
      <c r="AF320" s="86">
        <f t="shared" si="440"/>
        <v>64.498172514619895</v>
      </c>
      <c r="AG320" s="126">
        <f>+AF320/(1-Analisis!$E$9)</f>
        <v>80.622715643274859</v>
      </c>
      <c r="AH320" s="128">
        <f t="shared" si="442"/>
        <v>0</v>
      </c>
    </row>
    <row r="321" spans="1:34" s="73" customFormat="1" x14ac:dyDescent="0.25">
      <c r="A321" s="100"/>
      <c r="B321" t="s">
        <v>497</v>
      </c>
      <c r="C321" s="74">
        <f>IFERROR(VLOOKUP(B321,'REQ GALV'!A:B,2,0),0)</f>
        <v>0</v>
      </c>
      <c r="D321" s="116">
        <f t="shared" si="441"/>
        <v>59.996253654970758</v>
      </c>
      <c r="E321" s="103" t="s">
        <v>41</v>
      </c>
      <c r="F321" s="75" t="s">
        <v>147</v>
      </c>
      <c r="G321" s="90">
        <v>3</v>
      </c>
      <c r="H321" s="90">
        <v>3</v>
      </c>
      <c r="I321" s="76">
        <v>0.105</v>
      </c>
      <c r="J321" s="77">
        <v>28.24</v>
      </c>
      <c r="K321" s="78">
        <f t="shared" si="431"/>
        <v>0.51805949008498597</v>
      </c>
      <c r="L321" s="58">
        <f>+VLOOKUP(E321,Material!$H$2:$M$17,6,FALSE)*G321*H321*(1+Material!$K$14)</f>
        <v>6.65</v>
      </c>
      <c r="M321" s="79" t="str">
        <f>+Analisis!$J$5</f>
        <v>T5.0</v>
      </c>
      <c r="N321" s="80">
        <f>+VLOOKUP(M321,Material!$A$3:$B$58,2,FALSE)</f>
        <v>5000</v>
      </c>
      <c r="O321" s="79" t="s">
        <v>42</v>
      </c>
      <c r="P321" s="79" t="s">
        <v>43</v>
      </c>
      <c r="Q321" s="81">
        <f>+IF(O321="ACERO A36",VLOOKUP(P321,'Velocidades Std 1500 w'!$B$2:$F$15,5,FALSE),IF(O321="INOXIDABLE",VLOOKUP(P321,'Velocidades Std 1500 w'!$B$17:$F$28,5,FALSE),IF(O321="ALUMINIO",VLOOKUP(P321,'Velocidades Std 1500 w'!$B$30:$F$38,5,FALSE))))</f>
        <v>4.3859649122807014E-6</v>
      </c>
      <c r="R321" s="82">
        <f t="shared" si="432"/>
        <v>2.1929824561403508E-2</v>
      </c>
      <c r="S321" s="83">
        <f t="shared" si="433"/>
        <v>11.369842105263157</v>
      </c>
      <c r="T321" s="110">
        <f t="shared" si="434"/>
        <v>720.09</v>
      </c>
      <c r="U321" s="80">
        <f t="shared" si="435"/>
        <v>15.791447368421052</v>
      </c>
      <c r="V321" s="98">
        <v>10</v>
      </c>
      <c r="W321" s="84">
        <f>+IF(O321="ACERO A36",VLOOKUP(P321,'Tiempo Objeto'!$B$2:$C$12,2,FALSE),IF(O321="INOXIDABLE",VLOOKUP(P321,'Tiempo Objeto'!$B$14:$C$22,2,FALSE),IF(O321="ALUMINIO",VLOOKUP(P321,'Tiempo Objeto'!$B$24:$C$32,2,FALSE))))</f>
        <v>1.84</v>
      </c>
      <c r="X321" s="84">
        <f t="shared" si="436"/>
        <v>18.400000000000002</v>
      </c>
      <c r="Y321" s="80">
        <f t="shared" si="437"/>
        <v>25.555555555555561</v>
      </c>
      <c r="Z321" s="100">
        <v>0</v>
      </c>
      <c r="AA321" s="85">
        <f t="shared" si="438"/>
        <v>0</v>
      </c>
      <c r="AB321" s="86">
        <f>+Z321*Analisis!$J$6</f>
        <v>0</v>
      </c>
      <c r="AC321" s="100">
        <v>0</v>
      </c>
      <c r="AD321" s="85">
        <f t="shared" si="439"/>
        <v>0</v>
      </c>
      <c r="AE321" s="86">
        <f>+AD321*Analisis!$J$7</f>
        <v>0</v>
      </c>
      <c r="AF321" s="86">
        <f t="shared" si="440"/>
        <v>47.997002923976609</v>
      </c>
      <c r="AG321" s="126">
        <f>+AF321/(1-Analisis!$E$9)</f>
        <v>59.996253654970758</v>
      </c>
      <c r="AH321" s="128">
        <f t="shared" si="442"/>
        <v>0</v>
      </c>
    </row>
    <row r="322" spans="1:34" s="73" customFormat="1" x14ac:dyDescent="0.25">
      <c r="A322" s="100"/>
      <c r="B322" t="s">
        <v>498</v>
      </c>
      <c r="C322" s="74">
        <f>IFERROR(VLOOKUP(B322,'REQ GALV'!A:B,2,0),0)</f>
        <v>0</v>
      </c>
      <c r="D322" s="116">
        <f t="shared" si="441"/>
        <v>69.385873538011694</v>
      </c>
      <c r="E322" s="103" t="s">
        <v>41</v>
      </c>
      <c r="F322" s="75" t="s">
        <v>147</v>
      </c>
      <c r="G322" s="90">
        <v>4</v>
      </c>
      <c r="H322" s="90">
        <v>4</v>
      </c>
      <c r="I322" s="76">
        <v>0.105</v>
      </c>
      <c r="J322" s="77">
        <v>28.24</v>
      </c>
      <c r="K322" s="78">
        <f t="shared" si="431"/>
        <v>0.92099464903997508</v>
      </c>
      <c r="L322" s="58">
        <f>+VLOOKUP(E322,Material!$H$2:$M$17,6,FALSE)*G322*H322*(1+Material!$K$14)</f>
        <v>11.822222222222223</v>
      </c>
      <c r="M322" s="79" t="str">
        <f>+Analisis!$J$5</f>
        <v>T5.0</v>
      </c>
      <c r="N322" s="80">
        <f>+VLOOKUP(M322,Material!$A$3:$B$58,2,FALSE)</f>
        <v>5000</v>
      </c>
      <c r="O322" s="79" t="s">
        <v>42</v>
      </c>
      <c r="P322" s="79" t="s">
        <v>43</v>
      </c>
      <c r="Q322" s="81">
        <f>+IF(O322="ACERO A36",VLOOKUP(P322,'Velocidades Std 1500 w'!$B$2:$F$15,5,FALSE),IF(O322="INOXIDABLE",VLOOKUP(P322,'Velocidades Std 1500 w'!$B$17:$F$28,5,FALSE),IF(O322="ALUMINIO",VLOOKUP(P322,'Velocidades Std 1500 w'!$B$30:$F$38,5,FALSE))))</f>
        <v>4.3859649122807014E-6</v>
      </c>
      <c r="R322" s="82">
        <f t="shared" si="432"/>
        <v>2.1929824561403508E-2</v>
      </c>
      <c r="S322" s="83">
        <f t="shared" si="433"/>
        <v>13.054263157894734</v>
      </c>
      <c r="T322" s="110">
        <f t="shared" si="434"/>
        <v>826.77</v>
      </c>
      <c r="U322" s="80">
        <f t="shared" si="435"/>
        <v>18.130921052631578</v>
      </c>
      <c r="V322" s="98">
        <v>10</v>
      </c>
      <c r="W322" s="84">
        <f>+IF(O322="ACERO A36",VLOOKUP(P322,'Tiempo Objeto'!$B$2:$C$12,2,FALSE),IF(O322="INOXIDABLE",VLOOKUP(P322,'Tiempo Objeto'!$B$14:$C$22,2,FALSE),IF(O322="ALUMINIO",VLOOKUP(P322,'Tiempo Objeto'!$B$24:$C$32,2,FALSE))))</f>
        <v>1.84</v>
      </c>
      <c r="X322" s="84">
        <f t="shared" si="436"/>
        <v>18.400000000000002</v>
      </c>
      <c r="Y322" s="80">
        <f t="shared" si="437"/>
        <v>25.555555555555561</v>
      </c>
      <c r="Z322" s="100">
        <v>0</v>
      </c>
      <c r="AA322" s="85">
        <f t="shared" si="438"/>
        <v>0</v>
      </c>
      <c r="AB322" s="86">
        <f>+Z322*Analisis!$J$6</f>
        <v>0</v>
      </c>
      <c r="AC322" s="100">
        <v>0</v>
      </c>
      <c r="AD322" s="85">
        <f t="shared" si="439"/>
        <v>0</v>
      </c>
      <c r="AE322" s="86">
        <f>+AD322*Analisis!$J$7</f>
        <v>0</v>
      </c>
      <c r="AF322" s="86">
        <f t="shared" si="440"/>
        <v>55.508698830409358</v>
      </c>
      <c r="AG322" s="126">
        <f>+AF322/(1-Analisis!$E$9)</f>
        <v>69.385873538011694</v>
      </c>
      <c r="AH322" s="128">
        <f t="shared" si="442"/>
        <v>0</v>
      </c>
    </row>
    <row r="323" spans="1:34" s="73" customFormat="1" x14ac:dyDescent="0.25">
      <c r="A323" s="100"/>
      <c r="B323" t="s">
        <v>499</v>
      </c>
      <c r="C323" s="74">
        <f>IFERROR(VLOOKUP(B323,'REQ GALV'!A:B,2,0),0)</f>
        <v>0</v>
      </c>
      <c r="D323" s="116">
        <f t="shared" si="441"/>
        <v>80.622715643274859</v>
      </c>
      <c r="E323" s="103" t="s">
        <v>41</v>
      </c>
      <c r="F323" s="75" t="s">
        <v>147</v>
      </c>
      <c r="G323" s="90">
        <v>5</v>
      </c>
      <c r="H323" s="90">
        <v>5</v>
      </c>
      <c r="I323" s="76">
        <v>0.105</v>
      </c>
      <c r="J323" s="77">
        <v>28.24</v>
      </c>
      <c r="K323" s="78">
        <f t="shared" si="431"/>
        <v>1.4390541391249612</v>
      </c>
      <c r="L323" s="58">
        <f>+VLOOKUP(E323,Material!$H$2:$M$17,6,FALSE)*G323*H323*(1+Material!$K$14)</f>
        <v>18.472222222222225</v>
      </c>
      <c r="M323" s="79" t="str">
        <f>+Analisis!$J$5</f>
        <v>T5.0</v>
      </c>
      <c r="N323" s="80">
        <f>+VLOOKUP(M323,Material!$A$3:$B$58,2,FALSE)</f>
        <v>5000</v>
      </c>
      <c r="O323" s="79" t="s">
        <v>42</v>
      </c>
      <c r="P323" s="79" t="s">
        <v>43</v>
      </c>
      <c r="Q323" s="81">
        <f>+IF(O323="ACERO A36",VLOOKUP(P323,'Velocidades Std 1500 w'!$B$2:$F$15,5,FALSE),IF(O323="INOXIDABLE",VLOOKUP(P323,'Velocidades Std 1500 w'!$B$17:$F$28,5,FALSE),IF(O323="ALUMINIO",VLOOKUP(P323,'Velocidades Std 1500 w'!$B$30:$F$38,5,FALSE))))</f>
        <v>4.3859649122807014E-6</v>
      </c>
      <c r="R323" s="82">
        <f t="shared" si="432"/>
        <v>2.1929824561403508E-2</v>
      </c>
      <c r="S323" s="83">
        <f t="shared" si="433"/>
        <v>14.738684210526316</v>
      </c>
      <c r="T323" s="110">
        <f t="shared" si="434"/>
        <v>933.45</v>
      </c>
      <c r="U323" s="80">
        <f t="shared" si="435"/>
        <v>20.470394736842106</v>
      </c>
      <c r="V323" s="98">
        <v>10</v>
      </c>
      <c r="W323" s="84">
        <f>+IF(O323="ACERO A36",VLOOKUP(P323,'Tiempo Objeto'!$B$2:$C$12,2,FALSE),IF(O323="INOXIDABLE",VLOOKUP(P323,'Tiempo Objeto'!$B$14:$C$22,2,FALSE),IF(O323="ALUMINIO",VLOOKUP(P323,'Tiempo Objeto'!$B$24:$C$32,2,FALSE))))</f>
        <v>1.84</v>
      </c>
      <c r="X323" s="84">
        <f t="shared" si="436"/>
        <v>18.400000000000002</v>
      </c>
      <c r="Y323" s="80">
        <f t="shared" si="437"/>
        <v>25.555555555555561</v>
      </c>
      <c r="Z323" s="100">
        <v>0</v>
      </c>
      <c r="AA323" s="85">
        <f t="shared" si="438"/>
        <v>0</v>
      </c>
      <c r="AB323" s="86">
        <f>+Z323*Analisis!$J$6</f>
        <v>0</v>
      </c>
      <c r="AC323" s="100">
        <v>0</v>
      </c>
      <c r="AD323" s="85">
        <f t="shared" si="439"/>
        <v>0</v>
      </c>
      <c r="AE323" s="86">
        <f>+AD323*Analisis!$J$7</f>
        <v>0</v>
      </c>
      <c r="AF323" s="86">
        <f t="shared" si="440"/>
        <v>64.498172514619895</v>
      </c>
      <c r="AG323" s="126">
        <f>+AF323/(1-Analisis!$E$9)</f>
        <v>80.622715643274859</v>
      </c>
      <c r="AH323" s="128">
        <f t="shared" si="442"/>
        <v>0</v>
      </c>
    </row>
    <row r="324" spans="1:34" s="73" customFormat="1" x14ac:dyDescent="0.25">
      <c r="A324" s="100"/>
      <c r="B324" t="s">
        <v>500</v>
      </c>
      <c r="C324" s="74">
        <f>IFERROR(VLOOKUP(B324,'REQ GALV'!A:B,2,0),0)</f>
        <v>0</v>
      </c>
      <c r="D324" s="116">
        <f t="shared" si="441"/>
        <v>59.996253654970758</v>
      </c>
      <c r="E324" s="103" t="s">
        <v>41</v>
      </c>
      <c r="F324" s="75" t="s">
        <v>147</v>
      </c>
      <c r="G324" s="90">
        <v>3</v>
      </c>
      <c r="H324" s="90">
        <v>3</v>
      </c>
      <c r="I324" s="76">
        <v>0.105</v>
      </c>
      <c r="J324" s="77">
        <v>28.24</v>
      </c>
      <c r="K324" s="78">
        <f t="shared" si="431"/>
        <v>0.51805949008498597</v>
      </c>
      <c r="L324" s="58">
        <f>+VLOOKUP(E324,Material!$H$2:$M$17,6,FALSE)*G324*H324*(1+Material!$K$14)</f>
        <v>6.65</v>
      </c>
      <c r="M324" s="79" t="str">
        <f>+Analisis!$J$5</f>
        <v>T5.0</v>
      </c>
      <c r="N324" s="80">
        <f>+VLOOKUP(M324,Material!$A$3:$B$58,2,FALSE)</f>
        <v>5000</v>
      </c>
      <c r="O324" s="79" t="s">
        <v>42</v>
      </c>
      <c r="P324" s="79" t="s">
        <v>43</v>
      </c>
      <c r="Q324" s="81">
        <f>+IF(O324="ACERO A36",VLOOKUP(P324,'Velocidades Std 1500 w'!$B$2:$F$15,5,FALSE),IF(O324="INOXIDABLE",VLOOKUP(P324,'Velocidades Std 1500 w'!$B$17:$F$28,5,FALSE),IF(O324="ALUMINIO",VLOOKUP(P324,'Velocidades Std 1500 w'!$B$30:$F$38,5,FALSE))))</f>
        <v>4.3859649122807014E-6</v>
      </c>
      <c r="R324" s="82">
        <f t="shared" si="432"/>
        <v>2.1929824561403508E-2</v>
      </c>
      <c r="S324" s="83">
        <f t="shared" si="433"/>
        <v>11.369842105263157</v>
      </c>
      <c r="T324" s="110">
        <f t="shared" si="434"/>
        <v>720.09</v>
      </c>
      <c r="U324" s="80">
        <f t="shared" si="435"/>
        <v>15.791447368421052</v>
      </c>
      <c r="V324" s="98">
        <v>10</v>
      </c>
      <c r="W324" s="84">
        <f>+IF(O324="ACERO A36",VLOOKUP(P324,'Tiempo Objeto'!$B$2:$C$12,2,FALSE),IF(O324="INOXIDABLE",VLOOKUP(P324,'Tiempo Objeto'!$B$14:$C$22,2,FALSE),IF(O324="ALUMINIO",VLOOKUP(P324,'Tiempo Objeto'!$B$24:$C$32,2,FALSE))))</f>
        <v>1.84</v>
      </c>
      <c r="X324" s="84">
        <f t="shared" si="436"/>
        <v>18.400000000000002</v>
      </c>
      <c r="Y324" s="80">
        <f t="shared" si="437"/>
        <v>25.555555555555561</v>
      </c>
      <c r="Z324" s="100">
        <v>0</v>
      </c>
      <c r="AA324" s="85">
        <f t="shared" si="438"/>
        <v>0</v>
      </c>
      <c r="AB324" s="86">
        <f>+Z324*Analisis!$J$6</f>
        <v>0</v>
      </c>
      <c r="AC324" s="100">
        <v>0</v>
      </c>
      <c r="AD324" s="85">
        <f t="shared" si="439"/>
        <v>0</v>
      </c>
      <c r="AE324" s="86">
        <f>+AD324*Analisis!$J$7</f>
        <v>0</v>
      </c>
      <c r="AF324" s="86">
        <f t="shared" si="440"/>
        <v>47.997002923976609</v>
      </c>
      <c r="AG324" s="126">
        <f>+AF324/(1-Analisis!$E$9)</f>
        <v>59.996253654970758</v>
      </c>
      <c r="AH324" s="128">
        <f t="shared" si="442"/>
        <v>0</v>
      </c>
    </row>
    <row r="325" spans="1:34" s="73" customFormat="1" x14ac:dyDescent="0.25">
      <c r="A325" s="100"/>
      <c r="B325" t="s">
        <v>501</v>
      </c>
      <c r="C325" s="74">
        <f>IFERROR(VLOOKUP(B325,'REQ GALV'!A:B,2,0),0)</f>
        <v>0</v>
      </c>
      <c r="D325" s="116">
        <f t="shared" si="441"/>
        <v>69.385873538011694</v>
      </c>
      <c r="E325" s="103" t="s">
        <v>41</v>
      </c>
      <c r="F325" s="75" t="s">
        <v>147</v>
      </c>
      <c r="G325" s="90">
        <v>4</v>
      </c>
      <c r="H325" s="90">
        <v>4</v>
      </c>
      <c r="I325" s="76">
        <v>0.105</v>
      </c>
      <c r="J325" s="77">
        <v>28.24</v>
      </c>
      <c r="K325" s="78">
        <f t="shared" ref="K325:K333" si="443">+L325*2.2/J325</f>
        <v>0.92099464903997508</v>
      </c>
      <c r="L325" s="58">
        <f>+VLOOKUP(E325,Material!$H$2:$M$17,6,FALSE)*G325*H325*(1+Material!$K$14)</f>
        <v>11.822222222222223</v>
      </c>
      <c r="M325" s="79" t="str">
        <f>+Analisis!$J$5</f>
        <v>T5.0</v>
      </c>
      <c r="N325" s="80">
        <f>+VLOOKUP(M325,Material!$A$3:$B$58,2,FALSE)</f>
        <v>5000</v>
      </c>
      <c r="O325" s="79" t="s">
        <v>42</v>
      </c>
      <c r="P325" s="79" t="s">
        <v>43</v>
      </c>
      <c r="Q325" s="81">
        <f>+IF(O325="ACERO A36",VLOOKUP(P325,'Velocidades Std 1500 w'!$B$2:$F$15,5,FALSE),IF(O325="INOXIDABLE",VLOOKUP(P325,'Velocidades Std 1500 w'!$B$17:$F$28,5,FALSE),IF(O325="ALUMINIO",VLOOKUP(P325,'Velocidades Std 1500 w'!$B$30:$F$38,5,FALSE))))</f>
        <v>4.3859649122807014E-6</v>
      </c>
      <c r="R325" s="82">
        <f t="shared" ref="R325:R333" si="444">+Q325*N325</f>
        <v>2.1929824561403508E-2</v>
      </c>
      <c r="S325" s="83">
        <f t="shared" ref="S325:S333" si="445">+Q325*T325*3600</f>
        <v>13.054263157894734</v>
      </c>
      <c r="T325" s="110">
        <f t="shared" ref="T325:T333" si="446">(+H325*2+G325*2+V325*1.5)*25.4*1.05</f>
        <v>826.77</v>
      </c>
      <c r="U325" s="80">
        <f t="shared" ref="U325:U333" si="447">+T325*R325</f>
        <v>18.130921052631578</v>
      </c>
      <c r="V325" s="98">
        <v>10</v>
      </c>
      <c r="W325" s="84">
        <f>+IF(O325="ACERO A36",VLOOKUP(P325,'Tiempo Objeto'!$B$2:$C$12,2,FALSE),IF(O325="INOXIDABLE",VLOOKUP(P325,'Tiempo Objeto'!$B$14:$C$22,2,FALSE),IF(O325="ALUMINIO",VLOOKUP(P325,'Tiempo Objeto'!$B$24:$C$32,2,FALSE))))</f>
        <v>1.84</v>
      </c>
      <c r="X325" s="84">
        <f t="shared" ref="X325:X333" si="448">+W325*V325</f>
        <v>18.400000000000002</v>
      </c>
      <c r="Y325" s="80">
        <f t="shared" ref="Y325:Y333" si="449">+X325*N325/3600</f>
        <v>25.555555555555561</v>
      </c>
      <c r="Z325" s="100">
        <v>0</v>
      </c>
      <c r="AA325" s="85">
        <f t="shared" ref="AA325:AA333" si="450">30*Z325+Z325*$C325*1.5</f>
        <v>0</v>
      </c>
      <c r="AB325" s="86">
        <f>+Z325*Analisis!$J$6</f>
        <v>0</v>
      </c>
      <c r="AC325" s="100">
        <v>0</v>
      </c>
      <c r="AD325" s="85">
        <f t="shared" ref="AD325:AD333" si="451">30*AC325+AC325*$C325*1.5</f>
        <v>0</v>
      </c>
      <c r="AE325" s="86">
        <f>+AD325*Analisis!$J$7</f>
        <v>0</v>
      </c>
      <c r="AF325" s="86">
        <f t="shared" si="440"/>
        <v>55.508698830409358</v>
      </c>
      <c r="AG325" s="126">
        <f>+AF325/(1-Analisis!$E$9)</f>
        <v>69.385873538011694</v>
      </c>
      <c r="AH325" s="128">
        <f t="shared" si="442"/>
        <v>0</v>
      </c>
    </row>
    <row r="326" spans="1:34" s="73" customFormat="1" x14ac:dyDescent="0.25">
      <c r="A326" s="100"/>
      <c r="B326" t="s">
        <v>502</v>
      </c>
      <c r="C326" s="74">
        <f>IFERROR(VLOOKUP(B326,'REQ GALV'!A:B,2,0),0)</f>
        <v>0</v>
      </c>
      <c r="D326" s="116">
        <f t="shared" si="441"/>
        <v>80.622715643274859</v>
      </c>
      <c r="E326" s="103" t="s">
        <v>41</v>
      </c>
      <c r="F326" s="75" t="s">
        <v>147</v>
      </c>
      <c r="G326" s="90">
        <v>5</v>
      </c>
      <c r="H326" s="90">
        <v>5</v>
      </c>
      <c r="I326" s="76">
        <v>0.105</v>
      </c>
      <c r="J326" s="77">
        <v>28.24</v>
      </c>
      <c r="K326" s="78">
        <f t="shared" si="443"/>
        <v>1.4390541391249612</v>
      </c>
      <c r="L326" s="58">
        <f>+VLOOKUP(E326,Material!$H$2:$M$17,6,FALSE)*G326*H326*(1+Material!$K$14)</f>
        <v>18.472222222222225</v>
      </c>
      <c r="M326" s="79" t="str">
        <f>+Analisis!$J$5</f>
        <v>T5.0</v>
      </c>
      <c r="N326" s="80">
        <f>+VLOOKUP(M326,Material!$A$3:$B$58,2,FALSE)</f>
        <v>5000</v>
      </c>
      <c r="O326" s="79" t="s">
        <v>42</v>
      </c>
      <c r="P326" s="79" t="s">
        <v>43</v>
      </c>
      <c r="Q326" s="81">
        <f>+IF(O326="ACERO A36",VLOOKUP(P326,'Velocidades Std 1500 w'!$B$2:$F$15,5,FALSE),IF(O326="INOXIDABLE",VLOOKUP(P326,'Velocidades Std 1500 w'!$B$17:$F$28,5,FALSE),IF(O326="ALUMINIO",VLOOKUP(P326,'Velocidades Std 1500 w'!$B$30:$F$38,5,FALSE))))</f>
        <v>4.3859649122807014E-6</v>
      </c>
      <c r="R326" s="82">
        <f t="shared" si="444"/>
        <v>2.1929824561403508E-2</v>
      </c>
      <c r="S326" s="83">
        <f t="shared" si="445"/>
        <v>14.738684210526316</v>
      </c>
      <c r="T326" s="110">
        <f t="shared" si="446"/>
        <v>933.45</v>
      </c>
      <c r="U326" s="80">
        <f t="shared" si="447"/>
        <v>20.470394736842106</v>
      </c>
      <c r="V326" s="98">
        <v>10</v>
      </c>
      <c r="W326" s="84">
        <f>+IF(O326="ACERO A36",VLOOKUP(P326,'Tiempo Objeto'!$B$2:$C$12,2,FALSE),IF(O326="INOXIDABLE",VLOOKUP(P326,'Tiempo Objeto'!$B$14:$C$22,2,FALSE),IF(O326="ALUMINIO",VLOOKUP(P326,'Tiempo Objeto'!$B$24:$C$32,2,FALSE))))</f>
        <v>1.84</v>
      </c>
      <c r="X326" s="84">
        <f t="shared" si="448"/>
        <v>18.400000000000002</v>
      </c>
      <c r="Y326" s="80">
        <f t="shared" si="449"/>
        <v>25.555555555555561</v>
      </c>
      <c r="Z326" s="100">
        <v>0</v>
      </c>
      <c r="AA326" s="85">
        <f t="shared" si="450"/>
        <v>0</v>
      </c>
      <c r="AB326" s="86">
        <f>+Z326*Analisis!$J$6</f>
        <v>0</v>
      </c>
      <c r="AC326" s="100">
        <v>0</v>
      </c>
      <c r="AD326" s="85">
        <f t="shared" si="451"/>
        <v>0</v>
      </c>
      <c r="AE326" s="86">
        <f>+AD326*Analisis!$J$7</f>
        <v>0</v>
      </c>
      <c r="AF326" s="86">
        <f t="shared" si="440"/>
        <v>64.498172514619895</v>
      </c>
      <c r="AG326" s="126">
        <f>+AF326/(1-Analisis!$E$9)</f>
        <v>80.622715643274859</v>
      </c>
      <c r="AH326" s="128">
        <f t="shared" si="442"/>
        <v>0</v>
      </c>
    </row>
    <row r="327" spans="1:34" s="73" customFormat="1" x14ac:dyDescent="0.25">
      <c r="A327" s="100"/>
      <c r="B327" t="s">
        <v>503</v>
      </c>
      <c r="C327" s="74">
        <f>IFERROR(VLOOKUP(B327,'REQ GALV'!A:B,2,0),0)</f>
        <v>0</v>
      </c>
      <c r="D327" s="116">
        <f t="shared" si="441"/>
        <v>80.622715643274859</v>
      </c>
      <c r="E327" s="103" t="s">
        <v>41</v>
      </c>
      <c r="F327" s="75" t="s">
        <v>147</v>
      </c>
      <c r="G327" s="90">
        <v>5</v>
      </c>
      <c r="H327" s="90">
        <v>5</v>
      </c>
      <c r="I327" s="76">
        <v>0.105</v>
      </c>
      <c r="J327" s="77">
        <v>28.24</v>
      </c>
      <c r="K327" s="78">
        <f t="shared" si="443"/>
        <v>1.4390541391249612</v>
      </c>
      <c r="L327" s="58">
        <f>+VLOOKUP(E327,Material!$H$2:$M$17,6,FALSE)*G327*H327*(1+Material!$K$14)</f>
        <v>18.472222222222225</v>
      </c>
      <c r="M327" s="79" t="str">
        <f>+Analisis!$J$5</f>
        <v>T5.0</v>
      </c>
      <c r="N327" s="80">
        <f>+VLOOKUP(M327,Material!$A$3:$B$58,2,FALSE)</f>
        <v>5000</v>
      </c>
      <c r="O327" s="79" t="s">
        <v>42</v>
      </c>
      <c r="P327" s="79" t="s">
        <v>43</v>
      </c>
      <c r="Q327" s="81">
        <f>+IF(O327="ACERO A36",VLOOKUP(P327,'Velocidades Std 1500 w'!$B$2:$F$15,5,FALSE),IF(O327="INOXIDABLE",VLOOKUP(P327,'Velocidades Std 1500 w'!$B$17:$F$28,5,FALSE),IF(O327="ALUMINIO",VLOOKUP(P327,'Velocidades Std 1500 w'!$B$30:$F$38,5,FALSE))))</f>
        <v>4.3859649122807014E-6</v>
      </c>
      <c r="R327" s="82">
        <f t="shared" si="444"/>
        <v>2.1929824561403508E-2</v>
      </c>
      <c r="S327" s="83">
        <f t="shared" si="445"/>
        <v>14.738684210526316</v>
      </c>
      <c r="T327" s="110">
        <f t="shared" si="446"/>
        <v>933.45</v>
      </c>
      <c r="U327" s="80">
        <f t="shared" si="447"/>
        <v>20.470394736842106</v>
      </c>
      <c r="V327" s="98">
        <v>10</v>
      </c>
      <c r="W327" s="84">
        <f>+IF(O327="ACERO A36",VLOOKUP(P327,'Tiempo Objeto'!$B$2:$C$12,2,FALSE),IF(O327="INOXIDABLE",VLOOKUP(P327,'Tiempo Objeto'!$B$14:$C$22,2,FALSE),IF(O327="ALUMINIO",VLOOKUP(P327,'Tiempo Objeto'!$B$24:$C$32,2,FALSE))))</f>
        <v>1.84</v>
      </c>
      <c r="X327" s="84">
        <f t="shared" si="448"/>
        <v>18.400000000000002</v>
      </c>
      <c r="Y327" s="80">
        <f t="shared" si="449"/>
        <v>25.555555555555561</v>
      </c>
      <c r="Z327" s="100">
        <v>0</v>
      </c>
      <c r="AA327" s="85">
        <f t="shared" si="450"/>
        <v>0</v>
      </c>
      <c r="AB327" s="86">
        <f>+Z327*Analisis!$J$6</f>
        <v>0</v>
      </c>
      <c r="AC327" s="100">
        <v>0</v>
      </c>
      <c r="AD327" s="85">
        <f t="shared" si="451"/>
        <v>0</v>
      </c>
      <c r="AE327" s="86">
        <f>+AD327*Analisis!$J$7</f>
        <v>0</v>
      </c>
      <c r="AF327" s="86">
        <f t="shared" si="440"/>
        <v>64.498172514619895</v>
      </c>
      <c r="AG327" s="126">
        <f>+AF327/(1-Analisis!$E$9)</f>
        <v>80.622715643274859</v>
      </c>
      <c r="AH327" s="128">
        <f t="shared" si="442"/>
        <v>0</v>
      </c>
    </row>
    <row r="328" spans="1:34" s="73" customFormat="1" x14ac:dyDescent="0.25">
      <c r="A328" s="100"/>
      <c r="B328" t="s">
        <v>504</v>
      </c>
      <c r="C328" s="74">
        <f>IFERROR(VLOOKUP(B328,'REQ GALV'!A:B,2,0),0)</f>
        <v>0</v>
      </c>
      <c r="D328" s="116">
        <f t="shared" si="441"/>
        <v>80.622715643274859</v>
      </c>
      <c r="E328" s="103" t="s">
        <v>41</v>
      </c>
      <c r="F328" s="75" t="s">
        <v>147</v>
      </c>
      <c r="G328" s="90">
        <v>5</v>
      </c>
      <c r="H328" s="90">
        <v>5</v>
      </c>
      <c r="I328" s="76">
        <v>0.105</v>
      </c>
      <c r="J328" s="77">
        <v>28.24</v>
      </c>
      <c r="K328" s="78">
        <f t="shared" si="443"/>
        <v>1.4390541391249612</v>
      </c>
      <c r="L328" s="58">
        <f>+VLOOKUP(E328,Material!$H$2:$M$17,6,FALSE)*G328*H328*(1+Material!$K$14)</f>
        <v>18.472222222222225</v>
      </c>
      <c r="M328" s="79" t="str">
        <f>+Analisis!$J$5</f>
        <v>T5.0</v>
      </c>
      <c r="N328" s="80">
        <f>+VLOOKUP(M328,Material!$A$3:$B$58,2,FALSE)</f>
        <v>5000</v>
      </c>
      <c r="O328" s="79" t="s">
        <v>42</v>
      </c>
      <c r="P328" s="79" t="s">
        <v>43</v>
      </c>
      <c r="Q328" s="81">
        <f>+IF(O328="ACERO A36",VLOOKUP(P328,'Velocidades Std 1500 w'!$B$2:$F$15,5,FALSE),IF(O328="INOXIDABLE",VLOOKUP(P328,'Velocidades Std 1500 w'!$B$17:$F$28,5,FALSE),IF(O328="ALUMINIO",VLOOKUP(P328,'Velocidades Std 1500 w'!$B$30:$F$38,5,FALSE))))</f>
        <v>4.3859649122807014E-6</v>
      </c>
      <c r="R328" s="82">
        <f t="shared" si="444"/>
        <v>2.1929824561403508E-2</v>
      </c>
      <c r="S328" s="83">
        <f t="shared" si="445"/>
        <v>14.738684210526316</v>
      </c>
      <c r="T328" s="110">
        <f t="shared" si="446"/>
        <v>933.45</v>
      </c>
      <c r="U328" s="80">
        <f t="shared" si="447"/>
        <v>20.470394736842106</v>
      </c>
      <c r="V328" s="98">
        <v>10</v>
      </c>
      <c r="W328" s="84">
        <f>+IF(O328="ACERO A36",VLOOKUP(P328,'Tiempo Objeto'!$B$2:$C$12,2,FALSE),IF(O328="INOXIDABLE",VLOOKUP(P328,'Tiempo Objeto'!$B$14:$C$22,2,FALSE),IF(O328="ALUMINIO",VLOOKUP(P328,'Tiempo Objeto'!$B$24:$C$32,2,FALSE))))</f>
        <v>1.84</v>
      </c>
      <c r="X328" s="84">
        <f t="shared" si="448"/>
        <v>18.400000000000002</v>
      </c>
      <c r="Y328" s="80">
        <f t="shared" si="449"/>
        <v>25.555555555555561</v>
      </c>
      <c r="Z328" s="100">
        <v>0</v>
      </c>
      <c r="AA328" s="85">
        <f t="shared" si="450"/>
        <v>0</v>
      </c>
      <c r="AB328" s="86">
        <f>+Z328*Analisis!$J$6</f>
        <v>0</v>
      </c>
      <c r="AC328" s="100">
        <v>0</v>
      </c>
      <c r="AD328" s="85">
        <f t="shared" si="451"/>
        <v>0</v>
      </c>
      <c r="AE328" s="86">
        <f>+AD328*Analisis!$J$7</f>
        <v>0</v>
      </c>
      <c r="AF328" s="86">
        <f t="shared" si="440"/>
        <v>64.498172514619895</v>
      </c>
      <c r="AG328" s="126">
        <f>+AF328/(1-Analisis!$E$9)</f>
        <v>80.622715643274859</v>
      </c>
      <c r="AH328" s="128">
        <f t="shared" si="442"/>
        <v>0</v>
      </c>
    </row>
    <row r="329" spans="1:34" s="73" customFormat="1" x14ac:dyDescent="0.25">
      <c r="A329" s="100"/>
      <c r="B329" t="s">
        <v>505</v>
      </c>
      <c r="C329" s="74">
        <f>IFERROR(VLOOKUP(B329,'REQ GALV'!A:B,2,0),0)</f>
        <v>0</v>
      </c>
      <c r="D329" s="116">
        <f t="shared" si="441"/>
        <v>64.229258040935676</v>
      </c>
      <c r="E329" s="103" t="s">
        <v>41</v>
      </c>
      <c r="F329" s="75" t="s">
        <v>147</v>
      </c>
      <c r="G329" s="90">
        <v>3</v>
      </c>
      <c r="H329" s="90">
        <v>4</v>
      </c>
      <c r="I329" s="76">
        <v>0.105</v>
      </c>
      <c r="J329" s="77">
        <v>28.24</v>
      </c>
      <c r="K329" s="78">
        <f t="shared" si="443"/>
        <v>0.69074598677998122</v>
      </c>
      <c r="L329" s="58">
        <f>+VLOOKUP(E329,Material!$H$2:$M$17,6,FALSE)*G329*H329*(1+Material!$K$14)</f>
        <v>8.8666666666666671</v>
      </c>
      <c r="M329" s="79" t="str">
        <f>+Analisis!$J$5</f>
        <v>T5.0</v>
      </c>
      <c r="N329" s="80">
        <f>+VLOOKUP(M329,Material!$A$3:$B$58,2,FALSE)</f>
        <v>5000</v>
      </c>
      <c r="O329" s="79" t="s">
        <v>42</v>
      </c>
      <c r="P329" s="79" t="s">
        <v>43</v>
      </c>
      <c r="Q329" s="81">
        <f>+IF(O329="ACERO A36",VLOOKUP(P329,'Velocidades Std 1500 w'!$B$2:$F$15,5,FALSE),IF(O329="INOXIDABLE",VLOOKUP(P329,'Velocidades Std 1500 w'!$B$17:$F$28,5,FALSE),IF(O329="ALUMINIO",VLOOKUP(P329,'Velocidades Std 1500 w'!$B$30:$F$38,5,FALSE))))</f>
        <v>4.3859649122807014E-6</v>
      </c>
      <c r="R329" s="82">
        <f t="shared" si="444"/>
        <v>2.1929824561403508E-2</v>
      </c>
      <c r="S329" s="83">
        <f t="shared" si="445"/>
        <v>12.212052631578945</v>
      </c>
      <c r="T329" s="110">
        <f t="shared" si="446"/>
        <v>773.43</v>
      </c>
      <c r="U329" s="80">
        <f t="shared" si="447"/>
        <v>16.961184210526312</v>
      </c>
      <c r="V329" s="98">
        <v>10</v>
      </c>
      <c r="W329" s="84">
        <f>+IF(O329="ACERO A36",VLOOKUP(P329,'Tiempo Objeto'!$B$2:$C$12,2,FALSE),IF(O329="INOXIDABLE",VLOOKUP(P329,'Tiempo Objeto'!$B$14:$C$22,2,FALSE),IF(O329="ALUMINIO",VLOOKUP(P329,'Tiempo Objeto'!$B$24:$C$32,2,FALSE))))</f>
        <v>1.84</v>
      </c>
      <c r="X329" s="84">
        <f t="shared" si="448"/>
        <v>18.400000000000002</v>
      </c>
      <c r="Y329" s="80">
        <f t="shared" si="449"/>
        <v>25.555555555555561</v>
      </c>
      <c r="Z329" s="100">
        <v>0</v>
      </c>
      <c r="AA329" s="85">
        <f t="shared" si="450"/>
        <v>0</v>
      </c>
      <c r="AB329" s="86">
        <f>+Z329*Analisis!$J$6</f>
        <v>0</v>
      </c>
      <c r="AC329" s="100">
        <v>0</v>
      </c>
      <c r="AD329" s="85">
        <f t="shared" si="451"/>
        <v>0</v>
      </c>
      <c r="AE329" s="86">
        <f>+AD329*Analisis!$J$7</f>
        <v>0</v>
      </c>
      <c r="AF329" s="86">
        <f t="shared" si="440"/>
        <v>51.383406432748544</v>
      </c>
      <c r="AG329" s="126">
        <f>+AF329/(1-Analisis!$E$9)</f>
        <v>64.229258040935676</v>
      </c>
      <c r="AH329" s="128">
        <f t="shared" si="442"/>
        <v>0</v>
      </c>
    </row>
    <row r="330" spans="1:34" s="73" customFormat="1" x14ac:dyDescent="0.25">
      <c r="A330" s="100"/>
      <c r="B330" t="s">
        <v>506</v>
      </c>
      <c r="C330" s="74">
        <f>IFERROR(VLOOKUP(B330,'REQ GALV'!A:B,2,0),0)</f>
        <v>0</v>
      </c>
      <c r="D330" s="116">
        <f t="shared" si="441"/>
        <v>68.462262426900594</v>
      </c>
      <c r="E330" s="103" t="s">
        <v>41</v>
      </c>
      <c r="F330" s="75" t="s">
        <v>147</v>
      </c>
      <c r="G330" s="90">
        <v>3</v>
      </c>
      <c r="H330" s="90">
        <v>5</v>
      </c>
      <c r="I330" s="76">
        <v>0.105</v>
      </c>
      <c r="J330" s="77">
        <v>28.24</v>
      </c>
      <c r="K330" s="78">
        <f t="shared" si="443"/>
        <v>0.86343248347497659</v>
      </c>
      <c r="L330" s="58">
        <f>+VLOOKUP(E330,Material!$H$2:$M$17,6,FALSE)*G330*H330*(1+Material!$K$14)</f>
        <v>11.083333333333334</v>
      </c>
      <c r="M330" s="79" t="str">
        <f>+Analisis!$J$5</f>
        <v>T5.0</v>
      </c>
      <c r="N330" s="80">
        <f>+VLOOKUP(M330,Material!$A$3:$B$58,2,FALSE)</f>
        <v>5000</v>
      </c>
      <c r="O330" s="79" t="s">
        <v>42</v>
      </c>
      <c r="P330" s="79" t="s">
        <v>43</v>
      </c>
      <c r="Q330" s="81">
        <f>+IF(O330="ACERO A36",VLOOKUP(P330,'Velocidades Std 1500 w'!$B$2:$F$15,5,FALSE),IF(O330="INOXIDABLE",VLOOKUP(P330,'Velocidades Std 1500 w'!$B$17:$F$28,5,FALSE),IF(O330="ALUMINIO",VLOOKUP(P330,'Velocidades Std 1500 w'!$B$30:$F$38,5,FALSE))))</f>
        <v>4.3859649122807014E-6</v>
      </c>
      <c r="R330" s="82">
        <f t="shared" si="444"/>
        <v>2.1929824561403508E-2</v>
      </c>
      <c r="S330" s="83">
        <f t="shared" si="445"/>
        <v>13.054263157894734</v>
      </c>
      <c r="T330" s="110">
        <f t="shared" si="446"/>
        <v>826.77</v>
      </c>
      <c r="U330" s="80">
        <f t="shared" si="447"/>
        <v>18.130921052631578</v>
      </c>
      <c r="V330" s="98">
        <v>10</v>
      </c>
      <c r="W330" s="84">
        <f>+IF(O330="ACERO A36",VLOOKUP(P330,'Tiempo Objeto'!$B$2:$C$12,2,FALSE),IF(O330="INOXIDABLE",VLOOKUP(P330,'Tiempo Objeto'!$B$14:$C$22,2,FALSE),IF(O330="ALUMINIO",VLOOKUP(P330,'Tiempo Objeto'!$B$24:$C$32,2,FALSE))))</f>
        <v>1.84</v>
      </c>
      <c r="X330" s="84">
        <f t="shared" si="448"/>
        <v>18.400000000000002</v>
      </c>
      <c r="Y330" s="80">
        <f t="shared" si="449"/>
        <v>25.555555555555561</v>
      </c>
      <c r="Z330" s="100">
        <v>0</v>
      </c>
      <c r="AA330" s="85">
        <f t="shared" si="450"/>
        <v>0</v>
      </c>
      <c r="AB330" s="86">
        <f>+Z330*Analisis!$J$6</f>
        <v>0</v>
      </c>
      <c r="AC330" s="100">
        <v>0</v>
      </c>
      <c r="AD330" s="85">
        <f t="shared" si="451"/>
        <v>0</v>
      </c>
      <c r="AE330" s="86">
        <f>+AD330*Analisis!$J$7</f>
        <v>0</v>
      </c>
      <c r="AF330" s="86">
        <f t="shared" si="440"/>
        <v>54.769809941520478</v>
      </c>
      <c r="AG330" s="126">
        <f>+AF330/(1-Analisis!$E$9)</f>
        <v>68.462262426900594</v>
      </c>
      <c r="AH330" s="128">
        <f t="shared" si="442"/>
        <v>0</v>
      </c>
    </row>
    <row r="331" spans="1:34" s="73" customFormat="1" x14ac:dyDescent="0.25">
      <c r="A331" s="100"/>
      <c r="B331" t="s">
        <v>507</v>
      </c>
      <c r="C331" s="74">
        <f>IFERROR(VLOOKUP(B331,'REQ GALV'!A:B,2,0),0)</f>
        <v>0</v>
      </c>
      <c r="D331" s="116">
        <f t="shared" si="441"/>
        <v>69.385873538011694</v>
      </c>
      <c r="E331" s="103" t="s">
        <v>41</v>
      </c>
      <c r="F331" s="75" t="s">
        <v>147</v>
      </c>
      <c r="G331" s="90">
        <v>4</v>
      </c>
      <c r="H331" s="90">
        <v>4</v>
      </c>
      <c r="I331" s="76">
        <v>0.105</v>
      </c>
      <c r="J331" s="77">
        <v>28.24</v>
      </c>
      <c r="K331" s="78">
        <f t="shared" si="443"/>
        <v>0.92099464903997508</v>
      </c>
      <c r="L331" s="58">
        <f>+VLOOKUP(E331,Material!$H$2:$M$17,6,FALSE)*G331*H331*(1+Material!$K$14)</f>
        <v>11.822222222222223</v>
      </c>
      <c r="M331" s="79" t="str">
        <f>+Analisis!$J$5</f>
        <v>T5.0</v>
      </c>
      <c r="N331" s="80">
        <f>+VLOOKUP(M331,Material!$A$3:$B$58,2,FALSE)</f>
        <v>5000</v>
      </c>
      <c r="O331" s="79" t="s">
        <v>42</v>
      </c>
      <c r="P331" s="79" t="s">
        <v>43</v>
      </c>
      <c r="Q331" s="81">
        <f>+IF(O331="ACERO A36",VLOOKUP(P331,'Velocidades Std 1500 w'!$B$2:$F$15,5,FALSE),IF(O331="INOXIDABLE",VLOOKUP(P331,'Velocidades Std 1500 w'!$B$17:$F$28,5,FALSE),IF(O331="ALUMINIO",VLOOKUP(P331,'Velocidades Std 1500 w'!$B$30:$F$38,5,FALSE))))</f>
        <v>4.3859649122807014E-6</v>
      </c>
      <c r="R331" s="82">
        <f t="shared" si="444"/>
        <v>2.1929824561403508E-2</v>
      </c>
      <c r="S331" s="83">
        <f t="shared" si="445"/>
        <v>13.054263157894734</v>
      </c>
      <c r="T331" s="110">
        <f t="shared" si="446"/>
        <v>826.77</v>
      </c>
      <c r="U331" s="80">
        <f t="shared" si="447"/>
        <v>18.130921052631578</v>
      </c>
      <c r="V331" s="98">
        <v>10</v>
      </c>
      <c r="W331" s="84">
        <f>+IF(O331="ACERO A36",VLOOKUP(P331,'Tiempo Objeto'!$B$2:$C$12,2,FALSE),IF(O331="INOXIDABLE",VLOOKUP(P331,'Tiempo Objeto'!$B$14:$C$22,2,FALSE),IF(O331="ALUMINIO",VLOOKUP(P331,'Tiempo Objeto'!$B$24:$C$32,2,FALSE))))</f>
        <v>1.84</v>
      </c>
      <c r="X331" s="84">
        <f t="shared" si="448"/>
        <v>18.400000000000002</v>
      </c>
      <c r="Y331" s="80">
        <f t="shared" si="449"/>
        <v>25.555555555555561</v>
      </c>
      <c r="Z331" s="100">
        <v>0</v>
      </c>
      <c r="AA331" s="85">
        <f t="shared" si="450"/>
        <v>0</v>
      </c>
      <c r="AB331" s="86">
        <f>+Z331*Analisis!$J$6</f>
        <v>0</v>
      </c>
      <c r="AC331" s="100">
        <v>0</v>
      </c>
      <c r="AD331" s="85">
        <f t="shared" si="451"/>
        <v>0</v>
      </c>
      <c r="AE331" s="86">
        <f>+AD331*Analisis!$J$7</f>
        <v>0</v>
      </c>
      <c r="AF331" s="86">
        <f t="shared" si="440"/>
        <v>55.508698830409358</v>
      </c>
      <c r="AG331" s="126">
        <f>+AF331/(1-Analisis!$E$9)</f>
        <v>69.385873538011694</v>
      </c>
      <c r="AH331" s="128">
        <f t="shared" si="442"/>
        <v>0</v>
      </c>
    </row>
    <row r="332" spans="1:34" s="73" customFormat="1" x14ac:dyDescent="0.25">
      <c r="A332" s="100"/>
      <c r="B332" t="s">
        <v>508</v>
      </c>
      <c r="C332" s="74">
        <f>IFERROR(VLOOKUP(B332,'REQ GALV'!A:B,2,0),0)</f>
        <v>0</v>
      </c>
      <c r="D332" s="116">
        <f t="shared" si="441"/>
        <v>69.385873538011694</v>
      </c>
      <c r="E332" s="103" t="s">
        <v>41</v>
      </c>
      <c r="F332" s="75" t="s">
        <v>147</v>
      </c>
      <c r="G332" s="90">
        <v>4</v>
      </c>
      <c r="H332" s="90">
        <v>4</v>
      </c>
      <c r="I332" s="76">
        <v>0.105</v>
      </c>
      <c r="J332" s="77">
        <v>28.24</v>
      </c>
      <c r="K332" s="78">
        <f t="shared" si="443"/>
        <v>0.92099464903997508</v>
      </c>
      <c r="L332" s="58">
        <f>+VLOOKUP(E332,Material!$H$2:$M$17,6,FALSE)*G332*H332*(1+Material!$K$14)</f>
        <v>11.822222222222223</v>
      </c>
      <c r="M332" s="79" t="str">
        <f>+Analisis!$J$5</f>
        <v>T5.0</v>
      </c>
      <c r="N332" s="80">
        <f>+VLOOKUP(M332,Material!$A$3:$B$58,2,FALSE)</f>
        <v>5000</v>
      </c>
      <c r="O332" s="79" t="s">
        <v>42</v>
      </c>
      <c r="P332" s="79" t="s">
        <v>43</v>
      </c>
      <c r="Q332" s="81">
        <f>+IF(O332="ACERO A36",VLOOKUP(P332,'Velocidades Std 1500 w'!$B$2:$F$15,5,FALSE),IF(O332="INOXIDABLE",VLOOKUP(P332,'Velocidades Std 1500 w'!$B$17:$F$28,5,FALSE),IF(O332="ALUMINIO",VLOOKUP(P332,'Velocidades Std 1500 w'!$B$30:$F$38,5,FALSE))))</f>
        <v>4.3859649122807014E-6</v>
      </c>
      <c r="R332" s="82">
        <f t="shared" si="444"/>
        <v>2.1929824561403508E-2</v>
      </c>
      <c r="S332" s="83">
        <f t="shared" si="445"/>
        <v>13.054263157894734</v>
      </c>
      <c r="T332" s="110">
        <f t="shared" si="446"/>
        <v>826.77</v>
      </c>
      <c r="U332" s="80">
        <f t="shared" si="447"/>
        <v>18.130921052631578</v>
      </c>
      <c r="V332" s="98">
        <v>10</v>
      </c>
      <c r="W332" s="84">
        <f>+IF(O332="ACERO A36",VLOOKUP(P332,'Tiempo Objeto'!$B$2:$C$12,2,FALSE),IF(O332="INOXIDABLE",VLOOKUP(P332,'Tiempo Objeto'!$B$14:$C$22,2,FALSE),IF(O332="ALUMINIO",VLOOKUP(P332,'Tiempo Objeto'!$B$24:$C$32,2,FALSE))))</f>
        <v>1.84</v>
      </c>
      <c r="X332" s="84">
        <f t="shared" si="448"/>
        <v>18.400000000000002</v>
      </c>
      <c r="Y332" s="80">
        <f t="shared" si="449"/>
        <v>25.555555555555561</v>
      </c>
      <c r="Z332" s="100">
        <v>0</v>
      </c>
      <c r="AA332" s="85">
        <f t="shared" si="450"/>
        <v>0</v>
      </c>
      <c r="AB332" s="86">
        <f>+Z332*Analisis!$J$6</f>
        <v>0</v>
      </c>
      <c r="AC332" s="100">
        <v>0</v>
      </c>
      <c r="AD332" s="85">
        <f t="shared" si="451"/>
        <v>0</v>
      </c>
      <c r="AE332" s="86">
        <f>+AD332*Analisis!$J$7</f>
        <v>0</v>
      </c>
      <c r="AF332" s="86">
        <f t="shared" si="440"/>
        <v>55.508698830409358</v>
      </c>
      <c r="AG332" s="126">
        <f>+AF332/(1-Analisis!$E$9)</f>
        <v>69.385873538011694</v>
      </c>
      <c r="AH332" s="128">
        <f t="shared" si="442"/>
        <v>0</v>
      </c>
    </row>
    <row r="333" spans="1:34" s="73" customFormat="1" x14ac:dyDescent="0.25">
      <c r="A333" s="100"/>
      <c r="B333" t="s">
        <v>509</v>
      </c>
      <c r="C333" s="74">
        <f>IFERROR(VLOOKUP(B333,'REQ GALV'!A:B,2,0),0)</f>
        <v>0</v>
      </c>
      <c r="D333" s="116">
        <f t="shared" si="441"/>
        <v>80.622715643274859</v>
      </c>
      <c r="E333" s="103" t="s">
        <v>41</v>
      </c>
      <c r="F333" s="75" t="s">
        <v>147</v>
      </c>
      <c r="G333" s="90">
        <v>5</v>
      </c>
      <c r="H333" s="90">
        <v>5</v>
      </c>
      <c r="I333" s="76">
        <v>0.105</v>
      </c>
      <c r="J333" s="77">
        <v>28.24</v>
      </c>
      <c r="K333" s="78">
        <f t="shared" si="443"/>
        <v>1.4390541391249612</v>
      </c>
      <c r="L333" s="58">
        <f>+VLOOKUP(E333,Material!$H$2:$M$17,6,FALSE)*G333*H333*(1+Material!$K$14)</f>
        <v>18.472222222222225</v>
      </c>
      <c r="M333" s="79" t="str">
        <f>+Analisis!$J$5</f>
        <v>T5.0</v>
      </c>
      <c r="N333" s="80">
        <f>+VLOOKUP(M333,Material!$A$3:$B$58,2,FALSE)</f>
        <v>5000</v>
      </c>
      <c r="O333" s="79" t="s">
        <v>42</v>
      </c>
      <c r="P333" s="79" t="s">
        <v>43</v>
      </c>
      <c r="Q333" s="81">
        <f>+IF(O333="ACERO A36",VLOOKUP(P333,'Velocidades Std 1500 w'!$B$2:$F$15,5,FALSE),IF(O333="INOXIDABLE",VLOOKUP(P333,'Velocidades Std 1500 w'!$B$17:$F$28,5,FALSE),IF(O333="ALUMINIO",VLOOKUP(P333,'Velocidades Std 1500 w'!$B$30:$F$38,5,FALSE))))</f>
        <v>4.3859649122807014E-6</v>
      </c>
      <c r="R333" s="82">
        <f t="shared" si="444"/>
        <v>2.1929824561403508E-2</v>
      </c>
      <c r="S333" s="83">
        <f t="shared" si="445"/>
        <v>14.738684210526316</v>
      </c>
      <c r="T333" s="110">
        <f t="shared" si="446"/>
        <v>933.45</v>
      </c>
      <c r="U333" s="80">
        <f t="shared" si="447"/>
        <v>20.470394736842106</v>
      </c>
      <c r="V333" s="98">
        <v>10</v>
      </c>
      <c r="W333" s="84">
        <f>+IF(O333="ACERO A36",VLOOKUP(P333,'Tiempo Objeto'!$B$2:$C$12,2,FALSE),IF(O333="INOXIDABLE",VLOOKUP(P333,'Tiempo Objeto'!$B$14:$C$22,2,FALSE),IF(O333="ALUMINIO",VLOOKUP(P333,'Tiempo Objeto'!$B$24:$C$32,2,FALSE))))</f>
        <v>1.84</v>
      </c>
      <c r="X333" s="84">
        <f t="shared" si="448"/>
        <v>18.400000000000002</v>
      </c>
      <c r="Y333" s="80">
        <f t="shared" si="449"/>
        <v>25.555555555555561</v>
      </c>
      <c r="Z333" s="100">
        <v>0</v>
      </c>
      <c r="AA333" s="85">
        <f t="shared" si="450"/>
        <v>0</v>
      </c>
      <c r="AB333" s="86">
        <f>+Z333*Analisis!$J$6</f>
        <v>0</v>
      </c>
      <c r="AC333" s="100">
        <v>0</v>
      </c>
      <c r="AD333" s="85">
        <f t="shared" si="451"/>
        <v>0</v>
      </c>
      <c r="AE333" s="86">
        <f>+AD333*Analisis!$J$7</f>
        <v>0</v>
      </c>
      <c r="AF333" s="86">
        <f t="shared" si="440"/>
        <v>64.498172514619895</v>
      </c>
      <c r="AG333" s="126">
        <f>+AF333/(1-Analisis!$E$9)</f>
        <v>80.622715643274859</v>
      </c>
      <c r="AH333" s="128">
        <f t="shared" si="442"/>
        <v>0</v>
      </c>
    </row>
    <row r="334" spans="1:34" s="73" customFormat="1" x14ac:dyDescent="0.25">
      <c r="A334" s="100"/>
      <c r="B334" t="s">
        <v>510</v>
      </c>
      <c r="C334" s="74">
        <f>IFERROR(VLOOKUP(B334,'REQ GALV'!A:B,2,0),0)</f>
        <v>0</v>
      </c>
      <c r="D334" s="116">
        <f t="shared" si="441"/>
        <v>266.33834749634502</v>
      </c>
      <c r="E334" s="103" t="s">
        <v>46</v>
      </c>
      <c r="F334" s="75" t="s">
        <v>147</v>
      </c>
      <c r="G334" s="90">
        <v>3.75</v>
      </c>
      <c r="H334" s="90">
        <v>15.25</v>
      </c>
      <c r="I334" s="76">
        <v>0.105</v>
      </c>
      <c r="J334" s="77">
        <v>28.24</v>
      </c>
      <c r="K334" s="78">
        <f t="shared" si="422"/>
        <v>4.9377545148725224</v>
      </c>
      <c r="L334" s="58">
        <f>+VLOOKUP(E334,Material!$H$2:$M$17,6,FALSE)*G334*H334*(1+Material!$K$14)</f>
        <v>63.3828125</v>
      </c>
      <c r="M334" s="79" t="str">
        <f>+Analisis!$J$5</f>
        <v>T5.0</v>
      </c>
      <c r="N334" s="80">
        <f>+VLOOKUP(M334,Material!$A$3:$B$58,2,FALSE)</f>
        <v>5000</v>
      </c>
      <c r="O334" s="79" t="s">
        <v>42</v>
      </c>
      <c r="P334" s="79" t="s">
        <v>43</v>
      </c>
      <c r="Q334" s="81">
        <f>+IF(O334="ACERO A36",VLOOKUP(P334,'Velocidades Std 1500 w'!$B$2:$F$15,5,FALSE),IF(O334="INOXIDABLE",VLOOKUP(P334,'Velocidades Std 1500 w'!$B$17:$F$28,5,FALSE),IF(O334="ALUMINIO",VLOOKUP(P334,'Velocidades Std 1500 w'!$B$30:$F$38,5,FALSE))))</f>
        <v>4.3859649122807014E-6</v>
      </c>
      <c r="R334" s="82">
        <f t="shared" si="423"/>
        <v>2.1929824561403508E-2</v>
      </c>
      <c r="S334" s="83">
        <f t="shared" si="424"/>
        <v>21.055263157894736</v>
      </c>
      <c r="T334" s="110">
        <f t="shared" si="425"/>
        <v>1333.5</v>
      </c>
      <c r="U334" s="80">
        <f t="shared" si="426"/>
        <v>29.243421052631579</v>
      </c>
      <c r="V334" s="98">
        <v>8</v>
      </c>
      <c r="W334" s="84">
        <f>+IF(O334="ACERO A36",VLOOKUP(P334,'Tiempo Objeto'!$B$2:$C$12,2,FALSE),IF(O334="INOXIDABLE",VLOOKUP(P334,'Tiempo Objeto'!$B$14:$C$22,2,FALSE),IF(O334="ALUMINIO",VLOOKUP(P334,'Tiempo Objeto'!$B$24:$C$32,2,FALSE))))</f>
        <v>1.84</v>
      </c>
      <c r="X334" s="84">
        <f t="shared" si="427"/>
        <v>14.72</v>
      </c>
      <c r="Y334" s="80">
        <f t="shared" si="428"/>
        <v>20.444444444444443</v>
      </c>
      <c r="Z334" s="100">
        <v>4</v>
      </c>
      <c r="AA334" s="85">
        <f t="shared" si="429"/>
        <v>120</v>
      </c>
      <c r="AB334" s="86">
        <f>+Z334*Analisis!$J$6</f>
        <v>100</v>
      </c>
      <c r="AC334" s="100">
        <v>0</v>
      </c>
      <c r="AD334" s="85">
        <f t="shared" si="430"/>
        <v>0</v>
      </c>
      <c r="AE334" s="86">
        <f>+AD334*Analisis!$J$7</f>
        <v>0</v>
      </c>
      <c r="AF334" s="86">
        <f t="shared" si="440"/>
        <v>213.07067799707602</v>
      </c>
      <c r="AG334" s="126">
        <f>+AF334/(1-Analisis!$E$9)</f>
        <v>266.33834749634502</v>
      </c>
      <c r="AH334" s="128">
        <f t="shared" si="442"/>
        <v>0</v>
      </c>
    </row>
    <row r="335" spans="1:34" s="73" customFormat="1" x14ac:dyDescent="0.25">
      <c r="A335" s="100"/>
      <c r="B335" t="s">
        <v>511</v>
      </c>
      <c r="C335" s="74">
        <f>IFERROR(VLOOKUP(B335,'REQ GALV'!A:B,2,0),0)</f>
        <v>0</v>
      </c>
      <c r="D335" s="116">
        <f t="shared" si="441"/>
        <v>180.65713633040934</v>
      </c>
      <c r="E335" s="103" t="s">
        <v>41</v>
      </c>
      <c r="F335" s="75" t="s">
        <v>147</v>
      </c>
      <c r="G335" s="90">
        <v>1</v>
      </c>
      <c r="H335" s="90">
        <v>17.32</v>
      </c>
      <c r="I335" s="76">
        <v>0.105</v>
      </c>
      <c r="J335" s="77">
        <v>28.24</v>
      </c>
      <c r="K335" s="78">
        <f t="shared" si="422"/>
        <v>0.99697670758577306</v>
      </c>
      <c r="L335" s="58">
        <f>+VLOOKUP(E335,Material!$H$2:$M$17,6,FALSE)*G335*H335*(1+Material!$K$14)</f>
        <v>12.797555555555558</v>
      </c>
      <c r="M335" s="79" t="str">
        <f>+Analisis!$J$5</f>
        <v>T5.0</v>
      </c>
      <c r="N335" s="80">
        <f>+VLOOKUP(M335,Material!$A$3:$B$58,2,FALSE)</f>
        <v>5000</v>
      </c>
      <c r="O335" s="79" t="s">
        <v>42</v>
      </c>
      <c r="P335" s="79" t="s">
        <v>43</v>
      </c>
      <c r="Q335" s="81">
        <f>+IF(O335="ACERO A36",VLOOKUP(P335,'Velocidades Std 1500 w'!$B$2:$F$15,5,FALSE),IF(O335="INOXIDABLE",VLOOKUP(P335,'Velocidades Std 1500 w'!$B$17:$F$28,5,FALSE),IF(O335="ALUMINIO",VLOOKUP(P335,'Velocidades Std 1500 w'!$B$30:$F$38,5,FALSE))))</f>
        <v>4.3859649122807014E-6</v>
      </c>
      <c r="R335" s="82">
        <f t="shared" si="423"/>
        <v>2.1929824561403508E-2</v>
      </c>
      <c r="S335" s="83">
        <f t="shared" si="424"/>
        <v>17.324270526315789</v>
      </c>
      <c r="T335" s="110">
        <f t="shared" si="425"/>
        <v>1097.2038</v>
      </c>
      <c r="U335" s="80">
        <f t="shared" si="426"/>
        <v>24.061486842105261</v>
      </c>
      <c r="V335" s="98">
        <v>3</v>
      </c>
      <c r="W335" s="84">
        <f>+IF(O335="ACERO A36",VLOOKUP(P335,'Tiempo Objeto'!$B$2:$C$12,2,FALSE),IF(O335="INOXIDABLE",VLOOKUP(P335,'Tiempo Objeto'!$B$14:$C$22,2,FALSE),IF(O335="ALUMINIO",VLOOKUP(P335,'Tiempo Objeto'!$B$24:$C$32,2,FALSE))))</f>
        <v>1.84</v>
      </c>
      <c r="X335" s="84">
        <f t="shared" si="427"/>
        <v>5.5200000000000005</v>
      </c>
      <c r="Y335" s="80">
        <f t="shared" si="428"/>
        <v>7.6666666666666679</v>
      </c>
      <c r="Z335" s="100">
        <v>4</v>
      </c>
      <c r="AA335" s="85">
        <f t="shared" si="429"/>
        <v>120</v>
      </c>
      <c r="AB335" s="86">
        <f>+Z335*Analisis!$J$6</f>
        <v>100</v>
      </c>
      <c r="AC335" s="100">
        <v>0</v>
      </c>
      <c r="AD335" s="85">
        <f t="shared" si="430"/>
        <v>0</v>
      </c>
      <c r="AE335" s="86">
        <f>+AD335*Analisis!$J$7</f>
        <v>0</v>
      </c>
      <c r="AF335" s="86">
        <f t="shared" si="440"/>
        <v>144.52570906432749</v>
      </c>
      <c r="AG335" s="126">
        <f>+AF335/(1-Analisis!$E$9)</f>
        <v>180.65713633040934</v>
      </c>
      <c r="AH335" s="128">
        <f t="shared" si="442"/>
        <v>0</v>
      </c>
    </row>
    <row r="336" spans="1:34" s="73" customFormat="1" x14ac:dyDescent="0.25">
      <c r="A336" s="100"/>
      <c r="B336" t="s">
        <v>512</v>
      </c>
      <c r="C336" s="74">
        <f>IFERROR(VLOOKUP(B336,'REQ GALV'!A:B,2,0),0)</f>
        <v>0</v>
      </c>
      <c r="D336" s="116">
        <f t="shared" si="441"/>
        <v>180.65713633040934</v>
      </c>
      <c r="E336" s="103" t="s">
        <v>41</v>
      </c>
      <c r="F336" s="75" t="s">
        <v>147</v>
      </c>
      <c r="G336" s="90">
        <v>1</v>
      </c>
      <c r="H336" s="90">
        <v>17.32</v>
      </c>
      <c r="I336" s="76">
        <v>0.105</v>
      </c>
      <c r="J336" s="77">
        <v>28.24</v>
      </c>
      <c r="K336" s="78">
        <f t="shared" ref="K336:K347" si="452">+L336*2.2/J336</f>
        <v>0.99697670758577306</v>
      </c>
      <c r="L336" s="58">
        <f>+VLOOKUP(E336,Material!$H$2:$M$17,6,FALSE)*G336*H336*(1+Material!$K$14)</f>
        <v>12.797555555555558</v>
      </c>
      <c r="M336" s="79" t="str">
        <f>+Analisis!$J$5</f>
        <v>T5.0</v>
      </c>
      <c r="N336" s="80">
        <f>+VLOOKUP(M336,Material!$A$3:$B$58,2,FALSE)</f>
        <v>5000</v>
      </c>
      <c r="O336" s="79" t="s">
        <v>42</v>
      </c>
      <c r="P336" s="79" t="s">
        <v>43</v>
      </c>
      <c r="Q336" s="81">
        <f>+IF(O336="ACERO A36",VLOOKUP(P336,'Velocidades Std 1500 w'!$B$2:$F$15,5,FALSE),IF(O336="INOXIDABLE",VLOOKUP(P336,'Velocidades Std 1500 w'!$B$17:$F$28,5,FALSE),IF(O336="ALUMINIO",VLOOKUP(P336,'Velocidades Std 1500 w'!$B$30:$F$38,5,FALSE))))</f>
        <v>4.3859649122807014E-6</v>
      </c>
      <c r="R336" s="82">
        <f t="shared" ref="R336:R347" si="453">+Q336*N336</f>
        <v>2.1929824561403508E-2</v>
      </c>
      <c r="S336" s="83">
        <f t="shared" ref="S336:S347" si="454">+Q336*T336*3600</f>
        <v>17.324270526315789</v>
      </c>
      <c r="T336" s="110">
        <f t="shared" ref="T336:T347" si="455">(+H336*2+G336*2+V336*1.5)*25.4*1.05</f>
        <v>1097.2038</v>
      </c>
      <c r="U336" s="80">
        <f t="shared" ref="U336:U347" si="456">+T336*R336</f>
        <v>24.061486842105261</v>
      </c>
      <c r="V336" s="98">
        <v>3</v>
      </c>
      <c r="W336" s="84">
        <f>+IF(O336="ACERO A36",VLOOKUP(P336,'Tiempo Objeto'!$B$2:$C$12,2,FALSE),IF(O336="INOXIDABLE",VLOOKUP(P336,'Tiempo Objeto'!$B$14:$C$22,2,FALSE),IF(O336="ALUMINIO",VLOOKUP(P336,'Tiempo Objeto'!$B$24:$C$32,2,FALSE))))</f>
        <v>1.84</v>
      </c>
      <c r="X336" s="84">
        <f t="shared" ref="X336:X347" si="457">+W336*V336</f>
        <v>5.5200000000000005</v>
      </c>
      <c r="Y336" s="80">
        <f t="shared" ref="Y336:Y347" si="458">+X336*N336/3600</f>
        <v>7.6666666666666679</v>
      </c>
      <c r="Z336" s="100">
        <v>4</v>
      </c>
      <c r="AA336" s="85">
        <f t="shared" ref="AA336:AA347" si="459">30*Z336+Z336*$C336*1.5</f>
        <v>120</v>
      </c>
      <c r="AB336" s="86">
        <f>+Z336*Analisis!$J$6</f>
        <v>100</v>
      </c>
      <c r="AC336" s="100">
        <v>0</v>
      </c>
      <c r="AD336" s="85">
        <f t="shared" ref="AD336:AD347" si="460">30*AC336+AC336*$C336*1.5</f>
        <v>0</v>
      </c>
      <c r="AE336" s="86">
        <f>+AD336*Analisis!$J$7</f>
        <v>0</v>
      </c>
      <c r="AF336" s="86">
        <f t="shared" si="440"/>
        <v>144.52570906432749</v>
      </c>
      <c r="AG336" s="126">
        <f>+AF336/(1-Analisis!$E$9)</f>
        <v>180.65713633040934</v>
      </c>
      <c r="AH336" s="128">
        <f t="shared" si="442"/>
        <v>0</v>
      </c>
    </row>
    <row r="337" spans="1:34" s="73" customFormat="1" x14ac:dyDescent="0.25">
      <c r="A337" s="100"/>
      <c r="B337" t="s">
        <v>513</v>
      </c>
      <c r="C337" s="74">
        <f>IFERROR(VLOOKUP(B337,'REQ GALV'!A:B,2,0),0)</f>
        <v>0</v>
      </c>
      <c r="D337" s="116">
        <f t="shared" si="441"/>
        <v>189.38669407894736</v>
      </c>
      <c r="E337" s="103" t="s">
        <v>41</v>
      </c>
      <c r="F337" s="75" t="s">
        <v>147</v>
      </c>
      <c r="G337" s="90">
        <v>1.5</v>
      </c>
      <c r="H337" s="90">
        <v>17.32</v>
      </c>
      <c r="I337" s="76">
        <v>0.105</v>
      </c>
      <c r="J337" s="77">
        <v>28.24</v>
      </c>
      <c r="K337" s="78">
        <f t="shared" si="452"/>
        <v>1.4954650613786593</v>
      </c>
      <c r="L337" s="58">
        <f>+VLOOKUP(E337,Material!$H$2:$M$17,6,FALSE)*G337*H337*(1+Material!$K$14)</f>
        <v>19.196333333333335</v>
      </c>
      <c r="M337" s="79" t="str">
        <f>+Analisis!$J$5</f>
        <v>T5.0</v>
      </c>
      <c r="N337" s="80">
        <f>+VLOOKUP(M337,Material!$A$3:$B$58,2,FALSE)</f>
        <v>5000</v>
      </c>
      <c r="O337" s="79" t="s">
        <v>42</v>
      </c>
      <c r="P337" s="79" t="s">
        <v>43</v>
      </c>
      <c r="Q337" s="81">
        <f>+IF(O337="ACERO A36",VLOOKUP(P337,'Velocidades Std 1500 w'!$B$2:$F$15,5,FALSE),IF(O337="INOXIDABLE",VLOOKUP(P337,'Velocidades Std 1500 w'!$B$17:$F$28,5,FALSE),IF(O337="ALUMINIO",VLOOKUP(P337,'Velocidades Std 1500 w'!$B$30:$F$38,5,FALSE))))</f>
        <v>4.3859649122807014E-6</v>
      </c>
      <c r="R337" s="82">
        <f t="shared" si="453"/>
        <v>2.1929824561403508E-2</v>
      </c>
      <c r="S337" s="83">
        <f t="shared" si="454"/>
        <v>17.745375789473684</v>
      </c>
      <c r="T337" s="110">
        <f t="shared" si="455"/>
        <v>1123.8738000000001</v>
      </c>
      <c r="U337" s="80">
        <f t="shared" si="456"/>
        <v>24.646355263157893</v>
      </c>
      <c r="V337" s="98">
        <v>3</v>
      </c>
      <c r="W337" s="84">
        <f>+IF(O337="ACERO A36",VLOOKUP(P337,'Tiempo Objeto'!$B$2:$C$12,2,FALSE),IF(O337="INOXIDABLE",VLOOKUP(P337,'Tiempo Objeto'!$B$14:$C$22,2,FALSE),IF(O337="ALUMINIO",VLOOKUP(P337,'Tiempo Objeto'!$B$24:$C$32,2,FALSE))))</f>
        <v>1.84</v>
      </c>
      <c r="X337" s="84">
        <f t="shared" si="457"/>
        <v>5.5200000000000005</v>
      </c>
      <c r="Y337" s="80">
        <f t="shared" si="458"/>
        <v>7.6666666666666679</v>
      </c>
      <c r="Z337" s="100">
        <v>4</v>
      </c>
      <c r="AA337" s="85">
        <f t="shared" si="459"/>
        <v>120</v>
      </c>
      <c r="AB337" s="86">
        <f>+Z337*Analisis!$J$6</f>
        <v>100</v>
      </c>
      <c r="AC337" s="100">
        <v>0</v>
      </c>
      <c r="AD337" s="85">
        <f t="shared" si="460"/>
        <v>0</v>
      </c>
      <c r="AE337" s="86">
        <f>+AD337*Analisis!$J$7</f>
        <v>0</v>
      </c>
      <c r="AF337" s="86">
        <f t="shared" si="440"/>
        <v>151.50935526315789</v>
      </c>
      <c r="AG337" s="126">
        <f>+AF337/(1-Analisis!$E$9)</f>
        <v>189.38669407894736</v>
      </c>
      <c r="AH337" s="128">
        <f t="shared" si="442"/>
        <v>0</v>
      </c>
    </row>
    <row r="338" spans="1:34" s="73" customFormat="1" x14ac:dyDescent="0.25">
      <c r="A338" s="100"/>
      <c r="B338" t="s">
        <v>514</v>
      </c>
      <c r="C338" s="74">
        <f>IFERROR(VLOOKUP(B338,'REQ GALV'!A:B,2,0),0)</f>
        <v>0</v>
      </c>
      <c r="D338" s="116">
        <f t="shared" si="441"/>
        <v>198.11625182748537</v>
      </c>
      <c r="E338" s="103" t="s">
        <v>41</v>
      </c>
      <c r="F338" s="75" t="s">
        <v>147</v>
      </c>
      <c r="G338" s="90">
        <v>2</v>
      </c>
      <c r="H338" s="90">
        <v>17.32</v>
      </c>
      <c r="I338" s="76">
        <v>0.105</v>
      </c>
      <c r="J338" s="77">
        <v>28.24</v>
      </c>
      <c r="K338" s="78">
        <f t="shared" si="452"/>
        <v>1.9939534151715461</v>
      </c>
      <c r="L338" s="58">
        <f>+VLOOKUP(E338,Material!$H$2:$M$17,6,FALSE)*G338*H338*(1+Material!$K$14)</f>
        <v>25.595111111111116</v>
      </c>
      <c r="M338" s="79" t="str">
        <f>+Analisis!$J$5</f>
        <v>T5.0</v>
      </c>
      <c r="N338" s="80">
        <f>+VLOOKUP(M338,Material!$A$3:$B$58,2,FALSE)</f>
        <v>5000</v>
      </c>
      <c r="O338" s="79" t="s">
        <v>42</v>
      </c>
      <c r="P338" s="79" t="s">
        <v>43</v>
      </c>
      <c r="Q338" s="81">
        <f>+IF(O338="ACERO A36",VLOOKUP(P338,'Velocidades Std 1500 w'!$B$2:$F$15,5,FALSE),IF(O338="INOXIDABLE",VLOOKUP(P338,'Velocidades Std 1500 w'!$B$17:$F$28,5,FALSE),IF(O338="ALUMINIO",VLOOKUP(P338,'Velocidades Std 1500 w'!$B$30:$F$38,5,FALSE))))</f>
        <v>4.3859649122807014E-6</v>
      </c>
      <c r="R338" s="82">
        <f t="shared" si="453"/>
        <v>2.1929824561403508E-2</v>
      </c>
      <c r="S338" s="83">
        <f t="shared" si="454"/>
        <v>18.166481052631578</v>
      </c>
      <c r="T338" s="110">
        <f t="shared" si="455"/>
        <v>1150.5437999999999</v>
      </c>
      <c r="U338" s="80">
        <f t="shared" si="456"/>
        <v>25.231223684210523</v>
      </c>
      <c r="V338" s="98">
        <v>3</v>
      </c>
      <c r="W338" s="84">
        <f>+IF(O338="ACERO A36",VLOOKUP(P338,'Tiempo Objeto'!$B$2:$C$12,2,FALSE),IF(O338="INOXIDABLE",VLOOKUP(P338,'Tiempo Objeto'!$B$14:$C$22,2,FALSE),IF(O338="ALUMINIO",VLOOKUP(P338,'Tiempo Objeto'!$B$24:$C$32,2,FALSE))))</f>
        <v>1.84</v>
      </c>
      <c r="X338" s="84">
        <f t="shared" si="457"/>
        <v>5.5200000000000005</v>
      </c>
      <c r="Y338" s="80">
        <f t="shared" si="458"/>
        <v>7.6666666666666679</v>
      </c>
      <c r="Z338" s="100">
        <v>4</v>
      </c>
      <c r="AA338" s="85">
        <f t="shared" si="459"/>
        <v>120</v>
      </c>
      <c r="AB338" s="86">
        <f>+Z338*Analisis!$J$6</f>
        <v>100</v>
      </c>
      <c r="AC338" s="100">
        <v>0</v>
      </c>
      <c r="AD338" s="85">
        <f t="shared" si="460"/>
        <v>0</v>
      </c>
      <c r="AE338" s="86">
        <f>+AD338*Analisis!$J$7</f>
        <v>0</v>
      </c>
      <c r="AF338" s="86">
        <f t="shared" si="440"/>
        <v>158.49300146198831</v>
      </c>
      <c r="AG338" s="126">
        <f>+AF338/(1-Analisis!$E$9)</f>
        <v>198.11625182748537</v>
      </c>
      <c r="AH338" s="128">
        <f t="shared" si="442"/>
        <v>0</v>
      </c>
    </row>
    <row r="339" spans="1:34" s="73" customFormat="1" x14ac:dyDescent="0.25">
      <c r="A339" s="100"/>
      <c r="B339" t="s">
        <v>515</v>
      </c>
      <c r="C339" s="74">
        <f>IFERROR(VLOOKUP(B339,'REQ GALV'!A:B,2,0),0)</f>
        <v>0</v>
      </c>
      <c r="D339" s="116">
        <f t="shared" si="441"/>
        <v>215.57536732456143</v>
      </c>
      <c r="E339" s="103" t="s">
        <v>41</v>
      </c>
      <c r="F339" s="75" t="s">
        <v>147</v>
      </c>
      <c r="G339" s="90">
        <v>3</v>
      </c>
      <c r="H339" s="90">
        <v>17.32</v>
      </c>
      <c r="I339" s="76">
        <v>0.105</v>
      </c>
      <c r="J339" s="77">
        <v>28.24</v>
      </c>
      <c r="K339" s="78">
        <f t="shared" si="452"/>
        <v>2.9909301227573186</v>
      </c>
      <c r="L339" s="58">
        <f>+VLOOKUP(E339,Material!$H$2:$M$17,6,FALSE)*G339*H339*(1+Material!$K$14)</f>
        <v>38.39266666666667</v>
      </c>
      <c r="M339" s="79" t="str">
        <f>+Analisis!$J$5</f>
        <v>T5.0</v>
      </c>
      <c r="N339" s="80">
        <f>+VLOOKUP(M339,Material!$A$3:$B$58,2,FALSE)</f>
        <v>5000</v>
      </c>
      <c r="O339" s="79" t="s">
        <v>42</v>
      </c>
      <c r="P339" s="79" t="s">
        <v>43</v>
      </c>
      <c r="Q339" s="81">
        <f>+IF(O339="ACERO A36",VLOOKUP(P339,'Velocidades Std 1500 w'!$B$2:$F$15,5,FALSE),IF(O339="INOXIDABLE",VLOOKUP(P339,'Velocidades Std 1500 w'!$B$17:$F$28,5,FALSE),IF(O339="ALUMINIO",VLOOKUP(P339,'Velocidades Std 1500 w'!$B$30:$F$38,5,FALSE))))</f>
        <v>4.3859649122807014E-6</v>
      </c>
      <c r="R339" s="82">
        <f t="shared" si="453"/>
        <v>2.1929824561403508E-2</v>
      </c>
      <c r="S339" s="83">
        <f t="shared" si="454"/>
        <v>19.008691578947367</v>
      </c>
      <c r="T339" s="110">
        <f t="shared" si="455"/>
        <v>1203.8838000000001</v>
      </c>
      <c r="U339" s="80">
        <f t="shared" si="456"/>
        <v>26.400960526315789</v>
      </c>
      <c r="V339" s="98">
        <v>3</v>
      </c>
      <c r="W339" s="84">
        <f>+IF(O339="ACERO A36",VLOOKUP(P339,'Tiempo Objeto'!$B$2:$C$12,2,FALSE),IF(O339="INOXIDABLE",VLOOKUP(P339,'Tiempo Objeto'!$B$14:$C$22,2,FALSE),IF(O339="ALUMINIO",VLOOKUP(P339,'Tiempo Objeto'!$B$24:$C$32,2,FALSE))))</f>
        <v>1.84</v>
      </c>
      <c r="X339" s="84">
        <f t="shared" si="457"/>
        <v>5.5200000000000005</v>
      </c>
      <c r="Y339" s="80">
        <f t="shared" si="458"/>
        <v>7.6666666666666679</v>
      </c>
      <c r="Z339" s="100">
        <v>4</v>
      </c>
      <c r="AA339" s="85">
        <f t="shared" si="459"/>
        <v>120</v>
      </c>
      <c r="AB339" s="86">
        <f>+Z339*Analisis!$J$6</f>
        <v>100</v>
      </c>
      <c r="AC339" s="100">
        <v>0</v>
      </c>
      <c r="AD339" s="85">
        <f t="shared" si="460"/>
        <v>0</v>
      </c>
      <c r="AE339" s="86">
        <f>+AD339*Analisis!$J$7</f>
        <v>0</v>
      </c>
      <c r="AF339" s="86">
        <f t="shared" si="440"/>
        <v>172.46029385964914</v>
      </c>
      <c r="AG339" s="126">
        <f>+AF339/(1-Analisis!$E$9)</f>
        <v>215.57536732456143</v>
      </c>
      <c r="AH339" s="128">
        <f t="shared" si="442"/>
        <v>0</v>
      </c>
    </row>
    <row r="340" spans="1:34" s="73" customFormat="1" x14ac:dyDescent="0.25">
      <c r="A340" s="100"/>
      <c r="B340" t="s">
        <v>516</v>
      </c>
      <c r="C340" s="74">
        <f>IFERROR(VLOOKUP(B340,'REQ GALV'!A:B,2,0),0)</f>
        <v>0</v>
      </c>
      <c r="D340" s="116">
        <f t="shared" si="441"/>
        <v>233.03448282163743</v>
      </c>
      <c r="E340" s="103" t="s">
        <v>41</v>
      </c>
      <c r="F340" s="75" t="s">
        <v>147</v>
      </c>
      <c r="G340" s="90">
        <v>4</v>
      </c>
      <c r="H340" s="90">
        <v>17.32</v>
      </c>
      <c r="I340" s="76">
        <v>0.105</v>
      </c>
      <c r="J340" s="77">
        <v>28.24</v>
      </c>
      <c r="K340" s="78">
        <f t="shared" si="452"/>
        <v>3.9879068303430922</v>
      </c>
      <c r="L340" s="58">
        <f>+VLOOKUP(E340,Material!$H$2:$M$17,6,FALSE)*G340*H340*(1+Material!$K$14)</f>
        <v>51.190222222222232</v>
      </c>
      <c r="M340" s="79" t="str">
        <f>+Analisis!$J$5</f>
        <v>T5.0</v>
      </c>
      <c r="N340" s="80">
        <f>+VLOOKUP(M340,Material!$A$3:$B$58,2,FALSE)</f>
        <v>5000</v>
      </c>
      <c r="O340" s="79" t="s">
        <v>42</v>
      </c>
      <c r="P340" s="79" t="s">
        <v>43</v>
      </c>
      <c r="Q340" s="81">
        <f>+IF(O340="ACERO A36",VLOOKUP(P340,'Velocidades Std 1500 w'!$B$2:$F$15,5,FALSE),IF(O340="INOXIDABLE",VLOOKUP(P340,'Velocidades Std 1500 w'!$B$17:$F$28,5,FALSE),IF(O340="ALUMINIO",VLOOKUP(P340,'Velocidades Std 1500 w'!$B$30:$F$38,5,FALSE))))</f>
        <v>4.3859649122807014E-6</v>
      </c>
      <c r="R340" s="82">
        <f t="shared" si="453"/>
        <v>2.1929824561403508E-2</v>
      </c>
      <c r="S340" s="83">
        <f t="shared" si="454"/>
        <v>19.850902105263156</v>
      </c>
      <c r="T340" s="110">
        <f t="shared" si="455"/>
        <v>1257.2238</v>
      </c>
      <c r="U340" s="80">
        <f t="shared" si="456"/>
        <v>27.570697368421051</v>
      </c>
      <c r="V340" s="98">
        <v>3</v>
      </c>
      <c r="W340" s="84">
        <f>+IF(O340="ACERO A36",VLOOKUP(P340,'Tiempo Objeto'!$B$2:$C$12,2,FALSE),IF(O340="INOXIDABLE",VLOOKUP(P340,'Tiempo Objeto'!$B$14:$C$22,2,FALSE),IF(O340="ALUMINIO",VLOOKUP(P340,'Tiempo Objeto'!$B$24:$C$32,2,FALSE))))</f>
        <v>1.84</v>
      </c>
      <c r="X340" s="84">
        <f t="shared" si="457"/>
        <v>5.5200000000000005</v>
      </c>
      <c r="Y340" s="80">
        <f t="shared" si="458"/>
        <v>7.6666666666666679</v>
      </c>
      <c r="Z340" s="100">
        <v>4</v>
      </c>
      <c r="AA340" s="85">
        <f t="shared" si="459"/>
        <v>120</v>
      </c>
      <c r="AB340" s="86">
        <f>+Z340*Analisis!$J$6</f>
        <v>100</v>
      </c>
      <c r="AC340" s="100">
        <v>0</v>
      </c>
      <c r="AD340" s="85">
        <f t="shared" si="460"/>
        <v>0</v>
      </c>
      <c r="AE340" s="86">
        <f>+AD340*Analisis!$J$7</f>
        <v>0</v>
      </c>
      <c r="AF340" s="86">
        <f t="shared" si="440"/>
        <v>186.42758625730994</v>
      </c>
      <c r="AG340" s="126">
        <f>+AF340/(1-Analisis!$E$9)</f>
        <v>233.03448282163743</v>
      </c>
      <c r="AH340" s="128">
        <f t="shared" si="442"/>
        <v>0</v>
      </c>
    </row>
    <row r="341" spans="1:34" s="73" customFormat="1" x14ac:dyDescent="0.25">
      <c r="A341" s="100"/>
      <c r="B341" t="s">
        <v>517</v>
      </c>
      <c r="C341" s="74">
        <f>IFERROR(VLOOKUP(B341,'REQ GALV'!A:B,2,0),0)</f>
        <v>0</v>
      </c>
      <c r="D341" s="116">
        <f t="shared" si="441"/>
        <v>180.65713633040934</v>
      </c>
      <c r="E341" s="103" t="s">
        <v>41</v>
      </c>
      <c r="F341" s="75" t="s">
        <v>147</v>
      </c>
      <c r="G341" s="90">
        <v>1</v>
      </c>
      <c r="H341" s="90">
        <v>17.32</v>
      </c>
      <c r="I341" s="76">
        <v>0.105</v>
      </c>
      <c r="J341" s="77">
        <v>28.24</v>
      </c>
      <c r="K341" s="78">
        <f t="shared" si="452"/>
        <v>0.99697670758577306</v>
      </c>
      <c r="L341" s="58">
        <f>+VLOOKUP(E341,Material!$H$2:$M$17,6,FALSE)*G341*H341*(1+Material!$K$14)</f>
        <v>12.797555555555558</v>
      </c>
      <c r="M341" s="79" t="str">
        <f>+Analisis!$J$5</f>
        <v>T5.0</v>
      </c>
      <c r="N341" s="80">
        <f>+VLOOKUP(M341,Material!$A$3:$B$58,2,FALSE)</f>
        <v>5000</v>
      </c>
      <c r="O341" s="79" t="s">
        <v>42</v>
      </c>
      <c r="P341" s="79" t="s">
        <v>43</v>
      </c>
      <c r="Q341" s="81">
        <f>+IF(O341="ACERO A36",VLOOKUP(P341,'Velocidades Std 1500 w'!$B$2:$F$15,5,FALSE),IF(O341="INOXIDABLE",VLOOKUP(P341,'Velocidades Std 1500 w'!$B$17:$F$28,5,FALSE),IF(O341="ALUMINIO",VLOOKUP(P341,'Velocidades Std 1500 w'!$B$30:$F$38,5,FALSE))))</f>
        <v>4.3859649122807014E-6</v>
      </c>
      <c r="R341" s="82">
        <f t="shared" si="453"/>
        <v>2.1929824561403508E-2</v>
      </c>
      <c r="S341" s="83">
        <f t="shared" si="454"/>
        <v>17.324270526315789</v>
      </c>
      <c r="T341" s="110">
        <f t="shared" si="455"/>
        <v>1097.2038</v>
      </c>
      <c r="U341" s="80">
        <f t="shared" si="456"/>
        <v>24.061486842105261</v>
      </c>
      <c r="V341" s="98">
        <v>3</v>
      </c>
      <c r="W341" s="84">
        <f>+IF(O341="ACERO A36",VLOOKUP(P341,'Tiempo Objeto'!$B$2:$C$12,2,FALSE),IF(O341="INOXIDABLE",VLOOKUP(P341,'Tiempo Objeto'!$B$14:$C$22,2,FALSE),IF(O341="ALUMINIO",VLOOKUP(P341,'Tiempo Objeto'!$B$24:$C$32,2,FALSE))))</f>
        <v>1.84</v>
      </c>
      <c r="X341" s="84">
        <f t="shared" si="457"/>
        <v>5.5200000000000005</v>
      </c>
      <c r="Y341" s="80">
        <f t="shared" si="458"/>
        <v>7.6666666666666679</v>
      </c>
      <c r="Z341" s="100">
        <v>4</v>
      </c>
      <c r="AA341" s="85">
        <f t="shared" si="459"/>
        <v>120</v>
      </c>
      <c r="AB341" s="86">
        <f>+Z341*Analisis!$J$6</f>
        <v>100</v>
      </c>
      <c r="AC341" s="100">
        <v>0</v>
      </c>
      <c r="AD341" s="85">
        <f t="shared" si="460"/>
        <v>0</v>
      </c>
      <c r="AE341" s="86">
        <f>+AD341*Analisis!$J$7</f>
        <v>0</v>
      </c>
      <c r="AF341" s="86">
        <f t="shared" si="440"/>
        <v>144.52570906432749</v>
      </c>
      <c r="AG341" s="126">
        <f>+AF341/(1-Analisis!$E$9)</f>
        <v>180.65713633040934</v>
      </c>
      <c r="AH341" s="128">
        <f t="shared" si="442"/>
        <v>0</v>
      </c>
    </row>
    <row r="342" spans="1:34" s="73" customFormat="1" x14ac:dyDescent="0.25">
      <c r="A342" s="100"/>
      <c r="B342" t="s">
        <v>518</v>
      </c>
      <c r="C342" s="74">
        <f>IFERROR(VLOOKUP(B342,'REQ GALV'!A:B,2,0),0)</f>
        <v>0</v>
      </c>
      <c r="D342" s="116">
        <f t="shared" si="441"/>
        <v>191.65637909356724</v>
      </c>
      <c r="E342" s="103" t="s">
        <v>41</v>
      </c>
      <c r="F342" s="75" t="s">
        <v>147</v>
      </c>
      <c r="G342" s="90">
        <v>1.63</v>
      </c>
      <c r="H342" s="90">
        <v>17.32</v>
      </c>
      <c r="I342" s="76">
        <v>0.105</v>
      </c>
      <c r="J342" s="77">
        <v>28.24</v>
      </c>
      <c r="K342" s="78">
        <f t="shared" si="452"/>
        <v>1.6250720333648099</v>
      </c>
      <c r="L342" s="58">
        <f>+VLOOKUP(E342,Material!$H$2:$M$17,6,FALSE)*G342*H342*(1+Material!$K$14)</f>
        <v>20.860015555555556</v>
      </c>
      <c r="M342" s="79" t="str">
        <f>+Analisis!$J$5</f>
        <v>T5.0</v>
      </c>
      <c r="N342" s="80">
        <f>+VLOOKUP(M342,Material!$A$3:$B$58,2,FALSE)</f>
        <v>5000</v>
      </c>
      <c r="O342" s="79" t="s">
        <v>42</v>
      </c>
      <c r="P342" s="79" t="s">
        <v>43</v>
      </c>
      <c r="Q342" s="81">
        <f>+IF(O342="ACERO A36",VLOOKUP(P342,'Velocidades Std 1500 w'!$B$2:$F$15,5,FALSE),IF(O342="INOXIDABLE",VLOOKUP(P342,'Velocidades Std 1500 w'!$B$17:$F$28,5,FALSE),IF(O342="ALUMINIO",VLOOKUP(P342,'Velocidades Std 1500 w'!$B$30:$F$38,5,FALSE))))</f>
        <v>4.3859649122807014E-6</v>
      </c>
      <c r="R342" s="82">
        <f t="shared" si="453"/>
        <v>2.1929824561403508E-2</v>
      </c>
      <c r="S342" s="83">
        <f t="shared" si="454"/>
        <v>17.85486315789473</v>
      </c>
      <c r="T342" s="110">
        <f t="shared" si="455"/>
        <v>1130.8079999999998</v>
      </c>
      <c r="U342" s="80">
        <f t="shared" si="456"/>
        <v>24.798421052631571</v>
      </c>
      <c r="V342" s="98">
        <v>3</v>
      </c>
      <c r="W342" s="84">
        <f>+IF(O342="ACERO A36",VLOOKUP(P342,'Tiempo Objeto'!$B$2:$C$12,2,FALSE),IF(O342="INOXIDABLE",VLOOKUP(P342,'Tiempo Objeto'!$B$14:$C$22,2,FALSE),IF(O342="ALUMINIO",VLOOKUP(P342,'Tiempo Objeto'!$B$24:$C$32,2,FALSE))))</f>
        <v>1.84</v>
      </c>
      <c r="X342" s="84">
        <f t="shared" si="457"/>
        <v>5.5200000000000005</v>
      </c>
      <c r="Y342" s="80">
        <f t="shared" si="458"/>
        <v>7.6666666666666679</v>
      </c>
      <c r="Z342" s="100">
        <v>4</v>
      </c>
      <c r="AA342" s="85">
        <f t="shared" si="459"/>
        <v>120</v>
      </c>
      <c r="AB342" s="86">
        <f>+Z342*Analisis!$J$6</f>
        <v>100</v>
      </c>
      <c r="AC342" s="100">
        <v>0</v>
      </c>
      <c r="AD342" s="85">
        <f t="shared" si="460"/>
        <v>0</v>
      </c>
      <c r="AE342" s="86">
        <f>+AD342*Analisis!$J$7</f>
        <v>0</v>
      </c>
      <c r="AF342" s="86">
        <f t="shared" si="440"/>
        <v>153.3251032748538</v>
      </c>
      <c r="AG342" s="126">
        <f>+AF342/(1-Analisis!$E$9)</f>
        <v>191.65637909356724</v>
      </c>
      <c r="AH342" s="128">
        <f t="shared" si="442"/>
        <v>0</v>
      </c>
    </row>
    <row r="343" spans="1:34" s="73" customFormat="1" x14ac:dyDescent="0.25">
      <c r="A343" s="100"/>
      <c r="B343" t="s">
        <v>519</v>
      </c>
      <c r="C343" s="74">
        <f>IFERROR(VLOOKUP(B343,'REQ GALV'!A:B,2,0),0)</f>
        <v>0</v>
      </c>
      <c r="D343" s="116">
        <f t="shared" si="441"/>
        <v>215.57536732456143</v>
      </c>
      <c r="E343" s="103" t="s">
        <v>41</v>
      </c>
      <c r="F343" s="75" t="s">
        <v>147</v>
      </c>
      <c r="G343" s="90">
        <v>3</v>
      </c>
      <c r="H343" s="90">
        <v>17.32</v>
      </c>
      <c r="I343" s="76">
        <v>0.105</v>
      </c>
      <c r="J343" s="77">
        <v>28.24</v>
      </c>
      <c r="K343" s="78">
        <f t="shared" si="452"/>
        <v>2.9909301227573186</v>
      </c>
      <c r="L343" s="58">
        <f>+VLOOKUP(E343,Material!$H$2:$M$17,6,FALSE)*G343*H343*(1+Material!$K$14)</f>
        <v>38.39266666666667</v>
      </c>
      <c r="M343" s="79" t="str">
        <f>+Analisis!$J$5</f>
        <v>T5.0</v>
      </c>
      <c r="N343" s="80">
        <f>+VLOOKUP(M343,Material!$A$3:$B$58,2,FALSE)</f>
        <v>5000</v>
      </c>
      <c r="O343" s="79" t="s">
        <v>42</v>
      </c>
      <c r="P343" s="79" t="s">
        <v>43</v>
      </c>
      <c r="Q343" s="81">
        <f>+IF(O343="ACERO A36",VLOOKUP(P343,'Velocidades Std 1500 w'!$B$2:$F$15,5,FALSE),IF(O343="INOXIDABLE",VLOOKUP(P343,'Velocidades Std 1500 w'!$B$17:$F$28,5,FALSE),IF(O343="ALUMINIO",VLOOKUP(P343,'Velocidades Std 1500 w'!$B$30:$F$38,5,FALSE))))</f>
        <v>4.3859649122807014E-6</v>
      </c>
      <c r="R343" s="82">
        <f t="shared" si="453"/>
        <v>2.1929824561403508E-2</v>
      </c>
      <c r="S343" s="83">
        <f t="shared" si="454"/>
        <v>19.008691578947367</v>
      </c>
      <c r="T343" s="110">
        <f t="shared" si="455"/>
        <v>1203.8838000000001</v>
      </c>
      <c r="U343" s="80">
        <f t="shared" si="456"/>
        <v>26.400960526315789</v>
      </c>
      <c r="V343" s="98">
        <v>3</v>
      </c>
      <c r="W343" s="84">
        <f>+IF(O343="ACERO A36",VLOOKUP(P343,'Tiempo Objeto'!$B$2:$C$12,2,FALSE),IF(O343="INOXIDABLE",VLOOKUP(P343,'Tiempo Objeto'!$B$14:$C$22,2,FALSE),IF(O343="ALUMINIO",VLOOKUP(P343,'Tiempo Objeto'!$B$24:$C$32,2,FALSE))))</f>
        <v>1.84</v>
      </c>
      <c r="X343" s="84">
        <f t="shared" si="457"/>
        <v>5.5200000000000005</v>
      </c>
      <c r="Y343" s="80">
        <f t="shared" si="458"/>
        <v>7.6666666666666679</v>
      </c>
      <c r="Z343" s="100">
        <v>4</v>
      </c>
      <c r="AA343" s="85">
        <f t="shared" si="459"/>
        <v>120</v>
      </c>
      <c r="AB343" s="86">
        <f>+Z343*Analisis!$J$6</f>
        <v>100</v>
      </c>
      <c r="AC343" s="100">
        <v>0</v>
      </c>
      <c r="AD343" s="85">
        <f t="shared" si="460"/>
        <v>0</v>
      </c>
      <c r="AE343" s="86">
        <f>+AD343*Analisis!$J$7</f>
        <v>0</v>
      </c>
      <c r="AF343" s="86">
        <f t="shared" si="440"/>
        <v>172.46029385964914</v>
      </c>
      <c r="AG343" s="126">
        <f>+AF343/(1-Analisis!$E$9)</f>
        <v>215.57536732456143</v>
      </c>
      <c r="AH343" s="128">
        <f t="shared" si="442"/>
        <v>0</v>
      </c>
    </row>
    <row r="344" spans="1:34" s="73" customFormat="1" x14ac:dyDescent="0.25">
      <c r="A344" s="100"/>
      <c r="B344" t="s">
        <v>520</v>
      </c>
      <c r="C344" s="74">
        <f>IFERROR(VLOOKUP(B344,'REQ GALV'!A:B,2,0),0)</f>
        <v>0</v>
      </c>
      <c r="D344" s="116">
        <f t="shared" si="441"/>
        <v>180.65713633040934</v>
      </c>
      <c r="E344" s="103" t="s">
        <v>41</v>
      </c>
      <c r="F344" s="75" t="s">
        <v>147</v>
      </c>
      <c r="G344" s="90">
        <v>1</v>
      </c>
      <c r="H344" s="90">
        <v>17.32</v>
      </c>
      <c r="I344" s="76">
        <v>0.105</v>
      </c>
      <c r="J344" s="77">
        <v>28.24</v>
      </c>
      <c r="K344" s="78">
        <f t="shared" si="452"/>
        <v>0.99697670758577306</v>
      </c>
      <c r="L344" s="58">
        <f>+VLOOKUP(E344,Material!$H$2:$M$17,6,FALSE)*G344*H344*(1+Material!$K$14)</f>
        <v>12.797555555555558</v>
      </c>
      <c r="M344" s="79" t="str">
        <f>+Analisis!$J$5</f>
        <v>T5.0</v>
      </c>
      <c r="N344" s="80">
        <f>+VLOOKUP(M344,Material!$A$3:$B$58,2,FALSE)</f>
        <v>5000</v>
      </c>
      <c r="O344" s="79" t="s">
        <v>42</v>
      </c>
      <c r="P344" s="79" t="s">
        <v>43</v>
      </c>
      <c r="Q344" s="81">
        <f>+IF(O344="ACERO A36",VLOOKUP(P344,'Velocidades Std 1500 w'!$B$2:$F$15,5,FALSE),IF(O344="INOXIDABLE",VLOOKUP(P344,'Velocidades Std 1500 w'!$B$17:$F$28,5,FALSE),IF(O344="ALUMINIO",VLOOKUP(P344,'Velocidades Std 1500 w'!$B$30:$F$38,5,FALSE))))</f>
        <v>4.3859649122807014E-6</v>
      </c>
      <c r="R344" s="82">
        <f t="shared" si="453"/>
        <v>2.1929824561403508E-2</v>
      </c>
      <c r="S344" s="83">
        <f t="shared" si="454"/>
        <v>17.324270526315789</v>
      </c>
      <c r="T344" s="110">
        <f t="shared" si="455"/>
        <v>1097.2038</v>
      </c>
      <c r="U344" s="80">
        <f t="shared" si="456"/>
        <v>24.061486842105261</v>
      </c>
      <c r="V344" s="98">
        <v>3</v>
      </c>
      <c r="W344" s="84">
        <f>+IF(O344="ACERO A36",VLOOKUP(P344,'Tiempo Objeto'!$B$2:$C$12,2,FALSE),IF(O344="INOXIDABLE",VLOOKUP(P344,'Tiempo Objeto'!$B$14:$C$22,2,FALSE),IF(O344="ALUMINIO",VLOOKUP(P344,'Tiempo Objeto'!$B$24:$C$32,2,FALSE))))</f>
        <v>1.84</v>
      </c>
      <c r="X344" s="84">
        <f t="shared" si="457"/>
        <v>5.5200000000000005</v>
      </c>
      <c r="Y344" s="80">
        <f t="shared" si="458"/>
        <v>7.6666666666666679</v>
      </c>
      <c r="Z344" s="100">
        <v>4</v>
      </c>
      <c r="AA344" s="85">
        <f t="shared" si="459"/>
        <v>120</v>
      </c>
      <c r="AB344" s="86">
        <f>+Z344*Analisis!$J$6</f>
        <v>100</v>
      </c>
      <c r="AC344" s="100">
        <v>0</v>
      </c>
      <c r="AD344" s="85">
        <f t="shared" si="460"/>
        <v>0</v>
      </c>
      <c r="AE344" s="86">
        <f>+AD344*Analisis!$J$7</f>
        <v>0</v>
      </c>
      <c r="AF344" s="86">
        <f t="shared" si="440"/>
        <v>144.52570906432749</v>
      </c>
      <c r="AG344" s="126">
        <f>+AF344/(1-Analisis!$E$9)</f>
        <v>180.65713633040934</v>
      </c>
      <c r="AH344" s="128">
        <f t="shared" si="442"/>
        <v>0</v>
      </c>
    </row>
    <row r="345" spans="1:34" s="73" customFormat="1" x14ac:dyDescent="0.25">
      <c r="A345" s="100"/>
      <c r="B345" t="s">
        <v>521</v>
      </c>
      <c r="C345" s="74">
        <f>IFERROR(VLOOKUP(B345,'REQ GALV'!A:B,2,0),0)</f>
        <v>0</v>
      </c>
      <c r="D345" s="116">
        <f t="shared" si="441"/>
        <v>183.04291849415202</v>
      </c>
      <c r="E345" s="103" t="s">
        <v>41</v>
      </c>
      <c r="F345" s="75" t="s">
        <v>147</v>
      </c>
      <c r="G345" s="90">
        <v>1</v>
      </c>
      <c r="H345" s="90">
        <v>18.32</v>
      </c>
      <c r="I345" s="76">
        <v>0.105</v>
      </c>
      <c r="J345" s="77">
        <v>28.24</v>
      </c>
      <c r="K345" s="78">
        <f t="shared" si="452"/>
        <v>1.0545388731507717</v>
      </c>
      <c r="L345" s="58">
        <f>+VLOOKUP(E345,Material!$H$2:$M$17,6,FALSE)*G345*H345*(1+Material!$K$14)</f>
        <v>13.536444444444447</v>
      </c>
      <c r="M345" s="79" t="str">
        <f>+Analisis!$J$5</f>
        <v>T5.0</v>
      </c>
      <c r="N345" s="80">
        <f>+VLOOKUP(M345,Material!$A$3:$B$58,2,FALSE)</f>
        <v>5000</v>
      </c>
      <c r="O345" s="79" t="s">
        <v>42</v>
      </c>
      <c r="P345" s="79" t="s">
        <v>43</v>
      </c>
      <c r="Q345" s="81">
        <f>+IF(O345="ACERO A36",VLOOKUP(P345,'Velocidades Std 1500 w'!$B$2:$F$15,5,FALSE),IF(O345="INOXIDABLE",VLOOKUP(P345,'Velocidades Std 1500 w'!$B$17:$F$28,5,FALSE),IF(O345="ALUMINIO",VLOOKUP(P345,'Velocidades Std 1500 w'!$B$30:$F$38,5,FALSE))))</f>
        <v>4.3859649122807014E-6</v>
      </c>
      <c r="R345" s="82">
        <f t="shared" si="453"/>
        <v>2.1929824561403508E-2</v>
      </c>
      <c r="S345" s="83">
        <f t="shared" si="454"/>
        <v>18.166481052631578</v>
      </c>
      <c r="T345" s="110">
        <f t="shared" si="455"/>
        <v>1150.5437999999999</v>
      </c>
      <c r="U345" s="80">
        <f t="shared" si="456"/>
        <v>25.231223684210523</v>
      </c>
      <c r="V345" s="98">
        <v>3</v>
      </c>
      <c r="W345" s="84">
        <f>+IF(O345="ACERO A36",VLOOKUP(P345,'Tiempo Objeto'!$B$2:$C$12,2,FALSE),IF(O345="INOXIDABLE",VLOOKUP(P345,'Tiempo Objeto'!$B$14:$C$22,2,FALSE),IF(O345="ALUMINIO",VLOOKUP(P345,'Tiempo Objeto'!$B$24:$C$32,2,FALSE))))</f>
        <v>1.84</v>
      </c>
      <c r="X345" s="84">
        <f t="shared" si="457"/>
        <v>5.5200000000000005</v>
      </c>
      <c r="Y345" s="80">
        <f t="shared" si="458"/>
        <v>7.6666666666666679</v>
      </c>
      <c r="Z345" s="100">
        <v>4</v>
      </c>
      <c r="AA345" s="85">
        <f t="shared" si="459"/>
        <v>120</v>
      </c>
      <c r="AB345" s="86">
        <f>+Z345*Analisis!$J$6</f>
        <v>100</v>
      </c>
      <c r="AC345" s="100">
        <v>0</v>
      </c>
      <c r="AD345" s="85">
        <f t="shared" si="460"/>
        <v>0</v>
      </c>
      <c r="AE345" s="86">
        <f>+AD345*Analisis!$J$7</f>
        <v>0</v>
      </c>
      <c r="AF345" s="86">
        <f t="shared" si="440"/>
        <v>146.43433479532163</v>
      </c>
      <c r="AG345" s="126">
        <f>+AF345/(1-Analisis!$E$9)</f>
        <v>183.04291849415202</v>
      </c>
      <c r="AH345" s="128">
        <f t="shared" si="442"/>
        <v>0</v>
      </c>
    </row>
    <row r="346" spans="1:34" s="73" customFormat="1" x14ac:dyDescent="0.25">
      <c r="A346" s="100"/>
      <c r="B346" t="s">
        <v>522</v>
      </c>
      <c r="C346" s="74">
        <f>IFERROR(VLOOKUP(B346,'REQ GALV'!A:B,2,0),0)</f>
        <v>0</v>
      </c>
      <c r="D346" s="116">
        <f t="shared" si="441"/>
        <v>192.2342817982456</v>
      </c>
      <c r="E346" s="103" t="s">
        <v>41</v>
      </c>
      <c r="F346" s="75" t="s">
        <v>147</v>
      </c>
      <c r="G346" s="90">
        <v>1.5</v>
      </c>
      <c r="H346" s="90">
        <v>18.32</v>
      </c>
      <c r="I346" s="76">
        <v>0.105</v>
      </c>
      <c r="J346" s="77">
        <v>28.24</v>
      </c>
      <c r="K346" s="78">
        <f t="shared" si="452"/>
        <v>1.5818083097261573</v>
      </c>
      <c r="L346" s="58">
        <f>+VLOOKUP(E346,Material!$H$2:$M$17,6,FALSE)*G346*H346*(1+Material!$K$14)</f>
        <v>20.30466666666667</v>
      </c>
      <c r="M346" s="79" t="str">
        <f>+Analisis!$J$5</f>
        <v>T5.0</v>
      </c>
      <c r="N346" s="80">
        <f>+VLOOKUP(M346,Material!$A$3:$B$58,2,FALSE)</f>
        <v>5000</v>
      </c>
      <c r="O346" s="79" t="s">
        <v>42</v>
      </c>
      <c r="P346" s="79" t="s">
        <v>43</v>
      </c>
      <c r="Q346" s="81">
        <f>+IF(O346="ACERO A36",VLOOKUP(P346,'Velocidades Std 1500 w'!$B$2:$F$15,5,FALSE),IF(O346="INOXIDABLE",VLOOKUP(P346,'Velocidades Std 1500 w'!$B$17:$F$28,5,FALSE),IF(O346="ALUMINIO",VLOOKUP(P346,'Velocidades Std 1500 w'!$B$30:$F$38,5,FALSE))))</f>
        <v>4.3859649122807014E-6</v>
      </c>
      <c r="R346" s="82">
        <f t="shared" si="453"/>
        <v>2.1929824561403508E-2</v>
      </c>
      <c r="S346" s="83">
        <f t="shared" si="454"/>
        <v>18.587586315789473</v>
      </c>
      <c r="T346" s="110">
        <f t="shared" si="455"/>
        <v>1177.2138</v>
      </c>
      <c r="U346" s="80">
        <f t="shared" si="456"/>
        <v>25.816092105263156</v>
      </c>
      <c r="V346" s="98">
        <v>3</v>
      </c>
      <c r="W346" s="84">
        <f>+IF(O346="ACERO A36",VLOOKUP(P346,'Tiempo Objeto'!$B$2:$C$12,2,FALSE),IF(O346="INOXIDABLE",VLOOKUP(P346,'Tiempo Objeto'!$B$14:$C$22,2,FALSE),IF(O346="ALUMINIO",VLOOKUP(P346,'Tiempo Objeto'!$B$24:$C$32,2,FALSE))))</f>
        <v>1.84</v>
      </c>
      <c r="X346" s="84">
        <f t="shared" si="457"/>
        <v>5.5200000000000005</v>
      </c>
      <c r="Y346" s="80">
        <f t="shared" si="458"/>
        <v>7.6666666666666679</v>
      </c>
      <c r="Z346" s="100">
        <v>4</v>
      </c>
      <c r="AA346" s="85">
        <f t="shared" si="459"/>
        <v>120</v>
      </c>
      <c r="AB346" s="86">
        <f>+Z346*Analisis!$J$6</f>
        <v>100</v>
      </c>
      <c r="AC346" s="100">
        <v>0</v>
      </c>
      <c r="AD346" s="85">
        <f t="shared" si="460"/>
        <v>0</v>
      </c>
      <c r="AE346" s="86">
        <f>+AD346*Analisis!$J$7</f>
        <v>0</v>
      </c>
      <c r="AF346" s="86">
        <f t="shared" si="440"/>
        <v>153.7874254385965</v>
      </c>
      <c r="AG346" s="126">
        <f>+AF346/(1-Analisis!$E$9)</f>
        <v>192.2342817982456</v>
      </c>
      <c r="AH346" s="128">
        <f t="shared" si="442"/>
        <v>0</v>
      </c>
    </row>
    <row r="347" spans="1:34" s="73" customFormat="1" x14ac:dyDescent="0.25">
      <c r="A347" s="100"/>
      <c r="B347" t="s">
        <v>523</v>
      </c>
      <c r="C347" s="74">
        <f>IFERROR(VLOOKUP(B347,'REQ GALV'!A:B,2,0),0)</f>
        <v>0</v>
      </c>
      <c r="D347" s="116">
        <f t="shared" si="441"/>
        <v>201.42564510233916</v>
      </c>
      <c r="E347" s="103" t="s">
        <v>41</v>
      </c>
      <c r="F347" s="75" t="s">
        <v>147</v>
      </c>
      <c r="G347" s="90">
        <v>2</v>
      </c>
      <c r="H347" s="90">
        <v>18.32</v>
      </c>
      <c r="I347" s="76">
        <v>0.105</v>
      </c>
      <c r="J347" s="77">
        <v>28.24</v>
      </c>
      <c r="K347" s="78">
        <f t="shared" si="452"/>
        <v>2.1090777463015433</v>
      </c>
      <c r="L347" s="58">
        <f>+VLOOKUP(E347,Material!$H$2:$M$17,6,FALSE)*G347*H347*(1+Material!$K$14)</f>
        <v>27.072888888888894</v>
      </c>
      <c r="M347" s="79" t="str">
        <f>+Analisis!$J$5</f>
        <v>T5.0</v>
      </c>
      <c r="N347" s="80">
        <f>+VLOOKUP(M347,Material!$A$3:$B$58,2,FALSE)</f>
        <v>5000</v>
      </c>
      <c r="O347" s="79" t="s">
        <v>42</v>
      </c>
      <c r="P347" s="79" t="s">
        <v>43</v>
      </c>
      <c r="Q347" s="81">
        <f>+IF(O347="ACERO A36",VLOOKUP(P347,'Velocidades Std 1500 w'!$B$2:$F$15,5,FALSE),IF(O347="INOXIDABLE",VLOOKUP(P347,'Velocidades Std 1500 w'!$B$17:$F$28,5,FALSE),IF(O347="ALUMINIO",VLOOKUP(P347,'Velocidades Std 1500 w'!$B$30:$F$38,5,FALSE))))</f>
        <v>4.3859649122807014E-6</v>
      </c>
      <c r="R347" s="82">
        <f t="shared" si="453"/>
        <v>2.1929824561403508E-2</v>
      </c>
      <c r="S347" s="83">
        <f t="shared" si="454"/>
        <v>19.008691578947367</v>
      </c>
      <c r="T347" s="110">
        <f t="shared" si="455"/>
        <v>1203.8838000000001</v>
      </c>
      <c r="U347" s="80">
        <f t="shared" si="456"/>
        <v>26.400960526315789</v>
      </c>
      <c r="V347" s="98">
        <v>3</v>
      </c>
      <c r="W347" s="84">
        <f>+IF(O347="ACERO A36",VLOOKUP(P347,'Tiempo Objeto'!$B$2:$C$12,2,FALSE),IF(O347="INOXIDABLE",VLOOKUP(P347,'Tiempo Objeto'!$B$14:$C$22,2,FALSE),IF(O347="ALUMINIO",VLOOKUP(P347,'Tiempo Objeto'!$B$24:$C$32,2,FALSE))))</f>
        <v>1.84</v>
      </c>
      <c r="X347" s="84">
        <f t="shared" si="457"/>
        <v>5.5200000000000005</v>
      </c>
      <c r="Y347" s="80">
        <f t="shared" si="458"/>
        <v>7.6666666666666679</v>
      </c>
      <c r="Z347" s="100">
        <v>4</v>
      </c>
      <c r="AA347" s="85">
        <f t="shared" si="459"/>
        <v>120</v>
      </c>
      <c r="AB347" s="86">
        <f>+Z347*Analisis!$J$6</f>
        <v>100</v>
      </c>
      <c r="AC347" s="100">
        <v>0</v>
      </c>
      <c r="AD347" s="85">
        <f t="shared" si="460"/>
        <v>0</v>
      </c>
      <c r="AE347" s="86">
        <f>+AD347*Analisis!$J$7</f>
        <v>0</v>
      </c>
      <c r="AF347" s="86">
        <f t="shared" si="440"/>
        <v>161.14051608187134</v>
      </c>
      <c r="AG347" s="126">
        <f>+AF347/(1-Analisis!$E$9)</f>
        <v>201.42564510233916</v>
      </c>
      <c r="AH347" s="128">
        <f t="shared" si="442"/>
        <v>0</v>
      </c>
    </row>
    <row r="348" spans="1:34" s="73" customFormat="1" x14ac:dyDescent="0.25">
      <c r="A348" s="100"/>
      <c r="B348" t="s">
        <v>524</v>
      </c>
      <c r="C348" s="74">
        <f>IFERROR(VLOOKUP(B348,'REQ GALV'!A:B,2,0),0)</f>
        <v>0</v>
      </c>
      <c r="D348" s="116">
        <f t="shared" si="441"/>
        <v>219.80837171052633</v>
      </c>
      <c r="E348" s="103" t="s">
        <v>41</v>
      </c>
      <c r="F348" s="75" t="s">
        <v>147</v>
      </c>
      <c r="G348" s="90">
        <v>3</v>
      </c>
      <c r="H348" s="90">
        <v>18.32</v>
      </c>
      <c r="I348" s="76">
        <v>0.105</v>
      </c>
      <c r="J348" s="77">
        <v>28.24</v>
      </c>
      <c r="K348" s="78">
        <f t="shared" ref="K348:K353" si="461">+L348*2.2/J348</f>
        <v>3.1636166194523145</v>
      </c>
      <c r="L348" s="58">
        <f>+VLOOKUP(E348,Material!$H$2:$M$17,6,FALSE)*G348*H348*(1+Material!$K$14)</f>
        <v>40.609333333333339</v>
      </c>
      <c r="M348" s="79" t="str">
        <f>+Analisis!$J$5</f>
        <v>T5.0</v>
      </c>
      <c r="N348" s="80">
        <f>+VLOOKUP(M348,Material!$A$3:$B$58,2,FALSE)</f>
        <v>5000</v>
      </c>
      <c r="O348" s="79" t="s">
        <v>42</v>
      </c>
      <c r="P348" s="79" t="s">
        <v>43</v>
      </c>
      <c r="Q348" s="81">
        <f>+IF(O348="ACERO A36",VLOOKUP(P348,'Velocidades Std 1500 w'!$B$2:$F$15,5,FALSE),IF(O348="INOXIDABLE",VLOOKUP(P348,'Velocidades Std 1500 w'!$B$17:$F$28,5,FALSE),IF(O348="ALUMINIO",VLOOKUP(P348,'Velocidades Std 1500 w'!$B$30:$F$38,5,FALSE))))</f>
        <v>4.3859649122807014E-6</v>
      </c>
      <c r="R348" s="82">
        <f t="shared" ref="R348:R353" si="462">+Q348*N348</f>
        <v>2.1929824561403508E-2</v>
      </c>
      <c r="S348" s="83">
        <f t="shared" ref="S348:S353" si="463">+Q348*T348*3600</f>
        <v>19.850902105263156</v>
      </c>
      <c r="T348" s="110">
        <f t="shared" ref="T348:T353" si="464">(+H348*2+G348*2+V348*1.5)*25.4*1.05</f>
        <v>1257.2238</v>
      </c>
      <c r="U348" s="80">
        <f t="shared" ref="U348:U353" si="465">+T348*R348</f>
        <v>27.570697368421051</v>
      </c>
      <c r="V348" s="98">
        <v>3</v>
      </c>
      <c r="W348" s="84">
        <f>+IF(O348="ACERO A36",VLOOKUP(P348,'Tiempo Objeto'!$B$2:$C$12,2,FALSE),IF(O348="INOXIDABLE",VLOOKUP(P348,'Tiempo Objeto'!$B$14:$C$22,2,FALSE),IF(O348="ALUMINIO",VLOOKUP(P348,'Tiempo Objeto'!$B$24:$C$32,2,FALSE))))</f>
        <v>1.84</v>
      </c>
      <c r="X348" s="84">
        <f t="shared" ref="X348:X353" si="466">+W348*V348</f>
        <v>5.5200000000000005</v>
      </c>
      <c r="Y348" s="80">
        <f t="shared" ref="Y348:Y353" si="467">+X348*N348/3600</f>
        <v>7.6666666666666679</v>
      </c>
      <c r="Z348" s="100">
        <v>4</v>
      </c>
      <c r="AA348" s="85">
        <f t="shared" ref="AA348:AA353" si="468">30*Z348+Z348*$C348*1.5</f>
        <v>120</v>
      </c>
      <c r="AB348" s="86">
        <f>+Z348*Analisis!$J$6</f>
        <v>100</v>
      </c>
      <c r="AC348" s="100">
        <v>0</v>
      </c>
      <c r="AD348" s="85">
        <f t="shared" ref="AD348:AD353" si="469">30*AC348+AC348*$C348*1.5</f>
        <v>0</v>
      </c>
      <c r="AE348" s="86">
        <f>+AD348*Analisis!$J$7</f>
        <v>0</v>
      </c>
      <c r="AF348" s="86">
        <f t="shared" si="440"/>
        <v>175.84669736842108</v>
      </c>
      <c r="AG348" s="126">
        <f>+AF348/(1-Analisis!$E$9)</f>
        <v>219.80837171052633</v>
      </c>
      <c r="AH348" s="128">
        <f t="shared" si="442"/>
        <v>0</v>
      </c>
    </row>
    <row r="349" spans="1:34" s="73" customFormat="1" x14ac:dyDescent="0.25">
      <c r="A349" s="100"/>
      <c r="B349" t="s">
        <v>525</v>
      </c>
      <c r="C349" s="74">
        <f>IFERROR(VLOOKUP(B349,'REQ GALV'!A:B,2,0),0)</f>
        <v>0</v>
      </c>
      <c r="D349" s="116">
        <f t="shared" si="441"/>
        <v>238.19109831871344</v>
      </c>
      <c r="E349" s="103" t="s">
        <v>41</v>
      </c>
      <c r="F349" s="75" t="s">
        <v>147</v>
      </c>
      <c r="G349" s="90">
        <v>4</v>
      </c>
      <c r="H349" s="90">
        <v>18.32</v>
      </c>
      <c r="I349" s="76">
        <v>0.105</v>
      </c>
      <c r="J349" s="77">
        <v>28.24</v>
      </c>
      <c r="K349" s="78">
        <f t="shared" si="461"/>
        <v>4.2181554926030866</v>
      </c>
      <c r="L349" s="58">
        <f>+VLOOKUP(E349,Material!$H$2:$M$17,6,FALSE)*G349*H349*(1+Material!$K$14)</f>
        <v>54.145777777777788</v>
      </c>
      <c r="M349" s="79" t="str">
        <f>+Analisis!$J$5</f>
        <v>T5.0</v>
      </c>
      <c r="N349" s="80">
        <f>+VLOOKUP(M349,Material!$A$3:$B$58,2,FALSE)</f>
        <v>5000</v>
      </c>
      <c r="O349" s="79" t="s">
        <v>42</v>
      </c>
      <c r="P349" s="79" t="s">
        <v>43</v>
      </c>
      <c r="Q349" s="81">
        <f>+IF(O349="ACERO A36",VLOOKUP(P349,'Velocidades Std 1500 w'!$B$2:$F$15,5,FALSE),IF(O349="INOXIDABLE",VLOOKUP(P349,'Velocidades Std 1500 w'!$B$17:$F$28,5,FALSE),IF(O349="ALUMINIO",VLOOKUP(P349,'Velocidades Std 1500 w'!$B$30:$F$38,5,FALSE))))</f>
        <v>4.3859649122807014E-6</v>
      </c>
      <c r="R349" s="82">
        <f t="shared" si="462"/>
        <v>2.1929824561403508E-2</v>
      </c>
      <c r="S349" s="83">
        <f t="shared" si="463"/>
        <v>20.693112631578945</v>
      </c>
      <c r="T349" s="110">
        <f t="shared" si="464"/>
        <v>1310.5637999999999</v>
      </c>
      <c r="U349" s="80">
        <f t="shared" si="465"/>
        <v>28.740434210526313</v>
      </c>
      <c r="V349" s="98">
        <v>3</v>
      </c>
      <c r="W349" s="84">
        <f>+IF(O349="ACERO A36",VLOOKUP(P349,'Tiempo Objeto'!$B$2:$C$12,2,FALSE),IF(O349="INOXIDABLE",VLOOKUP(P349,'Tiempo Objeto'!$B$14:$C$22,2,FALSE),IF(O349="ALUMINIO",VLOOKUP(P349,'Tiempo Objeto'!$B$24:$C$32,2,FALSE))))</f>
        <v>1.84</v>
      </c>
      <c r="X349" s="84">
        <f t="shared" si="466"/>
        <v>5.5200000000000005</v>
      </c>
      <c r="Y349" s="80">
        <f t="shared" si="467"/>
        <v>7.6666666666666679</v>
      </c>
      <c r="Z349" s="100">
        <v>4</v>
      </c>
      <c r="AA349" s="85">
        <f t="shared" si="468"/>
        <v>120</v>
      </c>
      <c r="AB349" s="86">
        <f>+Z349*Analisis!$J$6</f>
        <v>100</v>
      </c>
      <c r="AC349" s="100">
        <v>0</v>
      </c>
      <c r="AD349" s="85">
        <f t="shared" si="469"/>
        <v>0</v>
      </c>
      <c r="AE349" s="86">
        <f>+AD349*Analisis!$J$7</f>
        <v>0</v>
      </c>
      <c r="AF349" s="86">
        <f t="shared" si="440"/>
        <v>190.55287865497075</v>
      </c>
      <c r="AG349" s="126">
        <f>+AF349/(1-Analisis!$E$9)</f>
        <v>238.19109831871344</v>
      </c>
      <c r="AH349" s="128">
        <f t="shared" si="442"/>
        <v>0</v>
      </c>
    </row>
    <row r="350" spans="1:34" s="73" customFormat="1" x14ac:dyDescent="0.25">
      <c r="A350" s="100"/>
      <c r="B350" t="s">
        <v>526</v>
      </c>
      <c r="C350" s="74">
        <f>IFERROR(VLOOKUP(B350,'REQ GALV'!A:B,2,0),0)</f>
        <v>0</v>
      </c>
      <c r="D350" s="116">
        <f t="shared" si="441"/>
        <v>183.04291849415202</v>
      </c>
      <c r="E350" s="103" t="s">
        <v>41</v>
      </c>
      <c r="F350" s="75" t="s">
        <v>147</v>
      </c>
      <c r="G350" s="90">
        <v>1</v>
      </c>
      <c r="H350" s="90">
        <v>18.32</v>
      </c>
      <c r="I350" s="76">
        <v>0.105</v>
      </c>
      <c r="J350" s="77">
        <v>28.24</v>
      </c>
      <c r="K350" s="78">
        <f t="shared" si="461"/>
        <v>1.0545388731507717</v>
      </c>
      <c r="L350" s="58">
        <f>+VLOOKUP(E350,Material!$H$2:$M$17,6,FALSE)*G350*H350*(1+Material!$K$14)</f>
        <v>13.536444444444447</v>
      </c>
      <c r="M350" s="79" t="str">
        <f>+Analisis!$J$5</f>
        <v>T5.0</v>
      </c>
      <c r="N350" s="80">
        <f>+VLOOKUP(M350,Material!$A$3:$B$58,2,FALSE)</f>
        <v>5000</v>
      </c>
      <c r="O350" s="79" t="s">
        <v>42</v>
      </c>
      <c r="P350" s="79" t="s">
        <v>43</v>
      </c>
      <c r="Q350" s="81">
        <f>+IF(O350="ACERO A36",VLOOKUP(P350,'Velocidades Std 1500 w'!$B$2:$F$15,5,FALSE),IF(O350="INOXIDABLE",VLOOKUP(P350,'Velocidades Std 1500 w'!$B$17:$F$28,5,FALSE),IF(O350="ALUMINIO",VLOOKUP(P350,'Velocidades Std 1500 w'!$B$30:$F$38,5,FALSE))))</f>
        <v>4.3859649122807014E-6</v>
      </c>
      <c r="R350" s="82">
        <f t="shared" si="462"/>
        <v>2.1929824561403508E-2</v>
      </c>
      <c r="S350" s="83">
        <f t="shared" si="463"/>
        <v>18.166481052631578</v>
      </c>
      <c r="T350" s="110">
        <f t="shared" si="464"/>
        <v>1150.5437999999999</v>
      </c>
      <c r="U350" s="80">
        <f t="shared" si="465"/>
        <v>25.231223684210523</v>
      </c>
      <c r="V350" s="98">
        <v>3</v>
      </c>
      <c r="W350" s="84">
        <f>+IF(O350="ACERO A36",VLOOKUP(P350,'Tiempo Objeto'!$B$2:$C$12,2,FALSE),IF(O350="INOXIDABLE",VLOOKUP(P350,'Tiempo Objeto'!$B$14:$C$22,2,FALSE),IF(O350="ALUMINIO",VLOOKUP(P350,'Tiempo Objeto'!$B$24:$C$32,2,FALSE))))</f>
        <v>1.84</v>
      </c>
      <c r="X350" s="84">
        <f t="shared" si="466"/>
        <v>5.5200000000000005</v>
      </c>
      <c r="Y350" s="80">
        <f t="shared" si="467"/>
        <v>7.6666666666666679</v>
      </c>
      <c r="Z350" s="100">
        <v>4</v>
      </c>
      <c r="AA350" s="85">
        <f t="shared" si="468"/>
        <v>120</v>
      </c>
      <c r="AB350" s="86">
        <f>+Z350*Analisis!$J$6</f>
        <v>100</v>
      </c>
      <c r="AC350" s="100">
        <v>0</v>
      </c>
      <c r="AD350" s="85">
        <f t="shared" si="469"/>
        <v>0</v>
      </c>
      <c r="AE350" s="86">
        <f>+AD350*Analisis!$J$7</f>
        <v>0</v>
      </c>
      <c r="AF350" s="86">
        <f t="shared" si="440"/>
        <v>146.43433479532163</v>
      </c>
      <c r="AG350" s="126">
        <f>+AF350/(1-Analisis!$E$9)</f>
        <v>183.04291849415202</v>
      </c>
      <c r="AH350" s="128">
        <f t="shared" si="442"/>
        <v>0</v>
      </c>
    </row>
    <row r="351" spans="1:34" s="73" customFormat="1" x14ac:dyDescent="0.25">
      <c r="A351" s="100"/>
      <c r="B351" t="s">
        <v>527</v>
      </c>
      <c r="C351" s="74">
        <f>IFERROR(VLOOKUP(B351,'REQ GALV'!A:B,2,0),0)</f>
        <v>0</v>
      </c>
      <c r="D351" s="116">
        <f t="shared" si="441"/>
        <v>194.62403625730994</v>
      </c>
      <c r="E351" s="103" t="s">
        <v>41</v>
      </c>
      <c r="F351" s="75" t="s">
        <v>147</v>
      </c>
      <c r="G351" s="90">
        <v>1.63</v>
      </c>
      <c r="H351" s="90">
        <v>18.32</v>
      </c>
      <c r="I351" s="76">
        <v>0.105</v>
      </c>
      <c r="J351" s="77">
        <v>28.24</v>
      </c>
      <c r="K351" s="78">
        <f t="shared" si="461"/>
        <v>1.7188983632357575</v>
      </c>
      <c r="L351" s="58">
        <f>+VLOOKUP(E351,Material!$H$2:$M$17,6,FALSE)*G351*H351*(1+Material!$K$14)</f>
        <v>22.064404444444449</v>
      </c>
      <c r="M351" s="79" t="str">
        <f>+Analisis!$J$5</f>
        <v>T5.0</v>
      </c>
      <c r="N351" s="80">
        <f>+VLOOKUP(M351,Material!$A$3:$B$58,2,FALSE)</f>
        <v>5000</v>
      </c>
      <c r="O351" s="79" t="s">
        <v>42</v>
      </c>
      <c r="P351" s="79" t="s">
        <v>43</v>
      </c>
      <c r="Q351" s="81">
        <f>+IF(O351="ACERO A36",VLOOKUP(P351,'Velocidades Std 1500 w'!$B$2:$F$15,5,FALSE),IF(O351="INOXIDABLE",VLOOKUP(P351,'Velocidades Std 1500 w'!$B$17:$F$28,5,FALSE),IF(O351="ALUMINIO",VLOOKUP(P351,'Velocidades Std 1500 w'!$B$30:$F$38,5,FALSE))))</f>
        <v>4.3859649122807014E-6</v>
      </c>
      <c r="R351" s="82">
        <f t="shared" si="462"/>
        <v>2.1929824561403508E-2</v>
      </c>
      <c r="S351" s="83">
        <f t="shared" si="463"/>
        <v>18.69707368421053</v>
      </c>
      <c r="T351" s="110">
        <f t="shared" si="464"/>
        <v>1184.1480000000001</v>
      </c>
      <c r="U351" s="80">
        <f t="shared" si="465"/>
        <v>25.968157894736844</v>
      </c>
      <c r="V351" s="98">
        <v>3</v>
      </c>
      <c r="W351" s="84">
        <f>+IF(O351="ACERO A36",VLOOKUP(P351,'Tiempo Objeto'!$B$2:$C$12,2,FALSE),IF(O351="INOXIDABLE",VLOOKUP(P351,'Tiempo Objeto'!$B$14:$C$22,2,FALSE),IF(O351="ALUMINIO",VLOOKUP(P351,'Tiempo Objeto'!$B$24:$C$32,2,FALSE))))</f>
        <v>1.84</v>
      </c>
      <c r="X351" s="84">
        <f t="shared" si="466"/>
        <v>5.5200000000000005</v>
      </c>
      <c r="Y351" s="80">
        <f t="shared" si="467"/>
        <v>7.6666666666666679</v>
      </c>
      <c r="Z351" s="100">
        <v>4</v>
      </c>
      <c r="AA351" s="85">
        <f t="shared" si="468"/>
        <v>120</v>
      </c>
      <c r="AB351" s="86">
        <f>+Z351*Analisis!$J$6</f>
        <v>100</v>
      </c>
      <c r="AC351" s="100">
        <v>0</v>
      </c>
      <c r="AD351" s="85">
        <f t="shared" si="469"/>
        <v>0</v>
      </c>
      <c r="AE351" s="86">
        <f>+AD351*Analisis!$J$7</f>
        <v>0</v>
      </c>
      <c r="AF351" s="86">
        <f t="shared" si="440"/>
        <v>155.69922900584797</v>
      </c>
      <c r="AG351" s="126">
        <f>+AF351/(1-Analisis!$E$9)</f>
        <v>194.62403625730994</v>
      </c>
      <c r="AH351" s="128">
        <f t="shared" si="442"/>
        <v>0</v>
      </c>
    </row>
    <row r="352" spans="1:34" s="73" customFormat="1" x14ac:dyDescent="0.25">
      <c r="A352" s="100"/>
      <c r="B352" t="s">
        <v>528</v>
      </c>
      <c r="C352" s="74">
        <f>IFERROR(VLOOKUP(B352,'REQ GALV'!A:B,2,0),0)</f>
        <v>0</v>
      </c>
      <c r="D352" s="116">
        <f t="shared" si="441"/>
        <v>219.80837171052633</v>
      </c>
      <c r="E352" s="103" t="s">
        <v>41</v>
      </c>
      <c r="F352" s="75" t="s">
        <v>147</v>
      </c>
      <c r="G352" s="90">
        <v>3</v>
      </c>
      <c r="H352" s="90">
        <v>18.32</v>
      </c>
      <c r="I352" s="76">
        <v>0.105</v>
      </c>
      <c r="J352" s="77">
        <v>28.24</v>
      </c>
      <c r="K352" s="78">
        <f t="shared" si="461"/>
        <v>3.1636166194523145</v>
      </c>
      <c r="L352" s="58">
        <f>+VLOOKUP(E352,Material!$H$2:$M$17,6,FALSE)*G352*H352*(1+Material!$K$14)</f>
        <v>40.609333333333339</v>
      </c>
      <c r="M352" s="79" t="str">
        <f>+Analisis!$J$5</f>
        <v>T5.0</v>
      </c>
      <c r="N352" s="80">
        <f>+VLOOKUP(M352,Material!$A$3:$B$58,2,FALSE)</f>
        <v>5000</v>
      </c>
      <c r="O352" s="79" t="s">
        <v>42</v>
      </c>
      <c r="P352" s="79" t="s">
        <v>43</v>
      </c>
      <c r="Q352" s="81">
        <f>+IF(O352="ACERO A36",VLOOKUP(P352,'Velocidades Std 1500 w'!$B$2:$F$15,5,FALSE),IF(O352="INOXIDABLE",VLOOKUP(P352,'Velocidades Std 1500 w'!$B$17:$F$28,5,FALSE),IF(O352="ALUMINIO",VLOOKUP(P352,'Velocidades Std 1500 w'!$B$30:$F$38,5,FALSE))))</f>
        <v>4.3859649122807014E-6</v>
      </c>
      <c r="R352" s="82">
        <f t="shared" si="462"/>
        <v>2.1929824561403508E-2</v>
      </c>
      <c r="S352" s="83">
        <f t="shared" si="463"/>
        <v>19.850902105263156</v>
      </c>
      <c r="T352" s="110">
        <f t="shared" si="464"/>
        <v>1257.2238</v>
      </c>
      <c r="U352" s="80">
        <f t="shared" si="465"/>
        <v>27.570697368421051</v>
      </c>
      <c r="V352" s="98">
        <v>3</v>
      </c>
      <c r="W352" s="84">
        <f>+IF(O352="ACERO A36",VLOOKUP(P352,'Tiempo Objeto'!$B$2:$C$12,2,FALSE),IF(O352="INOXIDABLE",VLOOKUP(P352,'Tiempo Objeto'!$B$14:$C$22,2,FALSE),IF(O352="ALUMINIO",VLOOKUP(P352,'Tiempo Objeto'!$B$24:$C$32,2,FALSE))))</f>
        <v>1.84</v>
      </c>
      <c r="X352" s="84">
        <f t="shared" si="466"/>
        <v>5.5200000000000005</v>
      </c>
      <c r="Y352" s="80">
        <f t="shared" si="467"/>
        <v>7.6666666666666679</v>
      </c>
      <c r="Z352" s="100">
        <v>4</v>
      </c>
      <c r="AA352" s="85">
        <f t="shared" si="468"/>
        <v>120</v>
      </c>
      <c r="AB352" s="86">
        <f>+Z352*Analisis!$J$6</f>
        <v>100</v>
      </c>
      <c r="AC352" s="100">
        <v>0</v>
      </c>
      <c r="AD352" s="85">
        <f t="shared" si="469"/>
        <v>0</v>
      </c>
      <c r="AE352" s="86">
        <f>+AD352*Analisis!$J$7</f>
        <v>0</v>
      </c>
      <c r="AF352" s="86">
        <f t="shared" si="440"/>
        <v>175.84669736842108</v>
      </c>
      <c r="AG352" s="126">
        <f>+AF352/(1-Analisis!$E$9)</f>
        <v>219.80837171052633</v>
      </c>
      <c r="AH352" s="128">
        <f t="shared" si="442"/>
        <v>0</v>
      </c>
    </row>
    <row r="353" spans="1:34" s="73" customFormat="1" x14ac:dyDescent="0.25">
      <c r="A353" s="100"/>
      <c r="B353" t="s">
        <v>529</v>
      </c>
      <c r="C353" s="74">
        <f>IFERROR(VLOOKUP(B353,'REQ GALV'!A:B,2,0),0)</f>
        <v>0</v>
      </c>
      <c r="D353" s="116">
        <f t="shared" si="441"/>
        <v>201.42564510233916</v>
      </c>
      <c r="E353" s="103" t="s">
        <v>41</v>
      </c>
      <c r="F353" s="75" t="s">
        <v>147</v>
      </c>
      <c r="G353" s="90">
        <v>2</v>
      </c>
      <c r="H353" s="90">
        <v>18.32</v>
      </c>
      <c r="I353" s="76">
        <v>0.105</v>
      </c>
      <c r="J353" s="77">
        <v>28.24</v>
      </c>
      <c r="K353" s="78">
        <f t="shared" si="461"/>
        <v>2.1090777463015433</v>
      </c>
      <c r="L353" s="58">
        <f>+VLOOKUP(E353,Material!$H$2:$M$17,6,FALSE)*G353*H353*(1+Material!$K$14)</f>
        <v>27.072888888888894</v>
      </c>
      <c r="M353" s="79" t="str">
        <f>+Analisis!$J$5</f>
        <v>T5.0</v>
      </c>
      <c r="N353" s="80">
        <f>+VLOOKUP(M353,Material!$A$3:$B$58,2,FALSE)</f>
        <v>5000</v>
      </c>
      <c r="O353" s="79" t="s">
        <v>42</v>
      </c>
      <c r="P353" s="79" t="s">
        <v>43</v>
      </c>
      <c r="Q353" s="81">
        <f>+IF(O353="ACERO A36",VLOOKUP(P353,'Velocidades Std 1500 w'!$B$2:$F$15,5,FALSE),IF(O353="INOXIDABLE",VLOOKUP(P353,'Velocidades Std 1500 w'!$B$17:$F$28,5,FALSE),IF(O353="ALUMINIO",VLOOKUP(P353,'Velocidades Std 1500 w'!$B$30:$F$38,5,FALSE))))</f>
        <v>4.3859649122807014E-6</v>
      </c>
      <c r="R353" s="82">
        <f t="shared" si="462"/>
        <v>2.1929824561403508E-2</v>
      </c>
      <c r="S353" s="83">
        <f t="shared" si="463"/>
        <v>19.008691578947367</v>
      </c>
      <c r="T353" s="110">
        <f t="shared" si="464"/>
        <v>1203.8838000000001</v>
      </c>
      <c r="U353" s="80">
        <f t="shared" si="465"/>
        <v>26.400960526315789</v>
      </c>
      <c r="V353" s="98">
        <v>3</v>
      </c>
      <c r="W353" s="84">
        <f>+IF(O353="ACERO A36",VLOOKUP(P353,'Tiempo Objeto'!$B$2:$C$12,2,FALSE),IF(O353="INOXIDABLE",VLOOKUP(P353,'Tiempo Objeto'!$B$14:$C$22,2,FALSE),IF(O353="ALUMINIO",VLOOKUP(P353,'Tiempo Objeto'!$B$24:$C$32,2,FALSE))))</f>
        <v>1.84</v>
      </c>
      <c r="X353" s="84">
        <f t="shared" si="466"/>
        <v>5.5200000000000005</v>
      </c>
      <c r="Y353" s="80">
        <f t="shared" si="467"/>
        <v>7.6666666666666679</v>
      </c>
      <c r="Z353" s="100">
        <v>4</v>
      </c>
      <c r="AA353" s="85">
        <f t="shared" si="468"/>
        <v>120</v>
      </c>
      <c r="AB353" s="86">
        <f>+Z353*Analisis!$J$6</f>
        <v>100</v>
      </c>
      <c r="AC353" s="100">
        <v>0</v>
      </c>
      <c r="AD353" s="85">
        <f t="shared" si="469"/>
        <v>0</v>
      </c>
      <c r="AE353" s="86">
        <f>+AD353*Analisis!$J$7</f>
        <v>0</v>
      </c>
      <c r="AF353" s="86">
        <f t="shared" si="440"/>
        <v>161.14051608187134</v>
      </c>
      <c r="AG353" s="126">
        <f>+AF353/(1-Analisis!$E$9)</f>
        <v>201.42564510233916</v>
      </c>
      <c r="AH353" s="128">
        <f t="shared" si="442"/>
        <v>0</v>
      </c>
    </row>
    <row r="354" spans="1:34" s="73" customFormat="1" x14ac:dyDescent="0.25">
      <c r="A354" s="100"/>
      <c r="B354" t="s">
        <v>530</v>
      </c>
      <c r="C354" s="74">
        <f>IFERROR(VLOOKUP(B354,'REQ GALV'!A:B,2,0),0)</f>
        <v>0</v>
      </c>
      <c r="D354" s="116">
        <f t="shared" si="441"/>
        <v>201.42564510233916</v>
      </c>
      <c r="E354" s="103" t="s">
        <v>41</v>
      </c>
      <c r="F354" s="75" t="s">
        <v>147</v>
      </c>
      <c r="G354" s="90">
        <v>2</v>
      </c>
      <c r="H354" s="90">
        <v>18.32</v>
      </c>
      <c r="I354" s="76">
        <v>0.105</v>
      </c>
      <c r="J354" s="77">
        <v>28.24</v>
      </c>
      <c r="K354" s="78">
        <f t="shared" ref="K354" si="470">+L354*2.2/J354</f>
        <v>2.1090777463015433</v>
      </c>
      <c r="L354" s="58">
        <f>+VLOOKUP(E354,Material!$H$2:$M$17,6,FALSE)*G354*H354*(1+Material!$K$14)</f>
        <v>27.072888888888894</v>
      </c>
      <c r="M354" s="79" t="str">
        <f>+Analisis!$J$5</f>
        <v>T5.0</v>
      </c>
      <c r="N354" s="80">
        <f>+VLOOKUP(M354,Material!$A$3:$B$58,2,FALSE)</f>
        <v>5000</v>
      </c>
      <c r="O354" s="79" t="s">
        <v>42</v>
      </c>
      <c r="P354" s="79" t="s">
        <v>43</v>
      </c>
      <c r="Q354" s="81">
        <f>+IF(O354="ACERO A36",VLOOKUP(P354,'Velocidades Std 1500 w'!$B$2:$F$15,5,FALSE),IF(O354="INOXIDABLE",VLOOKUP(P354,'Velocidades Std 1500 w'!$B$17:$F$28,5,FALSE),IF(O354="ALUMINIO",VLOOKUP(P354,'Velocidades Std 1500 w'!$B$30:$F$38,5,FALSE))))</f>
        <v>4.3859649122807014E-6</v>
      </c>
      <c r="R354" s="82">
        <f t="shared" ref="R354" si="471">+Q354*N354</f>
        <v>2.1929824561403508E-2</v>
      </c>
      <c r="S354" s="83">
        <f t="shared" ref="S354" si="472">+Q354*T354*3600</f>
        <v>19.008691578947367</v>
      </c>
      <c r="T354" s="110">
        <f t="shared" ref="T354" si="473">(+H354*2+G354*2+V354*1.5)*25.4*1.05</f>
        <v>1203.8838000000001</v>
      </c>
      <c r="U354" s="80">
        <f t="shared" ref="U354" si="474">+T354*R354</f>
        <v>26.400960526315789</v>
      </c>
      <c r="V354" s="98">
        <v>3</v>
      </c>
      <c r="W354" s="84">
        <f>+IF(O354="ACERO A36",VLOOKUP(P354,'Tiempo Objeto'!$B$2:$C$12,2,FALSE),IF(O354="INOXIDABLE",VLOOKUP(P354,'Tiempo Objeto'!$B$14:$C$22,2,FALSE),IF(O354="ALUMINIO",VLOOKUP(P354,'Tiempo Objeto'!$B$24:$C$32,2,FALSE))))</f>
        <v>1.84</v>
      </c>
      <c r="X354" s="84">
        <f t="shared" ref="X354" si="475">+W354*V354</f>
        <v>5.5200000000000005</v>
      </c>
      <c r="Y354" s="80">
        <f t="shared" ref="Y354" si="476">+X354*N354/3600</f>
        <v>7.6666666666666679</v>
      </c>
      <c r="Z354" s="100">
        <v>4</v>
      </c>
      <c r="AA354" s="85">
        <f t="shared" ref="AA354" si="477">30*Z354+Z354*$C354*1.5</f>
        <v>120</v>
      </c>
      <c r="AB354" s="86">
        <f>+Z354*Analisis!$J$6</f>
        <v>100</v>
      </c>
      <c r="AC354" s="100">
        <v>0</v>
      </c>
      <c r="AD354" s="85">
        <f t="shared" ref="AD354" si="478">30*AC354+AC354*$C354*1.5</f>
        <v>0</v>
      </c>
      <c r="AE354" s="86">
        <f>+AD354*Analisis!$J$7</f>
        <v>0</v>
      </c>
      <c r="AF354" s="86">
        <f t="shared" si="440"/>
        <v>161.14051608187134</v>
      </c>
      <c r="AG354" s="126">
        <f>+AF354/(1-Analisis!$E$9)</f>
        <v>201.42564510233916</v>
      </c>
      <c r="AH354" s="128">
        <f t="shared" si="442"/>
        <v>0</v>
      </c>
    </row>
    <row r="355" spans="1:34" s="73" customFormat="1" x14ac:dyDescent="0.25">
      <c r="A355" s="100"/>
      <c r="B355" t="s">
        <v>484</v>
      </c>
      <c r="C355" s="74">
        <f>IFERROR(VLOOKUP(B355,'REQ GALV'!A:B,2,0),0)</f>
        <v>0</v>
      </c>
      <c r="D355" s="116">
        <f t="shared" si="441"/>
        <v>476.60257314418868</v>
      </c>
      <c r="E355" s="103" t="s">
        <v>172</v>
      </c>
      <c r="F355" s="75" t="s">
        <v>147</v>
      </c>
      <c r="G355" s="90">
        <v>3.8570000000000002</v>
      </c>
      <c r="H355" s="90">
        <v>41.588000000000001</v>
      </c>
      <c r="I355" s="76">
        <v>0.105</v>
      </c>
      <c r="J355" s="77">
        <v>28.24</v>
      </c>
      <c r="K355" s="78">
        <f t="shared" si="422"/>
        <v>17.312351872934379</v>
      </c>
      <c r="L355" s="58">
        <f>+VLOOKUP(E355,Material!$H$2:$M$17,6,FALSE)*G355*H355*(1+Material!$K$14)</f>
        <v>222.22764404166674</v>
      </c>
      <c r="M355" s="79" t="str">
        <f>+Analisis!$J$5</f>
        <v>T5.0</v>
      </c>
      <c r="N355" s="80">
        <f>+VLOOKUP(M355,Material!$A$3:$B$58,2,FALSE)</f>
        <v>5000</v>
      </c>
      <c r="O355" s="79" t="s">
        <v>42</v>
      </c>
      <c r="P355" s="79" t="s">
        <v>43</v>
      </c>
      <c r="Q355" s="81">
        <f>+IF(O355="ACERO A36",VLOOKUP(P355,'Velocidades Std 1500 w'!$B$2:$F$15,5,FALSE),IF(O355="INOXIDABLE",VLOOKUP(P355,'Velocidades Std 1500 w'!$B$17:$F$28,5,FALSE),IF(O355="ALUMINIO",VLOOKUP(P355,'Velocidades Std 1500 w'!$B$30:$F$38,5,FALSE))))</f>
        <v>4.3859649122807014E-6</v>
      </c>
      <c r="R355" s="82">
        <f t="shared" si="423"/>
        <v>2.1929824561403508E-2</v>
      </c>
      <c r="S355" s="83">
        <f t="shared" si="424"/>
        <v>43.959178421052627</v>
      </c>
      <c r="T355" s="110">
        <f t="shared" si="425"/>
        <v>2784.0812999999998</v>
      </c>
      <c r="U355" s="80">
        <f t="shared" si="426"/>
        <v>61.054414473684204</v>
      </c>
      <c r="V355" s="98">
        <v>9</v>
      </c>
      <c r="W355" s="84">
        <f>+IF(O355="ACERO A36",VLOOKUP(P355,'Tiempo Objeto'!$B$2:$C$12,2,FALSE),IF(O355="INOXIDABLE",VLOOKUP(P355,'Tiempo Objeto'!$B$14:$C$22,2,FALSE),IF(O355="ALUMINIO",VLOOKUP(P355,'Tiempo Objeto'!$B$24:$C$32,2,FALSE))))</f>
        <v>1.84</v>
      </c>
      <c r="X355" s="84">
        <f t="shared" si="427"/>
        <v>16.560000000000002</v>
      </c>
      <c r="Y355" s="80">
        <f t="shared" si="428"/>
        <v>23.000000000000004</v>
      </c>
      <c r="Z355" s="100">
        <v>3</v>
      </c>
      <c r="AA355" s="85">
        <f t="shared" si="429"/>
        <v>90</v>
      </c>
      <c r="AB355" s="86">
        <f>+Z355*Analisis!$J$6</f>
        <v>75</v>
      </c>
      <c r="AC355" s="100">
        <v>0</v>
      </c>
      <c r="AD355" s="85">
        <f t="shared" si="430"/>
        <v>0</v>
      </c>
      <c r="AE355" s="86">
        <f>+AD355*Analisis!$J$7</f>
        <v>0</v>
      </c>
      <c r="AF355" s="86">
        <f t="shared" si="440"/>
        <v>381.28205851535097</v>
      </c>
      <c r="AG355" s="126">
        <f>+AF355/(1-Analisis!$E$9)</f>
        <v>476.60257314418868</v>
      </c>
      <c r="AH355" s="128">
        <f t="shared" si="442"/>
        <v>0</v>
      </c>
    </row>
    <row r="356" spans="1:34" s="73" customFormat="1" x14ac:dyDescent="0.25">
      <c r="A356" s="100"/>
      <c r="B356" t="s">
        <v>485</v>
      </c>
      <c r="C356" s="74">
        <f>IFERROR(VLOOKUP(B356,'REQ GALV'!A:B,2,0),0)</f>
        <v>0</v>
      </c>
      <c r="D356" s="116">
        <f t="shared" si="441"/>
        <v>537.00825539930565</v>
      </c>
      <c r="E356" s="103" t="s">
        <v>172</v>
      </c>
      <c r="F356" s="75" t="s">
        <v>147</v>
      </c>
      <c r="G356" s="90">
        <v>3.3380000000000001</v>
      </c>
      <c r="H356" s="90">
        <v>44.362000000000002</v>
      </c>
      <c r="I356" s="76">
        <v>0.105</v>
      </c>
      <c r="J356" s="77">
        <v>28.24</v>
      </c>
      <c r="K356" s="78">
        <f t="shared" si="422"/>
        <v>15.982173691867333</v>
      </c>
      <c r="L356" s="58">
        <f>+VLOOKUP(E356,Material!$H$2:$M$17,6,FALSE)*G356*H356*(1+Material!$K$14)</f>
        <v>205.15299320833338</v>
      </c>
      <c r="M356" s="79" t="str">
        <f>+Analisis!$J$5</f>
        <v>T5.0</v>
      </c>
      <c r="N356" s="80">
        <f>+VLOOKUP(M356,Material!$A$3:$B$58,2,FALSE)</f>
        <v>5000</v>
      </c>
      <c r="O356" s="79" t="s">
        <v>42</v>
      </c>
      <c r="P356" s="79" t="s">
        <v>43</v>
      </c>
      <c r="Q356" s="81">
        <f>+IF(O356="ACERO A36",VLOOKUP(P356,'Velocidades Std 1500 w'!$B$2:$F$15,5,FALSE),IF(O356="INOXIDABLE",VLOOKUP(P356,'Velocidades Std 1500 w'!$B$17:$F$28,5,FALSE),IF(O356="ALUMINIO",VLOOKUP(P356,'Velocidades Std 1500 w'!$B$30:$F$38,5,FALSE))))</f>
        <v>4.3859649122807014E-6</v>
      </c>
      <c r="R356" s="82">
        <f t="shared" si="423"/>
        <v>2.1929824561403508E-2</v>
      </c>
      <c r="S356" s="83">
        <f t="shared" si="424"/>
        <v>52.806599999999996</v>
      </c>
      <c r="T356" s="110">
        <f t="shared" si="425"/>
        <v>3344.4180000000001</v>
      </c>
      <c r="U356" s="80">
        <f t="shared" si="426"/>
        <v>73.342500000000001</v>
      </c>
      <c r="V356" s="98">
        <v>20</v>
      </c>
      <c r="W356" s="84">
        <f>+IF(O356="ACERO A36",VLOOKUP(P356,'Tiempo Objeto'!$B$2:$C$12,2,FALSE),IF(O356="INOXIDABLE",VLOOKUP(P356,'Tiempo Objeto'!$B$14:$C$22,2,FALSE),IF(O356="ALUMINIO",VLOOKUP(P356,'Tiempo Objeto'!$B$24:$C$32,2,FALSE))))</f>
        <v>1.84</v>
      </c>
      <c r="X356" s="84">
        <f t="shared" si="427"/>
        <v>36.800000000000004</v>
      </c>
      <c r="Y356" s="80">
        <f t="shared" si="428"/>
        <v>51.111111111111121</v>
      </c>
      <c r="Z356" s="100">
        <v>4</v>
      </c>
      <c r="AA356" s="85">
        <f t="shared" si="429"/>
        <v>120</v>
      </c>
      <c r="AB356" s="86">
        <f>+Z356*Analisis!$J$6</f>
        <v>100</v>
      </c>
      <c r="AC356" s="100">
        <v>0</v>
      </c>
      <c r="AD356" s="85">
        <f t="shared" si="430"/>
        <v>0</v>
      </c>
      <c r="AE356" s="86">
        <f>+AD356*Analisis!$J$7</f>
        <v>0</v>
      </c>
      <c r="AF356" s="86">
        <f t="shared" si="440"/>
        <v>429.60660431944456</v>
      </c>
      <c r="AG356" s="126">
        <f>+AF356/(1-Analisis!$E$9)</f>
        <v>537.00825539930565</v>
      </c>
      <c r="AH356" s="128">
        <f t="shared" si="442"/>
        <v>0</v>
      </c>
    </row>
    <row r="357" spans="1:34" s="73" customFormat="1" x14ac:dyDescent="0.25">
      <c r="A357" s="100"/>
      <c r="B357" t="s">
        <v>486</v>
      </c>
      <c r="C357" s="74">
        <f>IFERROR(VLOOKUP(B357,'REQ GALV'!A:B,2,0),0)</f>
        <v>0</v>
      </c>
      <c r="D357" s="116">
        <f t="shared" si="441"/>
        <v>364.33901239181296</v>
      </c>
      <c r="E357" s="103" t="s">
        <v>41</v>
      </c>
      <c r="F357" s="75" t="s">
        <v>147</v>
      </c>
      <c r="G357" s="90">
        <v>3.5880000000000001</v>
      </c>
      <c r="H357" s="90">
        <v>40.029000000000003</v>
      </c>
      <c r="I357" s="76">
        <v>0.105</v>
      </c>
      <c r="J357" s="77">
        <v>28.24</v>
      </c>
      <c r="K357" s="78">
        <f t="shared" si="422"/>
        <v>8.2673114603399469</v>
      </c>
      <c r="L357" s="58">
        <f>+VLOOKUP(E357,Material!$H$2:$M$17,6,FALSE)*G357*H357*(1+Material!$K$14)</f>
        <v>106.12221620000003</v>
      </c>
      <c r="M357" s="79" t="str">
        <f>+Analisis!$J$5</f>
        <v>T5.0</v>
      </c>
      <c r="N357" s="80">
        <f>+VLOOKUP(M357,Material!$A$3:$B$58,2,FALSE)</f>
        <v>5000</v>
      </c>
      <c r="O357" s="79" t="s">
        <v>42</v>
      </c>
      <c r="P357" s="79" t="s">
        <v>43</v>
      </c>
      <c r="Q357" s="81">
        <f>+IF(O357="ACERO A36",VLOOKUP(P357,'Velocidades Std 1500 w'!$B$2:$F$15,5,FALSE),IF(O357="INOXIDABLE",VLOOKUP(P357,'Velocidades Std 1500 w'!$B$17:$F$28,5,FALSE),IF(O357="ALUMINIO",VLOOKUP(P357,'Velocidades Std 1500 w'!$B$30:$F$38,5,FALSE))))</f>
        <v>4.3859649122807014E-6</v>
      </c>
      <c r="R357" s="82">
        <f t="shared" si="423"/>
        <v>2.1929824561403508E-2</v>
      </c>
      <c r="S357" s="83">
        <f t="shared" si="424"/>
        <v>43.051275473684214</v>
      </c>
      <c r="T357" s="110">
        <f t="shared" si="425"/>
        <v>2726.5807800000002</v>
      </c>
      <c r="U357" s="80">
        <f t="shared" si="426"/>
        <v>59.793438157894741</v>
      </c>
      <c r="V357" s="98">
        <v>10</v>
      </c>
      <c r="W357" s="84">
        <f>+IF(O357="ACERO A36",VLOOKUP(P357,'Tiempo Objeto'!$B$2:$C$12,2,FALSE),IF(O357="INOXIDABLE",VLOOKUP(P357,'Tiempo Objeto'!$B$14:$C$22,2,FALSE),IF(O357="ALUMINIO",VLOOKUP(P357,'Tiempo Objeto'!$B$24:$C$32,2,FALSE))))</f>
        <v>1.84</v>
      </c>
      <c r="X357" s="84">
        <f t="shared" si="427"/>
        <v>18.400000000000002</v>
      </c>
      <c r="Y357" s="80">
        <f t="shared" si="428"/>
        <v>25.555555555555561</v>
      </c>
      <c r="Z357" s="100">
        <v>4</v>
      </c>
      <c r="AA357" s="85">
        <f t="shared" si="429"/>
        <v>120</v>
      </c>
      <c r="AB357" s="86">
        <f>+Z357*Analisis!$J$6</f>
        <v>100</v>
      </c>
      <c r="AC357" s="100">
        <v>0</v>
      </c>
      <c r="AD357" s="85">
        <f t="shared" si="430"/>
        <v>0</v>
      </c>
      <c r="AE357" s="86">
        <f>+AD357*Analisis!$J$7</f>
        <v>0</v>
      </c>
      <c r="AF357" s="86">
        <f t="shared" si="440"/>
        <v>291.47120991345037</v>
      </c>
      <c r="AG357" s="126">
        <f>+AF357/(1-Analisis!$E$9)</f>
        <v>364.33901239181296</v>
      </c>
      <c r="AH357" s="128">
        <f t="shared" si="442"/>
        <v>0</v>
      </c>
    </row>
    <row r="358" spans="1:34" s="73" customFormat="1" x14ac:dyDescent="0.25">
      <c r="A358" s="100"/>
      <c r="B358" t="s">
        <v>487</v>
      </c>
      <c r="C358" s="74">
        <f>IFERROR(VLOOKUP(B358,'REQ GALV'!A:B,2,0),0)</f>
        <v>0</v>
      </c>
      <c r="D358" s="116">
        <f t="shared" si="441"/>
        <v>465.32013732456141</v>
      </c>
      <c r="E358" s="103" t="s">
        <v>41</v>
      </c>
      <c r="F358" s="75" t="s">
        <v>147</v>
      </c>
      <c r="G358" s="90">
        <v>41.72</v>
      </c>
      <c r="H358" s="90">
        <v>4.8380000000000001</v>
      </c>
      <c r="I358" s="76">
        <v>0.105</v>
      </c>
      <c r="J358" s="77">
        <v>28.24</v>
      </c>
      <c r="K358" s="78">
        <f t="shared" si="422"/>
        <v>11.618425782184453</v>
      </c>
      <c r="L358" s="58">
        <f>+VLOOKUP(E358,Material!$H$2:$M$17,6,FALSE)*G358*H358*(1+Material!$K$14)</f>
        <v>149.13833822222222</v>
      </c>
      <c r="M358" s="79" t="str">
        <f>+Analisis!$J$5</f>
        <v>T5.0</v>
      </c>
      <c r="N358" s="80">
        <f>+VLOOKUP(M358,Material!$A$3:$B$58,2,FALSE)</f>
        <v>5000</v>
      </c>
      <c r="O358" s="79" t="s">
        <v>42</v>
      </c>
      <c r="P358" s="79" t="s">
        <v>43</v>
      </c>
      <c r="Q358" s="81">
        <f>+IF(O358="ACERO A36",VLOOKUP(P358,'Velocidades Std 1500 w'!$B$2:$F$15,5,FALSE),IF(O358="INOXIDABLE",VLOOKUP(P358,'Velocidades Std 1500 w'!$B$17:$F$28,5,FALSE),IF(O358="ALUMINIO",VLOOKUP(P358,'Velocidades Std 1500 w'!$B$30:$F$38,5,FALSE))))</f>
        <v>4.3859649122807014E-6</v>
      </c>
      <c r="R358" s="82">
        <f t="shared" si="423"/>
        <v>2.1929824561403508E-2</v>
      </c>
      <c r="S358" s="83">
        <f t="shared" si="424"/>
        <v>51.844795578947355</v>
      </c>
      <c r="T358" s="110">
        <f t="shared" si="425"/>
        <v>3283.5037199999997</v>
      </c>
      <c r="U358" s="80">
        <f t="shared" si="426"/>
        <v>72.006660526315784</v>
      </c>
      <c r="V358" s="98">
        <v>20</v>
      </c>
      <c r="W358" s="84">
        <f>+IF(O358="ACERO A36",VLOOKUP(P358,'Tiempo Objeto'!$B$2:$C$12,2,FALSE),IF(O358="INOXIDABLE",VLOOKUP(P358,'Tiempo Objeto'!$B$14:$C$22,2,FALSE),IF(O358="ALUMINIO",VLOOKUP(P358,'Tiempo Objeto'!$B$24:$C$32,2,FALSE))))</f>
        <v>1.84</v>
      </c>
      <c r="X358" s="84">
        <f t="shared" si="427"/>
        <v>36.800000000000004</v>
      </c>
      <c r="Y358" s="80">
        <f t="shared" si="428"/>
        <v>51.111111111111121</v>
      </c>
      <c r="Z358" s="100">
        <v>4</v>
      </c>
      <c r="AA358" s="85">
        <f t="shared" si="429"/>
        <v>120</v>
      </c>
      <c r="AB358" s="86">
        <f>+Z358*Analisis!$J$6</f>
        <v>100</v>
      </c>
      <c r="AC358" s="100">
        <v>0</v>
      </c>
      <c r="AD358" s="85">
        <f t="shared" si="430"/>
        <v>0</v>
      </c>
      <c r="AE358" s="86">
        <f>+AD358*Analisis!$J$7</f>
        <v>0</v>
      </c>
      <c r="AF358" s="86">
        <f t="shared" si="440"/>
        <v>372.25610985964914</v>
      </c>
      <c r="AG358" s="126">
        <f>+AF358/(1-Analisis!$E$9)</f>
        <v>465.32013732456141</v>
      </c>
      <c r="AH358" s="128">
        <f t="shared" si="442"/>
        <v>0</v>
      </c>
    </row>
    <row r="359" spans="1:34" s="73" customFormat="1" x14ac:dyDescent="0.25">
      <c r="A359" s="100"/>
      <c r="B359" s="119" t="s">
        <v>141</v>
      </c>
      <c r="C359" s="74">
        <f>IFERROR(VLOOKUP(B359,'REQ GALV'!A:B,2,0),0)</f>
        <v>0</v>
      </c>
      <c r="D359" s="116">
        <f t="shared" si="441"/>
        <v>344.56672551169589</v>
      </c>
      <c r="E359" s="103" t="s">
        <v>41</v>
      </c>
      <c r="F359" s="75" t="s">
        <v>147</v>
      </c>
      <c r="G359" s="90">
        <v>4.2</v>
      </c>
      <c r="H359" s="90">
        <v>11.49</v>
      </c>
      <c r="I359" s="76">
        <v>0.105</v>
      </c>
      <c r="J359" s="77">
        <v>28.24</v>
      </c>
      <c r="K359" s="78">
        <f t="shared" si="422"/>
        <v>2.7778349858356948</v>
      </c>
      <c r="L359" s="58">
        <f>+VLOOKUP(E359,Material!$H$2:$M$17,6,FALSE)*G359*H359*(1+Material!$K$14)</f>
        <v>35.657300000000006</v>
      </c>
      <c r="M359" s="79" t="str">
        <f>+Analisis!$J$5</f>
        <v>T5.0</v>
      </c>
      <c r="N359" s="80">
        <f>+VLOOKUP(M359,Material!$A$3:$B$58,2,FALSE)</f>
        <v>5000</v>
      </c>
      <c r="O359" s="79" t="s">
        <v>42</v>
      </c>
      <c r="P359" s="79" t="s">
        <v>43</v>
      </c>
      <c r="Q359" s="81">
        <f>+IF(O359="ACERO A36",VLOOKUP(P359,'Velocidades Std 1500 w'!$B$2:$F$15,5,FALSE),IF(O359="INOXIDABLE",VLOOKUP(P359,'Velocidades Std 1500 w'!$B$17:$F$28,5,FALSE),IF(O359="ALUMINIO",VLOOKUP(P359,'Velocidades Std 1500 w'!$B$30:$F$38,5,FALSE))))</f>
        <v>4.3859649122807014E-6</v>
      </c>
      <c r="R359" s="82">
        <f t="shared" si="423"/>
        <v>2.1929824561403508E-2</v>
      </c>
      <c r="S359" s="83">
        <f t="shared" si="424"/>
        <v>44.797177894736841</v>
      </c>
      <c r="T359" s="110">
        <f t="shared" si="425"/>
        <v>2837.1545999999998</v>
      </c>
      <c r="U359" s="80">
        <f t="shared" si="426"/>
        <v>62.218302631578943</v>
      </c>
      <c r="V359" s="98">
        <v>50</v>
      </c>
      <c r="W359" s="84">
        <f>+IF(O359="ACERO A36",VLOOKUP(P359,'Tiempo Objeto'!$B$2:$C$12,2,FALSE),IF(O359="INOXIDABLE",VLOOKUP(P359,'Tiempo Objeto'!$B$14:$C$22,2,FALSE),IF(O359="ALUMINIO",VLOOKUP(P359,'Tiempo Objeto'!$B$24:$C$32,2,FALSE))))</f>
        <v>1.84</v>
      </c>
      <c r="X359" s="84">
        <f t="shared" si="427"/>
        <v>92</v>
      </c>
      <c r="Y359" s="80">
        <f t="shared" si="428"/>
        <v>127.77777777777777</v>
      </c>
      <c r="Z359" s="100">
        <v>2</v>
      </c>
      <c r="AA359" s="85">
        <f t="shared" si="429"/>
        <v>60</v>
      </c>
      <c r="AB359" s="86">
        <f>+Z359*Analisis!$J$6</f>
        <v>50</v>
      </c>
      <c r="AC359" s="100">
        <v>0</v>
      </c>
      <c r="AD359" s="85">
        <f t="shared" si="430"/>
        <v>0</v>
      </c>
      <c r="AE359" s="86">
        <f>+AD359*Analisis!$J$7</f>
        <v>0</v>
      </c>
      <c r="AF359" s="86">
        <f t="shared" si="440"/>
        <v>275.65338040935671</v>
      </c>
      <c r="AG359" s="126">
        <f>+AF359/(1-Analisis!$E$9)</f>
        <v>344.56672551169589</v>
      </c>
      <c r="AH359" s="128">
        <f t="shared" si="442"/>
        <v>0</v>
      </c>
    </row>
    <row r="360" spans="1:34" s="73" customFormat="1" x14ac:dyDescent="0.25">
      <c r="A360" s="100"/>
      <c r="B360" s="119" t="s">
        <v>531</v>
      </c>
      <c r="C360" s="74">
        <f>IFERROR(VLOOKUP(B360,'REQ GALV'!A:B,2,0),0)</f>
        <v>0</v>
      </c>
      <c r="D360" s="116">
        <f t="shared" si="441"/>
        <v>371.27341410818713</v>
      </c>
      <c r="E360" s="103" t="s">
        <v>41</v>
      </c>
      <c r="F360" s="75" t="s">
        <v>147</v>
      </c>
      <c r="G360" s="90">
        <v>4.2</v>
      </c>
      <c r="H360" s="90">
        <v>16.489999999999998</v>
      </c>
      <c r="I360" s="76">
        <v>0.105</v>
      </c>
      <c r="J360" s="77">
        <v>28.24</v>
      </c>
      <c r="K360" s="78">
        <f t="shared" ref="K360" si="479">+L360*2.2/J360</f>
        <v>3.9866404627006617</v>
      </c>
      <c r="L360" s="58">
        <f>+VLOOKUP(E360,Material!$H$2:$M$17,6,FALSE)*G360*H360*(1+Material!$K$14)</f>
        <v>51.173966666666672</v>
      </c>
      <c r="M360" s="79" t="str">
        <f>+Analisis!$J$5</f>
        <v>T5.0</v>
      </c>
      <c r="N360" s="80">
        <f>+VLOOKUP(M360,Material!$A$3:$B$58,2,FALSE)</f>
        <v>5000</v>
      </c>
      <c r="O360" s="79" t="s">
        <v>42</v>
      </c>
      <c r="P360" s="79" t="s">
        <v>43</v>
      </c>
      <c r="Q360" s="81">
        <f>+IF(O360="ACERO A36",VLOOKUP(P360,'Velocidades Std 1500 w'!$B$2:$F$15,5,FALSE),IF(O360="INOXIDABLE",VLOOKUP(P360,'Velocidades Std 1500 w'!$B$17:$F$28,5,FALSE),IF(O360="ALUMINIO",VLOOKUP(P360,'Velocidades Std 1500 w'!$B$30:$F$38,5,FALSE))))</f>
        <v>4.3859649122807014E-6</v>
      </c>
      <c r="R360" s="82">
        <f t="shared" ref="R360" si="480">+Q360*N360</f>
        <v>2.1929824561403508E-2</v>
      </c>
      <c r="S360" s="83">
        <f t="shared" ref="S360" si="481">+Q360*T360*3600</f>
        <v>49.008230526315778</v>
      </c>
      <c r="T360" s="110">
        <f t="shared" ref="T360" si="482">(+H360*2+G360*2+V360*1.5)*25.4*1.05</f>
        <v>3103.8545999999997</v>
      </c>
      <c r="U360" s="80">
        <f t="shared" ref="U360" si="483">+T360*R360</f>
        <v>68.066986842105251</v>
      </c>
      <c r="V360" s="98">
        <v>50</v>
      </c>
      <c r="W360" s="84">
        <f>+IF(O360="ACERO A36",VLOOKUP(P360,'Tiempo Objeto'!$B$2:$C$12,2,FALSE),IF(O360="INOXIDABLE",VLOOKUP(P360,'Tiempo Objeto'!$B$14:$C$22,2,FALSE),IF(O360="ALUMINIO",VLOOKUP(P360,'Tiempo Objeto'!$B$24:$C$32,2,FALSE))))</f>
        <v>1.84</v>
      </c>
      <c r="X360" s="84">
        <f t="shared" ref="X360" si="484">+W360*V360</f>
        <v>92</v>
      </c>
      <c r="Y360" s="80">
        <f t="shared" ref="Y360" si="485">+X360*N360/3600</f>
        <v>127.77777777777777</v>
      </c>
      <c r="Z360" s="100">
        <v>2</v>
      </c>
      <c r="AA360" s="85">
        <f t="shared" ref="AA360" si="486">30*Z360+Z360*$C360*1.5</f>
        <v>60</v>
      </c>
      <c r="AB360" s="86">
        <f>+Z360*Analisis!$J$6</f>
        <v>50</v>
      </c>
      <c r="AC360" s="100">
        <v>0</v>
      </c>
      <c r="AD360" s="85">
        <f t="shared" ref="AD360" si="487">30*AC360+AC360*$C360*1.5</f>
        <v>0</v>
      </c>
      <c r="AE360" s="86">
        <f>+AD360*Analisis!$J$7</f>
        <v>0</v>
      </c>
      <c r="AF360" s="86">
        <f t="shared" si="440"/>
        <v>297.01873128654972</v>
      </c>
      <c r="AG360" s="126">
        <f>+AF360/(1-Analisis!$E$9)</f>
        <v>371.27341410818713</v>
      </c>
      <c r="AH360" s="128">
        <f t="shared" si="442"/>
        <v>0</v>
      </c>
    </row>
    <row r="361" spans="1:34" s="73" customFormat="1" x14ac:dyDescent="0.25">
      <c r="A361" s="100"/>
      <c r="B361" s="119" t="s">
        <v>142</v>
      </c>
      <c r="C361" s="74">
        <f>IFERROR(VLOOKUP(B361,'REQ GALV'!A:B,2,0),0)</f>
        <v>0</v>
      </c>
      <c r="D361" s="116">
        <f t="shared" si="441"/>
        <v>358.61444371345027</v>
      </c>
      <c r="E361" s="103" t="s">
        <v>41</v>
      </c>
      <c r="F361" s="75" t="s">
        <v>147</v>
      </c>
      <c r="G361" s="90">
        <v>4.2</v>
      </c>
      <c r="H361" s="90">
        <v>14.12</v>
      </c>
      <c r="I361" s="76">
        <v>0.105</v>
      </c>
      <c r="J361" s="77">
        <v>28.24</v>
      </c>
      <c r="K361" s="78">
        <f t="shared" ref="K361:K365" si="488">+L361*2.2/J361</f>
        <v>3.4136666666666673</v>
      </c>
      <c r="L361" s="58">
        <f>+VLOOKUP(E361,Material!$H$2:$M$17,6,FALSE)*G361*H361*(1+Material!$K$14)</f>
        <v>43.819066666666664</v>
      </c>
      <c r="M361" s="79" t="str">
        <f>+Analisis!$J$5</f>
        <v>T5.0</v>
      </c>
      <c r="N361" s="80">
        <f>+VLOOKUP(M361,Material!$A$3:$B$58,2,FALSE)</f>
        <v>5000</v>
      </c>
      <c r="O361" s="79" t="s">
        <v>42</v>
      </c>
      <c r="P361" s="79" t="s">
        <v>43</v>
      </c>
      <c r="Q361" s="81">
        <f>+IF(O361="ACERO A36",VLOOKUP(P361,'Velocidades Std 1500 w'!$B$2:$F$15,5,FALSE),IF(O361="INOXIDABLE",VLOOKUP(P361,'Velocidades Std 1500 w'!$B$17:$F$28,5,FALSE),IF(O361="ALUMINIO",VLOOKUP(P361,'Velocidades Std 1500 w'!$B$30:$F$38,5,FALSE))))</f>
        <v>4.3859649122807014E-6</v>
      </c>
      <c r="R361" s="82">
        <f t="shared" ref="R361:R365" si="489">+Q361*N361</f>
        <v>2.1929824561403508E-2</v>
      </c>
      <c r="S361" s="83">
        <f t="shared" ref="S361:S365" si="490">+Q361*T361*3600</f>
        <v>47.012191578947366</v>
      </c>
      <c r="T361" s="110">
        <f t="shared" ref="T361:T365" si="491">(+H361*2+G361*2+V361*1.5)*25.4*1.05</f>
        <v>2977.4387999999999</v>
      </c>
      <c r="U361" s="80">
        <f t="shared" ref="U361:U365" si="492">+T361*R361</f>
        <v>65.294710526315782</v>
      </c>
      <c r="V361" s="98">
        <v>50</v>
      </c>
      <c r="W361" s="84">
        <f>+IF(O361="ACERO A36",VLOOKUP(P361,'Tiempo Objeto'!$B$2:$C$12,2,FALSE),IF(O361="INOXIDABLE",VLOOKUP(P361,'Tiempo Objeto'!$B$14:$C$22,2,FALSE),IF(O361="ALUMINIO",VLOOKUP(P361,'Tiempo Objeto'!$B$24:$C$32,2,FALSE))))</f>
        <v>1.84</v>
      </c>
      <c r="X361" s="84">
        <f t="shared" ref="X361:X365" si="493">+W361*V361</f>
        <v>92</v>
      </c>
      <c r="Y361" s="80">
        <f t="shared" ref="Y361:Y365" si="494">+X361*N361/3600</f>
        <v>127.77777777777777</v>
      </c>
      <c r="Z361" s="100">
        <v>2</v>
      </c>
      <c r="AA361" s="85">
        <f t="shared" ref="AA361:AA365" si="495">30*Z361+Z361*$C361*1.5</f>
        <v>60</v>
      </c>
      <c r="AB361" s="86">
        <f>+Z361*Analisis!$J$6</f>
        <v>50</v>
      </c>
      <c r="AC361" s="100">
        <v>0</v>
      </c>
      <c r="AD361" s="85">
        <f t="shared" ref="AD361:AD365" si="496">30*AC361+AC361*$C361*1.5</f>
        <v>0</v>
      </c>
      <c r="AE361" s="86">
        <f>+AD361*Analisis!$J$7</f>
        <v>0</v>
      </c>
      <c r="AF361" s="86">
        <f t="shared" si="440"/>
        <v>286.89155497076024</v>
      </c>
      <c r="AG361" s="126">
        <f>+AF361/(1-Analisis!$E$9)</f>
        <v>358.61444371345027</v>
      </c>
      <c r="AH361" s="128">
        <f t="shared" si="442"/>
        <v>0</v>
      </c>
    </row>
    <row r="362" spans="1:34" s="73" customFormat="1" x14ac:dyDescent="0.25">
      <c r="A362" s="100"/>
      <c r="B362" s="119" t="s">
        <v>532</v>
      </c>
      <c r="C362" s="74">
        <f>IFERROR(VLOOKUP(B362,'REQ GALV'!A:B,2,0),0)</f>
        <v>0</v>
      </c>
      <c r="D362" s="116">
        <f t="shared" si="441"/>
        <v>385.32113230994156</v>
      </c>
      <c r="E362" s="103" t="s">
        <v>41</v>
      </c>
      <c r="F362" s="75" t="s">
        <v>147</v>
      </c>
      <c r="G362" s="90">
        <v>4.2</v>
      </c>
      <c r="H362" s="90">
        <v>19.12</v>
      </c>
      <c r="I362" s="76">
        <v>0.105</v>
      </c>
      <c r="J362" s="77">
        <v>28.24</v>
      </c>
      <c r="K362" s="78">
        <f t="shared" ref="K362" si="497">+L362*2.2/J362</f>
        <v>4.6224721435316347</v>
      </c>
      <c r="L362" s="58">
        <f>+VLOOKUP(E362,Material!$H$2:$M$17,6,FALSE)*G362*H362*(1+Material!$K$14)</f>
        <v>59.335733333333344</v>
      </c>
      <c r="M362" s="79" t="str">
        <f>+Analisis!$J$5</f>
        <v>T5.0</v>
      </c>
      <c r="N362" s="80">
        <f>+VLOOKUP(M362,Material!$A$3:$B$58,2,FALSE)</f>
        <v>5000</v>
      </c>
      <c r="O362" s="79" t="s">
        <v>42</v>
      </c>
      <c r="P362" s="79" t="s">
        <v>43</v>
      </c>
      <c r="Q362" s="81">
        <f>+IF(O362="ACERO A36",VLOOKUP(P362,'Velocidades Std 1500 w'!$B$2:$F$15,5,FALSE),IF(O362="INOXIDABLE",VLOOKUP(P362,'Velocidades Std 1500 w'!$B$17:$F$28,5,FALSE),IF(O362="ALUMINIO",VLOOKUP(P362,'Velocidades Std 1500 w'!$B$30:$F$38,5,FALSE))))</f>
        <v>4.3859649122807014E-6</v>
      </c>
      <c r="R362" s="82">
        <f t="shared" ref="R362" si="498">+Q362*N362</f>
        <v>2.1929824561403508E-2</v>
      </c>
      <c r="S362" s="83">
        <f t="shared" ref="S362" si="499">+Q362*T362*3600</f>
        <v>51.223244210526317</v>
      </c>
      <c r="T362" s="110">
        <f t="shared" ref="T362" si="500">(+H362*2+G362*2+V362*1.5)*25.4*1.05</f>
        <v>3244.1388000000002</v>
      </c>
      <c r="U362" s="80">
        <f t="shared" ref="U362" si="501">+T362*R362</f>
        <v>71.143394736842112</v>
      </c>
      <c r="V362" s="98">
        <v>50</v>
      </c>
      <c r="W362" s="84">
        <f>+IF(O362="ACERO A36",VLOOKUP(P362,'Tiempo Objeto'!$B$2:$C$12,2,FALSE),IF(O362="INOXIDABLE",VLOOKUP(P362,'Tiempo Objeto'!$B$14:$C$22,2,FALSE),IF(O362="ALUMINIO",VLOOKUP(P362,'Tiempo Objeto'!$B$24:$C$32,2,FALSE))))</f>
        <v>1.84</v>
      </c>
      <c r="X362" s="84">
        <f t="shared" ref="X362" si="502">+W362*V362</f>
        <v>92</v>
      </c>
      <c r="Y362" s="80">
        <f t="shared" ref="Y362" si="503">+X362*N362/3600</f>
        <v>127.77777777777777</v>
      </c>
      <c r="Z362" s="100">
        <v>2</v>
      </c>
      <c r="AA362" s="85">
        <f t="shared" ref="AA362" si="504">30*Z362+Z362*$C362*1.5</f>
        <v>60</v>
      </c>
      <c r="AB362" s="86">
        <f>+Z362*Analisis!$J$6</f>
        <v>50</v>
      </c>
      <c r="AC362" s="100">
        <v>0</v>
      </c>
      <c r="AD362" s="85">
        <f t="shared" ref="AD362" si="505">30*AC362+AC362*$C362*1.5</f>
        <v>0</v>
      </c>
      <c r="AE362" s="86">
        <f>+AD362*Analisis!$J$7</f>
        <v>0</v>
      </c>
      <c r="AF362" s="86">
        <f t="shared" si="440"/>
        <v>308.25690584795325</v>
      </c>
      <c r="AG362" s="126">
        <f>+AF362/(1-Analisis!$E$9)</f>
        <v>385.32113230994156</v>
      </c>
      <c r="AH362" s="128">
        <f t="shared" si="442"/>
        <v>0</v>
      </c>
    </row>
    <row r="363" spans="1:34" s="73" customFormat="1" x14ac:dyDescent="0.25">
      <c r="A363" s="100"/>
      <c r="B363" s="119" t="s">
        <v>533</v>
      </c>
      <c r="C363" s="74">
        <f>IFERROR(VLOOKUP(B363,'REQ GALV'!A:B,2,0),0)</f>
        <v>0</v>
      </c>
      <c r="D363" s="116">
        <f t="shared" si="441"/>
        <v>1835.7005238304093</v>
      </c>
      <c r="E363" s="103" t="s">
        <v>41</v>
      </c>
      <c r="F363" s="75" t="s">
        <v>147</v>
      </c>
      <c r="G363" s="90">
        <v>20.94</v>
      </c>
      <c r="H363" s="90">
        <v>63.14</v>
      </c>
      <c r="I363" s="76">
        <v>0.105</v>
      </c>
      <c r="J363" s="77">
        <v>28.24</v>
      </c>
      <c r="K363" s="78">
        <f t="shared" si="488"/>
        <v>76.105909301227598</v>
      </c>
      <c r="L363" s="58">
        <f>+VLOOKUP(E363,Material!$H$2:$M$17,6,FALSE)*G363*H363*(1+Material!$K$14)</f>
        <v>976.9231266666668</v>
      </c>
      <c r="M363" s="79" t="str">
        <f>+Analisis!$J$5</f>
        <v>T5.0</v>
      </c>
      <c r="N363" s="80">
        <f>+VLOOKUP(M363,Material!$A$3:$B$58,2,FALSE)</f>
        <v>5000</v>
      </c>
      <c r="O363" s="79" t="s">
        <v>42</v>
      </c>
      <c r="P363" s="79" t="s">
        <v>43</v>
      </c>
      <c r="Q363" s="81">
        <f>+IF(O363="ACERO A36",VLOOKUP(P363,'Velocidades Std 1500 w'!$B$2:$F$15,5,FALSE),IF(O363="INOXIDABLE",VLOOKUP(P363,'Velocidades Std 1500 w'!$B$17:$F$28,5,FALSE),IF(O363="ALUMINIO",VLOOKUP(P363,'Velocidades Std 1500 w'!$B$30:$F$38,5,FALSE))))</f>
        <v>4.3859649122807014E-6</v>
      </c>
      <c r="R363" s="82">
        <f t="shared" si="489"/>
        <v>2.1929824561403508E-2</v>
      </c>
      <c r="S363" s="83">
        <f t="shared" si="490"/>
        <v>133.97885052631574</v>
      </c>
      <c r="T363" s="110">
        <f t="shared" si="491"/>
        <v>8485.3271999999979</v>
      </c>
      <c r="U363" s="80">
        <f t="shared" si="492"/>
        <v>186.08173684210522</v>
      </c>
      <c r="V363" s="98">
        <v>100</v>
      </c>
      <c r="W363" s="84">
        <f>+IF(O363="ACERO A36",VLOOKUP(P363,'Tiempo Objeto'!$B$2:$C$12,2,FALSE),IF(O363="INOXIDABLE",VLOOKUP(P363,'Tiempo Objeto'!$B$14:$C$22,2,FALSE),IF(O363="ALUMINIO",VLOOKUP(P363,'Tiempo Objeto'!$B$24:$C$32,2,FALSE))))</f>
        <v>1.84</v>
      </c>
      <c r="X363" s="84">
        <f t="shared" si="493"/>
        <v>184</v>
      </c>
      <c r="Y363" s="80">
        <f t="shared" si="494"/>
        <v>255.55555555555554</v>
      </c>
      <c r="Z363" s="100">
        <v>2</v>
      </c>
      <c r="AA363" s="85">
        <f t="shared" si="495"/>
        <v>60</v>
      </c>
      <c r="AB363" s="86">
        <f>+Z363*Analisis!$J$6</f>
        <v>50</v>
      </c>
      <c r="AC363" s="100">
        <v>0</v>
      </c>
      <c r="AD363" s="85">
        <f t="shared" si="496"/>
        <v>0</v>
      </c>
      <c r="AE363" s="86">
        <f>+AD363*Analisis!$J$7</f>
        <v>0</v>
      </c>
      <c r="AF363" s="86">
        <f t="shared" si="440"/>
        <v>1468.5604190643276</v>
      </c>
      <c r="AG363" s="126">
        <f>+AF363/(1-Analisis!$E$9)</f>
        <v>1835.7005238304093</v>
      </c>
      <c r="AH363" s="128">
        <f t="shared" si="442"/>
        <v>0</v>
      </c>
    </row>
    <row r="364" spans="1:34" s="73" customFormat="1" x14ac:dyDescent="0.25">
      <c r="A364" s="100"/>
      <c r="B364" t="s">
        <v>535</v>
      </c>
      <c r="C364" s="74">
        <f>IFERROR(VLOOKUP(B364,'REQ GALV'!A:B,2,0),0)</f>
        <v>0</v>
      </c>
      <c r="D364" s="116">
        <f t="shared" si="441"/>
        <v>126.91965003654971</v>
      </c>
      <c r="E364" s="103" t="s">
        <v>41</v>
      </c>
      <c r="F364" s="75" t="s">
        <v>147</v>
      </c>
      <c r="G364" s="90">
        <v>4.75</v>
      </c>
      <c r="H364" s="90">
        <v>18.309999999999999</v>
      </c>
      <c r="I364" s="76">
        <v>0.105</v>
      </c>
      <c r="J364" s="77">
        <v>28.24</v>
      </c>
      <c r="K364" s="78">
        <f>+L364*2.2/J364</f>
        <v>5.0063254446018268</v>
      </c>
      <c r="L364" s="58">
        <f>+VLOOKUP(E364,Material!$H$2:$M$17,6,FALSE)*G364*H364*(1+Material!$K$14)</f>
        <v>64.263013888888892</v>
      </c>
      <c r="M364" s="79" t="str">
        <f>+Analisis!$J$5</f>
        <v>T5.0</v>
      </c>
      <c r="N364" s="80">
        <f>+VLOOKUP(M364,Material!$A$3:$B$58,2,FALSE)</f>
        <v>5000</v>
      </c>
      <c r="O364" s="79" t="s">
        <v>42</v>
      </c>
      <c r="P364" s="79" t="s">
        <v>43</v>
      </c>
      <c r="Q364" s="81">
        <f>+IF(O364="ACERO A36",VLOOKUP(P364,'Velocidades Std 1500 w'!$B$2:$F$15,5,FALSE),IF(O364="INOXIDABLE",VLOOKUP(P364,'Velocidades Std 1500 w'!$B$17:$F$28,5,FALSE),IF(O364="ALUMINIO",VLOOKUP(P364,'Velocidades Std 1500 w'!$B$30:$F$38,5,FALSE))))</f>
        <v>4.3859649122807014E-6</v>
      </c>
      <c r="R364" s="82">
        <f>+Q364*N364</f>
        <v>2.1929824561403508E-2</v>
      </c>
      <c r="S364" s="83">
        <f>+Q364*T364*3600</f>
        <v>21.316348421052631</v>
      </c>
      <c r="T364" s="110">
        <f>(+H364*2+G364*2+V364*1.5)*25.4*1.05</f>
        <v>1350.0354</v>
      </c>
      <c r="U364" s="80">
        <f>+T364*R364</f>
        <v>29.606039473684209</v>
      </c>
      <c r="V364" s="98">
        <v>3</v>
      </c>
      <c r="W364" s="84">
        <f>+IF(O364="ACERO A36",VLOOKUP(P364,'Tiempo Objeto'!$B$2:$C$12,2,FALSE),IF(O364="INOXIDABLE",VLOOKUP(P364,'Tiempo Objeto'!$B$14:$C$22,2,FALSE),IF(O364="ALUMINIO",VLOOKUP(P364,'Tiempo Objeto'!$B$24:$C$32,2,FALSE))))</f>
        <v>1.84</v>
      </c>
      <c r="X364" s="84">
        <f>+W364*V364</f>
        <v>5.5200000000000005</v>
      </c>
      <c r="Y364" s="80">
        <f>+X364*N364/3600</f>
        <v>7.6666666666666679</v>
      </c>
      <c r="Z364" s="100">
        <v>0</v>
      </c>
      <c r="AA364" s="85">
        <f>30*Z364+Z364*$C364*1.5</f>
        <v>0</v>
      </c>
      <c r="AB364" s="86">
        <f>+Z364*Analisis!$J$6</f>
        <v>0</v>
      </c>
      <c r="AC364" s="100">
        <v>0</v>
      </c>
      <c r="AD364" s="85">
        <f>30*AC364+AC364*$C364*1.5</f>
        <v>0</v>
      </c>
      <c r="AE364" s="86">
        <f>+AD364*Analisis!$J$7</f>
        <v>0</v>
      </c>
      <c r="AF364" s="86">
        <f t="shared" si="440"/>
        <v>101.53572002923977</v>
      </c>
      <c r="AG364" s="126">
        <f>+AF364/(1-Analisis!$E$9)</f>
        <v>126.91965003654971</v>
      </c>
      <c r="AH364" s="128">
        <f t="shared" si="442"/>
        <v>0</v>
      </c>
    </row>
    <row r="365" spans="1:34" s="73" customFormat="1" x14ac:dyDescent="0.25">
      <c r="A365" s="100"/>
      <c r="B365" t="s">
        <v>534</v>
      </c>
      <c r="C365" s="74">
        <f>IFERROR(VLOOKUP(B365,'REQ GALV'!A:B,2,0),0)</f>
        <v>0</v>
      </c>
      <c r="D365" s="116">
        <f t="shared" si="441"/>
        <v>182.89767909356721</v>
      </c>
      <c r="E365" s="103" t="s">
        <v>41</v>
      </c>
      <c r="F365" s="75" t="s">
        <v>147</v>
      </c>
      <c r="G365" s="90">
        <v>4.75</v>
      </c>
      <c r="H365" s="90">
        <v>27.88</v>
      </c>
      <c r="I365" s="76">
        <v>0.105</v>
      </c>
      <c r="J365" s="77">
        <v>28.24</v>
      </c>
      <c r="K365" s="78">
        <f t="shared" si="488"/>
        <v>7.6229575857727427</v>
      </c>
      <c r="L365" s="58">
        <f>+VLOOKUP(E365,Material!$H$2:$M$17,6,FALSE)*G365*H365*(1+Material!$K$14)</f>
        <v>97.851055555555561</v>
      </c>
      <c r="M365" s="79" t="str">
        <f>+Analisis!$J$5</f>
        <v>T5.0</v>
      </c>
      <c r="N365" s="80">
        <f>+VLOOKUP(M365,Material!$A$3:$B$58,2,FALSE)</f>
        <v>5000</v>
      </c>
      <c r="O365" s="79" t="s">
        <v>42</v>
      </c>
      <c r="P365" s="79" t="s">
        <v>43</v>
      </c>
      <c r="Q365" s="81">
        <f>+IF(O365="ACERO A36",VLOOKUP(P365,'Velocidades Std 1500 w'!$B$2:$F$15,5,FALSE),IF(O365="INOXIDABLE",VLOOKUP(P365,'Velocidades Std 1500 w'!$B$17:$F$28,5,FALSE),IF(O365="ALUMINIO",VLOOKUP(P365,'Velocidades Std 1500 w'!$B$30:$F$38,5,FALSE))))</f>
        <v>4.3859649122807014E-6</v>
      </c>
      <c r="R365" s="82">
        <f t="shared" si="489"/>
        <v>2.1929824561403508E-2</v>
      </c>
      <c r="S365" s="83">
        <f t="shared" si="490"/>
        <v>29.376303157894732</v>
      </c>
      <c r="T365" s="110">
        <f t="shared" si="491"/>
        <v>1860.4991999999997</v>
      </c>
      <c r="U365" s="80">
        <f t="shared" si="492"/>
        <v>40.80042105263157</v>
      </c>
      <c r="V365" s="98">
        <v>3</v>
      </c>
      <c r="W365" s="84">
        <f>+IF(O365="ACERO A36",VLOOKUP(P365,'Tiempo Objeto'!$B$2:$C$12,2,FALSE),IF(O365="INOXIDABLE",VLOOKUP(P365,'Tiempo Objeto'!$B$14:$C$22,2,FALSE),IF(O365="ALUMINIO",VLOOKUP(P365,'Tiempo Objeto'!$B$24:$C$32,2,FALSE))))</f>
        <v>1.84</v>
      </c>
      <c r="X365" s="84">
        <f t="shared" si="493"/>
        <v>5.5200000000000005</v>
      </c>
      <c r="Y365" s="80">
        <f t="shared" si="494"/>
        <v>7.6666666666666679</v>
      </c>
      <c r="Z365" s="100">
        <v>0</v>
      </c>
      <c r="AA365" s="85">
        <f t="shared" si="495"/>
        <v>0</v>
      </c>
      <c r="AB365" s="86">
        <f>+Z365*Analisis!$J$6</f>
        <v>0</v>
      </c>
      <c r="AC365" s="100">
        <v>0</v>
      </c>
      <c r="AD365" s="85">
        <f t="shared" si="496"/>
        <v>0</v>
      </c>
      <c r="AE365" s="86">
        <f>+AD365*Analisis!$J$7</f>
        <v>0</v>
      </c>
      <c r="AF365" s="86">
        <f t="shared" si="440"/>
        <v>146.31814327485378</v>
      </c>
      <c r="AG365" s="126">
        <f>+AF365/(1-Analisis!$E$9)</f>
        <v>182.89767909356721</v>
      </c>
      <c r="AH365" s="128">
        <f t="shared" si="442"/>
        <v>0</v>
      </c>
    </row>
    <row r="366" spans="1:34" s="73" customFormat="1" x14ac:dyDescent="0.25">
      <c r="A366" s="100"/>
      <c r="B366" s="108" t="s">
        <v>355</v>
      </c>
      <c r="C366" s="74">
        <f>IFERROR(VLOOKUP(B366,'REQ GALV'!A:B,2,0),0)</f>
        <v>0</v>
      </c>
      <c r="D366" s="116">
        <f t="shared" si="441"/>
        <v>1870.1886334064332</v>
      </c>
      <c r="E366" s="103" t="s">
        <v>41</v>
      </c>
      <c r="F366" s="75" t="s">
        <v>147</v>
      </c>
      <c r="G366" s="90">
        <v>23.92</v>
      </c>
      <c r="H366" s="90">
        <v>66.150000000000006</v>
      </c>
      <c r="I366" s="76">
        <v>0.105</v>
      </c>
      <c r="J366" s="77">
        <v>28.24</v>
      </c>
      <c r="K366" s="78">
        <f t="shared" ref="K366" si="506">+L366*2.2/J366</f>
        <v>91.081075070821583</v>
      </c>
      <c r="L366" s="58">
        <f>+VLOOKUP(E366,Material!$H$2:$M$17,6,FALSE)*G366*H366*(1+Material!$K$14)</f>
        <v>1169.1498000000004</v>
      </c>
      <c r="M366" s="79" t="str">
        <f>+Analisis!$J$5</f>
        <v>T5.0</v>
      </c>
      <c r="N366" s="80">
        <f>+VLOOKUP(M366,Material!$A$3:$B$58,2,FALSE)</f>
        <v>5000</v>
      </c>
      <c r="O366" s="79" t="s">
        <v>42</v>
      </c>
      <c r="P366" s="79" t="s">
        <v>43</v>
      </c>
      <c r="Q366" s="81">
        <f>+IF(O366="ACERO A36",VLOOKUP(P366,'Velocidades Std 1500 w'!$B$2:$F$15,5,FALSE),IF(O366="INOXIDABLE",VLOOKUP(P366,'Velocidades Std 1500 w'!$B$17:$F$28,5,FALSE),IF(O366="ALUMINIO",VLOOKUP(P366,'Velocidades Std 1500 w'!$B$30:$F$38,5,FALSE))))</f>
        <v>4.3859649122807014E-6</v>
      </c>
      <c r="R366" s="82">
        <f t="shared" ref="R366" si="507">+Q366*N366</f>
        <v>2.1929824561403508E-2</v>
      </c>
      <c r="S366" s="83">
        <f t="shared" ref="S366" si="508">+Q366*T366*3600</f>
        <v>107.44079684210524</v>
      </c>
      <c r="T366" s="110">
        <f t="shared" ref="T366" si="509">(+H366*2+G366*2+V366*1.5)*25.4*1.05</f>
        <v>6804.5837999999994</v>
      </c>
      <c r="U366" s="80">
        <f t="shared" ref="U366" si="510">+T366*R366</f>
        <v>149.2233289473684</v>
      </c>
      <c r="V366" s="98">
        <v>50</v>
      </c>
      <c r="W366" s="84">
        <f>+IF(O366="ACERO A36",VLOOKUP(P366,'Tiempo Objeto'!$B$2:$C$12,2,FALSE),IF(O366="INOXIDABLE",VLOOKUP(P366,'Tiempo Objeto'!$B$14:$C$22,2,FALSE),IF(O366="ALUMINIO",VLOOKUP(P366,'Tiempo Objeto'!$B$24:$C$32,2,FALSE))))</f>
        <v>1.84</v>
      </c>
      <c r="X366" s="84">
        <f t="shared" ref="X366" si="511">+W366*V366</f>
        <v>92</v>
      </c>
      <c r="Y366" s="80">
        <f t="shared" ref="Y366" si="512">+X366*N366/3600</f>
        <v>127.77777777777777</v>
      </c>
      <c r="Z366" s="100">
        <v>2</v>
      </c>
      <c r="AA366" s="85">
        <f t="shared" ref="AA366" si="513">30*Z366+Z366*$C366*1.5</f>
        <v>60</v>
      </c>
      <c r="AB366" s="86">
        <f>+Z366*Analisis!$J$6</f>
        <v>50</v>
      </c>
      <c r="AC366" s="100">
        <v>0</v>
      </c>
      <c r="AD366" s="85">
        <f t="shared" ref="AD366" si="514">30*AC366+AC366*$C366*1.5</f>
        <v>0</v>
      </c>
      <c r="AE366" s="86">
        <f>+AD366*Analisis!$J$7</f>
        <v>0</v>
      </c>
      <c r="AF366" s="86">
        <f t="shared" si="440"/>
        <v>1496.1509067251466</v>
      </c>
      <c r="AG366" s="126">
        <f>+AF366/(1-Analisis!$E$9)</f>
        <v>1870.1886334064332</v>
      </c>
      <c r="AH366" s="128">
        <f t="shared" si="442"/>
        <v>0</v>
      </c>
    </row>
    <row r="367" spans="1:34" s="73" customFormat="1" x14ac:dyDescent="0.25">
      <c r="A367" s="100"/>
      <c r="B367" s="108" t="s">
        <v>356</v>
      </c>
      <c r="C367" s="74">
        <f>IFERROR(VLOOKUP(B367,'REQ GALV'!A:B,2,0),0)</f>
        <v>0</v>
      </c>
      <c r="D367" s="116">
        <f t="shared" si="441"/>
        <v>773.28808479532165</v>
      </c>
      <c r="E367" s="103" t="s">
        <v>41</v>
      </c>
      <c r="F367" s="75" t="s">
        <v>147</v>
      </c>
      <c r="G367" s="90">
        <v>16.77</v>
      </c>
      <c r="H367" s="90">
        <v>36</v>
      </c>
      <c r="I367" s="76">
        <v>0.105</v>
      </c>
      <c r="J367" s="77">
        <v>28.24</v>
      </c>
      <c r="K367" s="78">
        <f t="shared" ref="K367:K381" si="515">+L367*2.2/J367</f>
        <v>34.751430594900853</v>
      </c>
      <c r="L367" s="58">
        <f>+VLOOKUP(E367,Material!$H$2:$M$17,6,FALSE)*G367*H367*(1+Material!$K$14)</f>
        <v>446.08199999999999</v>
      </c>
      <c r="M367" s="79" t="str">
        <f>+Analisis!$J$5</f>
        <v>T5.0</v>
      </c>
      <c r="N367" s="80">
        <f>+VLOOKUP(M367,Material!$A$3:$B$58,2,FALSE)</f>
        <v>5000</v>
      </c>
      <c r="O367" s="79" t="s">
        <v>42</v>
      </c>
      <c r="P367" s="79" t="s">
        <v>43</v>
      </c>
      <c r="Q367" s="81">
        <f>+IF(O367="ACERO A36",VLOOKUP(P367,'Velocidades Std 1500 w'!$B$2:$F$15,5,FALSE),IF(O367="INOXIDABLE",VLOOKUP(P367,'Velocidades Std 1500 w'!$B$17:$F$28,5,FALSE),IF(O367="ALUMINIO",VLOOKUP(P367,'Velocidades Std 1500 w'!$B$30:$F$38,5,FALSE))))</f>
        <v>4.3859649122807014E-6</v>
      </c>
      <c r="R367" s="82">
        <f t="shared" ref="R367:R381" si="516">+Q367*N367</f>
        <v>2.1929824561403508E-2</v>
      </c>
      <c r="S367" s="83">
        <f t="shared" ref="S367:S381" si="517">+Q367*T367*3600</f>
        <v>60.23489684210525</v>
      </c>
      <c r="T367" s="110">
        <f t="shared" ref="T367:T381" si="518">(+H367*2+G367*2+V367*1.5)*25.4*1.05</f>
        <v>3814.8767999999995</v>
      </c>
      <c r="U367" s="80">
        <f t="shared" ref="U367:U381" si="519">+T367*R367</f>
        <v>83.659578947368402</v>
      </c>
      <c r="V367" s="98">
        <v>25</v>
      </c>
      <c r="W367" s="84">
        <f>+IF(O367="ACERO A36",VLOOKUP(P367,'Tiempo Objeto'!$B$2:$C$12,2,FALSE),IF(O367="INOXIDABLE",VLOOKUP(P367,'Tiempo Objeto'!$B$14:$C$22,2,FALSE),IF(O367="ALUMINIO",VLOOKUP(P367,'Tiempo Objeto'!$B$24:$C$32,2,FALSE))))</f>
        <v>1.84</v>
      </c>
      <c r="X367" s="84">
        <f t="shared" ref="X367:X381" si="520">+W367*V367</f>
        <v>46</v>
      </c>
      <c r="Y367" s="80">
        <f t="shared" ref="Y367:Y381" si="521">+X367*N367/3600</f>
        <v>63.888888888888886</v>
      </c>
      <c r="Z367" s="100">
        <v>1</v>
      </c>
      <c r="AA367" s="85">
        <f t="shared" ref="AA367:AA381" si="522">30*Z367+Z367*$C367*1.5</f>
        <v>30</v>
      </c>
      <c r="AB367" s="86">
        <f>+Z367*Analisis!$J$6</f>
        <v>25</v>
      </c>
      <c r="AC367" s="100">
        <v>0</v>
      </c>
      <c r="AD367" s="85">
        <f t="shared" ref="AD367:AD381" si="523">30*AC367+AC367*$C367*1.5</f>
        <v>0</v>
      </c>
      <c r="AE367" s="86">
        <f>+AD367*Analisis!$J$7</f>
        <v>0</v>
      </c>
      <c r="AF367" s="86">
        <f t="shared" si="440"/>
        <v>618.63046783625737</v>
      </c>
      <c r="AG367" s="126">
        <f>+AF367/(1-Analisis!$E$9)</f>
        <v>773.28808479532165</v>
      </c>
      <c r="AH367" s="128">
        <f t="shared" si="442"/>
        <v>0</v>
      </c>
    </row>
    <row r="368" spans="1:34" s="73" customFormat="1" x14ac:dyDescent="0.25">
      <c r="A368" s="100"/>
      <c r="B368" s="108" t="s">
        <v>359</v>
      </c>
      <c r="C368" s="74">
        <f>IFERROR(VLOOKUP(B368,'REQ GALV'!A:B,2,0),0)</f>
        <v>0</v>
      </c>
      <c r="D368" s="116">
        <f t="shared" si="441"/>
        <v>773.28808479532165</v>
      </c>
      <c r="E368" s="103" t="s">
        <v>41</v>
      </c>
      <c r="F368" s="75" t="s">
        <v>147</v>
      </c>
      <c r="G368" s="90">
        <v>16.77</v>
      </c>
      <c r="H368" s="90">
        <v>36</v>
      </c>
      <c r="I368" s="76">
        <v>0.105</v>
      </c>
      <c r="J368" s="77">
        <v>28.24</v>
      </c>
      <c r="K368" s="78">
        <f t="shared" si="515"/>
        <v>34.751430594900853</v>
      </c>
      <c r="L368" s="58">
        <f>+VLOOKUP(E368,Material!$H$2:$M$17,6,FALSE)*G368*H368*(1+Material!$K$14)</f>
        <v>446.08199999999999</v>
      </c>
      <c r="M368" s="79" t="str">
        <f>+Analisis!$J$5</f>
        <v>T5.0</v>
      </c>
      <c r="N368" s="80">
        <f>+VLOOKUP(M368,Material!$A$3:$B$58,2,FALSE)</f>
        <v>5000</v>
      </c>
      <c r="O368" s="79" t="s">
        <v>42</v>
      </c>
      <c r="P368" s="79" t="s">
        <v>43</v>
      </c>
      <c r="Q368" s="81">
        <f>+IF(O368="ACERO A36",VLOOKUP(P368,'Velocidades Std 1500 w'!$B$2:$F$15,5,FALSE),IF(O368="INOXIDABLE",VLOOKUP(P368,'Velocidades Std 1500 w'!$B$17:$F$28,5,FALSE),IF(O368="ALUMINIO",VLOOKUP(P368,'Velocidades Std 1500 w'!$B$30:$F$38,5,FALSE))))</f>
        <v>4.3859649122807014E-6</v>
      </c>
      <c r="R368" s="82">
        <f t="shared" si="516"/>
        <v>2.1929824561403508E-2</v>
      </c>
      <c r="S368" s="83">
        <f t="shared" si="517"/>
        <v>60.23489684210525</v>
      </c>
      <c r="T368" s="110">
        <f t="shared" si="518"/>
        <v>3814.8767999999995</v>
      </c>
      <c r="U368" s="80">
        <f t="shared" si="519"/>
        <v>83.659578947368402</v>
      </c>
      <c r="V368" s="98">
        <v>25</v>
      </c>
      <c r="W368" s="84">
        <f>+IF(O368="ACERO A36",VLOOKUP(P368,'Tiempo Objeto'!$B$2:$C$12,2,FALSE),IF(O368="INOXIDABLE",VLOOKUP(P368,'Tiempo Objeto'!$B$14:$C$22,2,FALSE),IF(O368="ALUMINIO",VLOOKUP(P368,'Tiempo Objeto'!$B$24:$C$32,2,FALSE))))</f>
        <v>1.84</v>
      </c>
      <c r="X368" s="84">
        <f t="shared" si="520"/>
        <v>46</v>
      </c>
      <c r="Y368" s="80">
        <f t="shared" si="521"/>
        <v>63.888888888888886</v>
      </c>
      <c r="Z368" s="100">
        <v>1</v>
      </c>
      <c r="AA368" s="85">
        <f t="shared" si="522"/>
        <v>30</v>
      </c>
      <c r="AB368" s="86">
        <f>+Z368*Analisis!$J$6</f>
        <v>25</v>
      </c>
      <c r="AC368" s="100">
        <v>0</v>
      </c>
      <c r="AD368" s="85">
        <f t="shared" si="523"/>
        <v>0</v>
      </c>
      <c r="AE368" s="86">
        <f>+AD368*Analisis!$J$7</f>
        <v>0</v>
      </c>
      <c r="AF368" s="86">
        <f t="shared" si="440"/>
        <v>618.63046783625737</v>
      </c>
      <c r="AG368" s="126">
        <f>+AF368/(1-Analisis!$E$9)</f>
        <v>773.28808479532165</v>
      </c>
      <c r="AH368" s="128">
        <f t="shared" si="442"/>
        <v>0</v>
      </c>
    </row>
    <row r="369" spans="1:35" s="73" customFormat="1" x14ac:dyDescent="0.25">
      <c r="A369" s="100"/>
      <c r="B369" s="108" t="s">
        <v>536</v>
      </c>
      <c r="C369" s="74">
        <f>IFERROR(VLOOKUP(B369,'REQ GALV'!A:B,2,0),0)</f>
        <v>0</v>
      </c>
      <c r="D369" s="116">
        <f t="shared" si="441"/>
        <v>1022.1489711257311</v>
      </c>
      <c r="E369" s="103" t="s">
        <v>41</v>
      </c>
      <c r="F369" s="75" t="s">
        <v>147</v>
      </c>
      <c r="G369" s="90">
        <v>19.46</v>
      </c>
      <c r="H369" s="90">
        <v>44</v>
      </c>
      <c r="I369" s="76">
        <v>0.105</v>
      </c>
      <c r="J369" s="77">
        <v>28.24</v>
      </c>
      <c r="K369" s="78">
        <f t="shared" ref="K369:K378" si="524">+L369*2.2/J369</f>
        <v>49.287028643374271</v>
      </c>
      <c r="L369" s="58">
        <f>+VLOOKUP(E369,Material!$H$2:$M$17,6,FALSE)*G369*H369*(1+Material!$K$14)</f>
        <v>632.66622222222236</v>
      </c>
      <c r="M369" s="79" t="str">
        <f>+Analisis!$J$5</f>
        <v>T5.0</v>
      </c>
      <c r="N369" s="80">
        <f>+VLOOKUP(M369,Material!$A$3:$B$58,2,FALSE)</f>
        <v>5000</v>
      </c>
      <c r="O369" s="79" t="s">
        <v>42</v>
      </c>
      <c r="P369" s="79" t="s">
        <v>43</v>
      </c>
      <c r="Q369" s="81">
        <f>+IF(O369="ACERO A36",VLOOKUP(P369,'Velocidades Std 1500 w'!$B$2:$F$15,5,FALSE),IF(O369="INOXIDABLE",VLOOKUP(P369,'Velocidades Std 1500 w'!$B$17:$F$28,5,FALSE),IF(O369="ALUMINIO",VLOOKUP(P369,'Velocidades Std 1500 w'!$B$30:$F$38,5,FALSE))))</f>
        <v>4.3859649122807014E-6</v>
      </c>
      <c r="R369" s="82">
        <f t="shared" ref="R369:R378" si="525">+Q369*N369</f>
        <v>2.1929824561403508E-2</v>
      </c>
      <c r="S369" s="83">
        <f t="shared" ref="S369:S378" si="526">+Q369*T369*3600</f>
        <v>69.238127368421047</v>
      </c>
      <c r="T369" s="110">
        <f t="shared" ref="T369:T378" si="527">(+H369*2+G369*2+V369*1.5)*25.4*1.05</f>
        <v>4385.0814</v>
      </c>
      <c r="U369" s="80">
        <f t="shared" ref="U369:U378" si="528">+T369*R369</f>
        <v>96.164065789473682</v>
      </c>
      <c r="V369" s="98">
        <v>25</v>
      </c>
      <c r="W369" s="84">
        <f>+IF(O369="ACERO A36",VLOOKUP(P369,'Tiempo Objeto'!$B$2:$C$12,2,FALSE),IF(O369="INOXIDABLE",VLOOKUP(P369,'Tiempo Objeto'!$B$14:$C$22,2,FALSE),IF(O369="ALUMINIO",VLOOKUP(P369,'Tiempo Objeto'!$B$24:$C$32,2,FALSE))))</f>
        <v>1.84</v>
      </c>
      <c r="X369" s="84">
        <f t="shared" ref="X369:X378" si="529">+W369*V369</f>
        <v>46</v>
      </c>
      <c r="Y369" s="80">
        <f t="shared" ref="Y369:Y378" si="530">+X369*N369/3600</f>
        <v>63.888888888888886</v>
      </c>
      <c r="Z369" s="100">
        <v>1</v>
      </c>
      <c r="AA369" s="85">
        <f t="shared" ref="AA369:AA378" si="531">30*Z369+Z369*$C369*1.5</f>
        <v>30</v>
      </c>
      <c r="AB369" s="86">
        <f>+Z369*Analisis!$J$6</f>
        <v>25</v>
      </c>
      <c r="AC369" s="100">
        <v>0</v>
      </c>
      <c r="AD369" s="85">
        <f t="shared" ref="AD369:AD378" si="532">30*AC369+AC369*$C369*1.5</f>
        <v>0</v>
      </c>
      <c r="AE369" s="86">
        <f>+AD369*Analisis!$J$7</f>
        <v>0</v>
      </c>
      <c r="AF369" s="86">
        <f t="shared" si="440"/>
        <v>817.7191769005849</v>
      </c>
      <c r="AG369" s="126">
        <f>+AF369/(1-Analisis!$E$9)</f>
        <v>1022.1489711257311</v>
      </c>
      <c r="AH369" s="128">
        <f t="shared" si="442"/>
        <v>0</v>
      </c>
    </row>
    <row r="370" spans="1:35" s="73" customFormat="1" x14ac:dyDescent="0.25">
      <c r="A370" s="100"/>
      <c r="B370" s="108" t="s">
        <v>537</v>
      </c>
      <c r="C370" s="74">
        <f>IFERROR(VLOOKUP(B370,'REQ GALV'!A:B,2,0),0)</f>
        <v>0</v>
      </c>
      <c r="D370" s="116">
        <f t="shared" si="441"/>
        <v>937.10483004385969</v>
      </c>
      <c r="E370" s="103" t="s">
        <v>41</v>
      </c>
      <c r="F370" s="75" t="s">
        <v>147</v>
      </c>
      <c r="G370" s="90">
        <v>17.440000000000001</v>
      </c>
      <c r="H370" s="90">
        <v>44</v>
      </c>
      <c r="I370" s="76">
        <v>0.105</v>
      </c>
      <c r="J370" s="77">
        <v>28.24</v>
      </c>
      <c r="K370" s="78">
        <f t="shared" si="524"/>
        <v>44.170903367957202</v>
      </c>
      <c r="L370" s="58">
        <f>+VLOOKUP(E370,Material!$H$2:$M$17,6,FALSE)*G370*H370*(1+Material!$K$14)</f>
        <v>566.99377777777784</v>
      </c>
      <c r="M370" s="79" t="str">
        <f>+Analisis!$J$5</f>
        <v>T5.0</v>
      </c>
      <c r="N370" s="80">
        <f>+VLOOKUP(M370,Material!$A$3:$B$58,2,FALSE)</f>
        <v>5000</v>
      </c>
      <c r="O370" s="79" t="s">
        <v>42</v>
      </c>
      <c r="P370" s="79" t="s">
        <v>43</v>
      </c>
      <c r="Q370" s="81">
        <f>+IF(O370="ACERO A36",VLOOKUP(P370,'Velocidades Std 1500 w'!$B$2:$F$15,5,FALSE),IF(O370="INOXIDABLE",VLOOKUP(P370,'Velocidades Std 1500 w'!$B$17:$F$28,5,FALSE),IF(O370="ALUMINIO",VLOOKUP(P370,'Velocidades Std 1500 w'!$B$30:$F$38,5,FALSE))))</f>
        <v>4.3859649122807014E-6</v>
      </c>
      <c r="R370" s="82">
        <f t="shared" si="525"/>
        <v>2.1929824561403508E-2</v>
      </c>
      <c r="S370" s="83">
        <f t="shared" si="526"/>
        <v>67.536862105263154</v>
      </c>
      <c r="T370" s="110">
        <f t="shared" si="527"/>
        <v>4277.3346000000001</v>
      </c>
      <c r="U370" s="80">
        <f t="shared" si="528"/>
        <v>93.801197368421057</v>
      </c>
      <c r="V370" s="98">
        <v>25</v>
      </c>
      <c r="W370" s="84">
        <f>+IF(O370="ACERO A36",VLOOKUP(P370,'Tiempo Objeto'!$B$2:$C$12,2,FALSE),IF(O370="INOXIDABLE",VLOOKUP(P370,'Tiempo Objeto'!$B$14:$C$22,2,FALSE),IF(O370="ALUMINIO",VLOOKUP(P370,'Tiempo Objeto'!$B$24:$C$32,2,FALSE))))</f>
        <v>1.84</v>
      </c>
      <c r="X370" s="84">
        <f t="shared" si="529"/>
        <v>46</v>
      </c>
      <c r="Y370" s="80">
        <f t="shared" si="530"/>
        <v>63.888888888888886</v>
      </c>
      <c r="Z370" s="100">
        <v>1</v>
      </c>
      <c r="AA370" s="85">
        <f t="shared" si="531"/>
        <v>30</v>
      </c>
      <c r="AB370" s="86">
        <f>+Z370*Analisis!$J$6</f>
        <v>25</v>
      </c>
      <c r="AC370" s="100">
        <v>0</v>
      </c>
      <c r="AD370" s="85">
        <f t="shared" si="532"/>
        <v>0</v>
      </c>
      <c r="AE370" s="86">
        <f>+AD370*Analisis!$J$7</f>
        <v>0</v>
      </c>
      <c r="AF370" s="86">
        <f t="shared" si="440"/>
        <v>749.68386403508782</v>
      </c>
      <c r="AG370" s="126">
        <f>+AF370/(1-Analisis!$E$9)</f>
        <v>937.10483004385969</v>
      </c>
      <c r="AH370" s="128">
        <f t="shared" si="442"/>
        <v>0</v>
      </c>
    </row>
    <row r="371" spans="1:35" s="73" customFormat="1" x14ac:dyDescent="0.25">
      <c r="A371" s="100"/>
      <c r="B371" s="108" t="s">
        <v>538</v>
      </c>
      <c r="C371" s="74">
        <f>IFERROR(VLOOKUP(B371,'REQ GALV'!A:B,2,0),0)</f>
        <v>0</v>
      </c>
      <c r="D371" s="116">
        <f t="shared" si="441"/>
        <v>516.82224597953223</v>
      </c>
      <c r="E371" s="103" t="s">
        <v>41</v>
      </c>
      <c r="F371" s="75" t="s">
        <v>147</v>
      </c>
      <c r="G371" s="90">
        <v>19.46</v>
      </c>
      <c r="H371" s="90">
        <v>18</v>
      </c>
      <c r="I371" s="76">
        <v>0.105</v>
      </c>
      <c r="J371" s="77">
        <v>28.24</v>
      </c>
      <c r="K371" s="78">
        <f t="shared" si="524"/>
        <v>20.162875354107655</v>
      </c>
      <c r="L371" s="58">
        <f>+VLOOKUP(E371,Material!$H$2:$M$17,6,FALSE)*G371*H371*(1+Material!$K$14)</f>
        <v>258.81800000000004</v>
      </c>
      <c r="M371" s="79" t="str">
        <f>+Analisis!$J$5</f>
        <v>T5.0</v>
      </c>
      <c r="N371" s="80">
        <f>+VLOOKUP(M371,Material!$A$3:$B$58,2,FALSE)</f>
        <v>5000</v>
      </c>
      <c r="O371" s="79" t="s">
        <v>42</v>
      </c>
      <c r="P371" s="79" t="s">
        <v>43</v>
      </c>
      <c r="Q371" s="81">
        <f>+IF(O371="ACERO A36",VLOOKUP(P371,'Velocidades Std 1500 w'!$B$2:$F$15,5,FALSE),IF(O371="INOXIDABLE",VLOOKUP(P371,'Velocidades Std 1500 w'!$B$17:$F$28,5,FALSE),IF(O371="ALUMINIO",VLOOKUP(P371,'Velocidades Std 1500 w'!$B$30:$F$38,5,FALSE))))</f>
        <v>4.3859649122807014E-6</v>
      </c>
      <c r="R371" s="82">
        <f t="shared" si="525"/>
        <v>2.1929824561403508E-2</v>
      </c>
      <c r="S371" s="83">
        <f t="shared" si="526"/>
        <v>47.340653684210515</v>
      </c>
      <c r="T371" s="110">
        <f t="shared" si="527"/>
        <v>2998.2413999999999</v>
      </c>
      <c r="U371" s="80">
        <f t="shared" si="528"/>
        <v>65.750907894736841</v>
      </c>
      <c r="V371" s="98">
        <v>25</v>
      </c>
      <c r="W371" s="84">
        <f>+IF(O371="ACERO A36",VLOOKUP(P371,'Tiempo Objeto'!$B$2:$C$12,2,FALSE),IF(O371="INOXIDABLE",VLOOKUP(P371,'Tiempo Objeto'!$B$14:$C$22,2,FALSE),IF(O371="ALUMINIO",VLOOKUP(P371,'Tiempo Objeto'!$B$24:$C$32,2,FALSE))))</f>
        <v>1.84</v>
      </c>
      <c r="X371" s="84">
        <f t="shared" si="529"/>
        <v>46</v>
      </c>
      <c r="Y371" s="80">
        <f t="shared" si="530"/>
        <v>63.888888888888886</v>
      </c>
      <c r="Z371" s="100">
        <v>1</v>
      </c>
      <c r="AA371" s="85">
        <f t="shared" si="531"/>
        <v>30</v>
      </c>
      <c r="AB371" s="86">
        <f>+Z371*Analisis!$J$6</f>
        <v>25</v>
      </c>
      <c r="AC371" s="100">
        <v>0</v>
      </c>
      <c r="AD371" s="85">
        <f t="shared" si="532"/>
        <v>0</v>
      </c>
      <c r="AE371" s="86">
        <f>+AD371*Analisis!$J$7</f>
        <v>0</v>
      </c>
      <c r="AF371" s="86">
        <f t="shared" si="440"/>
        <v>413.45779678362578</v>
      </c>
      <c r="AG371" s="126">
        <f>+AF371/(1-Analisis!$E$9)</f>
        <v>516.82224597953223</v>
      </c>
      <c r="AH371" s="128">
        <f t="shared" si="442"/>
        <v>0</v>
      </c>
    </row>
    <row r="372" spans="1:35" s="73" customFormat="1" x14ac:dyDescent="0.25">
      <c r="A372" s="100"/>
      <c r="B372" s="108" t="s">
        <v>539</v>
      </c>
      <c r="C372" s="74">
        <f>IFERROR(VLOOKUP(B372,'REQ GALV'!A:B,2,0),0)</f>
        <v>0</v>
      </c>
      <c r="D372" s="116">
        <f t="shared" si="441"/>
        <v>613.61209795321633</v>
      </c>
      <c r="E372" s="103" t="s">
        <v>41</v>
      </c>
      <c r="F372" s="75" t="s">
        <v>147</v>
      </c>
      <c r="G372" s="90">
        <v>12.17</v>
      </c>
      <c r="H372" s="90">
        <v>36</v>
      </c>
      <c r="I372" s="76">
        <v>0.105</v>
      </c>
      <c r="J372" s="77">
        <v>28.24</v>
      </c>
      <c r="K372" s="78">
        <f t="shared" si="524"/>
        <v>25.219135977337118</v>
      </c>
      <c r="L372" s="58">
        <f>+VLOOKUP(E372,Material!$H$2:$M$17,6,FALSE)*G372*H372*(1+Material!$K$14)</f>
        <v>323.72200000000004</v>
      </c>
      <c r="M372" s="79" t="str">
        <f>+Analisis!$J$5</f>
        <v>T5.0</v>
      </c>
      <c r="N372" s="80">
        <f>+VLOOKUP(M372,Material!$A$3:$B$58,2,FALSE)</f>
        <v>5000</v>
      </c>
      <c r="O372" s="79" t="s">
        <v>42</v>
      </c>
      <c r="P372" s="79" t="s">
        <v>43</v>
      </c>
      <c r="Q372" s="81">
        <f>+IF(O372="ACERO A36",VLOOKUP(P372,'Velocidades Std 1500 w'!$B$2:$F$15,5,FALSE),IF(O372="INOXIDABLE",VLOOKUP(P372,'Velocidades Std 1500 w'!$B$17:$F$28,5,FALSE),IF(O372="ALUMINIO",VLOOKUP(P372,'Velocidades Std 1500 w'!$B$30:$F$38,5,FALSE))))</f>
        <v>4.3859649122807014E-6</v>
      </c>
      <c r="R372" s="82">
        <f t="shared" si="525"/>
        <v>2.1929824561403508E-2</v>
      </c>
      <c r="S372" s="83">
        <f t="shared" si="526"/>
        <v>56.360728421052634</v>
      </c>
      <c r="T372" s="110">
        <f t="shared" si="527"/>
        <v>3569.5128000000004</v>
      </c>
      <c r="U372" s="80">
        <f t="shared" si="528"/>
        <v>78.278789473684213</v>
      </c>
      <c r="V372" s="98">
        <v>25</v>
      </c>
      <c r="W372" s="84">
        <f>+IF(O372="ACERO A36",VLOOKUP(P372,'Tiempo Objeto'!$B$2:$C$12,2,FALSE),IF(O372="INOXIDABLE",VLOOKUP(P372,'Tiempo Objeto'!$B$14:$C$22,2,FALSE),IF(O372="ALUMINIO",VLOOKUP(P372,'Tiempo Objeto'!$B$24:$C$32,2,FALSE))))</f>
        <v>1.84</v>
      </c>
      <c r="X372" s="84">
        <f t="shared" si="529"/>
        <v>46</v>
      </c>
      <c r="Y372" s="80">
        <f t="shared" si="530"/>
        <v>63.888888888888886</v>
      </c>
      <c r="Z372" s="100">
        <v>1</v>
      </c>
      <c r="AA372" s="85">
        <f t="shared" si="531"/>
        <v>30</v>
      </c>
      <c r="AB372" s="86">
        <f>+Z372*Analisis!$J$6</f>
        <v>25</v>
      </c>
      <c r="AC372" s="100">
        <v>0</v>
      </c>
      <c r="AD372" s="85">
        <f t="shared" si="532"/>
        <v>0</v>
      </c>
      <c r="AE372" s="86">
        <f>+AD372*Analisis!$J$7</f>
        <v>0</v>
      </c>
      <c r="AF372" s="86">
        <f t="shared" si="440"/>
        <v>490.88967836257314</v>
      </c>
      <c r="AG372" s="126">
        <f>+AF372/(1-Analisis!$E$9)</f>
        <v>613.61209795321633</v>
      </c>
      <c r="AH372" s="128">
        <f t="shared" si="442"/>
        <v>0</v>
      </c>
    </row>
    <row r="373" spans="1:35" s="73" customFormat="1" x14ac:dyDescent="0.25">
      <c r="A373" s="100"/>
      <c r="B373" s="108" t="s">
        <v>540</v>
      </c>
      <c r="C373" s="74">
        <f>IFERROR(VLOOKUP(B373,'REQ GALV'!A:B,2,0),0)</f>
        <v>0</v>
      </c>
      <c r="D373" s="116">
        <f t="shared" si="441"/>
        <v>579.24704861111104</v>
      </c>
      <c r="E373" s="103" t="s">
        <v>41</v>
      </c>
      <c r="F373" s="75" t="s">
        <v>147</v>
      </c>
      <c r="G373" s="90">
        <v>11.18</v>
      </c>
      <c r="H373" s="90">
        <v>36</v>
      </c>
      <c r="I373" s="76">
        <v>0.105</v>
      </c>
      <c r="J373" s="77">
        <v>28.24</v>
      </c>
      <c r="K373" s="78">
        <f t="shared" si="524"/>
        <v>23.167620396600572</v>
      </c>
      <c r="L373" s="58">
        <f>+VLOOKUP(E373,Material!$H$2:$M$17,6,FALSE)*G373*H373*(1+Material!$K$14)</f>
        <v>297.38800000000003</v>
      </c>
      <c r="M373" s="79" t="str">
        <f>+Analisis!$J$5</f>
        <v>T5.0</v>
      </c>
      <c r="N373" s="80">
        <f>+VLOOKUP(M373,Material!$A$3:$B$58,2,FALSE)</f>
        <v>5000</v>
      </c>
      <c r="O373" s="79" t="s">
        <v>42</v>
      </c>
      <c r="P373" s="79" t="s">
        <v>43</v>
      </c>
      <c r="Q373" s="81">
        <f>+IF(O373="ACERO A36",VLOOKUP(P373,'Velocidades Std 1500 w'!$B$2:$F$15,5,FALSE),IF(O373="INOXIDABLE",VLOOKUP(P373,'Velocidades Std 1500 w'!$B$17:$F$28,5,FALSE),IF(O373="ALUMINIO",VLOOKUP(P373,'Velocidades Std 1500 w'!$B$30:$F$38,5,FALSE))))</f>
        <v>4.3859649122807014E-6</v>
      </c>
      <c r="R373" s="82">
        <f t="shared" si="525"/>
        <v>2.1929824561403508E-2</v>
      </c>
      <c r="S373" s="83">
        <f t="shared" si="526"/>
        <v>55.526939999999996</v>
      </c>
      <c r="T373" s="110">
        <f t="shared" si="527"/>
        <v>3516.7062000000001</v>
      </c>
      <c r="U373" s="80">
        <f t="shared" si="528"/>
        <v>77.120750000000001</v>
      </c>
      <c r="V373" s="98">
        <v>25</v>
      </c>
      <c r="W373" s="84">
        <f>+IF(O373="ACERO A36",VLOOKUP(P373,'Tiempo Objeto'!$B$2:$C$12,2,FALSE),IF(O373="INOXIDABLE",VLOOKUP(P373,'Tiempo Objeto'!$B$14:$C$22,2,FALSE),IF(O373="ALUMINIO",VLOOKUP(P373,'Tiempo Objeto'!$B$24:$C$32,2,FALSE))))</f>
        <v>1.84</v>
      </c>
      <c r="X373" s="84">
        <f t="shared" si="529"/>
        <v>46</v>
      </c>
      <c r="Y373" s="80">
        <f t="shared" si="530"/>
        <v>63.888888888888886</v>
      </c>
      <c r="Z373" s="100">
        <v>1</v>
      </c>
      <c r="AA373" s="85">
        <f t="shared" si="531"/>
        <v>30</v>
      </c>
      <c r="AB373" s="86">
        <f>+Z373*Analisis!$J$6</f>
        <v>25</v>
      </c>
      <c r="AC373" s="100">
        <v>0</v>
      </c>
      <c r="AD373" s="85">
        <f t="shared" si="532"/>
        <v>0</v>
      </c>
      <c r="AE373" s="86">
        <f>+AD373*Analisis!$J$7</f>
        <v>0</v>
      </c>
      <c r="AF373" s="86">
        <f t="shared" si="440"/>
        <v>463.39763888888888</v>
      </c>
      <c r="AG373" s="126">
        <f>+AF373/(1-Analisis!$E$9)</f>
        <v>579.24704861111104</v>
      </c>
      <c r="AH373" s="128">
        <f t="shared" si="442"/>
        <v>0</v>
      </c>
    </row>
    <row r="374" spans="1:35" s="73" customFormat="1" x14ac:dyDescent="0.25">
      <c r="A374" s="100"/>
      <c r="B374" s="108" t="s">
        <v>541</v>
      </c>
      <c r="C374" s="74">
        <f>IFERROR(VLOOKUP(B374,'REQ GALV'!A:B,2,0),0)</f>
        <v>0</v>
      </c>
      <c r="D374" s="116">
        <f t="shared" si="441"/>
        <v>673.55219480994151</v>
      </c>
      <c r="E374" s="103" t="s">
        <v>41</v>
      </c>
      <c r="F374" s="75" t="s">
        <v>147</v>
      </c>
      <c r="G374" s="90">
        <v>11.18</v>
      </c>
      <c r="H374" s="90">
        <v>44</v>
      </c>
      <c r="I374" s="76">
        <v>0.105</v>
      </c>
      <c r="J374" s="77">
        <v>28.24</v>
      </c>
      <c r="K374" s="78">
        <f t="shared" si="524"/>
        <v>28.31598048473403</v>
      </c>
      <c r="L374" s="58">
        <f>+VLOOKUP(E374,Material!$H$2:$M$17,6,FALSE)*G374*H374*(1+Material!$K$14)</f>
        <v>363.47422222222224</v>
      </c>
      <c r="M374" s="79" t="str">
        <f>+Analisis!$J$5</f>
        <v>T5.0</v>
      </c>
      <c r="N374" s="80">
        <f>+VLOOKUP(M374,Material!$A$3:$B$58,2,FALSE)</f>
        <v>5000</v>
      </c>
      <c r="O374" s="79" t="s">
        <v>42</v>
      </c>
      <c r="P374" s="79" t="s">
        <v>43</v>
      </c>
      <c r="Q374" s="81">
        <f>+IF(O374="ACERO A36",VLOOKUP(P374,'Velocidades Std 1500 w'!$B$2:$F$15,5,FALSE),IF(O374="INOXIDABLE",VLOOKUP(P374,'Velocidades Std 1500 w'!$B$17:$F$28,5,FALSE),IF(O374="ALUMINIO",VLOOKUP(P374,'Velocidades Std 1500 w'!$B$30:$F$38,5,FALSE))))</f>
        <v>4.3859649122807014E-6</v>
      </c>
      <c r="R374" s="82">
        <f t="shared" si="525"/>
        <v>2.1929824561403508E-2</v>
      </c>
      <c r="S374" s="83">
        <f t="shared" si="526"/>
        <v>62.264624210526314</v>
      </c>
      <c r="T374" s="110">
        <f t="shared" si="527"/>
        <v>3943.4262000000003</v>
      </c>
      <c r="U374" s="80">
        <f t="shared" si="528"/>
        <v>86.478644736842114</v>
      </c>
      <c r="V374" s="98">
        <v>25</v>
      </c>
      <c r="W374" s="84">
        <f>+IF(O374="ACERO A36",VLOOKUP(P374,'Tiempo Objeto'!$B$2:$C$12,2,FALSE),IF(O374="INOXIDABLE",VLOOKUP(P374,'Tiempo Objeto'!$B$14:$C$22,2,FALSE),IF(O374="ALUMINIO",VLOOKUP(P374,'Tiempo Objeto'!$B$24:$C$32,2,FALSE))))</f>
        <v>1.84</v>
      </c>
      <c r="X374" s="84">
        <f t="shared" si="529"/>
        <v>46</v>
      </c>
      <c r="Y374" s="80">
        <f t="shared" si="530"/>
        <v>63.888888888888886</v>
      </c>
      <c r="Z374" s="100">
        <v>1</v>
      </c>
      <c r="AA374" s="85">
        <f t="shared" si="531"/>
        <v>30</v>
      </c>
      <c r="AB374" s="86">
        <f>+Z374*Analisis!$J$6</f>
        <v>25</v>
      </c>
      <c r="AC374" s="100">
        <v>0</v>
      </c>
      <c r="AD374" s="85">
        <f t="shared" si="532"/>
        <v>0</v>
      </c>
      <c r="AE374" s="86">
        <f>+AD374*Analisis!$J$7</f>
        <v>0</v>
      </c>
      <c r="AF374" s="86">
        <f t="shared" si="440"/>
        <v>538.84175584795321</v>
      </c>
      <c r="AG374" s="126">
        <f>+AF374/(1-Analisis!$E$9)</f>
        <v>673.55219480994151</v>
      </c>
      <c r="AH374" s="128">
        <f t="shared" si="442"/>
        <v>0</v>
      </c>
    </row>
    <row r="375" spans="1:35" s="73" customFormat="1" x14ac:dyDescent="0.25">
      <c r="A375" s="100"/>
      <c r="B375" s="108" t="s">
        <v>542</v>
      </c>
      <c r="C375" s="74">
        <f>IFERROR(VLOOKUP(B375,'REQ GALV'!A:B,2,0),0)</f>
        <v>0</v>
      </c>
      <c r="D375" s="116">
        <f t="shared" si="441"/>
        <v>796.54523940058493</v>
      </c>
      <c r="E375" s="103" t="s">
        <v>41</v>
      </c>
      <c r="F375" s="75" t="s">
        <v>147</v>
      </c>
      <c r="G375" s="90">
        <v>17.440000000000001</v>
      </c>
      <c r="H375" s="90">
        <v>36</v>
      </c>
      <c r="I375" s="76">
        <v>0.105</v>
      </c>
      <c r="J375" s="77">
        <v>28.24</v>
      </c>
      <c r="K375" s="78">
        <f t="shared" si="524"/>
        <v>36.139830028328625</v>
      </c>
      <c r="L375" s="58">
        <f>+VLOOKUP(E375,Material!$H$2:$M$17,6,FALSE)*G375*H375*(1+Material!$K$14)</f>
        <v>463.90400000000011</v>
      </c>
      <c r="M375" s="79" t="str">
        <f>+Analisis!$J$5</f>
        <v>T5.0</v>
      </c>
      <c r="N375" s="80">
        <f>+VLOOKUP(M375,Material!$A$3:$B$58,2,FALSE)</f>
        <v>5000</v>
      </c>
      <c r="O375" s="79" t="s">
        <v>42</v>
      </c>
      <c r="P375" s="79" t="s">
        <v>43</v>
      </c>
      <c r="Q375" s="81">
        <f>+IF(O375="ACERO A36",VLOOKUP(P375,'Velocidades Std 1500 w'!$B$2:$F$15,5,FALSE),IF(O375="INOXIDABLE",VLOOKUP(P375,'Velocidades Std 1500 w'!$B$17:$F$28,5,FALSE),IF(O375="ALUMINIO",VLOOKUP(P375,'Velocidades Std 1500 w'!$B$30:$F$38,5,FALSE))))</f>
        <v>4.3859649122807014E-6</v>
      </c>
      <c r="R375" s="82">
        <f t="shared" si="525"/>
        <v>2.1929824561403508E-2</v>
      </c>
      <c r="S375" s="83">
        <f t="shared" si="526"/>
        <v>60.799177894736829</v>
      </c>
      <c r="T375" s="110">
        <f t="shared" si="527"/>
        <v>3850.6145999999994</v>
      </c>
      <c r="U375" s="80">
        <f t="shared" si="528"/>
        <v>84.443302631578931</v>
      </c>
      <c r="V375" s="98">
        <v>25</v>
      </c>
      <c r="W375" s="84">
        <f>+IF(O375="ACERO A36",VLOOKUP(P375,'Tiempo Objeto'!$B$2:$C$12,2,FALSE),IF(O375="INOXIDABLE",VLOOKUP(P375,'Tiempo Objeto'!$B$14:$C$22,2,FALSE),IF(O375="ALUMINIO",VLOOKUP(P375,'Tiempo Objeto'!$B$24:$C$32,2,FALSE))))</f>
        <v>1.84</v>
      </c>
      <c r="X375" s="84">
        <f t="shared" si="529"/>
        <v>46</v>
      </c>
      <c r="Y375" s="80">
        <f t="shared" si="530"/>
        <v>63.888888888888886</v>
      </c>
      <c r="Z375" s="100">
        <v>1</v>
      </c>
      <c r="AA375" s="85">
        <f t="shared" si="531"/>
        <v>30</v>
      </c>
      <c r="AB375" s="86">
        <f>+Z375*Analisis!$J$6</f>
        <v>25</v>
      </c>
      <c r="AC375" s="100">
        <v>0</v>
      </c>
      <c r="AD375" s="85">
        <f t="shared" si="532"/>
        <v>0</v>
      </c>
      <c r="AE375" s="86">
        <f>+AD375*Analisis!$J$7</f>
        <v>0</v>
      </c>
      <c r="AF375" s="86">
        <f t="shared" si="440"/>
        <v>637.23619152046797</v>
      </c>
      <c r="AG375" s="126">
        <f>+AF375/(1-Analisis!$E$9)</f>
        <v>796.54523940058493</v>
      </c>
      <c r="AH375" s="128">
        <f t="shared" si="442"/>
        <v>0</v>
      </c>
    </row>
    <row r="376" spans="1:35" s="73" customFormat="1" x14ac:dyDescent="0.25">
      <c r="A376" s="100"/>
      <c r="B376" s="108" t="s">
        <v>543</v>
      </c>
      <c r="C376" s="74">
        <f>IFERROR(VLOOKUP(B376,'REQ GALV'!A:B,2,0),0)</f>
        <v>0</v>
      </c>
      <c r="D376" s="116">
        <f t="shared" si="441"/>
        <v>796.54523940058493</v>
      </c>
      <c r="E376" s="103" t="s">
        <v>41</v>
      </c>
      <c r="F376" s="75" t="s">
        <v>147</v>
      </c>
      <c r="G376" s="90">
        <v>17.440000000000001</v>
      </c>
      <c r="H376" s="90">
        <v>36</v>
      </c>
      <c r="I376" s="76">
        <v>0.105</v>
      </c>
      <c r="J376" s="77">
        <v>28.24</v>
      </c>
      <c r="K376" s="78">
        <f t="shared" si="524"/>
        <v>36.139830028328625</v>
      </c>
      <c r="L376" s="58">
        <f>+VLOOKUP(E376,Material!$H$2:$M$17,6,FALSE)*G376*H376*(1+Material!$K$14)</f>
        <v>463.90400000000011</v>
      </c>
      <c r="M376" s="79" t="str">
        <f>+Analisis!$J$5</f>
        <v>T5.0</v>
      </c>
      <c r="N376" s="80">
        <f>+VLOOKUP(M376,Material!$A$3:$B$58,2,FALSE)</f>
        <v>5000</v>
      </c>
      <c r="O376" s="79" t="s">
        <v>42</v>
      </c>
      <c r="P376" s="79" t="s">
        <v>43</v>
      </c>
      <c r="Q376" s="81">
        <f>+IF(O376="ACERO A36",VLOOKUP(P376,'Velocidades Std 1500 w'!$B$2:$F$15,5,FALSE),IF(O376="INOXIDABLE",VLOOKUP(P376,'Velocidades Std 1500 w'!$B$17:$F$28,5,FALSE),IF(O376="ALUMINIO",VLOOKUP(P376,'Velocidades Std 1500 w'!$B$30:$F$38,5,FALSE))))</f>
        <v>4.3859649122807014E-6</v>
      </c>
      <c r="R376" s="82">
        <f t="shared" si="525"/>
        <v>2.1929824561403508E-2</v>
      </c>
      <c r="S376" s="83">
        <f t="shared" si="526"/>
        <v>60.799177894736829</v>
      </c>
      <c r="T376" s="110">
        <f t="shared" si="527"/>
        <v>3850.6145999999994</v>
      </c>
      <c r="U376" s="80">
        <f t="shared" si="528"/>
        <v>84.443302631578931</v>
      </c>
      <c r="V376" s="98">
        <v>25</v>
      </c>
      <c r="W376" s="84">
        <f>+IF(O376="ACERO A36",VLOOKUP(P376,'Tiempo Objeto'!$B$2:$C$12,2,FALSE),IF(O376="INOXIDABLE",VLOOKUP(P376,'Tiempo Objeto'!$B$14:$C$22,2,FALSE),IF(O376="ALUMINIO",VLOOKUP(P376,'Tiempo Objeto'!$B$24:$C$32,2,FALSE))))</f>
        <v>1.84</v>
      </c>
      <c r="X376" s="84">
        <f t="shared" si="529"/>
        <v>46</v>
      </c>
      <c r="Y376" s="80">
        <f t="shared" si="530"/>
        <v>63.888888888888886</v>
      </c>
      <c r="Z376" s="100">
        <v>1</v>
      </c>
      <c r="AA376" s="85">
        <f t="shared" si="531"/>
        <v>30</v>
      </c>
      <c r="AB376" s="86">
        <f>+Z376*Analisis!$J$6</f>
        <v>25</v>
      </c>
      <c r="AC376" s="100">
        <v>0</v>
      </c>
      <c r="AD376" s="85">
        <f t="shared" si="532"/>
        <v>0</v>
      </c>
      <c r="AE376" s="86">
        <f>+AD376*Analisis!$J$7</f>
        <v>0</v>
      </c>
      <c r="AF376" s="86">
        <f t="shared" ref="AF376:AF437" si="533">+L376+U376+Y376+AB376+AE376</f>
        <v>637.23619152046797</v>
      </c>
      <c r="AG376" s="126">
        <f>+AF376/(1-Analisis!$E$9)</f>
        <v>796.54523940058493</v>
      </c>
      <c r="AH376" s="128">
        <f t="shared" si="442"/>
        <v>0</v>
      </c>
    </row>
    <row r="377" spans="1:35" s="73" customFormat="1" x14ac:dyDescent="0.25">
      <c r="A377" s="100"/>
      <c r="B377" s="108" t="s">
        <v>544</v>
      </c>
      <c r="C377" s="74">
        <f>IFERROR(VLOOKUP(B377,'REQ GALV'!A:B,2,0),0)</f>
        <v>0</v>
      </c>
      <c r="D377" s="116">
        <f t="shared" ref="D377:D438" si="534">+AG377</f>
        <v>715.23224415204675</v>
      </c>
      <c r="E377" s="103" t="s">
        <v>41</v>
      </c>
      <c r="F377" s="75" t="s">
        <v>147</v>
      </c>
      <c r="G377" s="90">
        <v>12.17</v>
      </c>
      <c r="H377" s="90">
        <v>44</v>
      </c>
      <c r="I377" s="76">
        <v>0.105</v>
      </c>
      <c r="J377" s="77">
        <v>28.24</v>
      </c>
      <c r="K377" s="78">
        <f t="shared" si="524"/>
        <v>30.823388416745363</v>
      </c>
      <c r="L377" s="58">
        <f>+VLOOKUP(E377,Material!$H$2:$M$17,6,FALSE)*G377*H377*(1+Material!$K$14)</f>
        <v>395.66022222222222</v>
      </c>
      <c r="M377" s="79" t="str">
        <f>+Analisis!$J$5</f>
        <v>T5.0</v>
      </c>
      <c r="N377" s="80">
        <f>+VLOOKUP(M377,Material!$A$3:$B$58,2,FALSE)</f>
        <v>5000</v>
      </c>
      <c r="O377" s="79" t="s">
        <v>42</v>
      </c>
      <c r="P377" s="79" t="s">
        <v>43</v>
      </c>
      <c r="Q377" s="81">
        <f>+IF(O377="ACERO A36",VLOOKUP(P377,'Velocidades Std 1500 w'!$B$2:$F$15,5,FALSE),IF(O377="INOXIDABLE",VLOOKUP(P377,'Velocidades Std 1500 w'!$B$17:$F$28,5,FALSE),IF(O377="ALUMINIO",VLOOKUP(P377,'Velocidades Std 1500 w'!$B$30:$F$38,5,FALSE))))</f>
        <v>4.3859649122807014E-6</v>
      </c>
      <c r="R377" s="82">
        <f t="shared" si="525"/>
        <v>2.1929824561403508E-2</v>
      </c>
      <c r="S377" s="83">
        <f t="shared" si="526"/>
        <v>63.098412631578938</v>
      </c>
      <c r="T377" s="110">
        <f t="shared" si="527"/>
        <v>3996.2327999999998</v>
      </c>
      <c r="U377" s="80">
        <f t="shared" si="528"/>
        <v>87.636684210526312</v>
      </c>
      <c r="V377" s="98">
        <v>25</v>
      </c>
      <c r="W377" s="84">
        <f>+IF(O377="ACERO A36",VLOOKUP(P377,'Tiempo Objeto'!$B$2:$C$12,2,FALSE),IF(O377="INOXIDABLE",VLOOKUP(P377,'Tiempo Objeto'!$B$14:$C$22,2,FALSE),IF(O377="ALUMINIO",VLOOKUP(P377,'Tiempo Objeto'!$B$24:$C$32,2,FALSE))))</f>
        <v>1.84</v>
      </c>
      <c r="X377" s="84">
        <f t="shared" si="529"/>
        <v>46</v>
      </c>
      <c r="Y377" s="80">
        <f t="shared" si="530"/>
        <v>63.888888888888886</v>
      </c>
      <c r="Z377" s="100">
        <v>1</v>
      </c>
      <c r="AA377" s="85">
        <f t="shared" si="531"/>
        <v>30</v>
      </c>
      <c r="AB377" s="86">
        <f>+Z377*Analisis!$J$6</f>
        <v>25</v>
      </c>
      <c r="AC377" s="100">
        <v>0</v>
      </c>
      <c r="AD377" s="85">
        <f t="shared" si="532"/>
        <v>0</v>
      </c>
      <c r="AE377" s="86">
        <f>+AD377*Analisis!$J$7</f>
        <v>0</v>
      </c>
      <c r="AF377" s="86">
        <f t="shared" si="533"/>
        <v>572.18579532163744</v>
      </c>
      <c r="AG377" s="126">
        <f>+AF377/(1-Analisis!$E$9)</f>
        <v>715.23224415204675</v>
      </c>
      <c r="AH377" s="128">
        <f t="shared" ref="AH377:AH438" si="535">+AG377*C377</f>
        <v>0</v>
      </c>
    </row>
    <row r="378" spans="1:35" s="73" customFormat="1" x14ac:dyDescent="0.25">
      <c r="A378" s="100"/>
      <c r="B378" s="108" t="s">
        <v>545</v>
      </c>
      <c r="C378" s="74">
        <f>IFERROR(VLOOKUP(B378,'REQ GALV'!A:B,2,0),0)</f>
        <v>0</v>
      </c>
      <c r="D378" s="116">
        <f t="shared" si="534"/>
        <v>614.00046235380114</v>
      </c>
      <c r="E378" s="103" t="s">
        <v>41</v>
      </c>
      <c r="F378" s="75" t="s">
        <v>147</v>
      </c>
      <c r="G378" s="90">
        <v>19.46</v>
      </c>
      <c r="H378" s="90">
        <v>23</v>
      </c>
      <c r="I378" s="76">
        <v>0.105</v>
      </c>
      <c r="J378" s="77">
        <v>28.24</v>
      </c>
      <c r="K378" s="78">
        <f t="shared" si="524"/>
        <v>25.763674063581998</v>
      </c>
      <c r="L378" s="58">
        <f>+VLOOKUP(E378,Material!$H$2:$M$17,6,FALSE)*G378*H378*(1+Material!$K$14)</f>
        <v>330.71188888888889</v>
      </c>
      <c r="M378" s="79" t="str">
        <f>+Analisis!$J$5</f>
        <v>T5.0</v>
      </c>
      <c r="N378" s="80">
        <f>+VLOOKUP(M378,Material!$A$3:$B$58,2,FALSE)</f>
        <v>5000</v>
      </c>
      <c r="O378" s="79" t="s">
        <v>42</v>
      </c>
      <c r="P378" s="79" t="s">
        <v>43</v>
      </c>
      <c r="Q378" s="81">
        <f>+IF(O378="ACERO A36",VLOOKUP(P378,'Velocidades Std 1500 w'!$B$2:$F$15,5,FALSE),IF(O378="INOXIDABLE",VLOOKUP(P378,'Velocidades Std 1500 w'!$B$17:$F$28,5,FALSE),IF(O378="ALUMINIO",VLOOKUP(P378,'Velocidades Std 1500 w'!$B$30:$F$38,5,FALSE))))</f>
        <v>4.3859649122807014E-6</v>
      </c>
      <c r="R378" s="82">
        <f t="shared" si="525"/>
        <v>2.1929824561403508E-2</v>
      </c>
      <c r="S378" s="83">
        <f t="shared" si="526"/>
        <v>51.551706315789474</v>
      </c>
      <c r="T378" s="110">
        <f t="shared" si="527"/>
        <v>3264.9414000000002</v>
      </c>
      <c r="U378" s="80">
        <f t="shared" si="528"/>
        <v>71.599592105263156</v>
      </c>
      <c r="V378" s="98">
        <v>25</v>
      </c>
      <c r="W378" s="84">
        <f>+IF(O378="ACERO A36",VLOOKUP(P378,'Tiempo Objeto'!$B$2:$C$12,2,FALSE),IF(O378="INOXIDABLE",VLOOKUP(P378,'Tiempo Objeto'!$B$14:$C$22,2,FALSE),IF(O378="ALUMINIO",VLOOKUP(P378,'Tiempo Objeto'!$B$24:$C$32,2,FALSE))))</f>
        <v>1.84</v>
      </c>
      <c r="X378" s="84">
        <f t="shared" si="529"/>
        <v>46</v>
      </c>
      <c r="Y378" s="80">
        <f t="shared" si="530"/>
        <v>63.888888888888886</v>
      </c>
      <c r="Z378" s="100">
        <v>1</v>
      </c>
      <c r="AA378" s="85">
        <f t="shared" si="531"/>
        <v>30</v>
      </c>
      <c r="AB378" s="86">
        <f>+Z378*Analisis!$J$6</f>
        <v>25</v>
      </c>
      <c r="AC378" s="100">
        <v>0</v>
      </c>
      <c r="AD378" s="85">
        <f t="shared" si="532"/>
        <v>0</v>
      </c>
      <c r="AE378" s="86">
        <f>+AD378*Analisis!$J$7</f>
        <v>0</v>
      </c>
      <c r="AF378" s="86">
        <f t="shared" si="533"/>
        <v>491.20036988304093</v>
      </c>
      <c r="AG378" s="126">
        <f>+AF378/(1-Analisis!$E$9)</f>
        <v>614.00046235380114</v>
      </c>
      <c r="AH378" s="128">
        <f t="shared" si="535"/>
        <v>0</v>
      </c>
    </row>
    <row r="379" spans="1:35" s="73" customFormat="1" x14ac:dyDescent="0.25">
      <c r="A379" s="100"/>
      <c r="B379" s="108" t="s">
        <v>357</v>
      </c>
      <c r="C379" s="74">
        <f>IFERROR(VLOOKUP(B379,'REQ GALV'!A:B,2,0),0)</f>
        <v>0</v>
      </c>
      <c r="D379" s="116">
        <f t="shared" si="534"/>
        <v>1870.1886334064332</v>
      </c>
      <c r="E379" s="103" t="s">
        <v>41</v>
      </c>
      <c r="F379" s="75" t="s">
        <v>147</v>
      </c>
      <c r="G379" s="90">
        <v>23.92</v>
      </c>
      <c r="H379" s="90">
        <v>66.150000000000006</v>
      </c>
      <c r="I379" s="76">
        <v>0.105</v>
      </c>
      <c r="J379" s="77">
        <v>28.24</v>
      </c>
      <c r="K379" s="78">
        <f t="shared" si="515"/>
        <v>91.081075070821583</v>
      </c>
      <c r="L379" s="58">
        <f>+VLOOKUP(E379,Material!$H$2:$M$17,6,FALSE)*G379*H379*(1+Material!$K$14)</f>
        <v>1169.1498000000004</v>
      </c>
      <c r="M379" s="79" t="str">
        <f>+Analisis!$J$5</f>
        <v>T5.0</v>
      </c>
      <c r="N379" s="80">
        <f>+VLOOKUP(M379,Material!$A$3:$B$58,2,FALSE)</f>
        <v>5000</v>
      </c>
      <c r="O379" s="79" t="s">
        <v>42</v>
      </c>
      <c r="P379" s="79" t="s">
        <v>43</v>
      </c>
      <c r="Q379" s="81">
        <f>+IF(O379="ACERO A36",VLOOKUP(P379,'Velocidades Std 1500 w'!$B$2:$F$15,5,FALSE),IF(O379="INOXIDABLE",VLOOKUP(P379,'Velocidades Std 1500 w'!$B$17:$F$28,5,FALSE),IF(O379="ALUMINIO",VLOOKUP(P379,'Velocidades Std 1500 w'!$B$30:$F$38,5,FALSE))))</f>
        <v>4.3859649122807014E-6</v>
      </c>
      <c r="R379" s="82">
        <f t="shared" si="516"/>
        <v>2.1929824561403508E-2</v>
      </c>
      <c r="S379" s="83">
        <f t="shared" si="517"/>
        <v>107.44079684210524</v>
      </c>
      <c r="T379" s="110">
        <f t="shared" si="518"/>
        <v>6804.5837999999994</v>
      </c>
      <c r="U379" s="80">
        <f t="shared" si="519"/>
        <v>149.2233289473684</v>
      </c>
      <c r="V379" s="98">
        <v>50</v>
      </c>
      <c r="W379" s="84">
        <f>+IF(O379="ACERO A36",VLOOKUP(P379,'Tiempo Objeto'!$B$2:$C$12,2,FALSE),IF(O379="INOXIDABLE",VLOOKUP(P379,'Tiempo Objeto'!$B$14:$C$22,2,FALSE),IF(O379="ALUMINIO",VLOOKUP(P379,'Tiempo Objeto'!$B$24:$C$32,2,FALSE))))</f>
        <v>1.84</v>
      </c>
      <c r="X379" s="84">
        <f t="shared" si="520"/>
        <v>92</v>
      </c>
      <c r="Y379" s="80">
        <f t="shared" si="521"/>
        <v>127.77777777777777</v>
      </c>
      <c r="Z379" s="100">
        <v>2</v>
      </c>
      <c r="AA379" s="85">
        <f t="shared" si="522"/>
        <v>60</v>
      </c>
      <c r="AB379" s="86">
        <f>+Z379*Analisis!$J$6</f>
        <v>50</v>
      </c>
      <c r="AC379" s="100">
        <v>0</v>
      </c>
      <c r="AD379" s="85">
        <f t="shared" si="523"/>
        <v>0</v>
      </c>
      <c r="AE379" s="86">
        <f>+AD379*Analisis!$J$7</f>
        <v>0</v>
      </c>
      <c r="AF379" s="86">
        <f t="shared" si="533"/>
        <v>1496.1509067251466</v>
      </c>
      <c r="AG379" s="126">
        <f>+AF379/(1-Analisis!$E$9)</f>
        <v>1870.1886334064332</v>
      </c>
      <c r="AH379" s="128">
        <f t="shared" si="535"/>
        <v>0</v>
      </c>
    </row>
    <row r="380" spans="1:35" s="73" customFormat="1" x14ac:dyDescent="0.25">
      <c r="A380" s="100"/>
      <c r="B380" s="108" t="s">
        <v>358</v>
      </c>
      <c r="C380" s="74">
        <f>IFERROR(VLOOKUP(B380,'REQ GALV'!A:B,2,0),0)</f>
        <v>0</v>
      </c>
      <c r="D380" s="116">
        <f t="shared" si="534"/>
        <v>773.28808479532165</v>
      </c>
      <c r="E380" s="103" t="s">
        <v>41</v>
      </c>
      <c r="F380" s="75" t="s">
        <v>147</v>
      </c>
      <c r="G380" s="90">
        <v>16.77</v>
      </c>
      <c r="H380" s="90">
        <v>36</v>
      </c>
      <c r="I380" s="76">
        <v>0.105</v>
      </c>
      <c r="J380" s="77">
        <v>28.24</v>
      </c>
      <c r="K380" s="78">
        <f t="shared" si="515"/>
        <v>34.751430594900853</v>
      </c>
      <c r="L380" s="58">
        <f>+VLOOKUP(E380,Material!$H$2:$M$17,6,FALSE)*G380*H380*(1+Material!$K$14)</f>
        <v>446.08199999999999</v>
      </c>
      <c r="M380" s="79" t="str">
        <f>+Analisis!$J$5</f>
        <v>T5.0</v>
      </c>
      <c r="N380" s="80">
        <f>+VLOOKUP(M380,Material!$A$3:$B$58,2,FALSE)</f>
        <v>5000</v>
      </c>
      <c r="O380" s="79" t="s">
        <v>42</v>
      </c>
      <c r="P380" s="79" t="s">
        <v>43</v>
      </c>
      <c r="Q380" s="81">
        <f>+IF(O380="ACERO A36",VLOOKUP(P380,'Velocidades Std 1500 w'!$B$2:$F$15,5,FALSE),IF(O380="INOXIDABLE",VLOOKUP(P380,'Velocidades Std 1500 w'!$B$17:$F$28,5,FALSE),IF(O380="ALUMINIO",VLOOKUP(P380,'Velocidades Std 1500 w'!$B$30:$F$38,5,FALSE))))</f>
        <v>4.3859649122807014E-6</v>
      </c>
      <c r="R380" s="82">
        <f t="shared" si="516"/>
        <v>2.1929824561403508E-2</v>
      </c>
      <c r="S380" s="83">
        <f t="shared" si="517"/>
        <v>60.23489684210525</v>
      </c>
      <c r="T380" s="110">
        <f t="shared" si="518"/>
        <v>3814.8767999999995</v>
      </c>
      <c r="U380" s="80">
        <f t="shared" si="519"/>
        <v>83.659578947368402</v>
      </c>
      <c r="V380" s="98">
        <v>25</v>
      </c>
      <c r="W380" s="84">
        <f>+IF(O380="ACERO A36",VLOOKUP(P380,'Tiempo Objeto'!$B$2:$C$12,2,FALSE),IF(O380="INOXIDABLE",VLOOKUP(P380,'Tiempo Objeto'!$B$14:$C$22,2,FALSE),IF(O380="ALUMINIO",VLOOKUP(P380,'Tiempo Objeto'!$B$24:$C$32,2,FALSE))))</f>
        <v>1.84</v>
      </c>
      <c r="X380" s="84">
        <f t="shared" si="520"/>
        <v>46</v>
      </c>
      <c r="Y380" s="80">
        <f t="shared" si="521"/>
        <v>63.888888888888886</v>
      </c>
      <c r="Z380" s="100">
        <v>1</v>
      </c>
      <c r="AA380" s="85">
        <f t="shared" si="522"/>
        <v>30</v>
      </c>
      <c r="AB380" s="86">
        <f>+Z380*Analisis!$J$6</f>
        <v>25</v>
      </c>
      <c r="AC380" s="100">
        <v>0</v>
      </c>
      <c r="AD380" s="85">
        <f t="shared" si="523"/>
        <v>0</v>
      </c>
      <c r="AE380" s="86">
        <f>+AD380*Analisis!$J$7</f>
        <v>0</v>
      </c>
      <c r="AF380" s="86">
        <f t="shared" si="533"/>
        <v>618.63046783625737</v>
      </c>
      <c r="AG380" s="126">
        <f>+AF380/(1-Analisis!$E$9)</f>
        <v>773.28808479532165</v>
      </c>
      <c r="AH380" s="128">
        <f t="shared" si="535"/>
        <v>0</v>
      </c>
    </row>
    <row r="381" spans="1:35" s="73" customFormat="1" x14ac:dyDescent="0.25">
      <c r="A381" s="100"/>
      <c r="B381" s="108" t="s">
        <v>546</v>
      </c>
      <c r="C381" s="138">
        <f>IFERROR(VLOOKUP(B381,'REQ GALV'!A:B,2,0),0)</f>
        <v>1200</v>
      </c>
      <c r="D381" s="116">
        <f t="shared" si="534"/>
        <v>78.416666666666657</v>
      </c>
      <c r="E381" s="103" t="s">
        <v>44</v>
      </c>
      <c r="F381" s="75" t="s">
        <v>314</v>
      </c>
      <c r="G381" s="90">
        <v>3</v>
      </c>
      <c r="H381" s="90">
        <v>3.52</v>
      </c>
      <c r="I381" s="76">
        <v>0.105</v>
      </c>
      <c r="J381" s="77">
        <v>28.24</v>
      </c>
      <c r="K381" s="78">
        <f t="shared" si="515"/>
        <v>0.74082507082152993</v>
      </c>
      <c r="L381" s="58">
        <f>+VLOOKUP(E381,Material!$H$2:$M$17,6,FALSE)*G381*H381*(1+Material!$K$14)</f>
        <v>9.509500000000001</v>
      </c>
      <c r="M381" s="79" t="str">
        <f>+Analisis!$J$5</f>
        <v>T5.0</v>
      </c>
      <c r="N381" s="80">
        <f>+VLOOKUP(M381,Material!$A$3:$B$58,2,FALSE)</f>
        <v>5000</v>
      </c>
      <c r="O381" s="79" t="s">
        <v>42</v>
      </c>
      <c r="P381" s="79" t="s">
        <v>43</v>
      </c>
      <c r="Q381" s="81">
        <f>+IF(O381="ACERO A36",VLOOKUP(P381,'Velocidades Std 1500 w'!$B$2:$F$15,5,FALSE),IF(O381="INOXIDABLE",VLOOKUP(P381,'Velocidades Std 1500 w'!$B$17:$F$28,5,FALSE),IF(O381="ALUMINIO",VLOOKUP(P381,'Velocidades Std 1500 w'!$B$30:$F$38,5,FALSE))))</f>
        <v>4.3859649122807014E-6</v>
      </c>
      <c r="R381" s="82">
        <f t="shared" si="516"/>
        <v>2.1929824561403508E-2</v>
      </c>
      <c r="S381" s="83">
        <f t="shared" si="517"/>
        <v>9.2811599999999981</v>
      </c>
      <c r="T381" s="110">
        <f t="shared" si="518"/>
        <v>587.80679999999995</v>
      </c>
      <c r="U381" s="80">
        <f t="shared" si="519"/>
        <v>12.890499999999998</v>
      </c>
      <c r="V381" s="98">
        <v>6</v>
      </c>
      <c r="W381" s="84">
        <f>+IF(O381="ACERO A36",VLOOKUP(P381,'Tiempo Objeto'!$B$2:$C$12,2,FALSE),IF(O381="INOXIDABLE",VLOOKUP(P381,'Tiempo Objeto'!$B$14:$C$22,2,FALSE),IF(O381="ALUMINIO",VLOOKUP(P381,'Tiempo Objeto'!$B$24:$C$32,2,FALSE))))</f>
        <v>1.84</v>
      </c>
      <c r="X381" s="84">
        <f t="shared" si="520"/>
        <v>11.040000000000001</v>
      </c>
      <c r="Y381" s="80">
        <f t="shared" si="521"/>
        <v>15.333333333333336</v>
      </c>
      <c r="Z381" s="100">
        <v>1</v>
      </c>
      <c r="AA381" s="85">
        <f t="shared" si="522"/>
        <v>1830</v>
      </c>
      <c r="AB381" s="86">
        <f>+Z381*Analisis!$J$6</f>
        <v>25</v>
      </c>
      <c r="AC381" s="100">
        <v>0</v>
      </c>
      <c r="AD381" s="85">
        <f t="shared" si="523"/>
        <v>0</v>
      </c>
      <c r="AE381" s="86">
        <f>+AD381*Analisis!$J$7</f>
        <v>0</v>
      </c>
      <c r="AF381" s="86">
        <f t="shared" si="533"/>
        <v>62.733333333333334</v>
      </c>
      <c r="AG381" s="126">
        <f>+AF381/(1-Analisis!$E$9)</f>
        <v>78.416666666666657</v>
      </c>
      <c r="AH381" s="128">
        <f t="shared" si="535"/>
        <v>94099.999999999985</v>
      </c>
      <c r="AI381" s="128">
        <f>+L381*C381</f>
        <v>11411.400000000001</v>
      </c>
    </row>
    <row r="382" spans="1:35" s="73" customFormat="1" x14ac:dyDescent="0.25">
      <c r="A382" s="100"/>
      <c r="B382" s="108" t="s">
        <v>547</v>
      </c>
      <c r="C382" s="74">
        <f>IFERROR(VLOOKUP(B382,'REQ GALV'!A:B,2,0),0)</f>
        <v>0</v>
      </c>
      <c r="D382" s="116">
        <f t="shared" si="534"/>
        <v>94.746734283625727</v>
      </c>
      <c r="E382" s="103" t="s">
        <v>41</v>
      </c>
      <c r="F382" s="75" t="s">
        <v>314</v>
      </c>
      <c r="G382" s="90">
        <v>11.82</v>
      </c>
      <c r="H382" s="90">
        <v>2</v>
      </c>
      <c r="I382" s="76">
        <v>0.105</v>
      </c>
      <c r="J382" s="77">
        <v>28.24</v>
      </c>
      <c r="K382" s="78">
        <f t="shared" ref="K382:K403" si="536">+L382*2.2/J382</f>
        <v>1.3607695939565632</v>
      </c>
      <c r="L382" s="58">
        <f>+VLOOKUP(E382,Material!$H$2:$M$17,6,FALSE)*G382*H382*(1+Material!$K$14)</f>
        <v>17.467333333333336</v>
      </c>
      <c r="M382" s="79" t="str">
        <f>+Analisis!$J$5</f>
        <v>T5.0</v>
      </c>
      <c r="N382" s="80">
        <f>+VLOOKUP(M382,Material!$A$3:$B$58,2,FALSE)</f>
        <v>5000</v>
      </c>
      <c r="O382" s="79" t="s">
        <v>42</v>
      </c>
      <c r="P382" s="79" t="s">
        <v>43</v>
      </c>
      <c r="Q382" s="81">
        <f>+IF(O382="ACERO A36",VLOOKUP(P382,'Velocidades Std 1500 w'!$B$2:$F$15,5,FALSE),IF(O382="INOXIDABLE",VLOOKUP(P382,'Velocidades Std 1500 w'!$B$17:$F$28,5,FALSE),IF(O382="ALUMINIO",VLOOKUP(P382,'Velocidades Std 1500 w'!$B$30:$F$38,5,FALSE))))</f>
        <v>4.3859649122807014E-6</v>
      </c>
      <c r="R382" s="82">
        <f t="shared" ref="R382:R403" si="537">+Q382*N382</f>
        <v>2.1929824561403508E-2</v>
      </c>
      <c r="S382" s="83">
        <f t="shared" ref="S382:S403" si="538">+Q382*T382*3600</f>
        <v>14.797638947368418</v>
      </c>
      <c r="T382" s="110">
        <f t="shared" ref="T382:T403" si="539">(+H382*2+G382*2+V382*1.5)*25.4*1.05</f>
        <v>937.18379999999991</v>
      </c>
      <c r="U382" s="80">
        <f t="shared" ref="U382:U403" si="540">+T382*R382</f>
        <v>20.55227631578947</v>
      </c>
      <c r="V382" s="98">
        <v>5</v>
      </c>
      <c r="W382" s="84">
        <f>+IF(O382="ACERO A36",VLOOKUP(P382,'Tiempo Objeto'!$B$2:$C$12,2,FALSE),IF(O382="INOXIDABLE",VLOOKUP(P382,'Tiempo Objeto'!$B$14:$C$22,2,FALSE),IF(O382="ALUMINIO",VLOOKUP(P382,'Tiempo Objeto'!$B$24:$C$32,2,FALSE))))</f>
        <v>1.84</v>
      </c>
      <c r="X382" s="84">
        <f t="shared" ref="X382:X403" si="541">+W382*V382</f>
        <v>9.2000000000000011</v>
      </c>
      <c r="Y382" s="80">
        <f t="shared" ref="Y382:Y403" si="542">+X382*N382/3600</f>
        <v>12.77777777777778</v>
      </c>
      <c r="Z382" s="100">
        <v>1</v>
      </c>
      <c r="AA382" s="85">
        <f t="shared" ref="AA382:AA426" si="543">30*Z382+Z382*$C382*1.5</f>
        <v>30</v>
      </c>
      <c r="AB382" s="86">
        <f>+Z382*Analisis!$J$6</f>
        <v>25</v>
      </c>
      <c r="AC382" s="100">
        <v>0</v>
      </c>
      <c r="AD382" s="85">
        <f t="shared" ref="AD382:AD413" si="544">30*AC382+AC382*$C382*1.5</f>
        <v>0</v>
      </c>
      <c r="AE382" s="86">
        <f>+AD382*Analisis!$J$7</f>
        <v>0</v>
      </c>
      <c r="AF382" s="86">
        <f t="shared" si="533"/>
        <v>75.797387426900585</v>
      </c>
      <c r="AG382" s="126">
        <f>+AF382/(1-Analisis!$E$9)</f>
        <v>94.746734283625727</v>
      </c>
      <c r="AH382" s="128">
        <f t="shared" si="535"/>
        <v>0</v>
      </c>
    </row>
    <row r="383" spans="1:35" s="73" customFormat="1" x14ac:dyDescent="0.25">
      <c r="A383" s="100"/>
      <c r="B383" s="108" t="s">
        <v>548</v>
      </c>
      <c r="C383" s="138">
        <f>IFERROR(VLOOKUP(B383,'REQ GALV'!A:B,2,0),0)</f>
        <v>60</v>
      </c>
      <c r="D383" s="116">
        <f t="shared" si="534"/>
        <v>197.26681140350877</v>
      </c>
      <c r="E383" s="103" t="s">
        <v>41</v>
      </c>
      <c r="F383" s="75" t="s">
        <v>314</v>
      </c>
      <c r="G383" s="90">
        <v>20.440000000000001</v>
      </c>
      <c r="H383" s="90">
        <v>3.95</v>
      </c>
      <c r="I383" s="76">
        <v>0.105</v>
      </c>
      <c r="J383" s="77">
        <v>28.24</v>
      </c>
      <c r="K383" s="78">
        <f t="shared" si="536"/>
        <v>4.6474541233868445</v>
      </c>
      <c r="L383" s="58">
        <f>+VLOOKUP(E383,Material!$H$2:$M$17,6,FALSE)*G383*H383*(1+Material!$K$14)</f>
        <v>59.656411111111119</v>
      </c>
      <c r="M383" s="79" t="str">
        <f>+Analisis!$J$5</f>
        <v>T5.0</v>
      </c>
      <c r="N383" s="80">
        <f>+VLOOKUP(M383,Material!$A$3:$B$58,2,FALSE)</f>
        <v>5000</v>
      </c>
      <c r="O383" s="79" t="s">
        <v>42</v>
      </c>
      <c r="P383" s="79" t="s">
        <v>43</v>
      </c>
      <c r="Q383" s="81">
        <f>+IF(O383="ACERO A36",VLOOKUP(P383,'Velocidades Std 1500 w'!$B$2:$F$15,5,FALSE),IF(O383="INOXIDABLE",VLOOKUP(P383,'Velocidades Std 1500 w'!$B$17:$F$28,5,FALSE),IF(O383="ALUMINIO",VLOOKUP(P383,'Velocidades Std 1500 w'!$B$30:$F$38,5,FALSE))))</f>
        <v>4.3859649122807014E-6</v>
      </c>
      <c r="R383" s="82">
        <f t="shared" si="537"/>
        <v>2.1929824561403508E-2</v>
      </c>
      <c r="S383" s="83">
        <f t="shared" si="538"/>
        <v>28.753067368421046</v>
      </c>
      <c r="T383" s="110">
        <f t="shared" si="539"/>
        <v>1821.0275999999999</v>
      </c>
      <c r="U383" s="80">
        <f t="shared" si="540"/>
        <v>39.934815789473681</v>
      </c>
      <c r="V383" s="98">
        <v>13</v>
      </c>
      <c r="W383" s="84">
        <f>+IF(O383="ACERO A36",VLOOKUP(P383,'Tiempo Objeto'!$B$2:$C$12,2,FALSE),IF(O383="INOXIDABLE",VLOOKUP(P383,'Tiempo Objeto'!$B$14:$C$22,2,FALSE),IF(O383="ALUMINIO",VLOOKUP(P383,'Tiempo Objeto'!$B$24:$C$32,2,FALSE))))</f>
        <v>1.84</v>
      </c>
      <c r="X383" s="84">
        <f t="shared" si="541"/>
        <v>23.92</v>
      </c>
      <c r="Y383" s="80">
        <f t="shared" si="542"/>
        <v>33.222222222222229</v>
      </c>
      <c r="Z383" s="100">
        <v>1</v>
      </c>
      <c r="AA383" s="85">
        <f t="shared" si="543"/>
        <v>120</v>
      </c>
      <c r="AB383" s="86">
        <f>+Z383*Analisis!$J$6</f>
        <v>25</v>
      </c>
      <c r="AC383" s="100">
        <v>0</v>
      </c>
      <c r="AD383" s="85">
        <f t="shared" si="544"/>
        <v>0</v>
      </c>
      <c r="AE383" s="86">
        <f>+AD383*Analisis!$J$7</f>
        <v>0</v>
      </c>
      <c r="AF383" s="86">
        <f t="shared" si="533"/>
        <v>157.81344912280701</v>
      </c>
      <c r="AG383" s="126">
        <f>+AF383/(1-Analisis!$E$9)</f>
        <v>197.26681140350877</v>
      </c>
      <c r="AH383" s="128">
        <f t="shared" si="535"/>
        <v>11836.008684210527</v>
      </c>
      <c r="AI383" s="128">
        <f>+L383*C383</f>
        <v>3579.3846666666673</v>
      </c>
    </row>
    <row r="384" spans="1:35" s="73" customFormat="1" x14ac:dyDescent="0.25">
      <c r="A384" s="100"/>
      <c r="B384" s="108" t="s">
        <v>549</v>
      </c>
      <c r="C384" s="74">
        <f>IFERROR(VLOOKUP(B384,'REQ GALV'!A:B,2,0),0)</f>
        <v>0</v>
      </c>
      <c r="D384" s="116">
        <f t="shared" si="534"/>
        <v>125.54952653508772</v>
      </c>
      <c r="E384" s="103" t="s">
        <v>41</v>
      </c>
      <c r="F384" s="75" t="s">
        <v>314</v>
      </c>
      <c r="G384" s="90">
        <v>2.82</v>
      </c>
      <c r="H384" s="90">
        <v>3.64</v>
      </c>
      <c r="I384" s="76">
        <v>0.105</v>
      </c>
      <c r="J384" s="77">
        <v>28.24</v>
      </c>
      <c r="K384" s="78">
        <f t="shared" si="536"/>
        <v>0.59086411709159603</v>
      </c>
      <c r="L384" s="58">
        <f>+VLOOKUP(E384,Material!$H$2:$M$17,6,FALSE)*G384*H384*(1+Material!$K$14)</f>
        <v>7.5845466666666672</v>
      </c>
      <c r="M384" s="79" t="str">
        <f>+Analisis!$J$5</f>
        <v>T5.0</v>
      </c>
      <c r="N384" s="80">
        <f>+VLOOKUP(M384,Material!$A$3:$B$58,2,FALSE)</f>
        <v>5000</v>
      </c>
      <c r="O384" s="79" t="s">
        <v>42</v>
      </c>
      <c r="P384" s="79" t="s">
        <v>43</v>
      </c>
      <c r="Q384" s="81">
        <f>+IF(O384="ACERO A36",VLOOKUP(P384,'Velocidades Std 1500 w'!$B$2:$F$15,5,FALSE),IF(O384="INOXIDABLE",VLOOKUP(P384,'Velocidades Std 1500 w'!$B$17:$F$28,5,FALSE),IF(O384="ALUMINIO",VLOOKUP(P384,'Velocidades Std 1500 w'!$B$30:$F$38,5,FALSE))))</f>
        <v>4.3859649122807014E-6</v>
      </c>
      <c r="R384" s="82">
        <f t="shared" si="537"/>
        <v>2.1929824561403508E-2</v>
      </c>
      <c r="S384" s="83">
        <f t="shared" si="538"/>
        <v>7.3356536842105262</v>
      </c>
      <c r="T384" s="110">
        <f t="shared" si="539"/>
        <v>464.59140000000002</v>
      </c>
      <c r="U384" s="80">
        <f t="shared" si="540"/>
        <v>10.188407894736843</v>
      </c>
      <c r="V384" s="98">
        <v>3</v>
      </c>
      <c r="W384" s="84">
        <f>+IF(O384="ACERO A36",VLOOKUP(P384,'Tiempo Objeto'!$B$2:$C$12,2,FALSE),IF(O384="INOXIDABLE",VLOOKUP(P384,'Tiempo Objeto'!$B$14:$C$22,2,FALSE),IF(O384="ALUMINIO",VLOOKUP(P384,'Tiempo Objeto'!$B$24:$C$32,2,FALSE))))</f>
        <v>1.84</v>
      </c>
      <c r="X384" s="84">
        <f t="shared" si="541"/>
        <v>5.5200000000000005</v>
      </c>
      <c r="Y384" s="80">
        <f t="shared" si="542"/>
        <v>7.6666666666666679</v>
      </c>
      <c r="Z384" s="100">
        <v>3</v>
      </c>
      <c r="AA384" s="85">
        <f t="shared" si="543"/>
        <v>90</v>
      </c>
      <c r="AB384" s="86">
        <f>+Z384*Analisis!$J$6</f>
        <v>75</v>
      </c>
      <c r="AC384" s="100">
        <v>0</v>
      </c>
      <c r="AD384" s="85">
        <f t="shared" si="544"/>
        <v>0</v>
      </c>
      <c r="AE384" s="86">
        <f>+AD384*Analisis!$J$7</f>
        <v>0</v>
      </c>
      <c r="AF384" s="86">
        <f t="shared" si="533"/>
        <v>100.43962122807018</v>
      </c>
      <c r="AG384" s="126">
        <f>+AF384/(1-Analisis!$E$9)</f>
        <v>125.54952653508772</v>
      </c>
      <c r="AH384" s="128">
        <f t="shared" si="535"/>
        <v>0</v>
      </c>
    </row>
    <row r="385" spans="1:35" s="73" customFormat="1" x14ac:dyDescent="0.25">
      <c r="A385" s="100"/>
      <c r="B385" s="108" t="s">
        <v>550</v>
      </c>
      <c r="C385" s="138">
        <f>IFERROR(VLOOKUP(B385,'REQ GALV'!A:B,2,0),0)</f>
        <v>120</v>
      </c>
      <c r="D385" s="116">
        <f t="shared" si="534"/>
        <v>213.55455506213448</v>
      </c>
      <c r="E385" s="103" t="s">
        <v>44</v>
      </c>
      <c r="F385" s="75" t="s">
        <v>314</v>
      </c>
      <c r="G385" s="90">
        <v>4.04</v>
      </c>
      <c r="H385" s="90">
        <v>8.0399999999999991</v>
      </c>
      <c r="I385" s="76">
        <v>0.105</v>
      </c>
      <c r="J385" s="77">
        <v>28.24</v>
      </c>
      <c r="K385" s="78">
        <f t="shared" si="536"/>
        <v>2.278710570113315</v>
      </c>
      <c r="L385" s="58">
        <f>+VLOOKUP(E385,Material!$H$2:$M$17,6,FALSE)*G385*H385*(1+Material!$K$14)</f>
        <v>29.250357500000003</v>
      </c>
      <c r="M385" s="79" t="str">
        <f>+Analisis!$J$5</f>
        <v>T5.0</v>
      </c>
      <c r="N385" s="80">
        <f>+VLOOKUP(M385,Material!$A$3:$B$58,2,FALSE)</f>
        <v>5000</v>
      </c>
      <c r="O385" s="79" t="s">
        <v>42</v>
      </c>
      <c r="P385" s="79" t="s">
        <v>43</v>
      </c>
      <c r="Q385" s="81">
        <f>+IF(O385="ACERO A36",VLOOKUP(P385,'Velocidades Std 1500 w'!$B$2:$F$15,5,FALSE),IF(O385="INOXIDABLE",VLOOKUP(P385,'Velocidades Std 1500 w'!$B$17:$F$28,5,FALSE),IF(O385="ALUMINIO",VLOOKUP(P385,'Velocidades Std 1500 w'!$B$30:$F$38,5,FALSE))))</f>
        <v>4.3859649122807014E-6</v>
      </c>
      <c r="R385" s="82">
        <f t="shared" si="537"/>
        <v>2.1929824561403508E-2</v>
      </c>
      <c r="S385" s="83">
        <f t="shared" si="538"/>
        <v>15.227166315789471</v>
      </c>
      <c r="T385" s="110">
        <f t="shared" si="539"/>
        <v>964.38719999999989</v>
      </c>
      <c r="U385" s="80">
        <f t="shared" si="540"/>
        <v>21.148842105263153</v>
      </c>
      <c r="V385" s="98">
        <v>8</v>
      </c>
      <c r="W385" s="84">
        <f>+IF(O385="ACERO A36",VLOOKUP(P385,'Tiempo Objeto'!$B$2:$C$12,2,FALSE),IF(O385="INOXIDABLE",VLOOKUP(P385,'Tiempo Objeto'!$B$14:$C$22,2,FALSE),IF(O385="ALUMINIO",VLOOKUP(P385,'Tiempo Objeto'!$B$24:$C$32,2,FALSE))))</f>
        <v>1.84</v>
      </c>
      <c r="X385" s="84">
        <f t="shared" si="541"/>
        <v>14.72</v>
      </c>
      <c r="Y385" s="80">
        <f t="shared" si="542"/>
        <v>20.444444444444443</v>
      </c>
      <c r="Z385" s="100">
        <v>4</v>
      </c>
      <c r="AA385" s="85">
        <f t="shared" si="543"/>
        <v>840</v>
      </c>
      <c r="AB385" s="86">
        <f>+Z385*Analisis!$J$6</f>
        <v>100</v>
      </c>
      <c r="AC385" s="100">
        <v>0</v>
      </c>
      <c r="AD385" s="85">
        <f t="shared" si="544"/>
        <v>0</v>
      </c>
      <c r="AE385" s="86">
        <f>+AD385*Analisis!$J$7</f>
        <v>0</v>
      </c>
      <c r="AF385" s="86">
        <f t="shared" si="533"/>
        <v>170.84364404970759</v>
      </c>
      <c r="AG385" s="126">
        <f>+AF385/(1-Analisis!$E$9)</f>
        <v>213.55455506213448</v>
      </c>
      <c r="AH385" s="128">
        <f t="shared" si="535"/>
        <v>25626.546607456137</v>
      </c>
      <c r="AI385" s="128">
        <f t="shared" ref="AI385:AI390" si="545">+L385*C385</f>
        <v>3510.0429000000004</v>
      </c>
    </row>
    <row r="386" spans="1:35" s="73" customFormat="1" x14ac:dyDescent="0.25">
      <c r="A386" s="100"/>
      <c r="B386" s="108" t="s">
        <v>551</v>
      </c>
      <c r="C386" s="138">
        <f>IFERROR(VLOOKUP(B386,'REQ GALV'!A:B,2,0),0)</f>
        <v>75</v>
      </c>
      <c r="D386" s="116">
        <f t="shared" si="534"/>
        <v>958.79388691520455</v>
      </c>
      <c r="E386" s="103" t="s">
        <v>41</v>
      </c>
      <c r="F386" s="75" t="s">
        <v>314</v>
      </c>
      <c r="G386" s="90">
        <v>15.59</v>
      </c>
      <c r="H386" s="90">
        <v>45.72</v>
      </c>
      <c r="I386" s="76">
        <v>0.105</v>
      </c>
      <c r="J386" s="77">
        <v>28.24</v>
      </c>
      <c r="K386" s="78">
        <f t="shared" si="536"/>
        <v>41.028861048158646</v>
      </c>
      <c r="L386" s="58">
        <f>+VLOOKUP(E386,Material!$H$2:$M$17,6,FALSE)*G386*H386*(1+Material!$K$14)</f>
        <v>526.66138000000001</v>
      </c>
      <c r="M386" s="79" t="str">
        <f>+Analisis!$J$5</f>
        <v>T5.0</v>
      </c>
      <c r="N386" s="80">
        <f>+VLOOKUP(M386,Material!$A$3:$B$58,2,FALSE)</f>
        <v>5000</v>
      </c>
      <c r="O386" s="79" t="s">
        <v>42</v>
      </c>
      <c r="P386" s="79" t="s">
        <v>43</v>
      </c>
      <c r="Q386" s="81">
        <f>+IF(O386="ACERO A36",VLOOKUP(P386,'Velocidades Std 1500 w'!$B$2:$F$15,5,FALSE),IF(O386="INOXIDABLE",VLOOKUP(P386,'Velocidades Std 1500 w'!$B$17:$F$28,5,FALSE),IF(O386="ALUMINIO",VLOOKUP(P386,'Velocidades Std 1500 w'!$B$30:$F$38,5,FALSE))))</f>
        <v>4.3859649122807014E-6</v>
      </c>
      <c r="R386" s="82">
        <f t="shared" si="537"/>
        <v>2.1929824561403508E-2</v>
      </c>
      <c r="S386" s="83">
        <f t="shared" si="538"/>
        <v>64.269085263157891</v>
      </c>
      <c r="T386" s="110">
        <f t="shared" si="539"/>
        <v>4070.3753999999999</v>
      </c>
      <c r="U386" s="80">
        <f t="shared" si="540"/>
        <v>89.262618421052622</v>
      </c>
      <c r="V386" s="98">
        <v>20</v>
      </c>
      <c r="W386" s="84">
        <f>+IF(O386="ACERO A36",VLOOKUP(P386,'Tiempo Objeto'!$B$2:$C$12,2,FALSE),IF(O386="INOXIDABLE",VLOOKUP(P386,'Tiempo Objeto'!$B$14:$C$22,2,FALSE),IF(O386="ALUMINIO",VLOOKUP(P386,'Tiempo Objeto'!$B$24:$C$32,2,FALSE))))</f>
        <v>1.84</v>
      </c>
      <c r="X386" s="84">
        <f t="shared" si="541"/>
        <v>36.800000000000004</v>
      </c>
      <c r="Y386" s="80">
        <f t="shared" si="542"/>
        <v>51.111111111111121</v>
      </c>
      <c r="Z386" s="100">
        <v>4</v>
      </c>
      <c r="AA386" s="85">
        <f t="shared" si="543"/>
        <v>570</v>
      </c>
      <c r="AB386" s="86">
        <f>+Z386*Analisis!$J$6</f>
        <v>100</v>
      </c>
      <c r="AC386" s="100">
        <v>0</v>
      </c>
      <c r="AD386" s="85">
        <f t="shared" si="544"/>
        <v>0</v>
      </c>
      <c r="AE386" s="86">
        <f>+AD386*Analisis!$J$7</f>
        <v>0</v>
      </c>
      <c r="AF386" s="86">
        <f t="shared" si="533"/>
        <v>767.03510953216369</v>
      </c>
      <c r="AG386" s="126">
        <f>+AF386/(1-Analisis!$E$9)</f>
        <v>958.79388691520455</v>
      </c>
      <c r="AH386" s="128">
        <f t="shared" si="535"/>
        <v>71909.541518640341</v>
      </c>
      <c r="AI386" s="128">
        <f t="shared" si="545"/>
        <v>39499.603499999997</v>
      </c>
    </row>
    <row r="387" spans="1:35" s="73" customFormat="1" x14ac:dyDescent="0.25">
      <c r="A387" s="100"/>
      <c r="B387" s="108" t="s">
        <v>552</v>
      </c>
      <c r="C387" s="138">
        <f>IFERROR(VLOOKUP(B387,'REQ GALV'!A:B,2,0),0)</f>
        <v>90</v>
      </c>
      <c r="D387" s="116">
        <f t="shared" si="534"/>
        <v>864.61885514437142</v>
      </c>
      <c r="E387" s="103" t="s">
        <v>130</v>
      </c>
      <c r="F387" s="75" t="s">
        <v>314</v>
      </c>
      <c r="G387" s="90">
        <v>15.58</v>
      </c>
      <c r="H387" s="90">
        <v>51.96</v>
      </c>
      <c r="I387" s="76">
        <v>0.105</v>
      </c>
      <c r="J387" s="77">
        <v>28.24</v>
      </c>
      <c r="K387" s="78">
        <f t="shared" si="536"/>
        <v>30.580391173866861</v>
      </c>
      <c r="L387" s="58">
        <f>+VLOOKUP(E387,Material!$H$2:$M$17,6,FALSE)*G387*H387*(1+Material!$K$14)</f>
        <v>392.54102125000003</v>
      </c>
      <c r="M387" s="79" t="str">
        <f>+Analisis!$J$5</f>
        <v>T5.0</v>
      </c>
      <c r="N387" s="80">
        <f>+VLOOKUP(M387,Material!$A$3:$B$58,2,FALSE)</f>
        <v>5000</v>
      </c>
      <c r="O387" s="79" t="s">
        <v>42</v>
      </c>
      <c r="P387" s="79" t="s">
        <v>43</v>
      </c>
      <c r="Q387" s="81">
        <f>+IF(O387="ACERO A36",VLOOKUP(P387,'Velocidades Std 1500 w'!$B$2:$F$15,5,FALSE),IF(O387="INOXIDABLE",VLOOKUP(P387,'Velocidades Std 1500 w'!$B$17:$F$28,5,FALSE),IF(O387="ALUMINIO",VLOOKUP(P387,'Velocidades Std 1500 w'!$B$30:$F$38,5,FALSE))))</f>
        <v>4.3859649122807014E-6</v>
      </c>
      <c r="R387" s="82">
        <f t="shared" si="537"/>
        <v>2.1929824561403508E-2</v>
      </c>
      <c r="S387" s="83">
        <f t="shared" si="538"/>
        <v>78.990925263157891</v>
      </c>
      <c r="T387" s="110">
        <f t="shared" si="539"/>
        <v>5002.7586000000001</v>
      </c>
      <c r="U387" s="80">
        <f t="shared" si="540"/>
        <v>109.70961842105262</v>
      </c>
      <c r="V387" s="98">
        <v>35</v>
      </c>
      <c r="W387" s="84">
        <f>+IF(O387="ACERO A36",VLOOKUP(P387,'Tiempo Objeto'!$B$2:$C$12,2,FALSE),IF(O387="INOXIDABLE",VLOOKUP(P387,'Tiempo Objeto'!$B$14:$C$22,2,FALSE),IF(O387="ALUMINIO",VLOOKUP(P387,'Tiempo Objeto'!$B$24:$C$32,2,FALSE))))</f>
        <v>1.84</v>
      </c>
      <c r="X387" s="84">
        <f t="shared" si="541"/>
        <v>64.400000000000006</v>
      </c>
      <c r="Y387" s="80">
        <f t="shared" si="542"/>
        <v>89.444444444444443</v>
      </c>
      <c r="Z387" s="100">
        <v>4</v>
      </c>
      <c r="AA387" s="85">
        <f t="shared" si="543"/>
        <v>660</v>
      </c>
      <c r="AB387" s="86">
        <f>+Z387*Analisis!$J$6</f>
        <v>100</v>
      </c>
      <c r="AC387" s="100">
        <v>0</v>
      </c>
      <c r="AD387" s="85">
        <f t="shared" si="544"/>
        <v>0</v>
      </c>
      <c r="AE387" s="86">
        <f>+AD387*Analisis!$J$7</f>
        <v>0</v>
      </c>
      <c r="AF387" s="86">
        <f t="shared" si="533"/>
        <v>691.69508411549714</v>
      </c>
      <c r="AG387" s="126">
        <f>+AF387/(1-Analisis!$E$9)</f>
        <v>864.61885514437142</v>
      </c>
      <c r="AH387" s="128">
        <f t="shared" si="535"/>
        <v>77815.696962993432</v>
      </c>
      <c r="AI387" s="128">
        <f t="shared" si="545"/>
        <v>35328.691912500006</v>
      </c>
    </row>
    <row r="388" spans="1:35" s="73" customFormat="1" x14ac:dyDescent="0.25">
      <c r="A388" s="100"/>
      <c r="B388" s="108" t="s">
        <v>553</v>
      </c>
      <c r="C388" s="138">
        <f>IFERROR(VLOOKUP(B388,'REQ GALV'!A:B,2,0),0)</f>
        <v>90</v>
      </c>
      <c r="D388" s="116">
        <f t="shared" si="534"/>
        <v>728.29988755939326</v>
      </c>
      <c r="E388" s="103" t="s">
        <v>130</v>
      </c>
      <c r="F388" s="75" t="s">
        <v>314</v>
      </c>
      <c r="G388" s="90">
        <v>15.58</v>
      </c>
      <c r="H388" s="90">
        <v>39.46</v>
      </c>
      <c r="I388" s="76">
        <v>0.105</v>
      </c>
      <c r="J388" s="77">
        <v>28.24</v>
      </c>
      <c r="K388" s="78">
        <f t="shared" si="536"/>
        <v>23.223676592008971</v>
      </c>
      <c r="L388" s="58">
        <f>+VLOOKUP(E388,Material!$H$2:$M$17,6,FALSE)*G388*H388*(1+Material!$K$14)</f>
        <v>298.10755770833333</v>
      </c>
      <c r="M388" s="79" t="str">
        <f>+Analisis!$J$5</f>
        <v>T5.0</v>
      </c>
      <c r="N388" s="80">
        <f>+VLOOKUP(M388,Material!$A$3:$B$58,2,FALSE)</f>
        <v>5000</v>
      </c>
      <c r="O388" s="79" t="s">
        <v>42</v>
      </c>
      <c r="P388" s="79" t="s">
        <v>43</v>
      </c>
      <c r="Q388" s="81">
        <f>+IF(O388="ACERO A36",VLOOKUP(P388,'Velocidades Std 1500 w'!$B$2:$F$15,5,FALSE),IF(O388="INOXIDABLE",VLOOKUP(P388,'Velocidades Std 1500 w'!$B$17:$F$28,5,FALSE),IF(O388="ALUMINIO",VLOOKUP(P388,'Velocidades Std 1500 w'!$B$30:$F$38,5,FALSE))))</f>
        <v>4.3859649122807014E-6</v>
      </c>
      <c r="R388" s="82">
        <f t="shared" si="537"/>
        <v>2.1929824561403508E-2</v>
      </c>
      <c r="S388" s="83">
        <f t="shared" si="538"/>
        <v>68.463293684210512</v>
      </c>
      <c r="T388" s="110">
        <f t="shared" si="539"/>
        <v>4336.0085999999992</v>
      </c>
      <c r="U388" s="80">
        <f t="shared" si="540"/>
        <v>95.087907894736816</v>
      </c>
      <c r="V388" s="98">
        <v>35</v>
      </c>
      <c r="W388" s="84">
        <f>+IF(O388="ACERO A36",VLOOKUP(P388,'Tiempo Objeto'!$B$2:$C$12,2,FALSE),IF(O388="INOXIDABLE",VLOOKUP(P388,'Tiempo Objeto'!$B$14:$C$22,2,FALSE),IF(O388="ALUMINIO",VLOOKUP(P388,'Tiempo Objeto'!$B$24:$C$32,2,FALSE))))</f>
        <v>1.84</v>
      </c>
      <c r="X388" s="84">
        <f t="shared" si="541"/>
        <v>64.400000000000006</v>
      </c>
      <c r="Y388" s="80">
        <f t="shared" si="542"/>
        <v>89.444444444444443</v>
      </c>
      <c r="Z388" s="100">
        <v>4</v>
      </c>
      <c r="AA388" s="85">
        <f t="shared" si="543"/>
        <v>660</v>
      </c>
      <c r="AB388" s="86">
        <f>+Z388*Analisis!$J$6</f>
        <v>100</v>
      </c>
      <c r="AC388" s="100">
        <v>0</v>
      </c>
      <c r="AD388" s="85">
        <f t="shared" si="544"/>
        <v>0</v>
      </c>
      <c r="AE388" s="86">
        <f>+AD388*Analisis!$J$7</f>
        <v>0</v>
      </c>
      <c r="AF388" s="86">
        <f t="shared" si="533"/>
        <v>582.6399100475146</v>
      </c>
      <c r="AG388" s="126">
        <f>+AF388/(1-Analisis!$E$9)</f>
        <v>728.29988755939326</v>
      </c>
      <c r="AH388" s="128">
        <f t="shared" si="535"/>
        <v>65546.989880345398</v>
      </c>
      <c r="AI388" s="128">
        <f t="shared" si="545"/>
        <v>26829.680193749999</v>
      </c>
    </row>
    <row r="389" spans="1:35" s="73" customFormat="1" x14ac:dyDescent="0.25">
      <c r="A389" s="100"/>
      <c r="B389" s="108" t="s">
        <v>554</v>
      </c>
      <c r="C389" s="138">
        <f>IFERROR(VLOOKUP(B389,'REQ GALV'!A:B,2,0),0)</f>
        <v>105</v>
      </c>
      <c r="D389" s="116">
        <f t="shared" si="534"/>
        <v>1314.4141693507859</v>
      </c>
      <c r="E389" s="103" t="s">
        <v>47</v>
      </c>
      <c r="F389" s="75" t="s">
        <v>314</v>
      </c>
      <c r="G389" s="90">
        <v>37.75</v>
      </c>
      <c r="H389" s="90">
        <v>37.880000000000003</v>
      </c>
      <c r="I389" s="76">
        <v>0.105</v>
      </c>
      <c r="J389" s="77">
        <v>28.24</v>
      </c>
      <c r="K389" s="78">
        <f t="shared" si="536"/>
        <v>57.875744456002138</v>
      </c>
      <c r="L389" s="58">
        <f>+VLOOKUP(E389,Material!$H$2:$M$17,6,FALSE)*G389*H389*(1+Material!$K$14)</f>
        <v>742.91410156250004</v>
      </c>
      <c r="M389" s="79" t="str">
        <f>+Analisis!$J$5</f>
        <v>T5.0</v>
      </c>
      <c r="N389" s="80">
        <f>+VLOOKUP(M389,Material!$A$3:$B$58,2,FALSE)</f>
        <v>5000</v>
      </c>
      <c r="O389" s="79" t="s">
        <v>42</v>
      </c>
      <c r="P389" s="79" t="s">
        <v>43</v>
      </c>
      <c r="Q389" s="81">
        <f>+IF(O389="ACERO A36",VLOOKUP(P389,'Velocidades Std 1500 w'!$B$2:$F$15,5,FALSE),IF(O389="INOXIDABLE",VLOOKUP(P389,'Velocidades Std 1500 w'!$B$17:$F$28,5,FALSE),IF(O389="ALUMINIO",VLOOKUP(P389,'Velocidades Std 1500 w'!$B$30:$F$38,5,FALSE))))</f>
        <v>4.3859649122807014E-6</v>
      </c>
      <c r="R389" s="82">
        <f t="shared" si="537"/>
        <v>2.1929824561403508E-2</v>
      </c>
      <c r="S389" s="83">
        <f t="shared" si="538"/>
        <v>85.804408421052628</v>
      </c>
      <c r="T389" s="110">
        <f t="shared" si="539"/>
        <v>5434.2791999999999</v>
      </c>
      <c r="U389" s="80">
        <f t="shared" si="540"/>
        <v>119.1727894736842</v>
      </c>
      <c r="V389" s="98">
        <v>35</v>
      </c>
      <c r="W389" s="84">
        <f>+IF(O389="ACERO A36",VLOOKUP(P389,'Tiempo Objeto'!$B$2:$C$12,2,FALSE),IF(O389="INOXIDABLE",VLOOKUP(P389,'Tiempo Objeto'!$B$14:$C$22,2,FALSE),IF(O389="ALUMINIO",VLOOKUP(P389,'Tiempo Objeto'!$B$24:$C$32,2,FALSE))))</f>
        <v>1.84</v>
      </c>
      <c r="X389" s="84">
        <f t="shared" si="541"/>
        <v>64.400000000000006</v>
      </c>
      <c r="Y389" s="80">
        <f t="shared" si="542"/>
        <v>89.444444444444443</v>
      </c>
      <c r="Z389" s="100">
        <v>4</v>
      </c>
      <c r="AA389" s="85">
        <f t="shared" si="543"/>
        <v>750</v>
      </c>
      <c r="AB389" s="86">
        <f>+Z389*Analisis!$J$6</f>
        <v>100</v>
      </c>
      <c r="AC389" s="100">
        <v>0</v>
      </c>
      <c r="AD389" s="85">
        <f t="shared" si="544"/>
        <v>0</v>
      </c>
      <c r="AE389" s="86">
        <f>+AD389*Analisis!$J$7</f>
        <v>0</v>
      </c>
      <c r="AF389" s="86">
        <f t="shared" si="533"/>
        <v>1051.5313354806287</v>
      </c>
      <c r="AG389" s="126">
        <f>+AF389/(1-Analisis!$E$9)</f>
        <v>1314.4141693507859</v>
      </c>
      <c r="AH389" s="128">
        <f t="shared" si="535"/>
        <v>138013.48778183252</v>
      </c>
      <c r="AI389" s="128">
        <f t="shared" si="545"/>
        <v>78005.980664062503</v>
      </c>
    </row>
    <row r="390" spans="1:35" s="73" customFormat="1" x14ac:dyDescent="0.25">
      <c r="A390" s="100"/>
      <c r="B390" s="108" t="s">
        <v>555</v>
      </c>
      <c r="C390" s="138">
        <f>IFERROR(VLOOKUP(B390,'REQ GALV'!A:B,2,0),0)</f>
        <v>240</v>
      </c>
      <c r="D390" s="116">
        <f t="shared" si="534"/>
        <v>409.33619853801173</v>
      </c>
      <c r="E390" s="103" t="s">
        <v>41</v>
      </c>
      <c r="F390" s="75" t="s">
        <v>314</v>
      </c>
      <c r="G390" s="90">
        <v>3.39</v>
      </c>
      <c r="H390" s="90">
        <v>42.14</v>
      </c>
      <c r="I390" s="76">
        <v>0.105</v>
      </c>
      <c r="J390" s="77">
        <v>28.24</v>
      </c>
      <c r="K390" s="78">
        <f t="shared" si="536"/>
        <v>8.2230201369216278</v>
      </c>
      <c r="L390" s="58">
        <f>+VLOOKUP(E390,Material!$H$2:$M$17,6,FALSE)*G390*H390*(1+Material!$K$14)</f>
        <v>105.55367666666669</v>
      </c>
      <c r="M390" s="79" t="str">
        <f>+Analisis!$J$5</f>
        <v>T5.0</v>
      </c>
      <c r="N390" s="80">
        <f>+VLOOKUP(M390,Material!$A$3:$B$58,2,FALSE)</f>
        <v>5000</v>
      </c>
      <c r="O390" s="79" t="s">
        <v>42</v>
      </c>
      <c r="P390" s="79" t="s">
        <v>43</v>
      </c>
      <c r="Q390" s="81">
        <f>+IF(O390="ACERO A36",VLOOKUP(P390,'Velocidades Std 1500 w'!$B$2:$F$15,5,FALSE),IF(O390="INOXIDABLE",VLOOKUP(P390,'Velocidades Std 1500 w'!$B$17:$F$28,5,FALSE),IF(O390="ALUMINIO",VLOOKUP(P390,'Velocidades Std 1500 w'!$B$30:$F$38,5,FALSE))))</f>
        <v>4.3859649122807014E-6</v>
      </c>
      <c r="R390" s="82">
        <f t="shared" si="537"/>
        <v>2.1929824561403508E-2</v>
      </c>
      <c r="S390" s="83">
        <f t="shared" si="538"/>
        <v>50.979003157894731</v>
      </c>
      <c r="T390" s="110">
        <f t="shared" si="539"/>
        <v>3228.6702</v>
      </c>
      <c r="U390" s="80">
        <f t="shared" si="540"/>
        <v>70.804171052631574</v>
      </c>
      <c r="V390" s="98">
        <v>20</v>
      </c>
      <c r="W390" s="84">
        <f>+IF(O390="ACERO A36",VLOOKUP(P390,'Tiempo Objeto'!$B$2:$C$12,2,FALSE),IF(O390="INOXIDABLE",VLOOKUP(P390,'Tiempo Objeto'!$B$14:$C$22,2,FALSE),IF(O390="ALUMINIO",VLOOKUP(P390,'Tiempo Objeto'!$B$24:$C$32,2,FALSE))))</f>
        <v>1.84</v>
      </c>
      <c r="X390" s="84">
        <f t="shared" si="541"/>
        <v>36.800000000000004</v>
      </c>
      <c r="Y390" s="80">
        <f t="shared" si="542"/>
        <v>51.111111111111121</v>
      </c>
      <c r="Z390" s="100">
        <v>4</v>
      </c>
      <c r="AA390" s="85">
        <f t="shared" si="543"/>
        <v>1560</v>
      </c>
      <c r="AB390" s="86">
        <f>+Z390*Analisis!$J$6</f>
        <v>100</v>
      </c>
      <c r="AC390" s="100">
        <v>0</v>
      </c>
      <c r="AD390" s="85">
        <f t="shared" si="544"/>
        <v>0</v>
      </c>
      <c r="AE390" s="86">
        <f>+AD390*Analisis!$J$7</f>
        <v>0</v>
      </c>
      <c r="AF390" s="86">
        <f t="shared" si="533"/>
        <v>327.46895883040941</v>
      </c>
      <c r="AG390" s="126">
        <f>+AF390/(1-Analisis!$E$9)</f>
        <v>409.33619853801173</v>
      </c>
      <c r="AH390" s="128">
        <f t="shared" si="535"/>
        <v>98240.687649122818</v>
      </c>
      <c r="AI390" s="128">
        <f t="shared" si="545"/>
        <v>25332.882400000006</v>
      </c>
    </row>
    <row r="391" spans="1:35" s="73" customFormat="1" x14ac:dyDescent="0.25">
      <c r="A391" s="100"/>
      <c r="B391" s="108" t="s">
        <v>556</v>
      </c>
      <c r="C391" s="74">
        <f>IFERROR(VLOOKUP(B391,'REQ GALV'!A:B,2,0),0)</f>
        <v>0</v>
      </c>
      <c r="D391" s="116">
        <f t="shared" si="534"/>
        <v>1069.212891008772</v>
      </c>
      <c r="E391" s="103" t="s">
        <v>41</v>
      </c>
      <c r="F391" s="75" t="s">
        <v>314</v>
      </c>
      <c r="G391" s="90">
        <v>23.79</v>
      </c>
      <c r="H391" s="90">
        <v>36.06</v>
      </c>
      <c r="I391" s="76">
        <v>0.105</v>
      </c>
      <c r="J391" s="77">
        <v>28.24</v>
      </c>
      <c r="K391" s="78">
        <f t="shared" si="536"/>
        <v>49.38070531161474</v>
      </c>
      <c r="L391" s="58">
        <f>+VLOOKUP(E391,Material!$H$2:$M$17,6,FALSE)*G391*H391*(1+Material!$K$14)</f>
        <v>633.86869000000002</v>
      </c>
      <c r="M391" s="79" t="str">
        <f>+Analisis!$J$5</f>
        <v>T5.0</v>
      </c>
      <c r="N391" s="80">
        <f>+VLOOKUP(M391,Material!$A$3:$B$58,2,FALSE)</f>
        <v>5000</v>
      </c>
      <c r="O391" s="79" t="s">
        <v>42</v>
      </c>
      <c r="P391" s="79" t="s">
        <v>43</v>
      </c>
      <c r="Q391" s="81">
        <f>+IF(O391="ACERO A36",VLOOKUP(P391,'Velocidades Std 1500 w'!$B$2:$F$15,5,FALSE),IF(O391="INOXIDABLE",VLOOKUP(P391,'Velocidades Std 1500 w'!$B$17:$F$28,5,FALSE),IF(O391="ALUMINIO",VLOOKUP(P391,'Velocidades Std 1500 w'!$B$30:$F$38,5,FALSE))))</f>
        <v>4.3859649122807014E-6</v>
      </c>
      <c r="R391" s="82">
        <f t="shared" si="537"/>
        <v>2.1929824561403508E-2</v>
      </c>
      <c r="S391" s="83">
        <f t="shared" si="538"/>
        <v>59.881168421052621</v>
      </c>
      <c r="T391" s="110">
        <f t="shared" si="539"/>
        <v>3792.4739999999997</v>
      </c>
      <c r="U391" s="80">
        <f t="shared" si="540"/>
        <v>83.168289473684197</v>
      </c>
      <c r="V391" s="98">
        <v>15</v>
      </c>
      <c r="W391" s="84">
        <f>+IF(O391="ACERO A36",VLOOKUP(P391,'Tiempo Objeto'!$B$2:$C$12,2,FALSE),IF(O391="INOXIDABLE",VLOOKUP(P391,'Tiempo Objeto'!$B$14:$C$22,2,FALSE),IF(O391="ALUMINIO",VLOOKUP(P391,'Tiempo Objeto'!$B$24:$C$32,2,FALSE))))</f>
        <v>1.84</v>
      </c>
      <c r="X391" s="84">
        <f t="shared" si="541"/>
        <v>27.6</v>
      </c>
      <c r="Y391" s="80">
        <f t="shared" si="542"/>
        <v>38.333333333333336</v>
      </c>
      <c r="Z391" s="100">
        <v>4</v>
      </c>
      <c r="AA391" s="85">
        <f t="shared" si="543"/>
        <v>120</v>
      </c>
      <c r="AB391" s="86">
        <f>+Z391*Analisis!$J$6</f>
        <v>100</v>
      </c>
      <c r="AC391" s="100">
        <v>0</v>
      </c>
      <c r="AD391" s="85">
        <f t="shared" si="544"/>
        <v>0</v>
      </c>
      <c r="AE391" s="86">
        <f>+AD391*Analisis!$J$7</f>
        <v>0</v>
      </c>
      <c r="AF391" s="86">
        <f t="shared" si="533"/>
        <v>855.37031280701763</v>
      </c>
      <c r="AG391" s="126">
        <f>+AF391/(1-Analisis!$E$9)</f>
        <v>1069.212891008772</v>
      </c>
      <c r="AH391" s="128">
        <f t="shared" si="535"/>
        <v>0</v>
      </c>
    </row>
    <row r="392" spans="1:35" s="73" customFormat="1" x14ac:dyDescent="0.25">
      <c r="A392" s="100"/>
      <c r="B392" s="108" t="s">
        <v>557</v>
      </c>
      <c r="C392" s="138">
        <f>IFERROR(VLOOKUP(B392,'REQ GALV'!A:B,2,0),0)</f>
        <v>60</v>
      </c>
      <c r="D392" s="116">
        <f t="shared" si="534"/>
        <v>188.10086593567252</v>
      </c>
      <c r="E392" s="103" t="s">
        <v>41</v>
      </c>
      <c r="F392" s="75" t="s">
        <v>314</v>
      </c>
      <c r="G392" s="90">
        <v>3.64</v>
      </c>
      <c r="H392" s="90">
        <v>6.64</v>
      </c>
      <c r="I392" s="76">
        <v>0.105</v>
      </c>
      <c r="J392" s="77">
        <v>28.24</v>
      </c>
      <c r="K392" s="78">
        <f t="shared" si="536"/>
        <v>1.3912545168397863</v>
      </c>
      <c r="L392" s="58">
        <f>+VLOOKUP(E392,Material!$H$2:$M$17,6,FALSE)*G392*H392*(1+Material!$K$14)</f>
        <v>17.85864888888889</v>
      </c>
      <c r="M392" s="79" t="str">
        <f>+Analisis!$J$5</f>
        <v>T5.0</v>
      </c>
      <c r="N392" s="80">
        <f>+VLOOKUP(M392,Material!$A$3:$B$58,2,FALSE)</f>
        <v>5000</v>
      </c>
      <c r="O392" s="79" t="s">
        <v>42</v>
      </c>
      <c r="P392" s="79" t="s">
        <v>43</v>
      </c>
      <c r="Q392" s="81">
        <f>+IF(O392="ACERO A36",VLOOKUP(P392,'Velocidades Std 1500 w'!$B$2:$F$15,5,FALSE),IF(O392="INOXIDABLE",VLOOKUP(P392,'Velocidades Std 1500 w'!$B$17:$F$28,5,FALSE),IF(O392="ALUMINIO",VLOOKUP(P392,'Velocidades Std 1500 w'!$B$30:$F$38,5,FALSE))))</f>
        <v>4.3859649122807014E-6</v>
      </c>
      <c r="R392" s="82">
        <f t="shared" si="537"/>
        <v>2.1929824561403508E-2</v>
      </c>
      <c r="S392" s="83">
        <f t="shared" si="538"/>
        <v>12.447871578947366</v>
      </c>
      <c r="T392" s="110">
        <f t="shared" si="539"/>
        <v>788.36519999999996</v>
      </c>
      <c r="U392" s="80">
        <f t="shared" si="540"/>
        <v>17.288710526315789</v>
      </c>
      <c r="V392" s="98">
        <v>6</v>
      </c>
      <c r="W392" s="84">
        <f>+IF(O392="ACERO A36",VLOOKUP(P392,'Tiempo Objeto'!$B$2:$C$12,2,FALSE),IF(O392="INOXIDABLE",VLOOKUP(P392,'Tiempo Objeto'!$B$14:$C$22,2,FALSE),IF(O392="ALUMINIO",VLOOKUP(P392,'Tiempo Objeto'!$B$24:$C$32,2,FALSE))))</f>
        <v>1.84</v>
      </c>
      <c r="X392" s="84">
        <f t="shared" si="541"/>
        <v>11.040000000000001</v>
      </c>
      <c r="Y392" s="80">
        <f t="shared" si="542"/>
        <v>15.333333333333336</v>
      </c>
      <c r="Z392" s="100">
        <v>4</v>
      </c>
      <c r="AA392" s="85">
        <f t="shared" si="543"/>
        <v>480</v>
      </c>
      <c r="AB392" s="86">
        <f>+Z392*Analisis!$J$6</f>
        <v>100</v>
      </c>
      <c r="AC392" s="100">
        <v>0</v>
      </c>
      <c r="AD392" s="85">
        <f t="shared" si="544"/>
        <v>0</v>
      </c>
      <c r="AE392" s="86">
        <f>+AD392*Analisis!$J$7</f>
        <v>0</v>
      </c>
      <c r="AF392" s="86">
        <f t="shared" si="533"/>
        <v>150.48069274853802</v>
      </c>
      <c r="AG392" s="126">
        <f>+AF392/(1-Analisis!$E$9)</f>
        <v>188.10086593567252</v>
      </c>
      <c r="AH392" s="128">
        <f t="shared" si="535"/>
        <v>11286.051956140351</v>
      </c>
      <c r="AI392" s="128">
        <f>+L392*C392</f>
        <v>1071.5189333333335</v>
      </c>
    </row>
    <row r="393" spans="1:35" s="73" customFormat="1" x14ac:dyDescent="0.25">
      <c r="A393" s="100"/>
      <c r="B393" s="108" t="s">
        <v>558</v>
      </c>
      <c r="C393" s="138">
        <f>IFERROR(VLOOKUP(B393,'REQ GALV'!A:B,2,0),0)</f>
        <v>60</v>
      </c>
      <c r="D393" s="116">
        <f t="shared" si="534"/>
        <v>53.329983552631575</v>
      </c>
      <c r="E393" s="103" t="s">
        <v>41</v>
      </c>
      <c r="F393" s="75" t="s">
        <v>314</v>
      </c>
      <c r="G393" s="90">
        <v>2.82</v>
      </c>
      <c r="H393" s="90">
        <v>1.25</v>
      </c>
      <c r="I393" s="76">
        <v>0.105</v>
      </c>
      <c r="J393" s="77">
        <v>28.24</v>
      </c>
      <c r="K393" s="78">
        <f t="shared" si="536"/>
        <v>0.20290663361661948</v>
      </c>
      <c r="L393" s="58">
        <f>+VLOOKUP(E393,Material!$H$2:$M$17,6,FALSE)*G393*H393*(1+Material!$K$14)</f>
        <v>2.6045833333333333</v>
      </c>
      <c r="M393" s="79" t="str">
        <f>+Analisis!$J$5</f>
        <v>T5.0</v>
      </c>
      <c r="N393" s="80">
        <f>+VLOOKUP(M393,Material!$A$3:$B$58,2,FALSE)</f>
        <v>5000</v>
      </c>
      <c r="O393" s="79" t="s">
        <v>42</v>
      </c>
      <c r="P393" s="79" t="s">
        <v>43</v>
      </c>
      <c r="Q393" s="81">
        <f>+IF(O393="ACERO A36",VLOOKUP(P393,'Velocidades Std 1500 w'!$B$2:$F$15,5,FALSE),IF(O393="INOXIDABLE",VLOOKUP(P393,'Velocidades Std 1500 w'!$B$17:$F$28,5,FALSE),IF(O393="ALUMINIO",VLOOKUP(P393,'Velocidades Std 1500 w'!$B$30:$F$38,5,FALSE))))</f>
        <v>4.3859649122807014E-6</v>
      </c>
      <c r="R393" s="82">
        <f t="shared" si="537"/>
        <v>2.1929824561403508E-2</v>
      </c>
      <c r="S393" s="83">
        <f t="shared" si="538"/>
        <v>5.3227705263157885</v>
      </c>
      <c r="T393" s="110">
        <f t="shared" si="539"/>
        <v>337.10879999999997</v>
      </c>
      <c r="U393" s="80">
        <f t="shared" si="540"/>
        <v>7.3927368421052622</v>
      </c>
      <c r="V393" s="98">
        <v>3</v>
      </c>
      <c r="W393" s="84">
        <f>+IF(O393="ACERO A36",VLOOKUP(P393,'Tiempo Objeto'!$B$2:$C$12,2,FALSE),IF(O393="INOXIDABLE",VLOOKUP(P393,'Tiempo Objeto'!$B$14:$C$22,2,FALSE),IF(O393="ALUMINIO",VLOOKUP(P393,'Tiempo Objeto'!$B$24:$C$32,2,FALSE))))</f>
        <v>1.84</v>
      </c>
      <c r="X393" s="84">
        <f t="shared" si="541"/>
        <v>5.5200000000000005</v>
      </c>
      <c r="Y393" s="80">
        <f t="shared" si="542"/>
        <v>7.6666666666666679</v>
      </c>
      <c r="Z393" s="100">
        <v>1</v>
      </c>
      <c r="AA393" s="85">
        <f t="shared" si="543"/>
        <v>120</v>
      </c>
      <c r="AB393" s="86">
        <f>+Z393*Analisis!$J$6</f>
        <v>25</v>
      </c>
      <c r="AC393" s="100">
        <v>0</v>
      </c>
      <c r="AD393" s="85">
        <f t="shared" si="544"/>
        <v>0</v>
      </c>
      <c r="AE393" s="86">
        <f>+AD393*Analisis!$J$7</f>
        <v>0</v>
      </c>
      <c r="AF393" s="86">
        <f t="shared" si="533"/>
        <v>42.66398684210526</v>
      </c>
      <c r="AG393" s="126">
        <f>+AF393/(1-Analisis!$E$9)</f>
        <v>53.329983552631575</v>
      </c>
      <c r="AH393" s="128">
        <f t="shared" si="535"/>
        <v>3199.7990131578945</v>
      </c>
      <c r="AI393" s="128">
        <f>+L393*C393</f>
        <v>156.27500000000001</v>
      </c>
    </row>
    <row r="394" spans="1:35" s="73" customFormat="1" x14ac:dyDescent="0.25">
      <c r="A394" s="100"/>
      <c r="B394" s="108" t="s">
        <v>559</v>
      </c>
      <c r="C394" s="74">
        <f>IFERROR(VLOOKUP(B394,'REQ GALV'!A:B,2,0),0)</f>
        <v>0</v>
      </c>
      <c r="D394" s="116">
        <f t="shared" si="534"/>
        <v>257.36723187134498</v>
      </c>
      <c r="E394" s="103" t="s">
        <v>41</v>
      </c>
      <c r="F394" s="75" t="s">
        <v>314</v>
      </c>
      <c r="G394" s="90">
        <v>4.6399999999999997</v>
      </c>
      <c r="H394" s="90">
        <v>15.13</v>
      </c>
      <c r="I394" s="76">
        <v>0.105</v>
      </c>
      <c r="J394" s="77">
        <v>28.24</v>
      </c>
      <c r="K394" s="78">
        <f t="shared" si="536"/>
        <v>4.0410482215926979</v>
      </c>
      <c r="L394" s="58">
        <f>+VLOOKUP(E394,Material!$H$2:$M$17,6,FALSE)*G394*H394*(1+Material!$K$14)</f>
        <v>51.872364444444443</v>
      </c>
      <c r="M394" s="79" t="str">
        <f>+Analisis!$J$5</f>
        <v>T5.0</v>
      </c>
      <c r="N394" s="80">
        <f>+VLOOKUP(M394,Material!$A$3:$B$58,2,FALSE)</f>
        <v>5000</v>
      </c>
      <c r="O394" s="79" t="s">
        <v>42</v>
      </c>
      <c r="P394" s="79" t="s">
        <v>43</v>
      </c>
      <c r="Q394" s="81">
        <f>+IF(O394="ACERO A36",VLOOKUP(P394,'Velocidades Std 1500 w'!$B$2:$F$15,5,FALSE),IF(O394="INOXIDABLE",VLOOKUP(P394,'Velocidades Std 1500 w'!$B$17:$F$28,5,FALSE),IF(O394="ALUMINIO",VLOOKUP(P394,'Velocidades Std 1500 w'!$B$30:$F$38,5,FALSE))))</f>
        <v>4.3859649122807014E-6</v>
      </c>
      <c r="R394" s="82">
        <f t="shared" si="537"/>
        <v>2.1929824561403508E-2</v>
      </c>
      <c r="S394" s="83">
        <f t="shared" si="538"/>
        <v>22.335423157894734</v>
      </c>
      <c r="T394" s="110">
        <f t="shared" si="539"/>
        <v>1414.5768</v>
      </c>
      <c r="U394" s="80">
        <f t="shared" si="540"/>
        <v>31.021421052631577</v>
      </c>
      <c r="V394" s="98">
        <v>9</v>
      </c>
      <c r="W394" s="84">
        <f>+IF(O394="ACERO A36",VLOOKUP(P394,'Tiempo Objeto'!$B$2:$C$12,2,FALSE),IF(O394="INOXIDABLE",VLOOKUP(P394,'Tiempo Objeto'!$B$14:$C$22,2,FALSE),IF(O394="ALUMINIO",VLOOKUP(P394,'Tiempo Objeto'!$B$24:$C$32,2,FALSE))))</f>
        <v>1.84</v>
      </c>
      <c r="X394" s="84">
        <f t="shared" si="541"/>
        <v>16.560000000000002</v>
      </c>
      <c r="Y394" s="80">
        <f t="shared" si="542"/>
        <v>23.000000000000004</v>
      </c>
      <c r="Z394" s="100">
        <v>4</v>
      </c>
      <c r="AA394" s="85">
        <f t="shared" si="543"/>
        <v>120</v>
      </c>
      <c r="AB394" s="86">
        <f>+Z394*Analisis!$J$6</f>
        <v>100</v>
      </c>
      <c r="AC394" s="100">
        <v>0</v>
      </c>
      <c r="AD394" s="85">
        <f t="shared" si="544"/>
        <v>0</v>
      </c>
      <c r="AE394" s="86">
        <f>+AD394*Analisis!$J$7</f>
        <v>0</v>
      </c>
      <c r="AF394" s="86">
        <f t="shared" si="533"/>
        <v>205.89378549707601</v>
      </c>
      <c r="AG394" s="126">
        <f>+AF394/(1-Analisis!$E$9)</f>
        <v>257.36723187134498</v>
      </c>
      <c r="AH394" s="128">
        <f t="shared" si="535"/>
        <v>0</v>
      </c>
    </row>
    <row r="395" spans="1:35" s="73" customFormat="1" x14ac:dyDescent="0.25">
      <c r="A395" s="100"/>
      <c r="B395" s="108" t="s">
        <v>560</v>
      </c>
      <c r="C395" s="138">
        <f>IFERROR(VLOOKUP(B395,'REQ GALV'!A:B,2,0),0)</f>
        <v>60</v>
      </c>
      <c r="D395" s="116">
        <f t="shared" si="534"/>
        <v>66.726219332510965</v>
      </c>
      <c r="E395" s="103" t="s">
        <v>44</v>
      </c>
      <c r="F395" s="75" t="s">
        <v>314</v>
      </c>
      <c r="G395" s="90">
        <v>7.5</v>
      </c>
      <c r="H395" s="90">
        <v>4.33</v>
      </c>
      <c r="I395" s="76">
        <v>0.105</v>
      </c>
      <c r="J395" s="77">
        <v>28.24</v>
      </c>
      <c r="K395" s="78">
        <f t="shared" si="536"/>
        <v>2.2782475544440515</v>
      </c>
      <c r="L395" s="58">
        <f>+VLOOKUP(E395,Material!$H$2:$M$17,6,FALSE)*G395*H395*(1+Material!$K$14)</f>
        <v>29.244414062500002</v>
      </c>
      <c r="M395" s="79" t="str">
        <f>+Analisis!$J$5</f>
        <v>T5.0</v>
      </c>
      <c r="N395" s="80">
        <f>+VLOOKUP(M395,Material!$A$3:$B$58,2,FALSE)</f>
        <v>5000</v>
      </c>
      <c r="O395" s="79" t="s">
        <v>42</v>
      </c>
      <c r="P395" s="79" t="s">
        <v>43</v>
      </c>
      <c r="Q395" s="81">
        <f>+IF(O395="ACERO A36",VLOOKUP(P395,'Velocidades Std 1500 w'!$B$2:$F$15,5,FALSE),IF(O395="INOXIDABLE",VLOOKUP(P395,'Velocidades Std 1500 w'!$B$17:$F$28,5,FALSE),IF(O395="ALUMINIO",VLOOKUP(P395,'Velocidades Std 1500 w'!$B$30:$F$38,5,FALSE))))</f>
        <v>4.3859649122807014E-6</v>
      </c>
      <c r="R395" s="82">
        <f t="shared" si="537"/>
        <v>2.1929824561403508E-2</v>
      </c>
      <c r="S395" s="83">
        <f t="shared" si="538"/>
        <v>11.858324210526314</v>
      </c>
      <c r="T395" s="110">
        <f t="shared" si="539"/>
        <v>751.02719999999999</v>
      </c>
      <c r="U395" s="80">
        <f t="shared" si="540"/>
        <v>16.469894736842104</v>
      </c>
      <c r="V395" s="98">
        <v>3</v>
      </c>
      <c r="W395" s="84">
        <f>+IF(O395="ACERO A36",VLOOKUP(P395,'Tiempo Objeto'!$B$2:$C$12,2,FALSE),IF(O395="INOXIDABLE",VLOOKUP(P395,'Tiempo Objeto'!$B$14:$C$22,2,FALSE),IF(O395="ALUMINIO",VLOOKUP(P395,'Tiempo Objeto'!$B$24:$C$32,2,FALSE))))</f>
        <v>1.84</v>
      </c>
      <c r="X395" s="84">
        <f t="shared" si="541"/>
        <v>5.5200000000000005</v>
      </c>
      <c r="Y395" s="80">
        <f t="shared" si="542"/>
        <v>7.6666666666666679</v>
      </c>
      <c r="Z395" s="100">
        <v>0</v>
      </c>
      <c r="AA395" s="85">
        <f t="shared" si="543"/>
        <v>0</v>
      </c>
      <c r="AB395" s="86">
        <f>+Z395*Analisis!$J$6</f>
        <v>0</v>
      </c>
      <c r="AC395" s="100">
        <v>0</v>
      </c>
      <c r="AD395" s="85">
        <f t="shared" si="544"/>
        <v>0</v>
      </c>
      <c r="AE395" s="86">
        <f>+AD395*Analisis!$J$7</f>
        <v>0</v>
      </c>
      <c r="AF395" s="86">
        <f t="shared" si="533"/>
        <v>53.380975466008778</v>
      </c>
      <c r="AG395" s="126">
        <f>+AF395/(1-Analisis!$E$9)</f>
        <v>66.726219332510965</v>
      </c>
      <c r="AH395" s="128">
        <f t="shared" si="535"/>
        <v>4003.573159950658</v>
      </c>
      <c r="AI395" s="128">
        <f>+L395*C395</f>
        <v>1754.66484375</v>
      </c>
    </row>
    <row r="396" spans="1:35" s="73" customFormat="1" x14ac:dyDescent="0.25">
      <c r="A396" s="100"/>
      <c r="B396" s="108" t="s">
        <v>561</v>
      </c>
      <c r="C396" s="74">
        <f>IFERROR(VLOOKUP(B396,'REQ GALV'!A:B,2,0),0)</f>
        <v>0</v>
      </c>
      <c r="D396" s="116">
        <f t="shared" si="534"/>
        <v>2689.8998934941519</v>
      </c>
      <c r="E396" s="103" t="s">
        <v>41</v>
      </c>
      <c r="F396" s="75" t="s">
        <v>314</v>
      </c>
      <c r="G396" s="90">
        <v>16.420000000000002</v>
      </c>
      <c r="H396" s="90">
        <v>46.79</v>
      </c>
      <c r="I396" s="76">
        <v>0.105</v>
      </c>
      <c r="J396" s="77">
        <v>28.24</v>
      </c>
      <c r="K396" s="78">
        <f t="shared" si="536"/>
        <v>44.224539793830665</v>
      </c>
      <c r="L396" s="58">
        <f>+VLOOKUP(E396,Material!$H$2:$M$17,6,FALSE)*G396*H396*(1+Material!$K$14)</f>
        <v>567.68227444444449</v>
      </c>
      <c r="M396" s="79" t="str">
        <f>+Analisis!$J$5</f>
        <v>T5.0</v>
      </c>
      <c r="N396" s="80">
        <f>+VLOOKUP(M396,Material!$A$3:$B$58,2,FALSE)</f>
        <v>5000</v>
      </c>
      <c r="O396" s="79" t="s">
        <v>42</v>
      </c>
      <c r="P396" s="79" t="s">
        <v>43</v>
      </c>
      <c r="Q396" s="81">
        <f>+IF(O396="ACERO A36",VLOOKUP(P396,'Velocidades Std 1500 w'!$B$2:$F$15,5,FALSE),IF(O396="INOXIDABLE",VLOOKUP(P396,'Velocidades Std 1500 w'!$B$17:$F$28,5,FALSE),IF(O396="ALUMINIO",VLOOKUP(P396,'Velocidades Std 1500 w'!$B$30:$F$38,5,FALSE))))</f>
        <v>4.3859649122807014E-6</v>
      </c>
      <c r="R396" s="82">
        <f t="shared" si="537"/>
        <v>2.1929824561403508E-2</v>
      </c>
      <c r="S396" s="83">
        <f t="shared" si="538"/>
        <v>55.131101052631585</v>
      </c>
      <c r="T396" s="110">
        <f t="shared" si="539"/>
        <v>3491.6364000000008</v>
      </c>
      <c r="U396" s="80">
        <f t="shared" si="540"/>
        <v>76.570973684210543</v>
      </c>
      <c r="V396" s="98">
        <v>3</v>
      </c>
      <c r="W396" s="84">
        <f>+IF(O396="ACERO A36",VLOOKUP(P396,'Tiempo Objeto'!$B$2:$C$12,2,FALSE),IF(O396="INOXIDABLE",VLOOKUP(P396,'Tiempo Objeto'!$B$14:$C$22,2,FALSE),IF(O396="ALUMINIO",VLOOKUP(P396,'Tiempo Objeto'!$B$24:$C$32,2,FALSE))))</f>
        <v>1.84</v>
      </c>
      <c r="X396" s="84">
        <f t="shared" si="541"/>
        <v>5.5200000000000005</v>
      </c>
      <c r="Y396" s="80">
        <f t="shared" si="542"/>
        <v>7.6666666666666679</v>
      </c>
      <c r="Z396" s="100">
        <v>60</v>
      </c>
      <c r="AA396" s="85">
        <f t="shared" si="543"/>
        <v>1800</v>
      </c>
      <c r="AB396" s="86">
        <f>+Z396*Analisis!$J$6</f>
        <v>1500</v>
      </c>
      <c r="AC396" s="100">
        <v>0</v>
      </c>
      <c r="AD396" s="85">
        <f t="shared" si="544"/>
        <v>0</v>
      </c>
      <c r="AE396" s="86">
        <f>+AD396*Analisis!$J$7</f>
        <v>0</v>
      </c>
      <c r="AF396" s="86">
        <f t="shared" si="533"/>
        <v>2151.9199147953218</v>
      </c>
      <c r="AG396" s="126">
        <f>+AF396/(1-Analisis!$E$9)</f>
        <v>2689.8998934941519</v>
      </c>
      <c r="AH396" s="128">
        <f t="shared" si="535"/>
        <v>0</v>
      </c>
    </row>
    <row r="397" spans="1:35" s="73" customFormat="1" x14ac:dyDescent="0.25">
      <c r="A397" s="100"/>
      <c r="B397" s="108" t="s">
        <v>562</v>
      </c>
      <c r="C397" s="74">
        <f>IFERROR(VLOOKUP(B397,'REQ GALV'!A:B,2,0),0)</f>
        <v>0</v>
      </c>
      <c r="D397" s="116">
        <f t="shared" si="534"/>
        <v>372.908177997076</v>
      </c>
      <c r="E397" s="103" t="s">
        <v>41</v>
      </c>
      <c r="F397" s="75" t="s">
        <v>314</v>
      </c>
      <c r="G397" s="90">
        <v>7.09</v>
      </c>
      <c r="H397" s="90">
        <v>36</v>
      </c>
      <c r="I397" s="76">
        <v>0.105</v>
      </c>
      <c r="J397" s="77">
        <v>28.24</v>
      </c>
      <c r="K397" s="78">
        <f t="shared" si="536"/>
        <v>14.692167138810202</v>
      </c>
      <c r="L397" s="58">
        <f>+VLOOKUP(E397,Material!$H$2:$M$17,6,FALSE)*G397*H397*(1+Material!$K$14)</f>
        <v>188.59400000000002</v>
      </c>
      <c r="M397" s="79" t="str">
        <f>+Analisis!$J$5</f>
        <v>T5.0</v>
      </c>
      <c r="N397" s="80">
        <f>+VLOOKUP(M397,Material!$A$3:$B$58,2,FALSE)</f>
        <v>5000</v>
      </c>
      <c r="O397" s="79" t="s">
        <v>42</v>
      </c>
      <c r="P397" s="79" t="s">
        <v>43</v>
      </c>
      <c r="Q397" s="81">
        <f>+IF(O397="ACERO A36",VLOOKUP(P397,'Velocidades Std 1500 w'!$B$2:$F$15,5,FALSE),IF(O397="INOXIDABLE",VLOOKUP(P397,'Velocidades Std 1500 w'!$B$17:$F$28,5,FALSE),IF(O397="ALUMINIO",VLOOKUP(P397,'Velocidades Std 1500 w'!$B$30:$F$38,5,FALSE))))</f>
        <v>4.3859649122807014E-6</v>
      </c>
      <c r="R397" s="82">
        <f t="shared" si="537"/>
        <v>2.1929824561403508E-2</v>
      </c>
      <c r="S397" s="83">
        <f t="shared" si="538"/>
        <v>42.607430526315795</v>
      </c>
      <c r="T397" s="110">
        <f t="shared" si="539"/>
        <v>2698.4706000000006</v>
      </c>
      <c r="U397" s="80">
        <f t="shared" si="540"/>
        <v>59.176986842105272</v>
      </c>
      <c r="V397" s="98">
        <v>10</v>
      </c>
      <c r="W397" s="84">
        <f>+IF(O397="ACERO A36",VLOOKUP(P397,'Tiempo Objeto'!$B$2:$C$12,2,FALSE),IF(O397="INOXIDABLE",VLOOKUP(P397,'Tiempo Objeto'!$B$14:$C$22,2,FALSE),IF(O397="ALUMINIO",VLOOKUP(P397,'Tiempo Objeto'!$B$24:$C$32,2,FALSE))))</f>
        <v>1.84</v>
      </c>
      <c r="X397" s="84">
        <f t="shared" si="541"/>
        <v>18.400000000000002</v>
      </c>
      <c r="Y397" s="80">
        <f t="shared" si="542"/>
        <v>25.555555555555561</v>
      </c>
      <c r="Z397" s="100">
        <v>1</v>
      </c>
      <c r="AA397" s="85">
        <f t="shared" si="543"/>
        <v>30</v>
      </c>
      <c r="AB397" s="86">
        <f>+Z397*Analisis!$J$6</f>
        <v>25</v>
      </c>
      <c r="AC397" s="100">
        <v>0</v>
      </c>
      <c r="AD397" s="85">
        <f t="shared" si="544"/>
        <v>0</v>
      </c>
      <c r="AE397" s="86">
        <f>+AD397*Analisis!$J$7</f>
        <v>0</v>
      </c>
      <c r="AF397" s="86">
        <f t="shared" si="533"/>
        <v>298.32654239766083</v>
      </c>
      <c r="AG397" s="126">
        <f>+AF397/(1-Analisis!$E$9)</f>
        <v>372.908177997076</v>
      </c>
      <c r="AH397" s="128">
        <f t="shared" si="535"/>
        <v>0</v>
      </c>
    </row>
    <row r="398" spans="1:35" s="73" customFormat="1" x14ac:dyDescent="0.25">
      <c r="A398" s="100"/>
      <c r="B398" s="108" t="s">
        <v>563</v>
      </c>
      <c r="C398" s="74">
        <f>IFERROR(VLOOKUP(B398,'REQ GALV'!A:B,2,0),0)</f>
        <v>0</v>
      </c>
      <c r="D398" s="116">
        <f t="shared" si="534"/>
        <v>372.908177997076</v>
      </c>
      <c r="E398" s="103" t="s">
        <v>41</v>
      </c>
      <c r="F398" s="75" t="s">
        <v>314</v>
      </c>
      <c r="G398" s="90">
        <v>7.09</v>
      </c>
      <c r="H398" s="90">
        <v>36</v>
      </c>
      <c r="I398" s="76">
        <v>0.105</v>
      </c>
      <c r="J398" s="77">
        <v>28.24</v>
      </c>
      <c r="K398" s="78">
        <f t="shared" si="536"/>
        <v>14.692167138810202</v>
      </c>
      <c r="L398" s="58">
        <f>+VLOOKUP(E398,Material!$H$2:$M$17,6,FALSE)*G398*H398*(1+Material!$K$14)</f>
        <v>188.59400000000002</v>
      </c>
      <c r="M398" s="79" t="str">
        <f>+Analisis!$J$5</f>
        <v>T5.0</v>
      </c>
      <c r="N398" s="80">
        <f>+VLOOKUP(M398,Material!$A$3:$B$58,2,FALSE)</f>
        <v>5000</v>
      </c>
      <c r="O398" s="79" t="s">
        <v>42</v>
      </c>
      <c r="P398" s="79" t="s">
        <v>43</v>
      </c>
      <c r="Q398" s="81">
        <f>+IF(O398="ACERO A36",VLOOKUP(P398,'Velocidades Std 1500 w'!$B$2:$F$15,5,FALSE),IF(O398="INOXIDABLE",VLOOKUP(P398,'Velocidades Std 1500 w'!$B$17:$F$28,5,FALSE),IF(O398="ALUMINIO",VLOOKUP(P398,'Velocidades Std 1500 w'!$B$30:$F$38,5,FALSE))))</f>
        <v>4.3859649122807014E-6</v>
      </c>
      <c r="R398" s="82">
        <f t="shared" si="537"/>
        <v>2.1929824561403508E-2</v>
      </c>
      <c r="S398" s="83">
        <f t="shared" si="538"/>
        <v>42.607430526315795</v>
      </c>
      <c r="T398" s="110">
        <f t="shared" si="539"/>
        <v>2698.4706000000006</v>
      </c>
      <c r="U398" s="80">
        <f t="shared" si="540"/>
        <v>59.176986842105272</v>
      </c>
      <c r="V398" s="98">
        <v>10</v>
      </c>
      <c r="W398" s="84">
        <f>+IF(O398="ACERO A36",VLOOKUP(P398,'Tiempo Objeto'!$B$2:$C$12,2,FALSE),IF(O398="INOXIDABLE",VLOOKUP(P398,'Tiempo Objeto'!$B$14:$C$22,2,FALSE),IF(O398="ALUMINIO",VLOOKUP(P398,'Tiempo Objeto'!$B$24:$C$32,2,FALSE))))</f>
        <v>1.84</v>
      </c>
      <c r="X398" s="84">
        <f t="shared" si="541"/>
        <v>18.400000000000002</v>
      </c>
      <c r="Y398" s="80">
        <f t="shared" si="542"/>
        <v>25.555555555555561</v>
      </c>
      <c r="Z398" s="100">
        <v>1</v>
      </c>
      <c r="AA398" s="85">
        <f t="shared" si="543"/>
        <v>30</v>
      </c>
      <c r="AB398" s="86">
        <f>+Z398*Analisis!$J$6</f>
        <v>25</v>
      </c>
      <c r="AC398" s="100">
        <v>0</v>
      </c>
      <c r="AD398" s="85">
        <f t="shared" si="544"/>
        <v>0</v>
      </c>
      <c r="AE398" s="86">
        <f>+AD398*Analisis!$J$7</f>
        <v>0</v>
      </c>
      <c r="AF398" s="86">
        <f t="shared" si="533"/>
        <v>298.32654239766083</v>
      </c>
      <c r="AG398" s="126">
        <f>+AF398/(1-Analisis!$E$9)</f>
        <v>372.908177997076</v>
      </c>
      <c r="AH398" s="128">
        <f t="shared" si="535"/>
        <v>0</v>
      </c>
    </row>
    <row r="399" spans="1:35" s="73" customFormat="1" x14ac:dyDescent="0.25">
      <c r="A399" s="100"/>
      <c r="B399" s="108" t="s">
        <v>564</v>
      </c>
      <c r="C399" s="74">
        <f>IFERROR(VLOOKUP(B399,'REQ GALV'!A:B,2,0),0)</f>
        <v>0</v>
      </c>
      <c r="D399" s="116">
        <f t="shared" si="534"/>
        <v>1982.8297715643278</v>
      </c>
      <c r="E399" s="103" t="s">
        <v>41</v>
      </c>
      <c r="F399" s="75" t="s">
        <v>314</v>
      </c>
      <c r="G399" s="90">
        <v>37.75</v>
      </c>
      <c r="H399" s="90">
        <v>51.88</v>
      </c>
      <c r="I399" s="76">
        <v>0.105</v>
      </c>
      <c r="J399" s="77">
        <v>28.24</v>
      </c>
      <c r="K399" s="78">
        <f t="shared" si="536"/>
        <v>112.7337743940825</v>
      </c>
      <c r="L399" s="58">
        <f>+VLOOKUP(E399,Material!$H$2:$M$17,6,FALSE)*G399*H399*(1+Material!$K$14)</f>
        <v>1447.0917222222224</v>
      </c>
      <c r="M399" s="79" t="str">
        <f>+Analisis!$J$5</f>
        <v>T5.0</v>
      </c>
      <c r="N399" s="80">
        <f>+VLOOKUP(M399,Material!$A$3:$B$58,2,FALSE)</f>
        <v>5000</v>
      </c>
      <c r="O399" s="79" t="s">
        <v>42</v>
      </c>
      <c r="P399" s="79" t="s">
        <v>43</v>
      </c>
      <c r="Q399" s="81">
        <f>+IF(O399="ACERO A36",VLOOKUP(P399,'Velocidades Std 1500 w'!$B$2:$F$15,5,FALSE),IF(O399="INOXIDABLE",VLOOKUP(P399,'Velocidades Std 1500 w'!$B$17:$F$28,5,FALSE),IF(O399="ALUMINIO",VLOOKUP(P399,'Velocidades Std 1500 w'!$B$30:$F$38,5,FALSE))))</f>
        <v>4.3859649122807014E-6</v>
      </c>
      <c r="R399" s="82">
        <f t="shared" si="537"/>
        <v>2.1929824561403508E-2</v>
      </c>
      <c r="S399" s="83">
        <f t="shared" si="538"/>
        <v>81.803908421052625</v>
      </c>
      <c r="T399" s="110">
        <f t="shared" si="539"/>
        <v>5180.9142000000002</v>
      </c>
      <c r="U399" s="80">
        <f t="shared" si="540"/>
        <v>113.61653947368421</v>
      </c>
      <c r="V399" s="98">
        <v>10</v>
      </c>
      <c r="W399" s="84">
        <f>+IF(O399="ACERO A36",VLOOKUP(P399,'Tiempo Objeto'!$B$2:$C$12,2,FALSE),IF(O399="INOXIDABLE",VLOOKUP(P399,'Tiempo Objeto'!$B$14:$C$22,2,FALSE),IF(O399="ALUMINIO",VLOOKUP(P399,'Tiempo Objeto'!$B$24:$C$32,2,FALSE))))</f>
        <v>1.84</v>
      </c>
      <c r="X399" s="84">
        <f t="shared" si="541"/>
        <v>18.400000000000002</v>
      </c>
      <c r="Y399" s="80">
        <f t="shared" si="542"/>
        <v>25.555555555555561</v>
      </c>
      <c r="Z399" s="100">
        <v>0</v>
      </c>
      <c r="AA399" s="85">
        <f t="shared" si="543"/>
        <v>0</v>
      </c>
      <c r="AB399" s="86">
        <f>+Z399*Analisis!$J$6</f>
        <v>0</v>
      </c>
      <c r="AC399" s="100">
        <v>0</v>
      </c>
      <c r="AD399" s="85">
        <f t="shared" si="544"/>
        <v>0</v>
      </c>
      <c r="AE399" s="86">
        <f>+AD399*Analisis!$J$7</f>
        <v>0</v>
      </c>
      <c r="AF399" s="86">
        <f t="shared" si="533"/>
        <v>1586.2638172514623</v>
      </c>
      <c r="AG399" s="126">
        <f>+AF399/(1-Analisis!$E$9)</f>
        <v>1982.8297715643278</v>
      </c>
      <c r="AH399" s="128">
        <f t="shared" si="535"/>
        <v>0</v>
      </c>
    </row>
    <row r="400" spans="1:35" s="73" customFormat="1" x14ac:dyDescent="0.25">
      <c r="A400" s="100"/>
      <c r="B400" s="108" t="s">
        <v>565</v>
      </c>
      <c r="C400" s="138">
        <f>IFERROR(VLOOKUP(B400,'REQ GALV'!A:B,2,0),0)</f>
        <v>90</v>
      </c>
      <c r="D400" s="116">
        <f t="shared" si="534"/>
        <v>307.92619671052631</v>
      </c>
      <c r="E400" s="103" t="s">
        <v>41</v>
      </c>
      <c r="F400" s="75" t="s">
        <v>314</v>
      </c>
      <c r="G400" s="90">
        <v>3.39</v>
      </c>
      <c r="H400" s="90">
        <v>29.14</v>
      </c>
      <c r="I400" s="76">
        <v>0.105</v>
      </c>
      <c r="J400" s="77">
        <v>28.24</v>
      </c>
      <c r="K400" s="78">
        <f t="shared" si="536"/>
        <v>5.6862555004721456</v>
      </c>
      <c r="L400" s="58">
        <f>+VLOOKUP(E400,Material!$H$2:$M$17,6,FALSE)*G400*H400*(1+Material!$K$14)</f>
        <v>72.990843333333345</v>
      </c>
      <c r="M400" s="79" t="str">
        <f>+Analisis!$J$5</f>
        <v>T5.0</v>
      </c>
      <c r="N400" s="80">
        <f>+VLOOKUP(M400,Material!$A$3:$B$58,2,FALSE)</f>
        <v>5000</v>
      </c>
      <c r="O400" s="79" t="s">
        <v>42</v>
      </c>
      <c r="P400" s="79" t="s">
        <v>43</v>
      </c>
      <c r="Q400" s="81">
        <f>+IF(O400="ACERO A36",VLOOKUP(P400,'Velocidades Std 1500 w'!$B$2:$F$15,5,FALSE),IF(O400="INOXIDABLE",VLOOKUP(P400,'Velocidades Std 1500 w'!$B$17:$F$28,5,FALSE),IF(O400="ALUMINIO",VLOOKUP(P400,'Velocidades Std 1500 w'!$B$30:$F$38,5,FALSE))))</f>
        <v>4.3859649122807014E-6</v>
      </c>
      <c r="R400" s="82">
        <f t="shared" si="537"/>
        <v>2.1929824561403508E-2</v>
      </c>
      <c r="S400" s="83">
        <f t="shared" si="538"/>
        <v>29.292082105263159</v>
      </c>
      <c r="T400" s="110">
        <f t="shared" si="539"/>
        <v>1855.1652000000001</v>
      </c>
      <c r="U400" s="80">
        <f t="shared" si="540"/>
        <v>40.683447368421056</v>
      </c>
      <c r="V400" s="98">
        <v>3</v>
      </c>
      <c r="W400" s="84">
        <f>+IF(O400="ACERO A36",VLOOKUP(P400,'Tiempo Objeto'!$B$2:$C$12,2,FALSE),IF(O400="INOXIDABLE",VLOOKUP(P400,'Tiempo Objeto'!$B$14:$C$22,2,FALSE),IF(O400="ALUMINIO",VLOOKUP(P400,'Tiempo Objeto'!$B$24:$C$32,2,FALSE))))</f>
        <v>1.84</v>
      </c>
      <c r="X400" s="84">
        <f t="shared" si="541"/>
        <v>5.5200000000000005</v>
      </c>
      <c r="Y400" s="80">
        <f t="shared" si="542"/>
        <v>7.6666666666666679</v>
      </c>
      <c r="Z400" s="100">
        <v>5</v>
      </c>
      <c r="AA400" s="85">
        <f t="shared" si="543"/>
        <v>825</v>
      </c>
      <c r="AB400" s="86">
        <f>+Z400*Analisis!$J$6</f>
        <v>125</v>
      </c>
      <c r="AC400" s="100">
        <v>0</v>
      </c>
      <c r="AD400" s="85">
        <f t="shared" si="544"/>
        <v>0</v>
      </c>
      <c r="AE400" s="86">
        <f>+AD400*Analisis!$J$7</f>
        <v>0</v>
      </c>
      <c r="AF400" s="86">
        <f t="shared" si="533"/>
        <v>246.34095736842107</v>
      </c>
      <c r="AG400" s="126">
        <f>+AF400/(1-Analisis!$E$9)</f>
        <v>307.92619671052631</v>
      </c>
      <c r="AH400" s="128">
        <f t="shared" si="535"/>
        <v>27713.357703947368</v>
      </c>
      <c r="AI400" s="128">
        <f>+L400*C400</f>
        <v>6569.1759000000011</v>
      </c>
    </row>
    <row r="401" spans="1:35" s="73" customFormat="1" x14ac:dyDescent="0.25">
      <c r="A401" s="100"/>
      <c r="B401" s="108" t="s">
        <v>566</v>
      </c>
      <c r="C401" s="138">
        <f>IFERROR(VLOOKUP(B401,'REQ GALV'!A:B,2,0),0)</f>
        <v>30</v>
      </c>
      <c r="D401" s="116">
        <f t="shared" si="534"/>
        <v>192.31715826023392</v>
      </c>
      <c r="E401" s="103" t="s">
        <v>41</v>
      </c>
      <c r="F401" s="75" t="s">
        <v>314</v>
      </c>
      <c r="G401" s="90">
        <v>4.87</v>
      </c>
      <c r="H401" s="90">
        <v>6.5</v>
      </c>
      <c r="I401" s="76">
        <v>0.105</v>
      </c>
      <c r="J401" s="77">
        <v>28.24</v>
      </c>
      <c r="K401" s="78">
        <f t="shared" si="536"/>
        <v>1.8221303509600255</v>
      </c>
      <c r="L401" s="58">
        <f>+VLOOKUP(E401,Material!$H$2:$M$17,6,FALSE)*G401*H401*(1+Material!$K$14)</f>
        <v>23.389527777777779</v>
      </c>
      <c r="M401" s="79" t="str">
        <f>+Analisis!$J$5</f>
        <v>T5.0</v>
      </c>
      <c r="N401" s="80">
        <f>+VLOOKUP(M401,Material!$A$3:$B$58,2,FALSE)</f>
        <v>5000</v>
      </c>
      <c r="O401" s="79" t="s">
        <v>42</v>
      </c>
      <c r="P401" s="79" t="s">
        <v>43</v>
      </c>
      <c r="Q401" s="81">
        <f>+IF(O401="ACERO A36",VLOOKUP(P401,'Velocidades Std 1500 w'!$B$2:$F$15,5,FALSE),IF(O401="INOXIDABLE",VLOOKUP(P401,'Velocidades Std 1500 w'!$B$17:$F$28,5,FALSE),IF(O401="ALUMINIO",VLOOKUP(P401,'Velocidades Std 1500 w'!$B$30:$F$38,5,FALSE))))</f>
        <v>4.3859649122807014E-6</v>
      </c>
      <c r="R401" s="82">
        <f t="shared" si="537"/>
        <v>2.1929824561403508E-2</v>
      </c>
      <c r="S401" s="83">
        <f t="shared" si="538"/>
        <v>12.734223157894736</v>
      </c>
      <c r="T401" s="110">
        <f t="shared" si="539"/>
        <v>806.50080000000003</v>
      </c>
      <c r="U401" s="80">
        <f t="shared" si="540"/>
        <v>17.68642105263158</v>
      </c>
      <c r="V401" s="98">
        <v>5</v>
      </c>
      <c r="W401" s="84">
        <f>+IF(O401="ACERO A36",VLOOKUP(P401,'Tiempo Objeto'!$B$2:$C$12,2,FALSE),IF(O401="INOXIDABLE",VLOOKUP(P401,'Tiempo Objeto'!$B$14:$C$22,2,FALSE),IF(O401="ALUMINIO",VLOOKUP(P401,'Tiempo Objeto'!$B$24:$C$32,2,FALSE))))</f>
        <v>1.84</v>
      </c>
      <c r="X401" s="84">
        <f t="shared" si="541"/>
        <v>9.2000000000000011</v>
      </c>
      <c r="Y401" s="80">
        <f t="shared" si="542"/>
        <v>12.77777777777778</v>
      </c>
      <c r="Z401" s="100">
        <v>4</v>
      </c>
      <c r="AA401" s="85">
        <f t="shared" si="543"/>
        <v>300</v>
      </c>
      <c r="AB401" s="86">
        <f>+Z401*Analisis!$J$6</f>
        <v>100</v>
      </c>
      <c r="AC401" s="100">
        <v>0</v>
      </c>
      <c r="AD401" s="85">
        <f t="shared" si="544"/>
        <v>0</v>
      </c>
      <c r="AE401" s="86">
        <f>+AD401*Analisis!$J$7</f>
        <v>0</v>
      </c>
      <c r="AF401" s="86">
        <f t="shared" si="533"/>
        <v>153.85372660818715</v>
      </c>
      <c r="AG401" s="126">
        <f>+AF401/(1-Analisis!$E$9)</f>
        <v>192.31715826023392</v>
      </c>
      <c r="AH401" s="128">
        <f t="shared" si="535"/>
        <v>5769.5147478070176</v>
      </c>
      <c r="AI401" s="128">
        <f>+L401*C401</f>
        <v>701.68583333333333</v>
      </c>
    </row>
    <row r="402" spans="1:35" s="73" customFormat="1" x14ac:dyDescent="0.25">
      <c r="A402" s="100"/>
      <c r="B402" s="108" t="s">
        <v>567</v>
      </c>
      <c r="C402" s="138">
        <f>IFERROR(VLOOKUP(B402,'REQ GALV'!A:B,2,0),0)</f>
        <v>30</v>
      </c>
      <c r="D402" s="116">
        <f t="shared" si="534"/>
        <v>219.28220021929823</v>
      </c>
      <c r="E402" s="103" t="s">
        <v>41</v>
      </c>
      <c r="F402" s="75" t="s">
        <v>314</v>
      </c>
      <c r="G402" s="90">
        <v>2.82</v>
      </c>
      <c r="H402" s="90">
        <v>11.32</v>
      </c>
      <c r="I402" s="76">
        <v>0.105</v>
      </c>
      <c r="J402" s="77">
        <v>28.24</v>
      </c>
      <c r="K402" s="78">
        <f t="shared" si="536"/>
        <v>1.8375224740321059</v>
      </c>
      <c r="L402" s="58">
        <f>+VLOOKUP(E402,Material!$H$2:$M$17,6,FALSE)*G402*H402*(1+Material!$K$14)</f>
        <v>23.587106666666667</v>
      </c>
      <c r="M402" s="79" t="str">
        <f>+Analisis!$J$5</f>
        <v>T5.0</v>
      </c>
      <c r="N402" s="80">
        <f>+VLOOKUP(M402,Material!$A$3:$B$58,2,FALSE)</f>
        <v>5000</v>
      </c>
      <c r="O402" s="79" t="s">
        <v>42</v>
      </c>
      <c r="P402" s="79" t="s">
        <v>43</v>
      </c>
      <c r="Q402" s="81">
        <f>+IF(O402="ACERO A36",VLOOKUP(P402,'Velocidades Std 1500 w'!$B$2:$F$15,5,FALSE),IF(O402="INOXIDABLE",VLOOKUP(P402,'Velocidades Std 1500 w'!$B$17:$F$28,5,FALSE),IF(O402="ALUMINIO",VLOOKUP(P402,'Velocidades Std 1500 w'!$B$30:$F$38,5,FALSE))))</f>
        <v>4.3859649122807014E-6</v>
      </c>
      <c r="R402" s="82">
        <f t="shared" si="537"/>
        <v>2.1929824561403508E-2</v>
      </c>
      <c r="S402" s="83">
        <f t="shared" si="538"/>
        <v>13.803830526315789</v>
      </c>
      <c r="T402" s="110">
        <f t="shared" si="539"/>
        <v>874.24260000000004</v>
      </c>
      <c r="U402" s="80">
        <f t="shared" si="540"/>
        <v>19.171986842105262</v>
      </c>
      <c r="V402" s="98">
        <v>3</v>
      </c>
      <c r="W402" s="84">
        <f>+IF(O402="ACERO A36",VLOOKUP(P402,'Tiempo Objeto'!$B$2:$C$12,2,FALSE),IF(O402="INOXIDABLE",VLOOKUP(P402,'Tiempo Objeto'!$B$14:$C$22,2,FALSE),IF(O402="ALUMINIO",VLOOKUP(P402,'Tiempo Objeto'!$B$24:$C$32,2,FALSE))))</f>
        <v>1.84</v>
      </c>
      <c r="X402" s="84">
        <f t="shared" si="541"/>
        <v>5.5200000000000005</v>
      </c>
      <c r="Y402" s="80">
        <f t="shared" si="542"/>
        <v>7.6666666666666679</v>
      </c>
      <c r="Z402" s="100">
        <v>5</v>
      </c>
      <c r="AA402" s="85">
        <f t="shared" si="543"/>
        <v>375</v>
      </c>
      <c r="AB402" s="86">
        <f>+Z402*Analisis!$J$6</f>
        <v>125</v>
      </c>
      <c r="AC402" s="100">
        <v>0</v>
      </c>
      <c r="AD402" s="85">
        <f t="shared" si="544"/>
        <v>0</v>
      </c>
      <c r="AE402" s="86">
        <f>+AD402*Analisis!$J$7</f>
        <v>0</v>
      </c>
      <c r="AF402" s="86">
        <f t="shared" si="533"/>
        <v>175.4257601754386</v>
      </c>
      <c r="AG402" s="126">
        <f>+AF402/(1-Analisis!$E$9)</f>
        <v>219.28220021929823</v>
      </c>
      <c r="AH402" s="128">
        <f t="shared" si="535"/>
        <v>6578.4660065789467</v>
      </c>
      <c r="AI402" s="128">
        <f>+L402*C402</f>
        <v>707.61320000000001</v>
      </c>
    </row>
    <row r="403" spans="1:35" s="73" customFormat="1" x14ac:dyDescent="0.25">
      <c r="A403" s="100"/>
      <c r="B403" s="108" t="s">
        <v>568</v>
      </c>
      <c r="C403" s="138">
        <f>IFERROR(VLOOKUP(B403,'REQ GALV'!A:B,2,0),0)</f>
        <v>30</v>
      </c>
      <c r="D403" s="116">
        <f t="shared" si="534"/>
        <v>311.68322330729171</v>
      </c>
      <c r="E403" s="103" t="s">
        <v>44</v>
      </c>
      <c r="F403" s="75" t="s">
        <v>314</v>
      </c>
      <c r="G403" s="90">
        <v>5.79</v>
      </c>
      <c r="H403" s="90">
        <v>22.1</v>
      </c>
      <c r="I403" s="76">
        <v>0.105</v>
      </c>
      <c r="J403" s="77">
        <v>28.24</v>
      </c>
      <c r="K403" s="78">
        <f t="shared" si="536"/>
        <v>8.9768215186791807</v>
      </c>
      <c r="L403" s="58">
        <f>+VLOOKUP(E403,Material!$H$2:$M$17,6,FALSE)*G403*H403*(1+Material!$K$14)</f>
        <v>115.22974531250001</v>
      </c>
      <c r="M403" s="79" t="str">
        <f>+Analisis!$J$5</f>
        <v>T5.0</v>
      </c>
      <c r="N403" s="80">
        <f>+VLOOKUP(M403,Material!$A$3:$B$58,2,FALSE)</f>
        <v>5000</v>
      </c>
      <c r="O403" s="79" t="s">
        <v>42</v>
      </c>
      <c r="P403" s="79" t="s">
        <v>43</v>
      </c>
      <c r="Q403" s="81">
        <f>+IF(O403="ACERO A36",VLOOKUP(P403,'Velocidades Std 1500 w'!$B$2:$F$15,5,FALSE),IF(O403="INOXIDABLE",VLOOKUP(P403,'Velocidades Std 1500 w'!$B$17:$F$28,5,FALSE),IF(O403="ALUMINIO",VLOOKUP(P403,'Velocidades Std 1500 w'!$B$30:$F$38,5,FALSE))))</f>
        <v>4.3859649122807014E-6</v>
      </c>
      <c r="R403" s="82">
        <f t="shared" si="537"/>
        <v>2.1929824561403508E-2</v>
      </c>
      <c r="S403" s="83">
        <f t="shared" si="538"/>
        <v>32.964120000000001</v>
      </c>
      <c r="T403" s="110">
        <f t="shared" si="539"/>
        <v>2087.7276000000002</v>
      </c>
      <c r="U403" s="80">
        <f t="shared" si="540"/>
        <v>45.783500000000004</v>
      </c>
      <c r="V403" s="98">
        <v>15</v>
      </c>
      <c r="W403" s="84">
        <f>+IF(O403="ACERO A36",VLOOKUP(P403,'Tiempo Objeto'!$B$2:$C$12,2,FALSE),IF(O403="INOXIDABLE",VLOOKUP(P403,'Tiempo Objeto'!$B$14:$C$22,2,FALSE),IF(O403="ALUMINIO",VLOOKUP(P403,'Tiempo Objeto'!$B$24:$C$32,2,FALSE))))</f>
        <v>1.84</v>
      </c>
      <c r="X403" s="84">
        <f t="shared" si="541"/>
        <v>27.6</v>
      </c>
      <c r="Y403" s="80">
        <f t="shared" si="542"/>
        <v>38.333333333333336</v>
      </c>
      <c r="Z403" s="100">
        <v>2</v>
      </c>
      <c r="AA403" s="85">
        <f t="shared" si="543"/>
        <v>150</v>
      </c>
      <c r="AB403" s="86">
        <f>+Z403*Analisis!$J$6</f>
        <v>50</v>
      </c>
      <c r="AC403" s="100">
        <v>0</v>
      </c>
      <c r="AD403" s="85">
        <f t="shared" si="544"/>
        <v>0</v>
      </c>
      <c r="AE403" s="86">
        <f>+AD403*Analisis!$J$7</f>
        <v>0</v>
      </c>
      <c r="AF403" s="86">
        <f t="shared" si="533"/>
        <v>249.34657864583338</v>
      </c>
      <c r="AG403" s="126">
        <f>+AF403/(1-Analisis!$E$9)</f>
        <v>311.68322330729171</v>
      </c>
      <c r="AH403" s="128">
        <f t="shared" si="535"/>
        <v>9350.496699218751</v>
      </c>
      <c r="AI403" s="128">
        <f>+L403*C403</f>
        <v>3456.8923593750005</v>
      </c>
    </row>
    <row r="404" spans="1:35" s="73" customFormat="1" x14ac:dyDescent="0.25">
      <c r="A404" s="100"/>
      <c r="B404" s="108" t="s">
        <v>569</v>
      </c>
      <c r="C404" s="138">
        <f>IFERROR(VLOOKUP(B404,'REQ GALV'!A:B,2,0),0)</f>
        <v>30</v>
      </c>
      <c r="D404" s="116">
        <f t="shared" si="534"/>
        <v>1786.3141922514617</v>
      </c>
      <c r="E404" s="103" t="s">
        <v>41</v>
      </c>
      <c r="F404" s="75" t="s">
        <v>314</v>
      </c>
      <c r="G404" s="90">
        <v>37.75</v>
      </c>
      <c r="H404" s="90">
        <v>45.88</v>
      </c>
      <c r="I404" s="76">
        <v>0.105</v>
      </c>
      <c r="J404" s="77">
        <v>28.24</v>
      </c>
      <c r="K404" s="78">
        <f t="shared" ref="K404:K405" si="546">+L404*2.2/J404</f>
        <v>99.695943893610334</v>
      </c>
      <c r="L404" s="58">
        <f>+VLOOKUP(E404,Material!$H$2:$M$17,6,FALSE)*G404*H404*(1+Material!$K$14)</f>
        <v>1279.7333888888888</v>
      </c>
      <c r="M404" s="79" t="str">
        <f>+Analisis!$J$5</f>
        <v>T5.0</v>
      </c>
      <c r="N404" s="80">
        <f>+VLOOKUP(M404,Material!$A$3:$B$58,2,FALSE)</f>
        <v>5000</v>
      </c>
      <c r="O404" s="79" t="s">
        <v>42</v>
      </c>
      <c r="P404" s="79" t="s">
        <v>43</v>
      </c>
      <c r="Q404" s="81">
        <f>+IF(O404="ACERO A36",VLOOKUP(P404,'Velocidades Std 1500 w'!$B$2:$F$15,5,FALSE),IF(O404="INOXIDABLE",VLOOKUP(P404,'Velocidades Std 1500 w'!$B$17:$F$28,5,FALSE),IF(O404="ALUMINIO",VLOOKUP(P404,'Velocidades Std 1500 w'!$B$30:$F$38,5,FALSE))))</f>
        <v>4.3859649122807014E-6</v>
      </c>
      <c r="R404" s="82">
        <f t="shared" ref="R404:R405" si="547">+Q404*N404</f>
        <v>2.1929824561403508E-2</v>
      </c>
      <c r="S404" s="83">
        <f t="shared" ref="S404:S405" si="548">+Q404*T404*3600</f>
        <v>79.908934736842085</v>
      </c>
      <c r="T404" s="110">
        <f t="shared" ref="T404:T405" si="549">(+H404*2+G404*2+V404*1.5)*25.4*1.05</f>
        <v>5060.8991999999998</v>
      </c>
      <c r="U404" s="80">
        <f t="shared" ref="U404:U405" si="550">+T404*R404</f>
        <v>110.98463157894736</v>
      </c>
      <c r="V404" s="98">
        <v>15</v>
      </c>
      <c r="W404" s="84">
        <f>+IF(O404="ACERO A36",VLOOKUP(P404,'Tiempo Objeto'!$B$2:$C$12,2,FALSE),IF(O404="INOXIDABLE",VLOOKUP(P404,'Tiempo Objeto'!$B$14:$C$22,2,FALSE),IF(O404="ALUMINIO",VLOOKUP(P404,'Tiempo Objeto'!$B$24:$C$32,2,FALSE))))</f>
        <v>1.84</v>
      </c>
      <c r="X404" s="84">
        <f t="shared" ref="X404:X405" si="551">+W404*V404</f>
        <v>27.6</v>
      </c>
      <c r="Y404" s="80">
        <f t="shared" ref="Y404:Y405" si="552">+X404*N404/3600</f>
        <v>38.333333333333336</v>
      </c>
      <c r="Z404" s="100">
        <v>0</v>
      </c>
      <c r="AA404" s="85">
        <f t="shared" si="543"/>
        <v>0</v>
      </c>
      <c r="AB404" s="86">
        <f>+Z404*Analisis!$J$6</f>
        <v>0</v>
      </c>
      <c r="AC404" s="100">
        <v>0</v>
      </c>
      <c r="AD404" s="85">
        <f t="shared" si="544"/>
        <v>0</v>
      </c>
      <c r="AE404" s="86">
        <f>+AD404*Analisis!$J$7</f>
        <v>0</v>
      </c>
      <c r="AF404" s="86">
        <f t="shared" si="533"/>
        <v>1429.0513538011694</v>
      </c>
      <c r="AG404" s="126">
        <f>+AF404/(1-Analisis!$E$9)</f>
        <v>1786.3141922514617</v>
      </c>
      <c r="AH404" s="128">
        <f t="shared" si="535"/>
        <v>53589.425767543849</v>
      </c>
      <c r="AI404" s="128">
        <f>+L404*C404</f>
        <v>38392.001666666663</v>
      </c>
    </row>
    <row r="405" spans="1:35" s="73" customFormat="1" x14ac:dyDescent="0.25">
      <c r="A405" s="100"/>
      <c r="B405" s="108" t="s">
        <v>570</v>
      </c>
      <c r="C405" s="74">
        <f>IFERROR(VLOOKUP(B405,'REQ GALV'!A:B,2,0),0)</f>
        <v>0</v>
      </c>
      <c r="D405" s="116">
        <f t="shared" si="534"/>
        <v>536.44866673976605</v>
      </c>
      <c r="E405" s="103" t="s">
        <v>41</v>
      </c>
      <c r="F405" s="75" t="s">
        <v>314</v>
      </c>
      <c r="G405" s="90">
        <v>4.6399999999999997</v>
      </c>
      <c r="H405" s="90">
        <v>51.74</v>
      </c>
      <c r="I405" s="76">
        <v>0.105</v>
      </c>
      <c r="J405" s="77">
        <v>28.24</v>
      </c>
      <c r="K405" s="78">
        <f t="shared" si="546"/>
        <v>13.819156310985207</v>
      </c>
      <c r="L405" s="58">
        <f>+VLOOKUP(E405,Material!$H$2:$M$17,6,FALSE)*G405*H405*(1+Material!$K$14)</f>
        <v>177.38771555555556</v>
      </c>
      <c r="M405" s="79" t="str">
        <f>+Analisis!$J$5</f>
        <v>T5.0</v>
      </c>
      <c r="N405" s="80">
        <f>+VLOOKUP(M405,Material!$A$3:$B$58,2,FALSE)</f>
        <v>5000</v>
      </c>
      <c r="O405" s="79" t="s">
        <v>42</v>
      </c>
      <c r="P405" s="79" t="s">
        <v>43</v>
      </c>
      <c r="Q405" s="81">
        <f>+IF(O405="ACERO A36",VLOOKUP(P405,'Velocidades Std 1500 w'!$B$2:$F$15,5,FALSE),IF(O405="INOXIDABLE",VLOOKUP(P405,'Velocidades Std 1500 w'!$B$17:$F$28,5,FALSE),IF(O405="ALUMINIO",VLOOKUP(P405,'Velocidades Std 1500 w'!$B$30:$F$38,5,FALSE))))</f>
        <v>4.3859649122807014E-6</v>
      </c>
      <c r="R405" s="82">
        <f t="shared" si="547"/>
        <v>2.1929824561403508E-2</v>
      </c>
      <c r="S405" s="83">
        <f t="shared" si="548"/>
        <v>63.275276842105249</v>
      </c>
      <c r="T405" s="110">
        <f t="shared" si="549"/>
        <v>4007.4341999999997</v>
      </c>
      <c r="U405" s="80">
        <f t="shared" si="550"/>
        <v>87.882328947368407</v>
      </c>
      <c r="V405" s="98">
        <v>25</v>
      </c>
      <c r="W405" s="84">
        <f>+IF(O405="ACERO A36",VLOOKUP(P405,'Tiempo Objeto'!$B$2:$C$12,2,FALSE),IF(O405="INOXIDABLE",VLOOKUP(P405,'Tiempo Objeto'!$B$14:$C$22,2,FALSE),IF(O405="ALUMINIO",VLOOKUP(P405,'Tiempo Objeto'!$B$24:$C$32,2,FALSE))))</f>
        <v>1.84</v>
      </c>
      <c r="X405" s="84">
        <f t="shared" si="551"/>
        <v>46</v>
      </c>
      <c r="Y405" s="80">
        <f t="shared" si="552"/>
        <v>63.888888888888886</v>
      </c>
      <c r="Z405" s="100">
        <v>4</v>
      </c>
      <c r="AA405" s="85">
        <f t="shared" si="543"/>
        <v>120</v>
      </c>
      <c r="AB405" s="86">
        <f>+Z405*Analisis!$J$6</f>
        <v>100</v>
      </c>
      <c r="AC405" s="100">
        <v>0</v>
      </c>
      <c r="AD405" s="85">
        <f t="shared" si="544"/>
        <v>0</v>
      </c>
      <c r="AE405" s="86">
        <f>+AD405*Analisis!$J$7</f>
        <v>0</v>
      </c>
      <c r="AF405" s="86">
        <f t="shared" si="533"/>
        <v>429.15893339181287</v>
      </c>
      <c r="AG405" s="126">
        <f>+AF405/(1-Analisis!$E$9)</f>
        <v>536.44866673976605</v>
      </c>
      <c r="AH405" s="128">
        <f t="shared" si="535"/>
        <v>0</v>
      </c>
    </row>
    <row r="406" spans="1:35" s="73" customFormat="1" x14ac:dyDescent="0.25">
      <c r="A406" s="100"/>
      <c r="B406" s="108" t="s">
        <v>571</v>
      </c>
      <c r="C406" s="74">
        <f>IFERROR(VLOOKUP(B406,'REQ GALV'!A:B,2,0),0)</f>
        <v>0</v>
      </c>
      <c r="D406" s="116">
        <f t="shared" si="534"/>
        <v>119.41212902046782</v>
      </c>
      <c r="E406" s="103" t="s">
        <v>41</v>
      </c>
      <c r="F406" s="75" t="s">
        <v>314</v>
      </c>
      <c r="G406" s="90">
        <v>3</v>
      </c>
      <c r="H406" s="90">
        <v>7.34</v>
      </c>
      <c r="I406" s="76">
        <v>0.105</v>
      </c>
      <c r="J406" s="77">
        <v>28.24</v>
      </c>
      <c r="K406" s="78">
        <f t="shared" ref="K406:K430" si="553">+L406*2.2/J406</f>
        <v>1.2675188857412658</v>
      </c>
      <c r="L406" s="58">
        <f>+VLOOKUP(E406,Material!$H$2:$M$17,6,FALSE)*G406*H406*(1+Material!$K$14)</f>
        <v>16.270333333333337</v>
      </c>
      <c r="M406" s="79" t="str">
        <f>+Analisis!$J$5</f>
        <v>T5.0</v>
      </c>
      <c r="N406" s="80">
        <f>+VLOOKUP(M406,Material!$A$3:$B$58,2,FALSE)</f>
        <v>5000</v>
      </c>
      <c r="O406" s="79" t="s">
        <v>42</v>
      </c>
      <c r="P406" s="79" t="s">
        <v>43</v>
      </c>
      <c r="Q406" s="81">
        <f>+IF(O406="ACERO A36",VLOOKUP(P406,'Velocidades Std 1500 w'!$B$2:$F$15,5,FALSE),IF(O406="INOXIDABLE",VLOOKUP(P406,'Velocidades Std 1500 w'!$B$17:$F$28,5,FALSE),IF(O406="ALUMINIO",VLOOKUP(P406,'Velocidades Std 1500 w'!$B$30:$F$38,5,FALSE))))</f>
        <v>4.3859649122807014E-6</v>
      </c>
      <c r="R406" s="82">
        <f t="shared" ref="R406:R430" si="554">+Q406*N406</f>
        <v>2.1929824561403508E-2</v>
      </c>
      <c r="S406" s="83">
        <f t="shared" ref="S406:S430" si="555">+Q406*T406*3600</f>
        <v>11.866746315789472</v>
      </c>
      <c r="T406" s="110">
        <f t="shared" ref="T406:T430" si="556">(+H406*2+G406*2+V406*1.5)*25.4*1.05</f>
        <v>751.56059999999991</v>
      </c>
      <c r="U406" s="80">
        <f t="shared" ref="U406:U430" si="557">+T406*R406</f>
        <v>16.481592105263154</v>
      </c>
      <c r="V406" s="98">
        <v>5</v>
      </c>
      <c r="W406" s="84">
        <f>+IF(O406="ACERO A36",VLOOKUP(P406,'Tiempo Objeto'!$B$2:$C$12,2,FALSE),IF(O406="INOXIDABLE",VLOOKUP(P406,'Tiempo Objeto'!$B$14:$C$22,2,FALSE),IF(O406="ALUMINIO",VLOOKUP(P406,'Tiempo Objeto'!$B$24:$C$32,2,FALSE))))</f>
        <v>1.84</v>
      </c>
      <c r="X406" s="84">
        <f t="shared" ref="X406:X430" si="558">+W406*V406</f>
        <v>9.2000000000000011</v>
      </c>
      <c r="Y406" s="80">
        <f t="shared" ref="Y406:Y430" si="559">+X406*N406/3600</f>
        <v>12.77777777777778</v>
      </c>
      <c r="Z406" s="100">
        <v>2</v>
      </c>
      <c r="AA406" s="85">
        <f t="shared" si="543"/>
        <v>60</v>
      </c>
      <c r="AB406" s="86">
        <f>+Z406*Analisis!$J$6</f>
        <v>50</v>
      </c>
      <c r="AC406" s="100">
        <v>0</v>
      </c>
      <c r="AD406" s="85">
        <f t="shared" si="544"/>
        <v>0</v>
      </c>
      <c r="AE406" s="86">
        <f>+AD406*Analisis!$J$7</f>
        <v>0</v>
      </c>
      <c r="AF406" s="86">
        <f t="shared" si="533"/>
        <v>95.529703216374259</v>
      </c>
      <c r="AG406" s="126">
        <f>+AF406/(1-Analisis!$E$9)</f>
        <v>119.41212902046782</v>
      </c>
      <c r="AH406" s="128">
        <f t="shared" si="535"/>
        <v>0</v>
      </c>
    </row>
    <row r="407" spans="1:35" s="73" customFormat="1" x14ac:dyDescent="0.25">
      <c r="A407" s="100"/>
      <c r="B407" s="108" t="s">
        <v>572</v>
      </c>
      <c r="C407" s="74">
        <f>IFERROR(VLOOKUP(B407,'REQ GALV'!A:B,2,0),0)</f>
        <v>0</v>
      </c>
      <c r="D407" s="116">
        <f t="shared" si="534"/>
        <v>80.669711257309942</v>
      </c>
      <c r="E407" s="103" t="s">
        <v>41</v>
      </c>
      <c r="F407" s="75" t="s">
        <v>314</v>
      </c>
      <c r="G407" s="90">
        <v>5.57</v>
      </c>
      <c r="H407" s="90">
        <v>3</v>
      </c>
      <c r="I407" s="76">
        <v>0.105</v>
      </c>
      <c r="J407" s="77">
        <v>28.24</v>
      </c>
      <c r="K407" s="78">
        <f t="shared" si="553"/>
        <v>0.96186378659112393</v>
      </c>
      <c r="L407" s="58">
        <f>+VLOOKUP(E407,Material!$H$2:$M$17,6,FALSE)*G407*H407*(1+Material!$K$14)</f>
        <v>12.346833333333334</v>
      </c>
      <c r="M407" s="79" t="str">
        <f>+Analisis!$J$5</f>
        <v>T5.0</v>
      </c>
      <c r="N407" s="80">
        <f>+VLOOKUP(M407,Material!$A$3:$B$58,2,FALSE)</f>
        <v>5000</v>
      </c>
      <c r="O407" s="79" t="s">
        <v>42</v>
      </c>
      <c r="P407" s="79" t="s">
        <v>43</v>
      </c>
      <c r="Q407" s="81">
        <f>+IF(O407="ACERO A36",VLOOKUP(P407,'Velocidades Std 1500 w'!$B$2:$F$15,5,FALSE),IF(O407="INOXIDABLE",VLOOKUP(P407,'Velocidades Std 1500 w'!$B$17:$F$28,5,FALSE),IF(O407="ALUMINIO",VLOOKUP(P407,'Velocidades Std 1500 w'!$B$30:$F$38,5,FALSE))))</f>
        <v>4.3859649122807014E-6</v>
      </c>
      <c r="R407" s="82">
        <f t="shared" si="554"/>
        <v>2.1929824561403508E-2</v>
      </c>
      <c r="S407" s="83">
        <f t="shared" si="555"/>
        <v>10.376033684210528</v>
      </c>
      <c r="T407" s="110">
        <f t="shared" si="556"/>
        <v>657.14880000000005</v>
      </c>
      <c r="U407" s="80">
        <f t="shared" si="557"/>
        <v>14.411157894736842</v>
      </c>
      <c r="V407" s="98">
        <v>5</v>
      </c>
      <c r="W407" s="84">
        <f>+IF(O407="ACERO A36",VLOOKUP(P407,'Tiempo Objeto'!$B$2:$C$12,2,FALSE),IF(O407="INOXIDABLE",VLOOKUP(P407,'Tiempo Objeto'!$B$14:$C$22,2,FALSE),IF(O407="ALUMINIO",VLOOKUP(P407,'Tiempo Objeto'!$B$24:$C$32,2,FALSE))))</f>
        <v>1.84</v>
      </c>
      <c r="X407" s="84">
        <f t="shared" si="558"/>
        <v>9.2000000000000011</v>
      </c>
      <c r="Y407" s="80">
        <f t="shared" si="559"/>
        <v>12.77777777777778</v>
      </c>
      <c r="Z407" s="100">
        <v>1</v>
      </c>
      <c r="AA407" s="85">
        <f t="shared" si="543"/>
        <v>30</v>
      </c>
      <c r="AB407" s="86">
        <f>+Z407*Analisis!$J$6</f>
        <v>25</v>
      </c>
      <c r="AC407" s="100">
        <v>0</v>
      </c>
      <c r="AD407" s="85">
        <f t="shared" si="544"/>
        <v>0</v>
      </c>
      <c r="AE407" s="86">
        <f>+AD407*Analisis!$J$7</f>
        <v>0</v>
      </c>
      <c r="AF407" s="86">
        <f t="shared" si="533"/>
        <v>64.535769005847953</v>
      </c>
      <c r="AG407" s="126">
        <f>+AF407/(1-Analisis!$E$9)</f>
        <v>80.669711257309942</v>
      </c>
      <c r="AH407" s="128">
        <f t="shared" si="535"/>
        <v>0</v>
      </c>
    </row>
    <row r="408" spans="1:35" s="73" customFormat="1" x14ac:dyDescent="0.25">
      <c r="A408" s="100"/>
      <c r="B408" s="108" t="s">
        <v>573</v>
      </c>
      <c r="C408" s="74">
        <f>IFERROR(VLOOKUP(B408,'REQ GALV'!A:B,2,0),0)</f>
        <v>0</v>
      </c>
      <c r="D408" s="116">
        <f t="shared" si="534"/>
        <v>1278.1472897660819</v>
      </c>
      <c r="E408" s="103" t="s">
        <v>41</v>
      </c>
      <c r="F408" s="75" t="s">
        <v>314</v>
      </c>
      <c r="G408" s="90">
        <v>23.79</v>
      </c>
      <c r="H408" s="90">
        <v>44.06</v>
      </c>
      <c r="I408" s="76">
        <v>0.105</v>
      </c>
      <c r="J408" s="77">
        <v>28.24</v>
      </c>
      <c r="K408" s="78">
        <f t="shared" si="553"/>
        <v>60.335936661945254</v>
      </c>
      <c r="L408" s="58">
        <f>+VLOOKUP(E408,Material!$H$2:$M$17,6,FALSE)*G408*H408*(1+Material!$K$14)</f>
        <v>774.49402333333353</v>
      </c>
      <c r="M408" s="79" t="str">
        <f>+Analisis!$J$5</f>
        <v>T5.0</v>
      </c>
      <c r="N408" s="80">
        <f>+VLOOKUP(M408,Material!$A$3:$B$58,2,FALSE)</f>
        <v>5000</v>
      </c>
      <c r="O408" s="79" t="s">
        <v>42</v>
      </c>
      <c r="P408" s="79" t="s">
        <v>43</v>
      </c>
      <c r="Q408" s="81">
        <f>+IF(O408="ACERO A36",VLOOKUP(P408,'Velocidades Std 1500 w'!$B$2:$F$15,5,FALSE),IF(O408="INOXIDABLE",VLOOKUP(P408,'Velocidades Std 1500 w'!$B$17:$F$28,5,FALSE),IF(O408="ALUMINIO",VLOOKUP(P408,'Velocidades Std 1500 w'!$B$30:$F$38,5,FALSE))))</f>
        <v>4.3859649122807014E-6</v>
      </c>
      <c r="R408" s="82">
        <f t="shared" si="554"/>
        <v>2.1929824561403508E-2</v>
      </c>
      <c r="S408" s="83">
        <f t="shared" si="555"/>
        <v>69.777142105263152</v>
      </c>
      <c r="T408" s="110">
        <f t="shared" si="556"/>
        <v>4419.2190000000001</v>
      </c>
      <c r="U408" s="80">
        <f t="shared" si="557"/>
        <v>96.91269736842105</v>
      </c>
      <c r="V408" s="98">
        <v>20</v>
      </c>
      <c r="W408" s="84">
        <f>+IF(O408="ACERO A36",VLOOKUP(P408,'Tiempo Objeto'!$B$2:$C$12,2,FALSE),IF(O408="INOXIDABLE",VLOOKUP(P408,'Tiempo Objeto'!$B$14:$C$22,2,FALSE),IF(O408="ALUMINIO",VLOOKUP(P408,'Tiempo Objeto'!$B$24:$C$32,2,FALSE))))</f>
        <v>1.84</v>
      </c>
      <c r="X408" s="84">
        <f t="shared" si="558"/>
        <v>36.800000000000004</v>
      </c>
      <c r="Y408" s="80">
        <f t="shared" si="559"/>
        <v>51.111111111111121</v>
      </c>
      <c r="Z408" s="100">
        <v>4</v>
      </c>
      <c r="AA408" s="85">
        <f t="shared" si="543"/>
        <v>120</v>
      </c>
      <c r="AB408" s="86">
        <f>+Z408*Analisis!$J$6</f>
        <v>100</v>
      </c>
      <c r="AC408" s="100">
        <v>0</v>
      </c>
      <c r="AD408" s="85">
        <f t="shared" si="544"/>
        <v>0</v>
      </c>
      <c r="AE408" s="86">
        <f>+AD408*Analisis!$J$7</f>
        <v>0</v>
      </c>
      <c r="AF408" s="86">
        <f t="shared" si="533"/>
        <v>1022.5178318128657</v>
      </c>
      <c r="AG408" s="126">
        <f>+AF408/(1-Analisis!$E$9)</f>
        <v>1278.1472897660819</v>
      </c>
      <c r="AH408" s="128">
        <f t="shared" si="535"/>
        <v>0</v>
      </c>
    </row>
    <row r="409" spans="1:35" s="73" customFormat="1" x14ac:dyDescent="0.25">
      <c r="A409" s="100"/>
      <c r="B409" s="108" t="s">
        <v>574</v>
      </c>
      <c r="C409" s="74">
        <f>IFERROR(VLOOKUP(B409,'REQ GALV'!A:B,2,0),0)</f>
        <v>0</v>
      </c>
      <c r="D409" s="116">
        <f t="shared" si="534"/>
        <v>89.782644371345015</v>
      </c>
      <c r="E409" s="103" t="s">
        <v>41</v>
      </c>
      <c r="F409" s="75" t="s">
        <v>314</v>
      </c>
      <c r="G409" s="90">
        <v>2</v>
      </c>
      <c r="H409" s="90">
        <v>10.32</v>
      </c>
      <c r="I409" s="76">
        <v>0.105</v>
      </c>
      <c r="J409" s="77">
        <v>28.24</v>
      </c>
      <c r="K409" s="78">
        <f t="shared" si="553"/>
        <v>1.1880830972615677</v>
      </c>
      <c r="L409" s="58">
        <f>+VLOOKUP(E409,Material!$H$2:$M$17,6,FALSE)*G409*H409*(1+Material!$K$14)</f>
        <v>15.250666666666667</v>
      </c>
      <c r="M409" s="79" t="str">
        <f>+Analisis!$J$5</f>
        <v>T5.0</v>
      </c>
      <c r="N409" s="80">
        <f>+VLOOKUP(M409,Material!$A$3:$B$58,2,FALSE)</f>
        <v>5000</v>
      </c>
      <c r="O409" s="79" t="s">
        <v>42</v>
      </c>
      <c r="P409" s="79" t="s">
        <v>43</v>
      </c>
      <c r="Q409" s="81">
        <f>+IF(O409="ACERO A36",VLOOKUP(P409,'Velocidades Std 1500 w'!$B$2:$F$15,5,FALSE),IF(O409="INOXIDABLE",VLOOKUP(P409,'Velocidades Std 1500 w'!$B$17:$F$28,5,FALSE),IF(O409="ALUMINIO",VLOOKUP(P409,'Velocidades Std 1500 w'!$B$30:$F$38,5,FALSE))))</f>
        <v>4.3859649122807014E-6</v>
      </c>
      <c r="R409" s="82">
        <f t="shared" si="554"/>
        <v>2.1929824561403508E-2</v>
      </c>
      <c r="S409" s="83">
        <f t="shared" si="555"/>
        <v>13.534323157894736</v>
      </c>
      <c r="T409" s="110">
        <f t="shared" si="556"/>
        <v>857.17380000000003</v>
      </c>
      <c r="U409" s="80">
        <f t="shared" si="557"/>
        <v>18.797671052631578</v>
      </c>
      <c r="V409" s="98">
        <v>5</v>
      </c>
      <c r="W409" s="84">
        <f>+IF(O409="ACERO A36",VLOOKUP(P409,'Tiempo Objeto'!$B$2:$C$12,2,FALSE),IF(O409="INOXIDABLE",VLOOKUP(P409,'Tiempo Objeto'!$B$14:$C$22,2,FALSE),IF(O409="ALUMINIO",VLOOKUP(P409,'Tiempo Objeto'!$B$24:$C$32,2,FALSE))))</f>
        <v>1.84</v>
      </c>
      <c r="X409" s="84">
        <f t="shared" si="558"/>
        <v>9.2000000000000011</v>
      </c>
      <c r="Y409" s="80">
        <f t="shared" si="559"/>
        <v>12.77777777777778</v>
      </c>
      <c r="Z409" s="100">
        <v>1</v>
      </c>
      <c r="AA409" s="85">
        <f t="shared" si="543"/>
        <v>30</v>
      </c>
      <c r="AB409" s="86">
        <f>+Z409*Analisis!$J$6</f>
        <v>25</v>
      </c>
      <c r="AC409" s="100">
        <v>0</v>
      </c>
      <c r="AD409" s="85">
        <f t="shared" si="544"/>
        <v>0</v>
      </c>
      <c r="AE409" s="86">
        <f>+AD409*Analisis!$J$7</f>
        <v>0</v>
      </c>
      <c r="AF409" s="86">
        <f t="shared" si="533"/>
        <v>71.826115497076017</v>
      </c>
      <c r="AG409" s="126">
        <f>+AF409/(1-Analisis!$E$9)</f>
        <v>89.782644371345015</v>
      </c>
      <c r="AH409" s="128">
        <f t="shared" si="535"/>
        <v>0</v>
      </c>
    </row>
    <row r="410" spans="1:35" s="73" customFormat="1" x14ac:dyDescent="0.25">
      <c r="A410" s="100"/>
      <c r="B410" s="108" t="s">
        <v>575</v>
      </c>
      <c r="C410" s="138">
        <f>IFERROR(VLOOKUP(B410,'REQ GALV'!A:B,2,0),0)</f>
        <v>45</v>
      </c>
      <c r="D410" s="116">
        <f t="shared" si="534"/>
        <v>1023.4158918128654</v>
      </c>
      <c r="E410" s="103" t="s">
        <v>41</v>
      </c>
      <c r="F410" s="75" t="s">
        <v>314</v>
      </c>
      <c r="G410" s="90">
        <v>37.75</v>
      </c>
      <c r="H410" s="90">
        <v>24.88</v>
      </c>
      <c r="I410" s="76">
        <v>0.105</v>
      </c>
      <c r="J410" s="77">
        <v>28.24</v>
      </c>
      <c r="K410" s="78">
        <f t="shared" si="553"/>
        <v>54.063537141957831</v>
      </c>
      <c r="L410" s="58">
        <f>+VLOOKUP(E410,Material!$H$2:$M$17,6,FALSE)*G410*H410*(1+Material!$K$14)</f>
        <v>693.97922222222223</v>
      </c>
      <c r="M410" s="79" t="str">
        <f>+Analisis!$J$5</f>
        <v>T5.0</v>
      </c>
      <c r="N410" s="80">
        <f>+VLOOKUP(M410,Material!$A$3:$B$58,2,FALSE)</f>
        <v>5000</v>
      </c>
      <c r="O410" s="79" t="s">
        <v>42</v>
      </c>
      <c r="P410" s="79" t="s">
        <v>43</v>
      </c>
      <c r="Q410" s="81">
        <f>+IF(O410="ACERO A36",VLOOKUP(P410,'Velocidades Std 1500 w'!$B$2:$F$15,5,FALSE),IF(O410="INOXIDABLE",VLOOKUP(P410,'Velocidades Std 1500 w'!$B$17:$F$28,5,FALSE),IF(O410="ALUMINIO",VLOOKUP(P410,'Velocidades Std 1500 w'!$B$30:$F$38,5,FALSE))))</f>
        <v>4.3859649122807014E-6</v>
      </c>
      <c r="R410" s="82">
        <f t="shared" si="554"/>
        <v>2.1929824561403508E-2</v>
      </c>
      <c r="S410" s="83">
        <f t="shared" si="555"/>
        <v>62.222513684210512</v>
      </c>
      <c r="T410" s="110">
        <f t="shared" si="556"/>
        <v>3940.7591999999995</v>
      </c>
      <c r="U410" s="80">
        <f t="shared" si="557"/>
        <v>86.420157894736832</v>
      </c>
      <c r="V410" s="98">
        <v>15</v>
      </c>
      <c r="W410" s="84">
        <f>+IF(O410="ACERO A36",VLOOKUP(P410,'Tiempo Objeto'!$B$2:$C$12,2,FALSE),IF(O410="INOXIDABLE",VLOOKUP(P410,'Tiempo Objeto'!$B$14:$C$22,2,FALSE),IF(O410="ALUMINIO",VLOOKUP(P410,'Tiempo Objeto'!$B$24:$C$32,2,FALSE))))</f>
        <v>1.84</v>
      </c>
      <c r="X410" s="84">
        <f t="shared" si="558"/>
        <v>27.6</v>
      </c>
      <c r="Y410" s="80">
        <f t="shared" si="559"/>
        <v>38.333333333333336</v>
      </c>
      <c r="Z410" s="100">
        <v>0</v>
      </c>
      <c r="AA410" s="85">
        <f t="shared" si="543"/>
        <v>0</v>
      </c>
      <c r="AB410" s="86">
        <f>+Z410*Analisis!$J$6</f>
        <v>0</v>
      </c>
      <c r="AC410" s="100">
        <v>0</v>
      </c>
      <c r="AD410" s="85">
        <f t="shared" si="544"/>
        <v>0</v>
      </c>
      <c r="AE410" s="86">
        <f>+AD410*Analisis!$J$7</f>
        <v>0</v>
      </c>
      <c r="AF410" s="86">
        <f t="shared" si="533"/>
        <v>818.73271345029241</v>
      </c>
      <c r="AG410" s="126">
        <f>+AF410/(1-Analisis!$E$9)</f>
        <v>1023.4158918128654</v>
      </c>
      <c r="AH410" s="128">
        <f t="shared" si="535"/>
        <v>46053.715131578945</v>
      </c>
      <c r="AI410" s="128">
        <f>+L410*C410</f>
        <v>31229.065000000002</v>
      </c>
    </row>
    <row r="411" spans="1:35" s="73" customFormat="1" x14ac:dyDescent="0.25">
      <c r="A411" s="100"/>
      <c r="B411" s="108" t="s">
        <v>576</v>
      </c>
      <c r="C411" s="74">
        <f>IFERROR(VLOOKUP(B411,'REQ GALV'!A:B,2,0),0)</f>
        <v>0</v>
      </c>
      <c r="D411" s="116">
        <f t="shared" si="534"/>
        <v>228.71784904970761</v>
      </c>
      <c r="E411" s="103" t="s">
        <v>41</v>
      </c>
      <c r="F411" s="75" t="s">
        <v>314</v>
      </c>
      <c r="G411" s="90">
        <v>7.09</v>
      </c>
      <c r="H411" s="90">
        <v>18</v>
      </c>
      <c r="I411" s="76">
        <v>0.105</v>
      </c>
      <c r="J411" s="77">
        <v>28.24</v>
      </c>
      <c r="K411" s="78">
        <f t="shared" si="553"/>
        <v>7.346083569405101</v>
      </c>
      <c r="L411" s="58">
        <f>+VLOOKUP(E411,Material!$H$2:$M$17,6,FALSE)*G411*H411*(1+Material!$K$14)</f>
        <v>94.297000000000011</v>
      </c>
      <c r="M411" s="79" t="str">
        <f>+Analisis!$J$5</f>
        <v>T5.0</v>
      </c>
      <c r="N411" s="80">
        <f>+VLOOKUP(M411,Material!$A$3:$B$58,2,FALSE)</f>
        <v>5000</v>
      </c>
      <c r="O411" s="79" t="s">
        <v>42</v>
      </c>
      <c r="P411" s="79" t="s">
        <v>43</v>
      </c>
      <c r="Q411" s="81">
        <f>+IF(O411="ACERO A36",VLOOKUP(P411,'Velocidades Std 1500 w'!$B$2:$F$15,5,FALSE),IF(O411="INOXIDABLE",VLOOKUP(P411,'Velocidades Std 1500 w'!$B$17:$F$28,5,FALSE),IF(O411="ALUMINIO",VLOOKUP(P411,'Velocidades Std 1500 w'!$B$30:$F$38,5,FALSE))))</f>
        <v>4.3859649122807014E-6</v>
      </c>
      <c r="R411" s="82">
        <f t="shared" si="554"/>
        <v>2.1929824561403508E-2</v>
      </c>
      <c r="S411" s="83">
        <f t="shared" si="555"/>
        <v>27.447641052631578</v>
      </c>
      <c r="T411" s="110">
        <f t="shared" si="556"/>
        <v>1738.3506000000002</v>
      </c>
      <c r="U411" s="80">
        <f t="shared" si="557"/>
        <v>38.121723684210529</v>
      </c>
      <c r="V411" s="98">
        <v>10</v>
      </c>
      <c r="W411" s="84">
        <f>+IF(O411="ACERO A36",VLOOKUP(P411,'Tiempo Objeto'!$B$2:$C$12,2,FALSE),IF(O411="INOXIDABLE",VLOOKUP(P411,'Tiempo Objeto'!$B$14:$C$22,2,FALSE),IF(O411="ALUMINIO",VLOOKUP(P411,'Tiempo Objeto'!$B$24:$C$32,2,FALSE))))</f>
        <v>1.84</v>
      </c>
      <c r="X411" s="84">
        <f t="shared" si="558"/>
        <v>18.400000000000002</v>
      </c>
      <c r="Y411" s="80">
        <f t="shared" si="559"/>
        <v>25.555555555555561</v>
      </c>
      <c r="Z411" s="100">
        <v>1</v>
      </c>
      <c r="AA411" s="85">
        <f t="shared" si="543"/>
        <v>30</v>
      </c>
      <c r="AB411" s="86">
        <f>+Z411*Analisis!$J$6</f>
        <v>25</v>
      </c>
      <c r="AC411" s="100">
        <v>0</v>
      </c>
      <c r="AD411" s="85">
        <f t="shared" si="544"/>
        <v>0</v>
      </c>
      <c r="AE411" s="86">
        <f>+AD411*Analisis!$J$7</f>
        <v>0</v>
      </c>
      <c r="AF411" s="86">
        <f t="shared" si="533"/>
        <v>182.9742792397661</v>
      </c>
      <c r="AG411" s="126">
        <f>+AF411/(1-Analisis!$E$9)</f>
        <v>228.71784904970761</v>
      </c>
      <c r="AH411" s="128">
        <f t="shared" si="535"/>
        <v>0</v>
      </c>
    </row>
    <row r="412" spans="1:35" s="73" customFormat="1" x14ac:dyDescent="0.25">
      <c r="A412" s="100"/>
      <c r="B412" s="108" t="s">
        <v>577</v>
      </c>
      <c r="C412" s="74">
        <f>IFERROR(VLOOKUP(B412,'REQ GALV'!A:B,2,0),0)</f>
        <v>0</v>
      </c>
      <c r="D412" s="116">
        <f t="shared" si="534"/>
        <v>424.97643457602339</v>
      </c>
      <c r="E412" s="103" t="s">
        <v>41</v>
      </c>
      <c r="F412" s="75" t="s">
        <v>314</v>
      </c>
      <c r="G412" s="90">
        <v>8.59</v>
      </c>
      <c r="H412" s="90">
        <v>36</v>
      </c>
      <c r="I412" s="76">
        <v>0.105</v>
      </c>
      <c r="J412" s="77">
        <v>28.24</v>
      </c>
      <c r="K412" s="78">
        <f t="shared" si="553"/>
        <v>17.80052407932012</v>
      </c>
      <c r="L412" s="58">
        <f>+VLOOKUP(E412,Material!$H$2:$M$17,6,FALSE)*G412*H412*(1+Material!$K$14)</f>
        <v>228.49400000000003</v>
      </c>
      <c r="M412" s="79" t="str">
        <f>+Analisis!$J$5</f>
        <v>T5.0</v>
      </c>
      <c r="N412" s="80">
        <f>+VLOOKUP(M412,Material!$A$3:$B$58,2,FALSE)</f>
        <v>5000</v>
      </c>
      <c r="O412" s="79" t="s">
        <v>42</v>
      </c>
      <c r="P412" s="79" t="s">
        <v>43</v>
      </c>
      <c r="Q412" s="81">
        <f>+IF(O412="ACERO A36",VLOOKUP(P412,'Velocidades Std 1500 w'!$B$2:$F$15,5,FALSE),IF(O412="INOXIDABLE",VLOOKUP(P412,'Velocidades Std 1500 w'!$B$17:$F$28,5,FALSE),IF(O412="ALUMINIO",VLOOKUP(P412,'Velocidades Std 1500 w'!$B$30:$F$38,5,FALSE))))</f>
        <v>4.3859649122807014E-6</v>
      </c>
      <c r="R412" s="82">
        <f t="shared" si="554"/>
        <v>2.1929824561403508E-2</v>
      </c>
      <c r="S412" s="83">
        <f t="shared" si="555"/>
        <v>43.870746315789475</v>
      </c>
      <c r="T412" s="110">
        <f t="shared" si="556"/>
        <v>2778.4806000000003</v>
      </c>
      <c r="U412" s="80">
        <f t="shared" si="557"/>
        <v>60.931592105263164</v>
      </c>
      <c r="V412" s="98">
        <v>10</v>
      </c>
      <c r="W412" s="84">
        <f>+IF(O412="ACERO A36",VLOOKUP(P412,'Tiempo Objeto'!$B$2:$C$12,2,FALSE),IF(O412="INOXIDABLE",VLOOKUP(P412,'Tiempo Objeto'!$B$14:$C$22,2,FALSE),IF(O412="ALUMINIO",VLOOKUP(P412,'Tiempo Objeto'!$B$24:$C$32,2,FALSE))))</f>
        <v>1.84</v>
      </c>
      <c r="X412" s="84">
        <f t="shared" si="558"/>
        <v>18.400000000000002</v>
      </c>
      <c r="Y412" s="80">
        <f t="shared" si="559"/>
        <v>25.555555555555561</v>
      </c>
      <c r="Z412" s="100">
        <v>1</v>
      </c>
      <c r="AA412" s="85">
        <f t="shared" si="543"/>
        <v>30</v>
      </c>
      <c r="AB412" s="86">
        <f>+Z412*Analisis!$J$6</f>
        <v>25</v>
      </c>
      <c r="AC412" s="100">
        <v>0</v>
      </c>
      <c r="AD412" s="85">
        <f t="shared" si="544"/>
        <v>0</v>
      </c>
      <c r="AE412" s="86">
        <f>+AD412*Analisis!$J$7</f>
        <v>0</v>
      </c>
      <c r="AF412" s="86">
        <f t="shared" si="533"/>
        <v>339.98114766081875</v>
      </c>
      <c r="AG412" s="126">
        <f>+AF412/(1-Analisis!$E$9)</f>
        <v>424.97643457602339</v>
      </c>
      <c r="AH412" s="128">
        <f t="shared" si="535"/>
        <v>0</v>
      </c>
    </row>
    <row r="413" spans="1:35" s="73" customFormat="1" x14ac:dyDescent="0.25">
      <c r="A413" s="100"/>
      <c r="B413" s="108" t="s">
        <v>578</v>
      </c>
      <c r="C413" s="74">
        <f>IFERROR(VLOOKUP(B413,'REQ GALV'!A:B,2,0),0)</f>
        <v>0</v>
      </c>
      <c r="D413" s="116">
        <f t="shared" si="534"/>
        <v>1580.7613865497076</v>
      </c>
      <c r="E413" s="103" t="s">
        <v>41</v>
      </c>
      <c r="F413" s="75" t="s">
        <v>314</v>
      </c>
      <c r="G413" s="90">
        <v>21.42</v>
      </c>
      <c r="H413" s="90">
        <v>49.79</v>
      </c>
      <c r="I413" s="76">
        <v>0.105</v>
      </c>
      <c r="J413" s="77">
        <v>28.24</v>
      </c>
      <c r="K413" s="78">
        <f t="shared" si="553"/>
        <v>61.39015318696886</v>
      </c>
      <c r="L413" s="58">
        <f>+VLOOKUP(E413,Material!$H$2:$M$17,6,FALSE)*G413*H413*(1+Material!$K$14)</f>
        <v>788.02633000000014</v>
      </c>
      <c r="M413" s="79" t="str">
        <f>+Analisis!$J$5</f>
        <v>T5.0</v>
      </c>
      <c r="N413" s="80">
        <f>+VLOOKUP(M413,Material!$A$3:$B$58,2,FALSE)</f>
        <v>5000</v>
      </c>
      <c r="O413" s="79" t="s">
        <v>42</v>
      </c>
      <c r="P413" s="79" t="s">
        <v>43</v>
      </c>
      <c r="Q413" s="81">
        <f>+IF(O413="ACERO A36",VLOOKUP(P413,'Velocidades Std 1500 w'!$B$2:$F$15,5,FALSE),IF(O413="INOXIDABLE",VLOOKUP(P413,'Velocidades Std 1500 w'!$B$17:$F$28,5,FALSE),IF(O413="ALUMINIO",VLOOKUP(P413,'Velocidades Std 1500 w'!$B$30:$F$38,5,FALSE))))</f>
        <v>4.3859649122807014E-6</v>
      </c>
      <c r="R413" s="82">
        <f t="shared" si="554"/>
        <v>2.1929824561403508E-2</v>
      </c>
      <c r="S413" s="83">
        <f t="shared" si="555"/>
        <v>123.13960105263158</v>
      </c>
      <c r="T413" s="110">
        <f t="shared" si="556"/>
        <v>7798.8414000000002</v>
      </c>
      <c r="U413" s="80">
        <f t="shared" si="557"/>
        <v>171.02722368421053</v>
      </c>
      <c r="V413" s="98">
        <v>100</v>
      </c>
      <c r="W413" s="84">
        <f>+IF(O413="ACERO A36",VLOOKUP(P413,'Tiempo Objeto'!$B$2:$C$12,2,FALSE),IF(O413="INOXIDABLE",VLOOKUP(P413,'Tiempo Objeto'!$B$14:$C$22,2,FALSE),IF(O413="ALUMINIO",VLOOKUP(P413,'Tiempo Objeto'!$B$24:$C$32,2,FALSE))))</f>
        <v>1.84</v>
      </c>
      <c r="X413" s="84">
        <f t="shared" si="558"/>
        <v>184</v>
      </c>
      <c r="Y413" s="80">
        <f t="shared" si="559"/>
        <v>255.55555555555554</v>
      </c>
      <c r="Z413" s="100">
        <v>2</v>
      </c>
      <c r="AA413" s="85">
        <f t="shared" si="543"/>
        <v>60</v>
      </c>
      <c r="AB413" s="86">
        <f>+Z413*Analisis!$J$6</f>
        <v>50</v>
      </c>
      <c r="AC413" s="100">
        <v>0</v>
      </c>
      <c r="AD413" s="85">
        <f t="shared" si="544"/>
        <v>0</v>
      </c>
      <c r="AE413" s="86">
        <f>+AD413*Analisis!$J$7</f>
        <v>0</v>
      </c>
      <c r="AF413" s="86">
        <f t="shared" si="533"/>
        <v>1264.6091092397662</v>
      </c>
      <c r="AG413" s="126">
        <f>+AF413/(1-Analisis!$E$9)</f>
        <v>1580.7613865497076</v>
      </c>
      <c r="AH413" s="128">
        <f t="shared" si="535"/>
        <v>0</v>
      </c>
    </row>
    <row r="414" spans="1:35" s="73" customFormat="1" x14ac:dyDescent="0.25">
      <c r="A414" s="100"/>
      <c r="B414" s="108" t="s">
        <v>579</v>
      </c>
      <c r="C414" s="74">
        <f>IFERROR(VLOOKUP(B414,'REQ GALV'!A:B,2,0),0)</f>
        <v>0</v>
      </c>
      <c r="D414" s="116">
        <f t="shared" si="534"/>
        <v>104.99322551169591</v>
      </c>
      <c r="E414" s="103" t="s">
        <v>41</v>
      </c>
      <c r="F414" s="75" t="s">
        <v>314</v>
      </c>
      <c r="G414" s="90">
        <v>2</v>
      </c>
      <c r="H414" s="90">
        <v>6.77</v>
      </c>
      <c r="I414" s="76">
        <v>0.105</v>
      </c>
      <c r="J414" s="77">
        <v>28.24</v>
      </c>
      <c r="K414" s="78">
        <f t="shared" si="553"/>
        <v>0.77939172175007876</v>
      </c>
      <c r="L414" s="58">
        <f>+VLOOKUP(E414,Material!$H$2:$M$17,6,FALSE)*G414*H414*(1+Material!$K$14)</f>
        <v>10.004555555555555</v>
      </c>
      <c r="M414" s="79" t="str">
        <f>+Analisis!$J$5</f>
        <v>T5.0</v>
      </c>
      <c r="N414" s="80">
        <f>+VLOOKUP(M414,Material!$A$3:$B$58,2,FALSE)</f>
        <v>5000</v>
      </c>
      <c r="O414" s="79" t="s">
        <v>42</v>
      </c>
      <c r="P414" s="79" t="s">
        <v>43</v>
      </c>
      <c r="Q414" s="81">
        <f>+IF(O414="ACERO A36",VLOOKUP(P414,'Velocidades Std 1500 w'!$B$2:$F$15,5,FALSE),IF(O414="INOXIDABLE",VLOOKUP(P414,'Velocidades Std 1500 w'!$B$17:$F$28,5,FALSE),IF(O414="ALUMINIO",VLOOKUP(P414,'Velocidades Std 1500 w'!$B$30:$F$38,5,FALSE))))</f>
        <v>4.3859649122807014E-6</v>
      </c>
      <c r="R414" s="82">
        <f t="shared" si="554"/>
        <v>2.1929824561403508E-2</v>
      </c>
      <c r="S414" s="83">
        <f t="shared" si="555"/>
        <v>9.9128178947368415</v>
      </c>
      <c r="T414" s="110">
        <f t="shared" si="556"/>
        <v>627.81179999999995</v>
      </c>
      <c r="U414" s="80">
        <f t="shared" si="557"/>
        <v>13.767802631578945</v>
      </c>
      <c r="V414" s="98">
        <v>4</v>
      </c>
      <c r="W414" s="84">
        <f>+IF(O414="ACERO A36",VLOOKUP(P414,'Tiempo Objeto'!$B$2:$C$12,2,FALSE),IF(O414="INOXIDABLE",VLOOKUP(P414,'Tiempo Objeto'!$B$14:$C$22,2,FALSE),IF(O414="ALUMINIO",VLOOKUP(P414,'Tiempo Objeto'!$B$24:$C$32,2,FALSE))))</f>
        <v>1.84</v>
      </c>
      <c r="X414" s="84">
        <f t="shared" si="558"/>
        <v>7.36</v>
      </c>
      <c r="Y414" s="80">
        <f t="shared" si="559"/>
        <v>10.222222222222221</v>
      </c>
      <c r="Z414" s="100">
        <v>2</v>
      </c>
      <c r="AA414" s="85">
        <f t="shared" si="543"/>
        <v>60</v>
      </c>
      <c r="AB414" s="86">
        <f>+Z414*Analisis!$J$6</f>
        <v>50</v>
      </c>
      <c r="AC414" s="100">
        <v>0</v>
      </c>
      <c r="AD414" s="85">
        <f t="shared" ref="AD414:AD430" si="560">30*AC414+AC414*$C414*1.5</f>
        <v>0</v>
      </c>
      <c r="AE414" s="86">
        <f>+AD414*Analisis!$J$7</f>
        <v>0</v>
      </c>
      <c r="AF414" s="86">
        <f t="shared" si="533"/>
        <v>83.994580409356729</v>
      </c>
      <c r="AG414" s="126">
        <f>+AF414/(1-Analisis!$E$9)</f>
        <v>104.99322551169591</v>
      </c>
      <c r="AH414" s="128">
        <f t="shared" si="535"/>
        <v>0</v>
      </c>
    </row>
    <row r="415" spans="1:35" s="73" customFormat="1" x14ac:dyDescent="0.25">
      <c r="A415" s="100"/>
      <c r="B415" s="108" t="s">
        <v>580</v>
      </c>
      <c r="C415" s="74">
        <f>IFERROR(VLOOKUP(B415,'REQ GALV'!A:B,2,0),0)</f>
        <v>0</v>
      </c>
      <c r="D415" s="116">
        <f t="shared" si="534"/>
        <v>149.31899864766081</v>
      </c>
      <c r="E415" s="103" t="s">
        <v>41</v>
      </c>
      <c r="F415" s="75" t="s">
        <v>314</v>
      </c>
      <c r="G415" s="90">
        <v>4.8899999999999997</v>
      </c>
      <c r="H415" s="90">
        <v>4.51</v>
      </c>
      <c r="I415" s="76">
        <v>0.105</v>
      </c>
      <c r="J415" s="77">
        <v>28.24</v>
      </c>
      <c r="K415" s="78">
        <f t="shared" si="553"/>
        <v>1.2694702431539191</v>
      </c>
      <c r="L415" s="58">
        <f>+VLOOKUP(E415,Material!$H$2:$M$17,6,FALSE)*G415*H415*(1+Material!$K$14)</f>
        <v>16.295381666666668</v>
      </c>
      <c r="M415" s="79" t="str">
        <f>+Analisis!$J$5</f>
        <v>T5.0</v>
      </c>
      <c r="N415" s="80">
        <f>+VLOOKUP(M415,Material!$A$3:$B$58,2,FALSE)</f>
        <v>5000</v>
      </c>
      <c r="O415" s="79" t="s">
        <v>42</v>
      </c>
      <c r="P415" s="79" t="s">
        <v>43</v>
      </c>
      <c r="Q415" s="81">
        <f>+IF(O415="ACERO A36",VLOOKUP(P415,'Velocidades Std 1500 w'!$B$2:$F$15,5,FALSE),IF(O415="INOXIDABLE",VLOOKUP(P415,'Velocidades Std 1500 w'!$B$17:$F$28,5,FALSE),IF(O415="ALUMINIO",VLOOKUP(P415,'Velocidades Std 1500 w'!$B$30:$F$38,5,FALSE))))</f>
        <v>4.3859649122807014E-6</v>
      </c>
      <c r="R415" s="82">
        <f t="shared" si="554"/>
        <v>2.1929824561403508E-2</v>
      </c>
      <c r="S415" s="83">
        <f t="shared" si="555"/>
        <v>11.075068421052629</v>
      </c>
      <c r="T415" s="110">
        <f t="shared" si="556"/>
        <v>701.42099999999994</v>
      </c>
      <c r="U415" s="80">
        <f t="shared" si="557"/>
        <v>15.382039473684209</v>
      </c>
      <c r="V415" s="98">
        <v>5</v>
      </c>
      <c r="W415" s="84">
        <f>+IF(O415="ACERO A36",VLOOKUP(P415,'Tiempo Objeto'!$B$2:$C$12,2,FALSE),IF(O415="INOXIDABLE",VLOOKUP(P415,'Tiempo Objeto'!$B$14:$C$22,2,FALSE),IF(O415="ALUMINIO",VLOOKUP(P415,'Tiempo Objeto'!$B$24:$C$32,2,FALSE))))</f>
        <v>1.84</v>
      </c>
      <c r="X415" s="84">
        <f t="shared" si="558"/>
        <v>9.2000000000000011</v>
      </c>
      <c r="Y415" s="80">
        <f t="shared" si="559"/>
        <v>12.77777777777778</v>
      </c>
      <c r="Z415" s="100">
        <v>3</v>
      </c>
      <c r="AA415" s="85">
        <f t="shared" si="543"/>
        <v>90</v>
      </c>
      <c r="AB415" s="86">
        <f>+Z415*Analisis!$J$6</f>
        <v>75</v>
      </c>
      <c r="AC415" s="100">
        <v>0</v>
      </c>
      <c r="AD415" s="85">
        <f t="shared" si="560"/>
        <v>0</v>
      </c>
      <c r="AE415" s="86">
        <f>+AD415*Analisis!$J$7</f>
        <v>0</v>
      </c>
      <c r="AF415" s="86">
        <f t="shared" si="533"/>
        <v>119.45519891812866</v>
      </c>
      <c r="AG415" s="126">
        <f>+AF415/(1-Analisis!$E$9)</f>
        <v>149.31899864766081</v>
      </c>
      <c r="AH415" s="128">
        <f t="shared" si="535"/>
        <v>0</v>
      </c>
    </row>
    <row r="416" spans="1:35" s="73" customFormat="1" x14ac:dyDescent="0.25">
      <c r="A416" s="100"/>
      <c r="B416" s="108" t="s">
        <v>581</v>
      </c>
      <c r="C416" s="74">
        <f>IFERROR(VLOOKUP(B416,'REQ GALV'!A:B,2,0),0)</f>
        <v>0</v>
      </c>
      <c r="D416" s="116">
        <f t="shared" si="534"/>
        <v>506.89450840643275</v>
      </c>
      <c r="E416" s="103" t="s">
        <v>41</v>
      </c>
      <c r="F416" s="75" t="s">
        <v>314</v>
      </c>
      <c r="G416" s="90">
        <v>9.25</v>
      </c>
      <c r="H416" s="90">
        <v>15</v>
      </c>
      <c r="I416" s="76">
        <v>0.105</v>
      </c>
      <c r="J416" s="77">
        <v>28.24</v>
      </c>
      <c r="K416" s="78">
        <f t="shared" si="553"/>
        <v>7.9867504721435347</v>
      </c>
      <c r="L416" s="58">
        <f>+VLOOKUP(E416,Material!$H$2:$M$17,6,FALSE)*G416*H416*(1+Material!$K$14)</f>
        <v>102.52083333333336</v>
      </c>
      <c r="M416" s="79" t="str">
        <f>+Analisis!$J$5</f>
        <v>T5.0</v>
      </c>
      <c r="N416" s="80">
        <f>+VLOOKUP(M416,Material!$A$3:$B$58,2,FALSE)</f>
        <v>5000</v>
      </c>
      <c r="O416" s="79" t="s">
        <v>42</v>
      </c>
      <c r="P416" s="79" t="s">
        <v>43</v>
      </c>
      <c r="Q416" s="81">
        <f>+IF(O416="ACERO A36",VLOOKUP(P416,'Velocidades Std 1500 w'!$B$2:$F$15,5,FALSE),IF(O416="INOXIDABLE",VLOOKUP(P416,'Velocidades Std 1500 w'!$B$17:$F$28,5,FALSE),IF(O416="ALUMINIO",VLOOKUP(P416,'Velocidades Std 1500 w'!$B$30:$F$38,5,FALSE))))</f>
        <v>4.3859649122807014E-6</v>
      </c>
      <c r="R416" s="82">
        <f t="shared" si="554"/>
        <v>2.1929824561403508E-2</v>
      </c>
      <c r="S416" s="83">
        <f t="shared" si="555"/>
        <v>70.956236842105241</v>
      </c>
      <c r="T416" s="110">
        <f t="shared" si="556"/>
        <v>4493.8949999999995</v>
      </c>
      <c r="U416" s="80">
        <f t="shared" si="557"/>
        <v>98.550328947368399</v>
      </c>
      <c r="V416" s="98">
        <v>80</v>
      </c>
      <c r="W416" s="84">
        <f>+IF(O416="ACERO A36",VLOOKUP(P416,'Tiempo Objeto'!$B$2:$C$12,2,FALSE),IF(O416="INOXIDABLE",VLOOKUP(P416,'Tiempo Objeto'!$B$14:$C$22,2,FALSE),IF(O416="ALUMINIO",VLOOKUP(P416,'Tiempo Objeto'!$B$24:$C$32,2,FALSE))))</f>
        <v>1.84</v>
      </c>
      <c r="X416" s="84">
        <f t="shared" si="558"/>
        <v>147.20000000000002</v>
      </c>
      <c r="Y416" s="80">
        <f t="shared" si="559"/>
        <v>204.44444444444449</v>
      </c>
      <c r="Z416" s="100">
        <v>0</v>
      </c>
      <c r="AA416" s="85">
        <f t="shared" si="543"/>
        <v>0</v>
      </c>
      <c r="AB416" s="86">
        <f>+Z416*Analisis!$J$6</f>
        <v>0</v>
      </c>
      <c r="AC416" s="100">
        <v>0</v>
      </c>
      <c r="AD416" s="85">
        <f t="shared" si="560"/>
        <v>0</v>
      </c>
      <c r="AE416" s="86">
        <f>+AD416*Analisis!$J$7</f>
        <v>0</v>
      </c>
      <c r="AF416" s="86">
        <f t="shared" si="533"/>
        <v>405.5156067251462</v>
      </c>
      <c r="AG416" s="126">
        <f>+AF416/(1-Analisis!$E$9)</f>
        <v>506.89450840643275</v>
      </c>
      <c r="AH416" s="128">
        <f t="shared" si="535"/>
        <v>0</v>
      </c>
    </row>
    <row r="417" spans="1:35" s="73" customFormat="1" x14ac:dyDescent="0.25">
      <c r="A417" s="100"/>
      <c r="B417" s="108" t="s">
        <v>582</v>
      </c>
      <c r="C417" s="74">
        <f>IFERROR(VLOOKUP(B417,'REQ GALV'!A:B,2,0),0)</f>
        <v>0</v>
      </c>
      <c r="D417" s="116">
        <f t="shared" si="534"/>
        <v>71.568751827485386</v>
      </c>
      <c r="E417" s="103" t="s">
        <v>41</v>
      </c>
      <c r="F417" s="75" t="s">
        <v>314</v>
      </c>
      <c r="G417" s="90">
        <v>3</v>
      </c>
      <c r="H417" s="90">
        <v>3.42</v>
      </c>
      <c r="I417" s="76">
        <v>0.105</v>
      </c>
      <c r="J417" s="77">
        <v>28.24</v>
      </c>
      <c r="K417" s="78">
        <f t="shared" si="553"/>
        <v>0.59058781869688404</v>
      </c>
      <c r="L417" s="58">
        <f>+VLOOKUP(E417,Material!$H$2:$M$17,6,FALSE)*G417*H417*(1+Material!$K$14)</f>
        <v>7.5810000000000004</v>
      </c>
      <c r="M417" s="79" t="str">
        <f>+Analisis!$J$5</f>
        <v>T5.0</v>
      </c>
      <c r="N417" s="80">
        <f>+VLOOKUP(M417,Material!$A$3:$B$58,2,FALSE)</f>
        <v>5000</v>
      </c>
      <c r="O417" s="79" t="s">
        <v>42</v>
      </c>
      <c r="P417" s="79" t="s">
        <v>43</v>
      </c>
      <c r="Q417" s="81">
        <f>+IF(O417="ACERO A36",VLOOKUP(P417,'Velocidades Std 1500 w'!$B$2:$F$15,5,FALSE),IF(O417="INOXIDABLE",VLOOKUP(P417,'Velocidades Std 1500 w'!$B$17:$F$28,5,FALSE),IF(O417="ALUMINIO",VLOOKUP(P417,'Velocidades Std 1500 w'!$B$30:$F$38,5,FALSE))))</f>
        <v>4.3859649122807014E-6</v>
      </c>
      <c r="R417" s="82">
        <f t="shared" si="554"/>
        <v>2.1929824561403508E-2</v>
      </c>
      <c r="S417" s="83">
        <f t="shared" si="555"/>
        <v>8.5652810526315779</v>
      </c>
      <c r="T417" s="110">
        <f t="shared" si="556"/>
        <v>542.46780000000001</v>
      </c>
      <c r="U417" s="80">
        <f t="shared" si="557"/>
        <v>11.896223684210526</v>
      </c>
      <c r="V417" s="98">
        <v>5</v>
      </c>
      <c r="W417" s="84">
        <f>+IF(O417="ACERO A36",VLOOKUP(P417,'Tiempo Objeto'!$B$2:$C$12,2,FALSE),IF(O417="INOXIDABLE",VLOOKUP(P417,'Tiempo Objeto'!$B$14:$C$22,2,FALSE),IF(O417="ALUMINIO",VLOOKUP(P417,'Tiempo Objeto'!$B$24:$C$32,2,FALSE))))</f>
        <v>1.84</v>
      </c>
      <c r="X417" s="84">
        <f t="shared" si="558"/>
        <v>9.2000000000000011</v>
      </c>
      <c r="Y417" s="80">
        <f t="shared" si="559"/>
        <v>12.77777777777778</v>
      </c>
      <c r="Z417" s="100">
        <v>1</v>
      </c>
      <c r="AA417" s="85">
        <f t="shared" si="543"/>
        <v>30</v>
      </c>
      <c r="AB417" s="86">
        <f>+Z417*Analisis!$J$6</f>
        <v>25</v>
      </c>
      <c r="AC417" s="100">
        <v>0</v>
      </c>
      <c r="AD417" s="85">
        <f t="shared" si="560"/>
        <v>0</v>
      </c>
      <c r="AE417" s="86">
        <f>+AD417*Analisis!$J$7</f>
        <v>0</v>
      </c>
      <c r="AF417" s="86">
        <f t="shared" si="533"/>
        <v>57.255001461988307</v>
      </c>
      <c r="AG417" s="126">
        <f>+AF417/(1-Analisis!$E$9)</f>
        <v>71.568751827485386</v>
      </c>
      <c r="AH417" s="128">
        <f t="shared" si="535"/>
        <v>0</v>
      </c>
    </row>
    <row r="418" spans="1:35" s="73" customFormat="1" x14ac:dyDescent="0.25">
      <c r="A418" s="100"/>
      <c r="B418" s="108" t="s">
        <v>583</v>
      </c>
      <c r="C418" s="74">
        <f>IFERROR(VLOOKUP(B418,'REQ GALV'!A:B,2,0),0)</f>
        <v>0</v>
      </c>
      <c r="D418" s="116">
        <f t="shared" si="534"/>
        <v>245.86882653508772</v>
      </c>
      <c r="E418" s="103" t="s">
        <v>41</v>
      </c>
      <c r="F418" s="75" t="s">
        <v>314</v>
      </c>
      <c r="G418" s="90">
        <v>8.1300000000000008</v>
      </c>
      <c r="H418" s="90">
        <v>11.94</v>
      </c>
      <c r="I418" s="76">
        <v>0.105</v>
      </c>
      <c r="J418" s="77">
        <v>28.24</v>
      </c>
      <c r="K418" s="78">
        <f t="shared" si="553"/>
        <v>5.587686048158643</v>
      </c>
      <c r="L418" s="58">
        <f>+VLOOKUP(E418,Material!$H$2:$M$17,6,FALSE)*G418*H418*(1+Material!$K$14)</f>
        <v>71.725570000000019</v>
      </c>
      <c r="M418" s="79" t="str">
        <f>+Analisis!$J$5</f>
        <v>T5.0</v>
      </c>
      <c r="N418" s="80">
        <f>+VLOOKUP(M418,Material!$A$3:$B$58,2,FALSE)</f>
        <v>5000</v>
      </c>
      <c r="O418" s="79" t="s">
        <v>42</v>
      </c>
      <c r="P418" s="79" t="s">
        <v>43</v>
      </c>
      <c r="Q418" s="81">
        <f>+IF(O418="ACERO A36",VLOOKUP(P418,'Velocidades Std 1500 w'!$B$2:$F$15,5,FALSE),IF(O418="INOXIDABLE",VLOOKUP(P418,'Velocidades Std 1500 w'!$B$17:$F$28,5,FALSE),IF(O418="ALUMINIO",VLOOKUP(P418,'Velocidades Std 1500 w'!$B$30:$F$38,5,FALSE))))</f>
        <v>4.3859649122807014E-6</v>
      </c>
      <c r="R418" s="82">
        <f t="shared" si="554"/>
        <v>2.1929824561403508E-2</v>
      </c>
      <c r="S418" s="83">
        <f t="shared" si="555"/>
        <v>26.378033684210521</v>
      </c>
      <c r="T418" s="110">
        <f t="shared" si="556"/>
        <v>1670.6088</v>
      </c>
      <c r="U418" s="80">
        <f t="shared" si="557"/>
        <v>36.63615789473684</v>
      </c>
      <c r="V418" s="98">
        <v>15</v>
      </c>
      <c r="W418" s="84">
        <f>+IF(O418="ACERO A36",VLOOKUP(P418,'Tiempo Objeto'!$B$2:$C$12,2,FALSE),IF(O418="INOXIDABLE",VLOOKUP(P418,'Tiempo Objeto'!$B$14:$C$22,2,FALSE),IF(O418="ALUMINIO",VLOOKUP(P418,'Tiempo Objeto'!$B$24:$C$32,2,FALSE))))</f>
        <v>1.84</v>
      </c>
      <c r="X418" s="84">
        <f t="shared" si="558"/>
        <v>27.6</v>
      </c>
      <c r="Y418" s="80">
        <f t="shared" si="559"/>
        <v>38.333333333333336</v>
      </c>
      <c r="Z418" s="100">
        <v>2</v>
      </c>
      <c r="AA418" s="85">
        <f t="shared" si="543"/>
        <v>60</v>
      </c>
      <c r="AB418" s="86">
        <f>+Z418*Analisis!$J$6</f>
        <v>50</v>
      </c>
      <c r="AC418" s="100">
        <v>0</v>
      </c>
      <c r="AD418" s="85">
        <f t="shared" si="560"/>
        <v>0</v>
      </c>
      <c r="AE418" s="86">
        <f>+AD418*Analisis!$J$7</f>
        <v>0</v>
      </c>
      <c r="AF418" s="86">
        <f t="shared" si="533"/>
        <v>196.69506122807019</v>
      </c>
      <c r="AG418" s="126">
        <f>+AF418/(1-Analisis!$E$9)</f>
        <v>245.86882653508772</v>
      </c>
      <c r="AH418" s="128">
        <f t="shared" si="535"/>
        <v>0</v>
      </c>
    </row>
    <row r="419" spans="1:35" s="73" customFormat="1" x14ac:dyDescent="0.25">
      <c r="A419" s="100"/>
      <c r="B419" s="108" t="s">
        <v>584</v>
      </c>
      <c r="C419" s="74">
        <f>IFERROR(VLOOKUP(B419,'REQ GALV'!A:B,2,0),0)</f>
        <v>0</v>
      </c>
      <c r="D419" s="116">
        <f t="shared" si="534"/>
        <v>402.6336948830409</v>
      </c>
      <c r="E419" s="103" t="s">
        <v>41</v>
      </c>
      <c r="F419" s="75" t="s">
        <v>314</v>
      </c>
      <c r="G419" s="90">
        <v>4.6399999999999997</v>
      </c>
      <c r="H419" s="90">
        <v>43.39</v>
      </c>
      <c r="I419" s="76">
        <v>0.105</v>
      </c>
      <c r="J419" s="77">
        <v>28.24</v>
      </c>
      <c r="K419" s="78">
        <f t="shared" si="553"/>
        <v>11.588967768334909</v>
      </c>
      <c r="L419" s="58">
        <f>+VLOOKUP(E419,Material!$H$2:$M$17,6,FALSE)*G419*H419*(1+Material!$K$14)</f>
        <v>148.76020444444444</v>
      </c>
      <c r="M419" s="79" t="str">
        <f>+Analisis!$J$5</f>
        <v>T5.0</v>
      </c>
      <c r="N419" s="80">
        <f>+VLOOKUP(M419,Material!$A$3:$B$58,2,FALSE)</f>
        <v>5000</v>
      </c>
      <c r="O419" s="79" t="s">
        <v>42</v>
      </c>
      <c r="P419" s="79" t="s">
        <v>43</v>
      </c>
      <c r="Q419" s="81">
        <f>+IF(O419="ACERO A36",VLOOKUP(P419,'Velocidades Std 1500 w'!$B$2:$F$15,5,FALSE),IF(O419="INOXIDABLE",VLOOKUP(P419,'Velocidades Std 1500 w'!$B$17:$F$28,5,FALSE),IF(O419="ALUMINIO",VLOOKUP(P419,'Velocidades Std 1500 w'!$B$30:$F$38,5,FALSE))))</f>
        <v>4.3859649122807014E-6</v>
      </c>
      <c r="R419" s="82">
        <f t="shared" si="554"/>
        <v>2.1929824561403508E-2</v>
      </c>
      <c r="S419" s="83">
        <f t="shared" si="555"/>
        <v>43.60966105263158</v>
      </c>
      <c r="T419" s="110">
        <f t="shared" si="556"/>
        <v>2761.9452000000001</v>
      </c>
      <c r="U419" s="80">
        <f t="shared" si="557"/>
        <v>60.568973684210526</v>
      </c>
      <c r="V419" s="98">
        <v>5</v>
      </c>
      <c r="W419" s="84">
        <f>+IF(O419="ACERO A36",VLOOKUP(P419,'Tiempo Objeto'!$B$2:$C$12,2,FALSE),IF(O419="INOXIDABLE",VLOOKUP(P419,'Tiempo Objeto'!$B$14:$C$22,2,FALSE),IF(O419="ALUMINIO",VLOOKUP(P419,'Tiempo Objeto'!$B$24:$C$32,2,FALSE))))</f>
        <v>1.84</v>
      </c>
      <c r="X419" s="84">
        <f t="shared" si="558"/>
        <v>9.2000000000000011</v>
      </c>
      <c r="Y419" s="80">
        <f t="shared" si="559"/>
        <v>12.77777777777778</v>
      </c>
      <c r="Z419" s="100">
        <v>4</v>
      </c>
      <c r="AA419" s="85">
        <f t="shared" si="543"/>
        <v>120</v>
      </c>
      <c r="AB419" s="86">
        <f>+Z419*Analisis!$J$6</f>
        <v>100</v>
      </c>
      <c r="AC419" s="100">
        <v>0</v>
      </c>
      <c r="AD419" s="85">
        <f t="shared" si="560"/>
        <v>0</v>
      </c>
      <c r="AE419" s="86">
        <f>+AD419*Analisis!$J$7</f>
        <v>0</v>
      </c>
      <c r="AF419" s="86">
        <f t="shared" si="533"/>
        <v>322.10695590643274</v>
      </c>
      <c r="AG419" s="126">
        <f>+AF419/(1-Analisis!$E$9)</f>
        <v>402.6336948830409</v>
      </c>
      <c r="AH419" s="128">
        <f t="shared" si="535"/>
        <v>0</v>
      </c>
    </row>
    <row r="420" spans="1:35" s="73" customFormat="1" x14ac:dyDescent="0.25">
      <c r="A420" s="100"/>
      <c r="B420" s="108" t="s">
        <v>585</v>
      </c>
      <c r="C420" s="74">
        <f>IFERROR(VLOOKUP(B420,'REQ GALV'!A:B,2,0),0)</f>
        <v>0</v>
      </c>
      <c r="D420" s="116">
        <f t="shared" si="534"/>
        <v>476.69766509502921</v>
      </c>
      <c r="E420" s="103" t="s">
        <v>41</v>
      </c>
      <c r="F420" s="75" t="s">
        <v>314</v>
      </c>
      <c r="G420" s="90">
        <v>5.39</v>
      </c>
      <c r="H420" s="90">
        <v>43.39</v>
      </c>
      <c r="I420" s="76">
        <v>0.105</v>
      </c>
      <c r="J420" s="77">
        <v>28.24</v>
      </c>
      <c r="K420" s="78">
        <f t="shared" si="553"/>
        <v>13.462184541233871</v>
      </c>
      <c r="L420" s="58">
        <f>+VLOOKUP(E420,Material!$H$2:$M$17,6,FALSE)*G420*H420*(1+Material!$K$14)</f>
        <v>172.80549611111113</v>
      </c>
      <c r="M420" s="79" t="str">
        <f>+Analisis!$J$5</f>
        <v>T5.0</v>
      </c>
      <c r="N420" s="80">
        <f>+VLOOKUP(M420,Material!$A$3:$B$58,2,FALSE)</f>
        <v>5000</v>
      </c>
      <c r="O420" s="79" t="s">
        <v>42</v>
      </c>
      <c r="P420" s="79" t="s">
        <v>43</v>
      </c>
      <c r="Q420" s="81">
        <f>+IF(O420="ACERO A36",VLOOKUP(P420,'Velocidades Std 1500 w'!$B$2:$F$15,5,FALSE),IF(O420="INOXIDABLE",VLOOKUP(P420,'Velocidades Std 1500 w'!$B$17:$F$28,5,FALSE),IF(O420="ALUMINIO",VLOOKUP(P420,'Velocidades Std 1500 w'!$B$30:$F$38,5,FALSE))))</f>
        <v>4.3859649122807014E-6</v>
      </c>
      <c r="R420" s="82">
        <f t="shared" si="554"/>
        <v>2.1929824561403508E-2</v>
      </c>
      <c r="S420" s="83">
        <f t="shared" si="555"/>
        <v>50.55789789473684</v>
      </c>
      <c r="T420" s="110">
        <f t="shared" si="556"/>
        <v>3202.0001999999999</v>
      </c>
      <c r="U420" s="80">
        <f t="shared" si="557"/>
        <v>70.219302631578941</v>
      </c>
      <c r="V420" s="98">
        <v>15</v>
      </c>
      <c r="W420" s="84">
        <f>+IF(O420="ACERO A36",VLOOKUP(P420,'Tiempo Objeto'!$B$2:$C$12,2,FALSE),IF(O420="INOXIDABLE",VLOOKUP(P420,'Tiempo Objeto'!$B$14:$C$22,2,FALSE),IF(O420="ALUMINIO",VLOOKUP(P420,'Tiempo Objeto'!$B$24:$C$32,2,FALSE))))</f>
        <v>1.84</v>
      </c>
      <c r="X420" s="84">
        <f t="shared" si="558"/>
        <v>27.6</v>
      </c>
      <c r="Y420" s="80">
        <f t="shared" si="559"/>
        <v>38.333333333333336</v>
      </c>
      <c r="Z420" s="100">
        <v>4</v>
      </c>
      <c r="AA420" s="85">
        <f t="shared" si="543"/>
        <v>120</v>
      </c>
      <c r="AB420" s="86">
        <f>+Z420*Analisis!$J$6</f>
        <v>100</v>
      </c>
      <c r="AC420" s="100">
        <v>0</v>
      </c>
      <c r="AD420" s="85">
        <f t="shared" si="560"/>
        <v>0</v>
      </c>
      <c r="AE420" s="86">
        <f>+AD420*Analisis!$J$7</f>
        <v>0</v>
      </c>
      <c r="AF420" s="86">
        <f t="shared" si="533"/>
        <v>381.35813207602337</v>
      </c>
      <c r="AG420" s="126">
        <f>+AF420/(1-Analisis!$E$9)</f>
        <v>476.69766509502921</v>
      </c>
      <c r="AH420" s="128">
        <f t="shared" si="535"/>
        <v>0</v>
      </c>
    </row>
    <row r="421" spans="1:35" s="73" customFormat="1" x14ac:dyDescent="0.25">
      <c r="A421" s="100"/>
      <c r="B421" s="108" t="s">
        <v>586</v>
      </c>
      <c r="C421" s="138">
        <f>IFERROR(VLOOKUP(B421,'REQ GALV'!A:B,2,0),0)</f>
        <v>90</v>
      </c>
      <c r="D421" s="116">
        <f t="shared" si="534"/>
        <v>185.27490497076022</v>
      </c>
      <c r="E421" s="103" t="s">
        <v>41</v>
      </c>
      <c r="F421" s="75" t="s">
        <v>314</v>
      </c>
      <c r="G421" s="90">
        <v>2.79</v>
      </c>
      <c r="H421" s="90">
        <v>26.5</v>
      </c>
      <c r="I421" s="76">
        <v>0.105</v>
      </c>
      <c r="J421" s="77">
        <v>28.24</v>
      </c>
      <c r="K421" s="78">
        <f t="shared" si="553"/>
        <v>4.2558587110481598</v>
      </c>
      <c r="L421" s="58">
        <f>+VLOOKUP(E421,Material!$H$2:$M$17,6,FALSE)*G421*H421*(1+Material!$K$14)</f>
        <v>54.629750000000008</v>
      </c>
      <c r="M421" s="79" t="str">
        <f>+Analisis!$J$5</f>
        <v>T5.0</v>
      </c>
      <c r="N421" s="80">
        <f>+VLOOKUP(M421,Material!$A$3:$B$58,2,FALSE)</f>
        <v>5000</v>
      </c>
      <c r="O421" s="79" t="s">
        <v>42</v>
      </c>
      <c r="P421" s="79" t="s">
        <v>43</v>
      </c>
      <c r="Q421" s="81">
        <f>+IF(O421="ACERO A36",VLOOKUP(P421,'Velocidades Std 1500 w'!$B$2:$F$15,5,FALSE),IF(O421="INOXIDABLE",VLOOKUP(P421,'Velocidades Std 1500 w'!$B$17:$F$28,5,FALSE),IF(O421="ALUMINIO",VLOOKUP(P421,'Velocidades Std 1500 w'!$B$30:$F$38,5,FALSE))))</f>
        <v>4.3859649122807014E-6</v>
      </c>
      <c r="R421" s="82">
        <f t="shared" si="554"/>
        <v>2.1929824561403508E-2</v>
      </c>
      <c r="S421" s="83">
        <f t="shared" si="555"/>
        <v>30.984925263157887</v>
      </c>
      <c r="T421" s="110">
        <f t="shared" si="556"/>
        <v>1962.3785999999998</v>
      </c>
      <c r="U421" s="80">
        <f t="shared" si="557"/>
        <v>43.034618421052627</v>
      </c>
      <c r="V421" s="98">
        <v>10</v>
      </c>
      <c r="W421" s="84">
        <f>+IF(O421="ACERO A36",VLOOKUP(P421,'Tiempo Objeto'!$B$2:$C$12,2,FALSE),IF(O421="INOXIDABLE",VLOOKUP(P421,'Tiempo Objeto'!$B$14:$C$22,2,FALSE),IF(O421="ALUMINIO",VLOOKUP(P421,'Tiempo Objeto'!$B$24:$C$32,2,FALSE))))</f>
        <v>1.84</v>
      </c>
      <c r="X421" s="84">
        <f t="shared" si="558"/>
        <v>18.400000000000002</v>
      </c>
      <c r="Y421" s="80">
        <f t="shared" si="559"/>
        <v>25.555555555555561</v>
      </c>
      <c r="Z421" s="100">
        <v>1</v>
      </c>
      <c r="AA421" s="85">
        <f t="shared" si="543"/>
        <v>165</v>
      </c>
      <c r="AB421" s="86">
        <f>+Z421*Analisis!$J$6</f>
        <v>25</v>
      </c>
      <c r="AC421" s="100">
        <v>0</v>
      </c>
      <c r="AD421" s="85">
        <f t="shared" si="560"/>
        <v>0</v>
      </c>
      <c r="AE421" s="86">
        <f>+AD421*Analisis!$J$7</f>
        <v>0</v>
      </c>
      <c r="AF421" s="86">
        <f t="shared" si="533"/>
        <v>148.21992397660819</v>
      </c>
      <c r="AG421" s="126">
        <f>+AF421/(1-Analisis!$E$9)</f>
        <v>185.27490497076022</v>
      </c>
      <c r="AH421" s="128">
        <f t="shared" si="535"/>
        <v>16674.741447368418</v>
      </c>
      <c r="AI421" s="128">
        <f>+L421*C421</f>
        <v>4916.6775000000007</v>
      </c>
    </row>
    <row r="422" spans="1:35" s="73" customFormat="1" x14ac:dyDescent="0.25">
      <c r="A422" s="100"/>
      <c r="B422" s="108" t="s">
        <v>587</v>
      </c>
      <c r="C422" s="74">
        <f>IFERROR(VLOOKUP(B422,'REQ GALV'!A:B,2,0),0)</f>
        <v>0</v>
      </c>
      <c r="D422" s="116">
        <f t="shared" si="534"/>
        <v>784.11960570175438</v>
      </c>
      <c r="E422" s="103" t="s">
        <v>41</v>
      </c>
      <c r="F422" s="75" t="s">
        <v>314</v>
      </c>
      <c r="G422" s="90">
        <v>16.16</v>
      </c>
      <c r="H422" s="90">
        <v>36.159999999999997</v>
      </c>
      <c r="I422" s="76">
        <v>0.105</v>
      </c>
      <c r="J422" s="77">
        <v>28.24</v>
      </c>
      <c r="K422" s="78">
        <f t="shared" si="553"/>
        <v>33.636198174378343</v>
      </c>
      <c r="L422" s="58">
        <f>+VLOOKUP(E422,Material!$H$2:$M$17,6,FALSE)*G422*H422*(1+Material!$K$14)</f>
        <v>431.76647111111106</v>
      </c>
      <c r="M422" s="79" t="str">
        <f>+Analisis!$J$5</f>
        <v>T5.0</v>
      </c>
      <c r="N422" s="80">
        <f>+VLOOKUP(M422,Material!$A$3:$B$58,2,FALSE)</f>
        <v>5000</v>
      </c>
      <c r="O422" s="79" t="s">
        <v>42</v>
      </c>
      <c r="P422" s="79" t="s">
        <v>43</v>
      </c>
      <c r="Q422" s="81">
        <f>+IF(O422="ACERO A36",VLOOKUP(P422,'Velocidades Std 1500 w'!$B$2:$F$15,5,FALSE),IF(O422="INOXIDABLE",VLOOKUP(P422,'Velocidades Std 1500 w'!$B$17:$F$28,5,FALSE),IF(O422="ALUMINIO",VLOOKUP(P422,'Velocidades Std 1500 w'!$B$30:$F$38,5,FALSE))))</f>
        <v>4.3859649122807014E-6</v>
      </c>
      <c r="R422" s="82">
        <f t="shared" si="554"/>
        <v>2.1929824561403508E-2</v>
      </c>
      <c r="S422" s="83">
        <f t="shared" si="555"/>
        <v>50.381033684210514</v>
      </c>
      <c r="T422" s="110">
        <f t="shared" si="556"/>
        <v>3190.7987999999996</v>
      </c>
      <c r="U422" s="80">
        <f t="shared" si="557"/>
        <v>69.973657894736832</v>
      </c>
      <c r="V422" s="98">
        <v>10</v>
      </c>
      <c r="W422" s="84">
        <f>+IF(O422="ACERO A36",VLOOKUP(P422,'Tiempo Objeto'!$B$2:$C$12,2,FALSE),IF(O422="INOXIDABLE",VLOOKUP(P422,'Tiempo Objeto'!$B$14:$C$22,2,FALSE),IF(O422="ALUMINIO",VLOOKUP(P422,'Tiempo Objeto'!$B$24:$C$32,2,FALSE))))</f>
        <v>1.84</v>
      </c>
      <c r="X422" s="84">
        <f t="shared" si="558"/>
        <v>18.400000000000002</v>
      </c>
      <c r="Y422" s="80">
        <f t="shared" si="559"/>
        <v>25.555555555555561</v>
      </c>
      <c r="Z422" s="100">
        <v>4</v>
      </c>
      <c r="AA422" s="85">
        <f t="shared" si="543"/>
        <v>120</v>
      </c>
      <c r="AB422" s="86">
        <f>+Z422*Analisis!$J$6</f>
        <v>100</v>
      </c>
      <c r="AC422" s="100">
        <v>0</v>
      </c>
      <c r="AD422" s="85">
        <f t="shared" si="560"/>
        <v>0</v>
      </c>
      <c r="AE422" s="86">
        <f>+AD422*Analisis!$J$7</f>
        <v>0</v>
      </c>
      <c r="AF422" s="86">
        <f t="shared" si="533"/>
        <v>627.2956845614035</v>
      </c>
      <c r="AG422" s="126">
        <f>+AF422/(1-Analisis!$E$9)</f>
        <v>784.11960570175438</v>
      </c>
      <c r="AH422" s="128">
        <f t="shared" si="535"/>
        <v>0</v>
      </c>
    </row>
    <row r="423" spans="1:35" s="73" customFormat="1" x14ac:dyDescent="0.25">
      <c r="A423" s="100"/>
      <c r="B423" s="108" t="s">
        <v>588</v>
      </c>
      <c r="C423" s="74">
        <f>IFERROR(VLOOKUP(B423,'REQ GALV'!A:B,2,0),0)</f>
        <v>0</v>
      </c>
      <c r="D423" s="116">
        <f t="shared" si="534"/>
        <v>50.22789656432748</v>
      </c>
      <c r="E423" s="103" t="s">
        <v>41</v>
      </c>
      <c r="F423" s="75" t="s">
        <v>314</v>
      </c>
      <c r="G423" s="90">
        <v>4.5</v>
      </c>
      <c r="H423" s="90">
        <v>3.95</v>
      </c>
      <c r="I423" s="76">
        <v>0.105</v>
      </c>
      <c r="J423" s="77">
        <v>28.24</v>
      </c>
      <c r="K423" s="78">
        <f t="shared" si="553"/>
        <v>1.0231674929178471</v>
      </c>
      <c r="L423" s="58">
        <f>+VLOOKUP(E423,Material!$H$2:$M$17,6,FALSE)*G423*H423*(1+Material!$K$14)</f>
        <v>13.133750000000001</v>
      </c>
      <c r="M423" s="79" t="str">
        <f>+Analisis!$J$5</f>
        <v>T5.0</v>
      </c>
      <c r="N423" s="80">
        <f>+VLOOKUP(M423,Material!$A$3:$B$58,2,FALSE)</f>
        <v>5000</v>
      </c>
      <c r="O423" s="79" t="s">
        <v>42</v>
      </c>
      <c r="P423" s="79" t="s">
        <v>43</v>
      </c>
      <c r="Q423" s="81">
        <f>+IF(O423="ACERO A36",VLOOKUP(P423,'Velocidades Std 1500 w'!$B$2:$F$15,5,FALSE),IF(O423="INOXIDABLE",VLOOKUP(P423,'Velocidades Std 1500 w'!$B$17:$F$28,5,FALSE),IF(O423="ALUMINIO",VLOOKUP(P423,'Velocidades Std 1500 w'!$B$30:$F$38,5,FALSE))))</f>
        <v>4.3859649122807014E-6</v>
      </c>
      <c r="R423" s="82">
        <f t="shared" si="554"/>
        <v>2.1929824561403508E-2</v>
      </c>
      <c r="S423" s="83">
        <f t="shared" si="555"/>
        <v>10.274968421052629</v>
      </c>
      <c r="T423" s="110">
        <f t="shared" si="556"/>
        <v>650.74799999999993</v>
      </c>
      <c r="U423" s="80">
        <f t="shared" si="557"/>
        <v>14.270789473684209</v>
      </c>
      <c r="V423" s="98">
        <v>5</v>
      </c>
      <c r="W423" s="84">
        <f>+IF(O423="ACERO A36",VLOOKUP(P423,'Tiempo Objeto'!$B$2:$C$12,2,FALSE),IF(O423="INOXIDABLE",VLOOKUP(P423,'Tiempo Objeto'!$B$14:$C$22,2,FALSE),IF(O423="ALUMINIO",VLOOKUP(P423,'Tiempo Objeto'!$B$24:$C$32,2,FALSE))))</f>
        <v>1.84</v>
      </c>
      <c r="X423" s="84">
        <f t="shared" si="558"/>
        <v>9.2000000000000011</v>
      </c>
      <c r="Y423" s="80">
        <f t="shared" si="559"/>
        <v>12.77777777777778</v>
      </c>
      <c r="Z423" s="100">
        <v>0</v>
      </c>
      <c r="AA423" s="85">
        <f t="shared" si="543"/>
        <v>0</v>
      </c>
      <c r="AB423" s="86">
        <f>+Z423*Analisis!$J$6</f>
        <v>0</v>
      </c>
      <c r="AC423" s="100">
        <v>0</v>
      </c>
      <c r="AD423" s="85">
        <f t="shared" si="560"/>
        <v>0</v>
      </c>
      <c r="AE423" s="86">
        <f>+AD423*Analisis!$J$7</f>
        <v>0</v>
      </c>
      <c r="AF423" s="86">
        <f t="shared" si="533"/>
        <v>40.182317251461988</v>
      </c>
      <c r="AG423" s="126">
        <f>+AF423/(1-Analisis!$E$9)</f>
        <v>50.22789656432748</v>
      </c>
      <c r="AH423" s="128">
        <f t="shared" si="535"/>
        <v>0</v>
      </c>
    </row>
    <row r="424" spans="1:35" s="73" customFormat="1" x14ac:dyDescent="0.25">
      <c r="A424" s="100"/>
      <c r="B424" s="108" t="s">
        <v>589</v>
      </c>
      <c r="C424" s="138">
        <f>IFERROR(VLOOKUP(B424,'REQ GALV'!A:B,2,0),0)</f>
        <v>75</v>
      </c>
      <c r="D424" s="116">
        <f t="shared" si="534"/>
        <v>1320.6260526315787</v>
      </c>
      <c r="E424" s="103" t="s">
        <v>41</v>
      </c>
      <c r="F424" s="75" t="s">
        <v>314</v>
      </c>
      <c r="G424" s="90">
        <v>37.75</v>
      </c>
      <c r="H424" s="90">
        <v>31.88</v>
      </c>
      <c r="I424" s="76">
        <v>0.105</v>
      </c>
      <c r="J424" s="77">
        <v>28.24</v>
      </c>
      <c r="K424" s="78">
        <f t="shared" si="553"/>
        <v>69.274339392508665</v>
      </c>
      <c r="L424" s="58">
        <f>+VLOOKUP(E424,Material!$H$2:$M$17,6,FALSE)*G424*H424*(1+Material!$K$14)</f>
        <v>889.2306111111111</v>
      </c>
      <c r="M424" s="79" t="str">
        <f>+Analisis!$J$5</f>
        <v>T5.0</v>
      </c>
      <c r="N424" s="80">
        <f>+VLOOKUP(M424,Material!$A$3:$B$58,2,FALSE)</f>
        <v>5000</v>
      </c>
      <c r="O424" s="79" t="s">
        <v>42</v>
      </c>
      <c r="P424" s="79" t="s">
        <v>43</v>
      </c>
      <c r="Q424" s="81">
        <f>+IF(O424="ACERO A36",VLOOKUP(P424,'Velocidades Std 1500 w'!$B$2:$F$15,5,FALSE),IF(O424="INOXIDABLE",VLOOKUP(P424,'Velocidades Std 1500 w'!$B$17:$F$28,5,FALSE),IF(O424="ALUMINIO",VLOOKUP(P424,'Velocidades Std 1500 w'!$B$30:$F$38,5,FALSE))))</f>
        <v>4.3859649122807014E-6</v>
      </c>
      <c r="R424" s="82">
        <f t="shared" si="554"/>
        <v>2.1929824561403508E-2</v>
      </c>
      <c r="S424" s="83">
        <f t="shared" si="555"/>
        <v>74.434566315789453</v>
      </c>
      <c r="T424" s="110">
        <f t="shared" si="556"/>
        <v>4714.1891999999998</v>
      </c>
      <c r="U424" s="80">
        <f t="shared" si="557"/>
        <v>103.38134210526314</v>
      </c>
      <c r="V424" s="98">
        <v>25</v>
      </c>
      <c r="W424" s="84">
        <f>+IF(O424="ACERO A36",VLOOKUP(P424,'Tiempo Objeto'!$B$2:$C$12,2,FALSE),IF(O424="INOXIDABLE",VLOOKUP(P424,'Tiempo Objeto'!$B$14:$C$22,2,FALSE),IF(O424="ALUMINIO",VLOOKUP(P424,'Tiempo Objeto'!$B$24:$C$32,2,FALSE))))</f>
        <v>1.84</v>
      </c>
      <c r="X424" s="84">
        <f t="shared" si="558"/>
        <v>46</v>
      </c>
      <c r="Y424" s="80">
        <f t="shared" si="559"/>
        <v>63.888888888888886</v>
      </c>
      <c r="Z424" s="100">
        <v>0</v>
      </c>
      <c r="AA424" s="85">
        <f t="shared" si="543"/>
        <v>0</v>
      </c>
      <c r="AB424" s="86">
        <f>+Z424*Analisis!$J$6</f>
        <v>0</v>
      </c>
      <c r="AC424" s="100">
        <v>0</v>
      </c>
      <c r="AD424" s="85">
        <f t="shared" si="560"/>
        <v>0</v>
      </c>
      <c r="AE424" s="86">
        <f>+AD424*Analisis!$J$7</f>
        <v>0</v>
      </c>
      <c r="AF424" s="86">
        <f t="shared" si="533"/>
        <v>1056.500842105263</v>
      </c>
      <c r="AG424" s="126">
        <f>+AF424/(1-Analisis!$E$9)</f>
        <v>1320.6260526315787</v>
      </c>
      <c r="AH424" s="128">
        <f t="shared" si="535"/>
        <v>99046.953947368398</v>
      </c>
      <c r="AI424" s="128">
        <f>+L424*C424</f>
        <v>66692.295833333337</v>
      </c>
    </row>
    <row r="425" spans="1:35" s="73" customFormat="1" x14ac:dyDescent="0.25">
      <c r="A425" s="100"/>
      <c r="B425" s="108" t="s">
        <v>590</v>
      </c>
      <c r="C425" s="74">
        <f>IFERROR(VLOOKUP(B425,'REQ GALV'!A:B,2,0),0)</f>
        <v>0</v>
      </c>
      <c r="D425" s="116">
        <f t="shared" si="534"/>
        <v>1322.9518055555554</v>
      </c>
      <c r="E425" s="103" t="s">
        <v>41</v>
      </c>
      <c r="F425" s="75" t="s">
        <v>314</v>
      </c>
      <c r="G425" s="90">
        <v>34.36</v>
      </c>
      <c r="H425" s="90">
        <v>36.75</v>
      </c>
      <c r="I425" s="76">
        <v>0.105</v>
      </c>
      <c r="J425" s="77">
        <v>28.24</v>
      </c>
      <c r="K425" s="78">
        <f t="shared" si="553"/>
        <v>72.685473323890463</v>
      </c>
      <c r="L425" s="58">
        <f>+VLOOKUP(E425,Material!$H$2:$M$17,6,FALSE)*G425*H425*(1+Material!$K$14)</f>
        <v>933.01716666666664</v>
      </c>
      <c r="M425" s="79" t="str">
        <f>+Analisis!$J$5</f>
        <v>T5.0</v>
      </c>
      <c r="N425" s="80">
        <f>+VLOOKUP(M425,Material!$A$3:$B$58,2,FALSE)</f>
        <v>5000</v>
      </c>
      <c r="O425" s="79" t="s">
        <v>42</v>
      </c>
      <c r="P425" s="79" t="s">
        <v>43</v>
      </c>
      <c r="Q425" s="81">
        <f>+IF(O425="ACERO A36",VLOOKUP(P425,'Velocidades Std 1500 w'!$B$2:$F$15,5,FALSE),IF(O425="INOXIDABLE",VLOOKUP(P425,'Velocidades Std 1500 w'!$B$17:$F$28,5,FALSE),IF(O425="ALUMINIO",VLOOKUP(P425,'Velocidades Std 1500 w'!$B$30:$F$38,5,FALSE))))</f>
        <v>4.3859649122807014E-6</v>
      </c>
      <c r="R425" s="82">
        <f t="shared" si="554"/>
        <v>2.1929824561403508E-2</v>
      </c>
      <c r="S425" s="83">
        <f t="shared" si="555"/>
        <v>63.047879999999999</v>
      </c>
      <c r="T425" s="110">
        <f t="shared" si="556"/>
        <v>3993.0324000000001</v>
      </c>
      <c r="U425" s="80">
        <f t="shared" si="557"/>
        <v>87.566499999999991</v>
      </c>
      <c r="V425" s="98">
        <v>5</v>
      </c>
      <c r="W425" s="84">
        <f>+IF(O425="ACERO A36",VLOOKUP(P425,'Tiempo Objeto'!$B$2:$C$12,2,FALSE),IF(O425="INOXIDABLE",VLOOKUP(P425,'Tiempo Objeto'!$B$14:$C$22,2,FALSE),IF(O425="ALUMINIO",VLOOKUP(P425,'Tiempo Objeto'!$B$24:$C$32,2,FALSE))))</f>
        <v>1.84</v>
      </c>
      <c r="X425" s="84">
        <f t="shared" si="558"/>
        <v>9.2000000000000011</v>
      </c>
      <c r="Y425" s="80">
        <f t="shared" si="559"/>
        <v>12.77777777777778</v>
      </c>
      <c r="Z425" s="100">
        <v>1</v>
      </c>
      <c r="AA425" s="85">
        <f t="shared" si="543"/>
        <v>30</v>
      </c>
      <c r="AB425" s="86">
        <f>+Z425*Analisis!$J$6</f>
        <v>25</v>
      </c>
      <c r="AC425" s="100">
        <v>0</v>
      </c>
      <c r="AD425" s="85">
        <f t="shared" si="560"/>
        <v>0</v>
      </c>
      <c r="AE425" s="86">
        <f>+AD425*Analisis!$J$7</f>
        <v>0</v>
      </c>
      <c r="AF425" s="86">
        <f t="shared" si="533"/>
        <v>1058.3614444444445</v>
      </c>
      <c r="AG425" s="126">
        <f>+AF425/(1-Analisis!$E$9)</f>
        <v>1322.9518055555554</v>
      </c>
      <c r="AH425" s="128">
        <f t="shared" si="535"/>
        <v>0</v>
      </c>
    </row>
    <row r="426" spans="1:35" s="73" customFormat="1" x14ac:dyDescent="0.25">
      <c r="A426" s="100"/>
      <c r="B426" s="108" t="s">
        <v>592</v>
      </c>
      <c r="C426" s="74">
        <f>IFERROR(VLOOKUP(B426,'REQ GALV'!A:B,2,0),0)</f>
        <v>0</v>
      </c>
      <c r="D426" s="116">
        <f t="shared" si="534"/>
        <v>191.51912577668128</v>
      </c>
      <c r="E426" s="103" t="s">
        <v>44</v>
      </c>
      <c r="F426" s="75" t="s">
        <v>314</v>
      </c>
      <c r="G426" s="90">
        <v>9.5</v>
      </c>
      <c r="H426" s="90">
        <v>7</v>
      </c>
      <c r="I426" s="76">
        <v>0.105</v>
      </c>
      <c r="J426" s="77">
        <v>28.24</v>
      </c>
      <c r="K426" s="78">
        <f t="shared" si="553"/>
        <v>4.6652336372757333</v>
      </c>
      <c r="L426" s="58">
        <f>+VLOOKUP(E426,Material!$H$2:$M$17,6,FALSE)*G426*H426*(1+Material!$K$14)</f>
        <v>59.884635416666676</v>
      </c>
      <c r="M426" s="79" t="str">
        <f>+Analisis!$J$5</f>
        <v>T5.0</v>
      </c>
      <c r="N426" s="80">
        <f>+VLOOKUP(M426,Material!$A$3:$B$58,2,FALSE)</f>
        <v>5000</v>
      </c>
      <c r="O426" s="79" t="s">
        <v>42</v>
      </c>
      <c r="P426" s="79" t="s">
        <v>43</v>
      </c>
      <c r="Q426" s="81">
        <f>+IF(O426="ACERO A36",VLOOKUP(P426,'Velocidades Std 1500 w'!$B$2:$F$15,5,FALSE),IF(O426="INOXIDABLE",VLOOKUP(P426,'Velocidades Std 1500 w'!$B$17:$F$28,5,FALSE),IF(O426="ALUMINIO",VLOOKUP(P426,'Velocidades Std 1500 w'!$B$30:$F$38,5,FALSE))))</f>
        <v>4.3859649122807014E-6</v>
      </c>
      <c r="R426" s="82">
        <f t="shared" si="554"/>
        <v>2.1929824561403508E-2</v>
      </c>
      <c r="S426" s="83">
        <f t="shared" si="555"/>
        <v>18.31807894736842</v>
      </c>
      <c r="T426" s="110">
        <f t="shared" si="556"/>
        <v>1160.145</v>
      </c>
      <c r="U426" s="80">
        <f t="shared" si="557"/>
        <v>25.441776315789472</v>
      </c>
      <c r="V426" s="98">
        <v>7</v>
      </c>
      <c r="W426" s="84">
        <f>+IF(O426="ACERO A36",VLOOKUP(P426,'Tiempo Objeto'!$B$2:$C$12,2,FALSE),IF(O426="INOXIDABLE",VLOOKUP(P426,'Tiempo Objeto'!$B$14:$C$22,2,FALSE),IF(O426="ALUMINIO",VLOOKUP(P426,'Tiempo Objeto'!$B$24:$C$32,2,FALSE))))</f>
        <v>1.84</v>
      </c>
      <c r="X426" s="84">
        <f t="shared" si="558"/>
        <v>12.88</v>
      </c>
      <c r="Y426" s="80">
        <f t="shared" si="559"/>
        <v>17.888888888888889</v>
      </c>
      <c r="Z426" s="100">
        <v>2</v>
      </c>
      <c r="AA426" s="85">
        <f t="shared" si="543"/>
        <v>60</v>
      </c>
      <c r="AB426" s="86">
        <f>+Z426*Analisis!$J$6</f>
        <v>50</v>
      </c>
      <c r="AC426" s="100">
        <v>0</v>
      </c>
      <c r="AD426" s="85">
        <f t="shared" si="560"/>
        <v>0</v>
      </c>
      <c r="AE426" s="86">
        <f>+AD426*Analisis!$J$7</f>
        <v>0</v>
      </c>
      <c r="AF426" s="86">
        <f t="shared" si="533"/>
        <v>153.21530062134502</v>
      </c>
      <c r="AG426" s="126">
        <f>+AF426/(1-Analisis!$E$9)</f>
        <v>191.51912577668128</v>
      </c>
      <c r="AH426" s="128">
        <f t="shared" si="535"/>
        <v>0</v>
      </c>
    </row>
    <row r="427" spans="1:35" s="73" customFormat="1" x14ac:dyDescent="0.25">
      <c r="A427" s="100"/>
      <c r="B427" s="108" t="s">
        <v>593</v>
      </c>
      <c r="C427" s="74">
        <f>IFERROR(VLOOKUP(B427,'REQ GALV'!A:B,2,0),0)</f>
        <v>0</v>
      </c>
      <c r="D427" s="116">
        <f t="shared" si="534"/>
        <v>191.51912577668128</v>
      </c>
      <c r="E427" s="103" t="s">
        <v>44</v>
      </c>
      <c r="F427" s="75" t="s">
        <v>314</v>
      </c>
      <c r="G427" s="90">
        <v>9.5</v>
      </c>
      <c r="H427" s="90">
        <v>7</v>
      </c>
      <c r="I427" s="76">
        <v>0.105</v>
      </c>
      <c r="J427" s="77">
        <v>28.24</v>
      </c>
      <c r="K427" s="78">
        <f t="shared" ref="K427" si="561">+L427*2.2/J427</f>
        <v>4.6652336372757333</v>
      </c>
      <c r="L427" s="58">
        <f>+VLOOKUP(E427,Material!$H$2:$M$17,6,FALSE)*G427*H427*(1+Material!$K$14)</f>
        <v>59.884635416666676</v>
      </c>
      <c r="M427" s="79" t="str">
        <f>+Analisis!$J$5</f>
        <v>T5.0</v>
      </c>
      <c r="N427" s="80">
        <f>+VLOOKUP(M427,Material!$A$3:$B$58,2,FALSE)</f>
        <v>5000</v>
      </c>
      <c r="O427" s="79" t="s">
        <v>42</v>
      </c>
      <c r="P427" s="79" t="s">
        <v>43</v>
      </c>
      <c r="Q427" s="81">
        <f>+IF(O427="ACERO A36",VLOOKUP(P427,'Velocidades Std 1500 w'!$B$2:$F$15,5,FALSE),IF(O427="INOXIDABLE",VLOOKUP(P427,'Velocidades Std 1500 w'!$B$17:$F$28,5,FALSE),IF(O427="ALUMINIO",VLOOKUP(P427,'Velocidades Std 1500 w'!$B$30:$F$38,5,FALSE))))</f>
        <v>4.3859649122807014E-6</v>
      </c>
      <c r="R427" s="82">
        <f t="shared" ref="R427" si="562">+Q427*N427</f>
        <v>2.1929824561403508E-2</v>
      </c>
      <c r="S427" s="83">
        <f t="shared" ref="S427" si="563">+Q427*T427*3600</f>
        <v>18.31807894736842</v>
      </c>
      <c r="T427" s="110">
        <f t="shared" ref="T427" si="564">(+H427*2+G427*2+V427*1.5)*25.4*1.05</f>
        <v>1160.145</v>
      </c>
      <c r="U427" s="80">
        <f t="shared" ref="U427" si="565">+T427*R427</f>
        <v>25.441776315789472</v>
      </c>
      <c r="V427" s="98">
        <v>7</v>
      </c>
      <c r="W427" s="84">
        <f>+IF(O427="ACERO A36",VLOOKUP(P427,'Tiempo Objeto'!$B$2:$C$12,2,FALSE),IF(O427="INOXIDABLE",VLOOKUP(P427,'Tiempo Objeto'!$B$14:$C$22,2,FALSE),IF(O427="ALUMINIO",VLOOKUP(P427,'Tiempo Objeto'!$B$24:$C$32,2,FALSE))))</f>
        <v>1.84</v>
      </c>
      <c r="X427" s="84">
        <f t="shared" ref="X427" si="566">+W427*V427</f>
        <v>12.88</v>
      </c>
      <c r="Y427" s="80">
        <f t="shared" ref="Y427" si="567">+X427*N427/3600</f>
        <v>17.888888888888889</v>
      </c>
      <c r="Z427" s="100">
        <v>2</v>
      </c>
      <c r="AA427" s="85">
        <f t="shared" ref="AA427" si="568">30*Z427+Z427*$C427*1.5</f>
        <v>60</v>
      </c>
      <c r="AB427" s="86">
        <f>+Z427*Analisis!$J$6</f>
        <v>50</v>
      </c>
      <c r="AC427" s="100">
        <v>0</v>
      </c>
      <c r="AD427" s="85">
        <f t="shared" si="560"/>
        <v>0</v>
      </c>
      <c r="AE427" s="86">
        <f>+AD427*Analisis!$J$7</f>
        <v>0</v>
      </c>
      <c r="AF427" s="86">
        <f t="shared" si="533"/>
        <v>153.21530062134502</v>
      </c>
      <c r="AG427" s="126">
        <f>+AF427/(1-Analisis!$E$9)</f>
        <v>191.51912577668128</v>
      </c>
      <c r="AH427" s="128">
        <f t="shared" si="535"/>
        <v>0</v>
      </c>
    </row>
    <row r="428" spans="1:35" s="73" customFormat="1" x14ac:dyDescent="0.25">
      <c r="A428" s="100"/>
      <c r="B428" s="120" t="s">
        <v>136</v>
      </c>
      <c r="C428" s="138">
        <f>IFERROR(VLOOKUP(B428,'REQ GALV'!A:B,2,0),0)</f>
        <v>1217</v>
      </c>
      <c r="D428" s="116">
        <f t="shared" si="534"/>
        <v>187.56782317251464</v>
      </c>
      <c r="E428" s="103" t="s">
        <v>41</v>
      </c>
      <c r="F428" s="75" t="s">
        <v>314</v>
      </c>
      <c r="G428" s="90">
        <v>5.64</v>
      </c>
      <c r="H428" s="90">
        <v>3.64</v>
      </c>
      <c r="I428" s="76">
        <v>0.105</v>
      </c>
      <c r="J428" s="77">
        <v>28.24</v>
      </c>
      <c r="K428" s="78">
        <f t="shared" si="553"/>
        <v>1.1817282341831921</v>
      </c>
      <c r="L428" s="58">
        <f>+VLOOKUP(E428,Material!$H$2:$M$17,6,FALSE)*G428*H428*(1+Material!$K$14)</f>
        <v>15.169093333333334</v>
      </c>
      <c r="M428" s="79" t="str">
        <f>+Analisis!$J$5</f>
        <v>T5.0</v>
      </c>
      <c r="N428" s="80">
        <f>+VLOOKUP(M428,Material!$A$3:$B$58,2,FALSE)</f>
        <v>5000</v>
      </c>
      <c r="O428" s="79" t="s">
        <v>42</v>
      </c>
      <c r="P428" s="79" t="s">
        <v>43</v>
      </c>
      <c r="Q428" s="81">
        <f>+IF(O428="ACERO A36",VLOOKUP(P428,'Velocidades Std 1500 w'!$B$2:$F$15,5,FALSE),IF(O428="INOXIDABLE",VLOOKUP(P428,'Velocidades Std 1500 w'!$B$17:$F$28,5,FALSE),IF(O428="ALUMINIO",VLOOKUP(P428,'Velocidades Std 1500 w'!$B$30:$F$38,5,FALSE))))</f>
        <v>4.3859649122807014E-6</v>
      </c>
      <c r="R428" s="82">
        <f t="shared" si="554"/>
        <v>2.1929824561403508E-2</v>
      </c>
      <c r="S428" s="83">
        <f t="shared" si="555"/>
        <v>12.237318947368419</v>
      </c>
      <c r="T428" s="110">
        <f t="shared" si="556"/>
        <v>775.03019999999992</v>
      </c>
      <c r="U428" s="80">
        <f t="shared" si="557"/>
        <v>16.996276315789473</v>
      </c>
      <c r="V428" s="98">
        <v>7</v>
      </c>
      <c r="W428" s="84">
        <f>+IF(O428="ACERO A36",VLOOKUP(P428,'Tiempo Objeto'!$B$2:$C$12,2,FALSE),IF(O428="INOXIDABLE",VLOOKUP(P428,'Tiempo Objeto'!$B$14:$C$22,2,FALSE),IF(O428="ALUMINIO",VLOOKUP(P428,'Tiempo Objeto'!$B$24:$C$32,2,FALSE))))</f>
        <v>1.84</v>
      </c>
      <c r="X428" s="84">
        <f t="shared" si="558"/>
        <v>12.88</v>
      </c>
      <c r="Y428" s="80">
        <f t="shared" si="559"/>
        <v>17.888888888888889</v>
      </c>
      <c r="Z428" s="100">
        <v>4</v>
      </c>
      <c r="AA428" s="85">
        <f>30*Z428+Z428*$C428*1.5</f>
        <v>7422</v>
      </c>
      <c r="AB428" s="86">
        <f>+Z428*Analisis!$J$6</f>
        <v>100</v>
      </c>
      <c r="AC428" s="100">
        <v>0</v>
      </c>
      <c r="AD428" s="85">
        <f t="shared" si="560"/>
        <v>0</v>
      </c>
      <c r="AE428" s="86">
        <f>+AD428*Analisis!$J$7</f>
        <v>0</v>
      </c>
      <c r="AF428" s="86">
        <f t="shared" si="533"/>
        <v>150.05425853801171</v>
      </c>
      <c r="AG428" s="126">
        <f>+AF428/(1-Analisis!$E$9)</f>
        <v>187.56782317251464</v>
      </c>
      <c r="AH428" s="128">
        <f t="shared" si="535"/>
        <v>228270.04080095032</v>
      </c>
      <c r="AI428" s="128">
        <f t="shared" ref="AI428:AI459" si="569">+L428*C428</f>
        <v>18460.786586666669</v>
      </c>
    </row>
    <row r="429" spans="1:35" s="73" customFormat="1" x14ac:dyDescent="0.25">
      <c r="A429" s="100"/>
      <c r="B429" s="120" t="s">
        <v>594</v>
      </c>
      <c r="C429" s="138">
        <f>IFERROR(VLOOKUP(B429,'REQ GALV'!A:B,2,0),0)</f>
        <v>180</v>
      </c>
      <c r="D429" s="116">
        <f t="shared" si="534"/>
        <v>182.5137986111111</v>
      </c>
      <c r="E429" s="103" t="s">
        <v>41</v>
      </c>
      <c r="F429" s="75" t="s">
        <v>314</v>
      </c>
      <c r="G429" s="90">
        <v>4.6399999999999997</v>
      </c>
      <c r="H429" s="90">
        <v>3.6</v>
      </c>
      <c r="I429" s="76">
        <v>0.105</v>
      </c>
      <c r="J429" s="77">
        <v>28.24</v>
      </c>
      <c r="K429" s="78">
        <f t="shared" si="553"/>
        <v>0.96151841359773382</v>
      </c>
      <c r="L429" s="58">
        <f>+VLOOKUP(E429,Material!$H$2:$M$17,6,FALSE)*G429*H429*(1+Material!$K$14)</f>
        <v>12.3424</v>
      </c>
      <c r="M429" s="79" t="str">
        <f>+Analisis!$J$5</f>
        <v>T5.0</v>
      </c>
      <c r="N429" s="80">
        <f>+VLOOKUP(M429,Material!$A$3:$B$58,2,FALSE)</f>
        <v>5000</v>
      </c>
      <c r="O429" s="79" t="s">
        <v>42</v>
      </c>
      <c r="P429" s="79" t="s">
        <v>43</v>
      </c>
      <c r="Q429" s="81">
        <f>+IF(O429="ACERO A36",VLOOKUP(P429,'Velocidades Std 1500 w'!$B$2:$F$15,5,FALSE),IF(O429="INOXIDABLE",VLOOKUP(P429,'Velocidades Std 1500 w'!$B$17:$F$28,5,FALSE),IF(O429="ALUMINIO",VLOOKUP(P429,'Velocidades Std 1500 w'!$B$30:$F$38,5,FALSE))))</f>
        <v>4.3859649122807014E-6</v>
      </c>
      <c r="R429" s="82">
        <f t="shared" si="554"/>
        <v>2.1929824561403508E-2</v>
      </c>
      <c r="S429" s="83">
        <f t="shared" si="555"/>
        <v>11.361419999999997</v>
      </c>
      <c r="T429" s="110">
        <f t="shared" si="556"/>
        <v>719.55659999999989</v>
      </c>
      <c r="U429" s="80">
        <f t="shared" si="557"/>
        <v>15.779749999999996</v>
      </c>
      <c r="V429" s="98">
        <v>7</v>
      </c>
      <c r="W429" s="84">
        <f>+IF(O429="ACERO A36",VLOOKUP(P429,'Tiempo Objeto'!$B$2:$C$12,2,FALSE),IF(O429="INOXIDABLE",VLOOKUP(P429,'Tiempo Objeto'!$B$14:$C$22,2,FALSE),IF(O429="ALUMINIO",VLOOKUP(P429,'Tiempo Objeto'!$B$24:$C$32,2,FALSE))))</f>
        <v>1.84</v>
      </c>
      <c r="X429" s="84">
        <f t="shared" si="558"/>
        <v>12.88</v>
      </c>
      <c r="Y429" s="80">
        <f t="shared" si="559"/>
        <v>17.888888888888889</v>
      </c>
      <c r="Z429" s="100">
        <v>4</v>
      </c>
      <c r="AA429" s="85">
        <f>30*Z429+Z429*$C429*1.5</f>
        <v>1200</v>
      </c>
      <c r="AB429" s="86">
        <f>+Z429*Analisis!$J$6</f>
        <v>100</v>
      </c>
      <c r="AC429" s="100">
        <v>0</v>
      </c>
      <c r="AD429" s="85">
        <f t="shared" si="560"/>
        <v>0</v>
      </c>
      <c r="AE429" s="86">
        <f>+AD429*Analisis!$J$7</f>
        <v>0</v>
      </c>
      <c r="AF429" s="86">
        <f t="shared" si="533"/>
        <v>146.01103888888889</v>
      </c>
      <c r="AG429" s="126">
        <f>+AF429/(1-Analisis!$E$9)</f>
        <v>182.5137986111111</v>
      </c>
      <c r="AH429" s="128">
        <f t="shared" si="535"/>
        <v>32852.483749999999</v>
      </c>
      <c r="AI429" s="128">
        <f t="shared" si="569"/>
        <v>2221.6320000000001</v>
      </c>
    </row>
    <row r="430" spans="1:35" s="73" customFormat="1" x14ac:dyDescent="0.25">
      <c r="A430" s="100"/>
      <c r="B430" s="120" t="s">
        <v>595</v>
      </c>
      <c r="C430" s="138">
        <f>IFERROR(VLOOKUP(B430,'REQ GALV'!A:B,2,0),0)</f>
        <v>120</v>
      </c>
      <c r="D430" s="116">
        <f t="shared" si="534"/>
        <v>78.867375730994141</v>
      </c>
      <c r="E430" s="103" t="s">
        <v>41</v>
      </c>
      <c r="F430" s="75" t="s">
        <v>314</v>
      </c>
      <c r="G430" s="90">
        <v>1.25</v>
      </c>
      <c r="H430" s="90">
        <v>4.38</v>
      </c>
      <c r="I430" s="76">
        <v>0.105</v>
      </c>
      <c r="J430" s="77">
        <v>28.24</v>
      </c>
      <c r="K430" s="78">
        <f t="shared" si="553"/>
        <v>0.31515285646836644</v>
      </c>
      <c r="L430" s="58">
        <f>+VLOOKUP(E430,Material!$H$2:$M$17,6,FALSE)*G430*H430*(1+Material!$K$14)</f>
        <v>4.0454166666666671</v>
      </c>
      <c r="M430" s="79" t="str">
        <f>+Analisis!$J$5</f>
        <v>T5.0</v>
      </c>
      <c r="N430" s="80">
        <f>+VLOOKUP(M430,Material!$A$3:$B$58,2,FALSE)</f>
        <v>5000</v>
      </c>
      <c r="O430" s="79" t="s">
        <v>42</v>
      </c>
      <c r="P430" s="79" t="s">
        <v>43</v>
      </c>
      <c r="Q430" s="81">
        <f>+IF(O430="ACERO A36",VLOOKUP(P430,'Velocidades Std 1500 w'!$B$2:$F$15,5,FALSE),IF(O430="INOXIDABLE",VLOOKUP(P430,'Velocidades Std 1500 w'!$B$17:$F$28,5,FALSE),IF(O430="ALUMINIO",VLOOKUP(P430,'Velocidades Std 1500 w'!$B$30:$F$38,5,FALSE))))</f>
        <v>4.3859649122807014E-6</v>
      </c>
      <c r="R430" s="82">
        <f t="shared" si="554"/>
        <v>2.1929824561403508E-2</v>
      </c>
      <c r="S430" s="83">
        <f t="shared" si="555"/>
        <v>9.7949084210526287</v>
      </c>
      <c r="T430" s="110">
        <f t="shared" si="556"/>
        <v>620.34419999999989</v>
      </c>
      <c r="U430" s="80">
        <f t="shared" si="557"/>
        <v>13.604039473684207</v>
      </c>
      <c r="V430" s="98">
        <v>8</v>
      </c>
      <c r="W430" s="84">
        <f>+IF(O430="ACERO A36",VLOOKUP(P430,'Tiempo Objeto'!$B$2:$C$12,2,FALSE),IF(O430="INOXIDABLE",VLOOKUP(P430,'Tiempo Objeto'!$B$14:$C$22,2,FALSE),IF(O430="ALUMINIO",VLOOKUP(P430,'Tiempo Objeto'!$B$24:$C$32,2,FALSE))))</f>
        <v>1.84</v>
      </c>
      <c r="X430" s="84">
        <f t="shared" si="558"/>
        <v>14.72</v>
      </c>
      <c r="Y430" s="80">
        <f t="shared" si="559"/>
        <v>20.444444444444443</v>
      </c>
      <c r="Z430" s="100">
        <v>1</v>
      </c>
      <c r="AA430" s="85">
        <f>30*Z430+Z430*$C430*1.5</f>
        <v>210</v>
      </c>
      <c r="AB430" s="86">
        <f>+Z430*Analisis!$J$6</f>
        <v>25</v>
      </c>
      <c r="AC430" s="100">
        <v>0</v>
      </c>
      <c r="AD430" s="85">
        <f t="shared" si="560"/>
        <v>0</v>
      </c>
      <c r="AE430" s="86">
        <f>+AD430*Analisis!$J$7</f>
        <v>0</v>
      </c>
      <c r="AF430" s="86">
        <f t="shared" si="533"/>
        <v>63.093900584795321</v>
      </c>
      <c r="AG430" s="126">
        <f>+AF430/(1-Analisis!$E$9)</f>
        <v>78.867375730994141</v>
      </c>
      <c r="AH430" s="128">
        <f t="shared" si="535"/>
        <v>9464.085087719297</v>
      </c>
      <c r="AI430" s="128">
        <f t="shared" si="569"/>
        <v>485.45000000000005</v>
      </c>
    </row>
    <row r="431" spans="1:35" s="73" customFormat="1" x14ac:dyDescent="0.25">
      <c r="A431" s="100"/>
      <c r="B431" s="120" t="s">
        <v>596</v>
      </c>
      <c r="C431" s="138">
        <f>IFERROR(VLOOKUP(B431,'REQ GALV'!A:B,2,0),0)</f>
        <v>45</v>
      </c>
      <c r="D431" s="116">
        <f t="shared" si="534"/>
        <v>188.36396542397657</v>
      </c>
      <c r="E431" s="103" t="s">
        <v>41</v>
      </c>
      <c r="F431" s="75" t="s">
        <v>314</v>
      </c>
      <c r="G431" s="90">
        <v>20.61</v>
      </c>
      <c r="H431" s="90">
        <v>4.5199999999999996</v>
      </c>
      <c r="I431" s="76">
        <v>0.105</v>
      </c>
      <c r="J431" s="77">
        <v>28.24</v>
      </c>
      <c r="K431" s="78">
        <f t="shared" ref="K431:K494" si="570">+L431*2.2/J431</f>
        <v>5.3623301699716723</v>
      </c>
      <c r="L431" s="58">
        <f>+VLOOKUP(E431,Material!$H$2:$M$17,6,FALSE)*G431*H431*(1+Material!$K$14)</f>
        <v>68.832819999999998</v>
      </c>
      <c r="M431" s="79" t="str">
        <f>+Analisis!$J$5</f>
        <v>T5.0</v>
      </c>
      <c r="N431" s="80">
        <f>+VLOOKUP(M431,Material!$A$3:$B$58,2,FALSE)</f>
        <v>5000</v>
      </c>
      <c r="O431" s="79" t="s">
        <v>42</v>
      </c>
      <c r="P431" s="79" t="s">
        <v>43</v>
      </c>
      <c r="Q431" s="81">
        <f>+IF(O431="ACERO A36",VLOOKUP(P431,'Velocidades Std 1500 w'!$B$2:$F$15,5,FALSE),IF(O431="INOXIDABLE",VLOOKUP(P431,'Velocidades Std 1500 w'!$B$17:$F$28,5,FALSE),IF(O431="ALUMINIO",VLOOKUP(P431,'Velocidades Std 1500 w'!$B$30:$F$38,5,FALSE))))</f>
        <v>4.3859649122807014E-6</v>
      </c>
      <c r="R431" s="82">
        <f t="shared" ref="R431:R494" si="571">+Q431*N431</f>
        <v>2.1929824561403508E-2</v>
      </c>
      <c r="S431" s="83">
        <f t="shared" ref="S431:S494" si="572">+Q431*T431*3600</f>
        <v>26.218013684210522</v>
      </c>
      <c r="T431" s="110">
        <f t="shared" ref="T431:T494" si="573">(+H431*2+G431*2+V431*1.5)*25.4*1.05</f>
        <v>1660.4741999999999</v>
      </c>
      <c r="U431" s="80">
        <f t="shared" ref="U431:U494" si="574">+T431*R431</f>
        <v>36.413907894736838</v>
      </c>
      <c r="V431" s="98">
        <v>8</v>
      </c>
      <c r="W431" s="84">
        <f>+IF(O431="ACERO A36",VLOOKUP(P431,'Tiempo Objeto'!$B$2:$C$12,2,FALSE),IF(O431="INOXIDABLE",VLOOKUP(P431,'Tiempo Objeto'!$B$14:$C$22,2,FALSE),IF(O431="ALUMINIO",VLOOKUP(P431,'Tiempo Objeto'!$B$24:$C$32,2,FALSE))))</f>
        <v>1.84</v>
      </c>
      <c r="X431" s="84">
        <f t="shared" ref="X431:X494" si="575">+W431*V431</f>
        <v>14.72</v>
      </c>
      <c r="Y431" s="80">
        <f t="shared" ref="Y431:Y494" si="576">+X431*N431/3600</f>
        <v>20.444444444444443</v>
      </c>
      <c r="Z431" s="100">
        <v>1</v>
      </c>
      <c r="AA431" s="85">
        <f t="shared" ref="AA431:AA494" si="577">30*Z431+Z431*$C431*1.5</f>
        <v>97.5</v>
      </c>
      <c r="AB431" s="86">
        <f>+Z431*Analisis!$J$6</f>
        <v>25</v>
      </c>
      <c r="AC431" s="100">
        <v>0</v>
      </c>
      <c r="AD431" s="85">
        <f t="shared" ref="AD431:AD494" si="578">30*AC431+AC431*$C431*1.5</f>
        <v>0</v>
      </c>
      <c r="AE431" s="86">
        <f>+AD431*Analisis!$J$7</f>
        <v>0</v>
      </c>
      <c r="AF431" s="86">
        <f t="shared" si="533"/>
        <v>150.69117233918126</v>
      </c>
      <c r="AG431" s="126">
        <f>+AF431/(1-Analisis!$E$9)</f>
        <v>188.36396542397657</v>
      </c>
      <c r="AH431" s="128">
        <f t="shared" si="535"/>
        <v>8476.3784440789459</v>
      </c>
      <c r="AI431" s="128">
        <f t="shared" si="569"/>
        <v>3097.4769000000001</v>
      </c>
    </row>
    <row r="432" spans="1:35" s="73" customFormat="1" x14ac:dyDescent="0.25">
      <c r="A432" s="100"/>
      <c r="B432" s="120" t="s">
        <v>597</v>
      </c>
      <c r="C432" s="138">
        <f>IFERROR(VLOOKUP(B432,'REQ GALV'!A:B,2,0),0)</f>
        <v>45</v>
      </c>
      <c r="D432" s="116">
        <f t="shared" si="534"/>
        <v>288.74390650584797</v>
      </c>
      <c r="E432" s="103" t="s">
        <v>41</v>
      </c>
      <c r="F432" s="75" t="s">
        <v>314</v>
      </c>
      <c r="G432" s="90">
        <v>7.87</v>
      </c>
      <c r="H432" s="90">
        <v>19.68</v>
      </c>
      <c r="I432" s="76">
        <v>0.105</v>
      </c>
      <c r="J432" s="77">
        <v>28.24</v>
      </c>
      <c r="K432" s="78">
        <f t="shared" si="570"/>
        <v>8.9153203021718639</v>
      </c>
      <c r="L432" s="58">
        <f>+VLOOKUP(E432,Material!$H$2:$M$17,6,FALSE)*G432*H432*(1+Material!$K$14)</f>
        <v>114.44029333333336</v>
      </c>
      <c r="M432" s="79" t="str">
        <f>+Analisis!$J$5</f>
        <v>T5.0</v>
      </c>
      <c r="N432" s="80">
        <f>+VLOOKUP(M432,Material!$A$3:$B$58,2,FALSE)</f>
        <v>5000</v>
      </c>
      <c r="O432" s="79" t="s">
        <v>42</v>
      </c>
      <c r="P432" s="79" t="s">
        <v>43</v>
      </c>
      <c r="Q432" s="81">
        <f>+IF(O432="ACERO A36",VLOOKUP(P432,'Velocidades Std 1500 w'!$B$2:$F$15,5,FALSE),IF(O432="INOXIDABLE",VLOOKUP(P432,'Velocidades Std 1500 w'!$B$17:$F$28,5,FALSE),IF(O432="ALUMINIO",VLOOKUP(P432,'Velocidades Std 1500 w'!$B$30:$F$38,5,FALSE))))</f>
        <v>4.3859649122807014E-6</v>
      </c>
      <c r="R432" s="82">
        <f t="shared" si="571"/>
        <v>2.1929824561403508E-2</v>
      </c>
      <c r="S432" s="83">
        <f t="shared" si="572"/>
        <v>29.519478947368416</v>
      </c>
      <c r="T432" s="110">
        <f t="shared" si="573"/>
        <v>1869.5669999999998</v>
      </c>
      <c r="U432" s="80">
        <f t="shared" si="574"/>
        <v>40.999276315789466</v>
      </c>
      <c r="V432" s="98">
        <v>10</v>
      </c>
      <c r="W432" s="84">
        <f>+IF(O432="ACERO A36",VLOOKUP(P432,'Tiempo Objeto'!$B$2:$C$12,2,FALSE),IF(O432="INOXIDABLE",VLOOKUP(P432,'Tiempo Objeto'!$B$14:$C$22,2,FALSE),IF(O432="ALUMINIO",VLOOKUP(P432,'Tiempo Objeto'!$B$24:$C$32,2,FALSE))))</f>
        <v>1.84</v>
      </c>
      <c r="X432" s="84">
        <f t="shared" si="575"/>
        <v>18.400000000000002</v>
      </c>
      <c r="Y432" s="80">
        <f t="shared" si="576"/>
        <v>25.555555555555561</v>
      </c>
      <c r="Z432" s="100">
        <v>2</v>
      </c>
      <c r="AA432" s="85">
        <f t="shared" si="577"/>
        <v>195</v>
      </c>
      <c r="AB432" s="86">
        <f>+Z432*Analisis!$J$6</f>
        <v>50</v>
      </c>
      <c r="AC432" s="100">
        <v>0</v>
      </c>
      <c r="AD432" s="85">
        <f t="shared" si="578"/>
        <v>0</v>
      </c>
      <c r="AE432" s="86">
        <f>+AD432*Analisis!$J$7</f>
        <v>0</v>
      </c>
      <c r="AF432" s="86">
        <f t="shared" si="533"/>
        <v>230.9951252046784</v>
      </c>
      <c r="AG432" s="126">
        <f>+AF432/(1-Analisis!$E$9)</f>
        <v>288.74390650584797</v>
      </c>
      <c r="AH432" s="128">
        <f t="shared" si="535"/>
        <v>12993.475792763158</v>
      </c>
      <c r="AI432" s="128">
        <f t="shared" si="569"/>
        <v>5149.8132000000014</v>
      </c>
    </row>
    <row r="433" spans="1:35" s="73" customFormat="1" x14ac:dyDescent="0.25">
      <c r="A433" s="100"/>
      <c r="B433" s="120" t="s">
        <v>598</v>
      </c>
      <c r="C433" s="138">
        <f>IFERROR(VLOOKUP(B433,'REQ GALV'!A:B,2,0),0)</f>
        <v>45</v>
      </c>
      <c r="D433" s="116">
        <f t="shared" si="534"/>
        <v>269.15409934210527</v>
      </c>
      <c r="E433" s="103" t="s">
        <v>41</v>
      </c>
      <c r="F433" s="75" t="s">
        <v>314</v>
      </c>
      <c r="G433" s="90">
        <v>5.78</v>
      </c>
      <c r="H433" s="90">
        <v>19.68</v>
      </c>
      <c r="I433" s="76">
        <v>0.105</v>
      </c>
      <c r="J433" s="77">
        <v>28.24</v>
      </c>
      <c r="K433" s="78">
        <f t="shared" si="570"/>
        <v>6.547719357884799</v>
      </c>
      <c r="L433" s="58">
        <f>+VLOOKUP(E433,Material!$H$2:$M$17,6,FALSE)*G433*H433*(1+Material!$K$14)</f>
        <v>84.048906666666682</v>
      </c>
      <c r="M433" s="79" t="str">
        <f>+Analisis!$J$5</f>
        <v>T5.0</v>
      </c>
      <c r="N433" s="80">
        <f>+VLOOKUP(M433,Material!$A$3:$B$58,2,FALSE)</f>
        <v>5000</v>
      </c>
      <c r="O433" s="79" t="s">
        <v>42</v>
      </c>
      <c r="P433" s="79" t="s">
        <v>43</v>
      </c>
      <c r="Q433" s="81">
        <f>+IF(O433="ACERO A36",VLOOKUP(P433,'Velocidades Std 1500 w'!$B$2:$F$15,5,FALSE),IF(O433="INOXIDABLE",VLOOKUP(P433,'Velocidades Std 1500 w'!$B$17:$F$28,5,FALSE),IF(O433="ALUMINIO",VLOOKUP(P433,'Velocidades Std 1500 w'!$B$30:$F$38,5,FALSE))))</f>
        <v>4.3859649122807014E-6</v>
      </c>
      <c r="R433" s="82">
        <f t="shared" si="571"/>
        <v>2.1929824561403508E-2</v>
      </c>
      <c r="S433" s="83">
        <f t="shared" si="572"/>
        <v>30.917548421052626</v>
      </c>
      <c r="T433" s="110">
        <f t="shared" si="573"/>
        <v>1958.1114</v>
      </c>
      <c r="U433" s="80">
        <f t="shared" si="574"/>
        <v>42.941039473684206</v>
      </c>
      <c r="V433" s="98">
        <v>15</v>
      </c>
      <c r="W433" s="84">
        <f>+IF(O433="ACERO A36",VLOOKUP(P433,'Tiempo Objeto'!$B$2:$C$12,2,FALSE),IF(O433="INOXIDABLE",VLOOKUP(P433,'Tiempo Objeto'!$B$14:$C$22,2,FALSE),IF(O433="ALUMINIO",VLOOKUP(P433,'Tiempo Objeto'!$B$24:$C$32,2,FALSE))))</f>
        <v>1.84</v>
      </c>
      <c r="X433" s="84">
        <f t="shared" si="575"/>
        <v>27.6</v>
      </c>
      <c r="Y433" s="80">
        <f t="shared" si="576"/>
        <v>38.333333333333336</v>
      </c>
      <c r="Z433" s="100">
        <v>2</v>
      </c>
      <c r="AA433" s="85">
        <f t="shared" si="577"/>
        <v>195</v>
      </c>
      <c r="AB433" s="86">
        <f>+Z433*Analisis!$J$6</f>
        <v>50</v>
      </c>
      <c r="AC433" s="100">
        <v>0</v>
      </c>
      <c r="AD433" s="85">
        <f t="shared" si="578"/>
        <v>0</v>
      </c>
      <c r="AE433" s="86">
        <f>+AD433*Analisis!$J$7</f>
        <v>0</v>
      </c>
      <c r="AF433" s="86">
        <f t="shared" si="533"/>
        <v>215.32327947368424</v>
      </c>
      <c r="AG433" s="126">
        <f>+AF433/(1-Analisis!$E$9)</f>
        <v>269.15409934210527</v>
      </c>
      <c r="AH433" s="128">
        <f t="shared" si="535"/>
        <v>12111.934470394737</v>
      </c>
      <c r="AI433" s="128">
        <f t="shared" si="569"/>
        <v>3782.2008000000005</v>
      </c>
    </row>
    <row r="434" spans="1:35" s="73" customFormat="1" x14ac:dyDescent="0.25">
      <c r="A434" s="100"/>
      <c r="B434" s="120" t="s">
        <v>599</v>
      </c>
      <c r="C434" s="138">
        <f>IFERROR(VLOOKUP(B434,'REQ GALV'!A:B,2,0),0)</f>
        <v>45</v>
      </c>
      <c r="D434" s="116">
        <f t="shared" si="534"/>
        <v>161.52289839181284</v>
      </c>
      <c r="E434" s="103" t="s">
        <v>41</v>
      </c>
      <c r="F434" s="75" t="s">
        <v>314</v>
      </c>
      <c r="G434" s="90">
        <v>1.7</v>
      </c>
      <c r="H434" s="90">
        <v>19.5</v>
      </c>
      <c r="I434" s="76">
        <v>0.105</v>
      </c>
      <c r="J434" s="77">
        <v>28.24</v>
      </c>
      <c r="K434" s="78">
        <f t="shared" si="570"/>
        <v>1.9081857884796982</v>
      </c>
      <c r="L434" s="58">
        <f>+VLOOKUP(E434,Material!$H$2:$M$17,6,FALSE)*G434*H434*(1+Material!$K$14)</f>
        <v>24.494166666666668</v>
      </c>
      <c r="M434" s="79" t="str">
        <f>+Analisis!$J$5</f>
        <v>T5.0</v>
      </c>
      <c r="N434" s="80">
        <f>+VLOOKUP(M434,Material!$A$3:$B$58,2,FALSE)</f>
        <v>5000</v>
      </c>
      <c r="O434" s="79" t="s">
        <v>42</v>
      </c>
      <c r="P434" s="79" t="s">
        <v>43</v>
      </c>
      <c r="Q434" s="81">
        <f>+IF(O434="ACERO A36",VLOOKUP(P434,'Velocidades Std 1500 w'!$B$2:$F$15,5,FALSE),IF(O434="INOXIDABLE",VLOOKUP(P434,'Velocidades Std 1500 w'!$B$17:$F$28,5,FALSE),IF(O434="ALUMINIO",VLOOKUP(P434,'Velocidades Std 1500 w'!$B$30:$F$38,5,FALSE))))</f>
        <v>4.3859649122807014E-6</v>
      </c>
      <c r="R434" s="82">
        <f t="shared" si="571"/>
        <v>2.1929824561403508E-2</v>
      </c>
      <c r="S434" s="83">
        <f t="shared" si="572"/>
        <v>27.961389473684207</v>
      </c>
      <c r="T434" s="110">
        <f t="shared" si="573"/>
        <v>1770.8879999999999</v>
      </c>
      <c r="U434" s="80">
        <f t="shared" si="574"/>
        <v>38.83526315789473</v>
      </c>
      <c r="V434" s="98">
        <v>16</v>
      </c>
      <c r="W434" s="84">
        <f>+IF(O434="ACERO A36",VLOOKUP(P434,'Tiempo Objeto'!$B$2:$C$12,2,FALSE),IF(O434="INOXIDABLE",VLOOKUP(P434,'Tiempo Objeto'!$B$14:$C$22,2,FALSE),IF(O434="ALUMINIO",VLOOKUP(P434,'Tiempo Objeto'!$B$24:$C$32,2,FALSE))))</f>
        <v>1.84</v>
      </c>
      <c r="X434" s="84">
        <f t="shared" si="575"/>
        <v>29.44</v>
      </c>
      <c r="Y434" s="80">
        <f t="shared" si="576"/>
        <v>40.888888888888886</v>
      </c>
      <c r="Z434" s="100">
        <v>1</v>
      </c>
      <c r="AA434" s="85">
        <f t="shared" si="577"/>
        <v>97.5</v>
      </c>
      <c r="AB434" s="86">
        <f>+Z434*Analisis!$J$6</f>
        <v>25</v>
      </c>
      <c r="AC434" s="100">
        <v>0</v>
      </c>
      <c r="AD434" s="85">
        <f t="shared" si="578"/>
        <v>0</v>
      </c>
      <c r="AE434" s="86">
        <f>+AD434*Analisis!$J$7</f>
        <v>0</v>
      </c>
      <c r="AF434" s="86">
        <f t="shared" si="533"/>
        <v>129.21831871345029</v>
      </c>
      <c r="AG434" s="126">
        <f>+AF434/(1-Analisis!$E$9)</f>
        <v>161.52289839181284</v>
      </c>
      <c r="AH434" s="128">
        <f t="shared" si="535"/>
        <v>7268.5304276315783</v>
      </c>
      <c r="AI434" s="128">
        <f t="shared" si="569"/>
        <v>1102.2375000000002</v>
      </c>
    </row>
    <row r="435" spans="1:35" s="73" customFormat="1" x14ac:dyDescent="0.25">
      <c r="A435" s="100"/>
      <c r="B435" s="120" t="s">
        <v>600</v>
      </c>
      <c r="C435" s="138">
        <f>IFERROR(VLOOKUP(B435,'REQ GALV'!A:B,2,0),0)</f>
        <v>45</v>
      </c>
      <c r="D435" s="116">
        <f t="shared" si="534"/>
        <v>283.00023391812869</v>
      </c>
      <c r="E435" s="103" t="s">
        <v>41</v>
      </c>
      <c r="F435" s="75" t="s">
        <v>314</v>
      </c>
      <c r="G435" s="90">
        <v>4.4400000000000004</v>
      </c>
      <c r="H435" s="90">
        <v>21.5</v>
      </c>
      <c r="I435" s="76">
        <v>0.105</v>
      </c>
      <c r="J435" s="77">
        <v>28.24</v>
      </c>
      <c r="K435" s="78">
        <f t="shared" si="570"/>
        <v>5.4948843248347519</v>
      </c>
      <c r="L435" s="58">
        <f>+VLOOKUP(E435,Material!$H$2:$M$17,6,FALSE)*G435*H435*(1+Material!$K$14)</f>
        <v>70.53433333333335</v>
      </c>
      <c r="M435" s="79" t="str">
        <f>+Analisis!$J$5</f>
        <v>T5.0</v>
      </c>
      <c r="N435" s="80">
        <f>+VLOOKUP(M435,Material!$A$3:$B$58,2,FALSE)</f>
        <v>5000</v>
      </c>
      <c r="O435" s="79" t="s">
        <v>42</v>
      </c>
      <c r="P435" s="79" t="s">
        <v>43</v>
      </c>
      <c r="Q435" s="81">
        <f>+IF(O435="ACERO A36",VLOOKUP(P435,'Velocidades Std 1500 w'!$B$2:$F$15,5,FALSE),IF(O435="INOXIDABLE",VLOOKUP(P435,'Velocidades Std 1500 w'!$B$17:$F$28,5,FALSE),IF(O435="ALUMINIO",VLOOKUP(P435,'Velocidades Std 1500 w'!$B$30:$F$38,5,FALSE))))</f>
        <v>4.3859649122807014E-6</v>
      </c>
      <c r="R435" s="82">
        <f t="shared" si="571"/>
        <v>2.1929824561403508E-2</v>
      </c>
      <c r="S435" s="83">
        <f t="shared" si="572"/>
        <v>35.743414736842098</v>
      </c>
      <c r="T435" s="110">
        <f t="shared" si="573"/>
        <v>2263.7495999999996</v>
      </c>
      <c r="U435" s="80">
        <f t="shared" si="574"/>
        <v>49.643631578947357</v>
      </c>
      <c r="V435" s="98">
        <v>22</v>
      </c>
      <c r="W435" s="84">
        <f>+IF(O435="ACERO A36",VLOOKUP(P435,'Tiempo Objeto'!$B$2:$C$12,2,FALSE),IF(O435="INOXIDABLE",VLOOKUP(P435,'Tiempo Objeto'!$B$14:$C$22,2,FALSE),IF(O435="ALUMINIO",VLOOKUP(P435,'Tiempo Objeto'!$B$24:$C$32,2,FALSE))))</f>
        <v>1.84</v>
      </c>
      <c r="X435" s="84">
        <f t="shared" si="575"/>
        <v>40.480000000000004</v>
      </c>
      <c r="Y435" s="80">
        <f t="shared" si="576"/>
        <v>56.222222222222229</v>
      </c>
      <c r="Z435" s="100">
        <v>2</v>
      </c>
      <c r="AA435" s="85">
        <f t="shared" si="577"/>
        <v>195</v>
      </c>
      <c r="AB435" s="86">
        <f>+Z435*Analisis!$J$6</f>
        <v>50</v>
      </c>
      <c r="AC435" s="100">
        <v>0</v>
      </c>
      <c r="AD435" s="85">
        <f t="shared" si="578"/>
        <v>0</v>
      </c>
      <c r="AE435" s="86">
        <f>+AD435*Analisis!$J$7</f>
        <v>0</v>
      </c>
      <c r="AF435" s="86">
        <f t="shared" si="533"/>
        <v>226.40018713450294</v>
      </c>
      <c r="AG435" s="126">
        <f>+AF435/(1-Analisis!$E$9)</f>
        <v>283.00023391812869</v>
      </c>
      <c r="AH435" s="128">
        <f t="shared" si="535"/>
        <v>12735.010526315791</v>
      </c>
      <c r="AI435" s="128">
        <f t="shared" si="569"/>
        <v>3174.045000000001</v>
      </c>
    </row>
    <row r="436" spans="1:35" s="73" customFormat="1" x14ac:dyDescent="0.25">
      <c r="A436" s="100"/>
      <c r="B436" s="120" t="s">
        <v>601</v>
      </c>
      <c r="C436" s="138">
        <f>IFERROR(VLOOKUP(B436,'REQ GALV'!A:B,2,0),0)</f>
        <v>60</v>
      </c>
      <c r="D436" s="116">
        <f t="shared" si="534"/>
        <v>322.36729685672515</v>
      </c>
      <c r="E436" s="103" t="s">
        <v>41</v>
      </c>
      <c r="F436" s="75" t="s">
        <v>314</v>
      </c>
      <c r="G436" s="90">
        <v>3.39</v>
      </c>
      <c r="H436" s="90">
        <v>24.14</v>
      </c>
      <c r="I436" s="76">
        <v>0.105</v>
      </c>
      <c r="J436" s="77">
        <v>28.24</v>
      </c>
      <c r="K436" s="78">
        <f t="shared" si="570"/>
        <v>4.710576794145422</v>
      </c>
      <c r="L436" s="58">
        <f>+VLOOKUP(E436,Material!$H$2:$M$17,6,FALSE)*G436*H436*(1+Material!$K$14)</f>
        <v>60.466676666666679</v>
      </c>
      <c r="M436" s="79" t="str">
        <f>+Analisis!$J$5</f>
        <v>T5.0</v>
      </c>
      <c r="N436" s="80">
        <f>+VLOOKUP(M436,Material!$A$3:$B$58,2,FALSE)</f>
        <v>5000</v>
      </c>
      <c r="O436" s="79" t="s">
        <v>42</v>
      </c>
      <c r="P436" s="79" t="s">
        <v>43</v>
      </c>
      <c r="Q436" s="81">
        <f>+IF(O436="ACERO A36",VLOOKUP(P436,'Velocidades Std 1500 w'!$B$2:$F$15,5,FALSE),IF(O436="INOXIDABLE",VLOOKUP(P436,'Velocidades Std 1500 w'!$B$17:$F$28,5,FALSE),IF(O436="ALUMINIO",VLOOKUP(P436,'Velocidades Std 1500 w'!$B$30:$F$38,5,FALSE))))</f>
        <v>4.3859649122807014E-6</v>
      </c>
      <c r="R436" s="82">
        <f t="shared" si="571"/>
        <v>2.1929824561403508E-2</v>
      </c>
      <c r="S436" s="83">
        <f t="shared" si="572"/>
        <v>35.187555789473684</v>
      </c>
      <c r="T436" s="110">
        <f t="shared" si="573"/>
        <v>2228.5452</v>
      </c>
      <c r="U436" s="80">
        <f t="shared" si="574"/>
        <v>48.871605263157889</v>
      </c>
      <c r="V436" s="98">
        <v>19</v>
      </c>
      <c r="W436" s="84">
        <f>+IF(O436="ACERO A36",VLOOKUP(P436,'Tiempo Objeto'!$B$2:$C$12,2,FALSE),IF(O436="INOXIDABLE",VLOOKUP(P436,'Tiempo Objeto'!$B$14:$C$22,2,FALSE),IF(O436="ALUMINIO",VLOOKUP(P436,'Tiempo Objeto'!$B$24:$C$32,2,FALSE))))</f>
        <v>1.84</v>
      </c>
      <c r="X436" s="84">
        <f t="shared" si="575"/>
        <v>34.96</v>
      </c>
      <c r="Y436" s="80">
        <f t="shared" si="576"/>
        <v>48.555555555555557</v>
      </c>
      <c r="Z436" s="100">
        <v>4</v>
      </c>
      <c r="AA436" s="85">
        <f t="shared" si="577"/>
        <v>480</v>
      </c>
      <c r="AB436" s="86">
        <f>+Z436*Analisis!$J$6</f>
        <v>100</v>
      </c>
      <c r="AC436" s="100">
        <v>0</v>
      </c>
      <c r="AD436" s="85">
        <f t="shared" si="578"/>
        <v>0</v>
      </c>
      <c r="AE436" s="86">
        <f>+AD436*Analisis!$J$7</f>
        <v>0</v>
      </c>
      <c r="AF436" s="86">
        <f t="shared" si="533"/>
        <v>257.89383748538012</v>
      </c>
      <c r="AG436" s="126">
        <f>+AF436/(1-Analisis!$E$9)</f>
        <v>322.36729685672515</v>
      </c>
      <c r="AH436" s="128">
        <f t="shared" si="535"/>
        <v>19342.037811403508</v>
      </c>
      <c r="AI436" s="128">
        <f t="shared" si="569"/>
        <v>3628.0006000000008</v>
      </c>
    </row>
    <row r="437" spans="1:35" s="73" customFormat="1" x14ac:dyDescent="0.25">
      <c r="A437" s="100"/>
      <c r="B437" s="120" t="s">
        <v>602</v>
      </c>
      <c r="C437" s="138">
        <f>IFERROR(VLOOKUP(B437,'REQ GALV'!A:B,2,0),0)</f>
        <v>45</v>
      </c>
      <c r="D437" s="116">
        <f t="shared" si="534"/>
        <v>853.98843384502936</v>
      </c>
      <c r="E437" s="103" t="s">
        <v>41</v>
      </c>
      <c r="F437" s="75" t="s">
        <v>314</v>
      </c>
      <c r="G437" s="90">
        <v>37.75</v>
      </c>
      <c r="H437" s="90">
        <v>19.98</v>
      </c>
      <c r="I437" s="76">
        <v>0.105</v>
      </c>
      <c r="J437" s="77">
        <v>28.24</v>
      </c>
      <c r="K437" s="78">
        <f t="shared" si="570"/>
        <v>43.41597556657225</v>
      </c>
      <c r="L437" s="58">
        <f>+VLOOKUP(E437,Material!$H$2:$M$17,6,FALSE)*G437*H437*(1+Material!$K$14)</f>
        <v>557.30325000000005</v>
      </c>
      <c r="M437" s="79" t="str">
        <f>+Analisis!$J$5</f>
        <v>T5.0</v>
      </c>
      <c r="N437" s="80">
        <f>+VLOOKUP(M437,Material!$A$3:$B$58,2,FALSE)</f>
        <v>5000</v>
      </c>
      <c r="O437" s="79" t="s">
        <v>42</v>
      </c>
      <c r="P437" s="79" t="s">
        <v>43</v>
      </c>
      <c r="Q437" s="81">
        <f>+IF(O437="ACERO A36",VLOOKUP(P437,'Velocidades Std 1500 w'!$B$2:$F$15,5,FALSE),IF(O437="INOXIDABLE",VLOOKUP(P437,'Velocidades Std 1500 w'!$B$17:$F$28,5,FALSE),IF(O437="ALUMINIO",VLOOKUP(P437,'Velocidades Std 1500 w'!$B$30:$F$38,5,FALSE))))</f>
        <v>4.3859649122807014E-6</v>
      </c>
      <c r="R437" s="82">
        <f t="shared" si="571"/>
        <v>2.1929824561403508E-2</v>
      </c>
      <c r="S437" s="83">
        <f t="shared" si="572"/>
        <v>59.358997894736845</v>
      </c>
      <c r="T437" s="110">
        <f t="shared" si="573"/>
        <v>3759.4032000000002</v>
      </c>
      <c r="U437" s="80">
        <f t="shared" si="574"/>
        <v>82.443052631578951</v>
      </c>
      <c r="V437" s="98">
        <v>17</v>
      </c>
      <c r="W437" s="84">
        <f>+IF(O437="ACERO A36",VLOOKUP(P437,'Tiempo Objeto'!$B$2:$C$12,2,FALSE),IF(O437="INOXIDABLE",VLOOKUP(P437,'Tiempo Objeto'!$B$14:$C$22,2,FALSE),IF(O437="ALUMINIO",VLOOKUP(P437,'Tiempo Objeto'!$B$24:$C$32,2,FALSE))))</f>
        <v>1.84</v>
      </c>
      <c r="X437" s="84">
        <f t="shared" si="575"/>
        <v>31.28</v>
      </c>
      <c r="Y437" s="80">
        <f t="shared" si="576"/>
        <v>43.444444444444443</v>
      </c>
      <c r="Z437" s="100">
        <v>0</v>
      </c>
      <c r="AA437" s="85">
        <f t="shared" si="577"/>
        <v>0</v>
      </c>
      <c r="AB437" s="86">
        <f>+Z437*Analisis!$J$6</f>
        <v>0</v>
      </c>
      <c r="AC437" s="100">
        <v>0</v>
      </c>
      <c r="AD437" s="85">
        <f t="shared" si="578"/>
        <v>0</v>
      </c>
      <c r="AE437" s="86">
        <f>+AD437*Analisis!$J$7</f>
        <v>0</v>
      </c>
      <c r="AF437" s="86">
        <f t="shared" si="533"/>
        <v>683.19074707602351</v>
      </c>
      <c r="AG437" s="126">
        <f>+AF437/(1-Analisis!$E$9)</f>
        <v>853.98843384502936</v>
      </c>
      <c r="AH437" s="128">
        <f t="shared" si="535"/>
        <v>38429.479523026319</v>
      </c>
      <c r="AI437" s="128">
        <f t="shared" si="569"/>
        <v>25078.646250000002</v>
      </c>
    </row>
    <row r="438" spans="1:35" s="73" customFormat="1" x14ac:dyDescent="0.25">
      <c r="A438" s="100"/>
      <c r="B438" s="120" t="s">
        <v>603</v>
      </c>
      <c r="C438" s="138">
        <f>IFERROR(VLOOKUP(B438,'REQ GALV'!A:B,2,0),0)</f>
        <v>30</v>
      </c>
      <c r="D438" s="116">
        <f t="shared" si="534"/>
        <v>132.51527960526315</v>
      </c>
      <c r="E438" s="103" t="s">
        <v>41</v>
      </c>
      <c r="F438" s="75" t="s">
        <v>314</v>
      </c>
      <c r="G438" s="90">
        <v>2.79</v>
      </c>
      <c r="H438" s="90">
        <v>14.5</v>
      </c>
      <c r="I438" s="76">
        <v>0.105</v>
      </c>
      <c r="J438" s="77">
        <v>28.24</v>
      </c>
      <c r="K438" s="78">
        <f t="shared" si="570"/>
        <v>2.3286774079320116</v>
      </c>
      <c r="L438" s="58">
        <f>+VLOOKUP(E438,Material!$H$2:$M$17,6,FALSE)*G438*H438*(1+Material!$K$14)</f>
        <v>29.891750000000002</v>
      </c>
      <c r="M438" s="79" t="str">
        <f>+Analisis!$J$5</f>
        <v>T5.0</v>
      </c>
      <c r="N438" s="80">
        <f>+VLOOKUP(M438,Material!$A$3:$B$58,2,FALSE)</f>
        <v>5000</v>
      </c>
      <c r="O438" s="79" t="s">
        <v>42</v>
      </c>
      <c r="P438" s="79" t="s">
        <v>43</v>
      </c>
      <c r="Q438" s="81">
        <f>+IF(O438="ACERO A36",VLOOKUP(P438,'Velocidades Std 1500 w'!$B$2:$F$15,5,FALSE),IF(O438="INOXIDABLE",VLOOKUP(P438,'Velocidades Std 1500 w'!$B$17:$F$28,5,FALSE),IF(O438="ALUMINIO",VLOOKUP(P438,'Velocidades Std 1500 w'!$B$30:$F$38,5,FALSE))))</f>
        <v>4.3859649122807014E-6</v>
      </c>
      <c r="R438" s="82">
        <f t="shared" si="571"/>
        <v>2.1929824561403508E-2</v>
      </c>
      <c r="S438" s="83">
        <f t="shared" si="572"/>
        <v>20.246741052631574</v>
      </c>
      <c r="T438" s="110">
        <f t="shared" si="573"/>
        <v>1282.2936</v>
      </c>
      <c r="U438" s="80">
        <f t="shared" si="574"/>
        <v>28.120473684210523</v>
      </c>
      <c r="V438" s="98">
        <v>9</v>
      </c>
      <c r="W438" s="84">
        <f>+IF(O438="ACERO A36",VLOOKUP(P438,'Tiempo Objeto'!$B$2:$C$12,2,FALSE),IF(O438="INOXIDABLE",VLOOKUP(P438,'Tiempo Objeto'!$B$14:$C$22,2,FALSE),IF(O438="ALUMINIO",VLOOKUP(P438,'Tiempo Objeto'!$B$24:$C$32,2,FALSE))))</f>
        <v>1.84</v>
      </c>
      <c r="X438" s="84">
        <f t="shared" si="575"/>
        <v>16.560000000000002</v>
      </c>
      <c r="Y438" s="80">
        <f t="shared" si="576"/>
        <v>23.000000000000004</v>
      </c>
      <c r="Z438" s="100">
        <v>1</v>
      </c>
      <c r="AA438" s="85">
        <f t="shared" si="577"/>
        <v>75</v>
      </c>
      <c r="AB438" s="86">
        <f>+Z438*Analisis!$J$6</f>
        <v>25</v>
      </c>
      <c r="AC438" s="100">
        <v>0</v>
      </c>
      <c r="AD438" s="85">
        <f t="shared" si="578"/>
        <v>0</v>
      </c>
      <c r="AE438" s="86">
        <f>+AD438*Analisis!$J$7</f>
        <v>0</v>
      </c>
      <c r="AF438" s="86">
        <f t="shared" ref="AF438:AF501" si="579">+L438+U438+Y438+AB438+AE438</f>
        <v>106.01222368421053</v>
      </c>
      <c r="AG438" s="126">
        <f>+AF438/(1-Analisis!$E$9)</f>
        <v>132.51527960526315</v>
      </c>
      <c r="AH438" s="128">
        <f t="shared" si="535"/>
        <v>3975.4583881578942</v>
      </c>
      <c r="AI438" s="128">
        <f t="shared" si="569"/>
        <v>896.75250000000005</v>
      </c>
    </row>
    <row r="439" spans="1:35" s="73" customFormat="1" x14ac:dyDescent="0.25">
      <c r="A439" s="100"/>
      <c r="B439" s="120" t="s">
        <v>604</v>
      </c>
      <c r="C439" s="138">
        <f>IFERROR(VLOOKUP(B439,'REQ GALV'!A:B,2,0),0)</f>
        <v>60</v>
      </c>
      <c r="D439" s="116">
        <f t="shared" ref="D439:D502" si="580">+AG439</f>
        <v>151.70074835526316</v>
      </c>
      <c r="E439" s="103" t="s">
        <v>41</v>
      </c>
      <c r="F439" s="75" t="s">
        <v>314</v>
      </c>
      <c r="G439" s="90">
        <v>2.79</v>
      </c>
      <c r="H439" s="90">
        <v>19.25</v>
      </c>
      <c r="I439" s="76">
        <v>0.105</v>
      </c>
      <c r="J439" s="77">
        <v>28.24</v>
      </c>
      <c r="K439" s="78">
        <f t="shared" si="570"/>
        <v>3.091520007082154</v>
      </c>
      <c r="L439" s="58">
        <f>+VLOOKUP(E439,Material!$H$2:$M$17,6,FALSE)*G439*H439*(1+Material!$K$14)</f>
        <v>39.683875000000008</v>
      </c>
      <c r="M439" s="79" t="str">
        <f>+Analisis!$J$5</f>
        <v>T5.0</v>
      </c>
      <c r="N439" s="80">
        <f>+VLOOKUP(M439,Material!$A$3:$B$58,2,FALSE)</f>
        <v>5000</v>
      </c>
      <c r="O439" s="79" t="s">
        <v>42</v>
      </c>
      <c r="P439" s="79" t="s">
        <v>43</v>
      </c>
      <c r="Q439" s="81">
        <f>+IF(O439="ACERO A36",VLOOKUP(P439,'Velocidades Std 1500 w'!$B$2:$F$15,5,FALSE),IF(O439="INOXIDABLE",VLOOKUP(P439,'Velocidades Std 1500 w'!$B$17:$F$28,5,FALSE),IF(O439="ALUMINIO",VLOOKUP(P439,'Velocidades Std 1500 w'!$B$30:$F$38,5,FALSE))))</f>
        <v>4.3859649122807014E-6</v>
      </c>
      <c r="R439" s="82">
        <f t="shared" si="571"/>
        <v>2.1929824561403508E-2</v>
      </c>
      <c r="S439" s="83">
        <f t="shared" si="572"/>
        <v>24.247241052631576</v>
      </c>
      <c r="T439" s="110">
        <f t="shared" si="573"/>
        <v>1535.6586</v>
      </c>
      <c r="U439" s="80">
        <f t="shared" si="574"/>
        <v>33.676723684210522</v>
      </c>
      <c r="V439" s="98">
        <v>9</v>
      </c>
      <c r="W439" s="84">
        <f>+IF(O439="ACERO A36",VLOOKUP(P439,'Tiempo Objeto'!$B$2:$C$12,2,FALSE),IF(O439="INOXIDABLE",VLOOKUP(P439,'Tiempo Objeto'!$B$14:$C$22,2,FALSE),IF(O439="ALUMINIO",VLOOKUP(P439,'Tiempo Objeto'!$B$24:$C$32,2,FALSE))))</f>
        <v>1.84</v>
      </c>
      <c r="X439" s="84">
        <f t="shared" si="575"/>
        <v>16.560000000000002</v>
      </c>
      <c r="Y439" s="80">
        <f t="shared" si="576"/>
        <v>23.000000000000004</v>
      </c>
      <c r="Z439" s="100">
        <v>1</v>
      </c>
      <c r="AA439" s="85">
        <f t="shared" si="577"/>
        <v>120</v>
      </c>
      <c r="AB439" s="86">
        <f>+Z439*Analisis!$J$6</f>
        <v>25</v>
      </c>
      <c r="AC439" s="100">
        <v>0</v>
      </c>
      <c r="AD439" s="85">
        <f t="shared" si="578"/>
        <v>0</v>
      </c>
      <c r="AE439" s="86">
        <f>+AD439*Analisis!$J$7</f>
        <v>0</v>
      </c>
      <c r="AF439" s="86">
        <f t="shared" si="579"/>
        <v>121.36059868421053</v>
      </c>
      <c r="AG439" s="126">
        <f>+AF439/(1-Analisis!$E$9)</f>
        <v>151.70074835526316</v>
      </c>
      <c r="AH439" s="128">
        <f t="shared" ref="AH439:AH502" si="581">+AG439*C439</f>
        <v>9102.0449013157886</v>
      </c>
      <c r="AI439" s="128">
        <f t="shared" si="569"/>
        <v>2381.0325000000003</v>
      </c>
    </row>
    <row r="440" spans="1:35" s="73" customFormat="1" x14ac:dyDescent="0.25">
      <c r="A440" s="100"/>
      <c r="B440" s="120" t="s">
        <v>605</v>
      </c>
      <c r="C440" s="138">
        <f>IFERROR(VLOOKUP(B440,'REQ GALV'!A:B,2,0),0)</f>
        <v>180</v>
      </c>
      <c r="D440" s="116">
        <f t="shared" si="580"/>
        <v>96.864334795321625</v>
      </c>
      <c r="E440" s="103" t="s">
        <v>41</v>
      </c>
      <c r="F440" s="75" t="s">
        <v>314</v>
      </c>
      <c r="G440" s="90">
        <v>5.27</v>
      </c>
      <c r="H440" s="90">
        <v>1.5</v>
      </c>
      <c r="I440" s="76">
        <v>0.105</v>
      </c>
      <c r="J440" s="77">
        <v>28.24</v>
      </c>
      <c r="K440" s="78">
        <f t="shared" si="570"/>
        <v>0.45502891879131263</v>
      </c>
      <c r="L440" s="58">
        <f>+VLOOKUP(E440,Material!$H$2:$M$17,6,FALSE)*G440*H440*(1+Material!$K$14)</f>
        <v>5.8409166666666668</v>
      </c>
      <c r="M440" s="79" t="str">
        <f>+Analisis!$J$5</f>
        <v>T5.0</v>
      </c>
      <c r="N440" s="80">
        <f>+VLOOKUP(M440,Material!$A$3:$B$58,2,FALSE)</f>
        <v>5000</v>
      </c>
      <c r="O440" s="79" t="s">
        <v>42</v>
      </c>
      <c r="P440" s="79" t="s">
        <v>43</v>
      </c>
      <c r="Q440" s="81">
        <f>+IF(O440="ACERO A36",VLOOKUP(P440,'Velocidades Std 1500 w'!$B$2:$F$15,5,FALSE),IF(O440="INOXIDABLE",VLOOKUP(P440,'Velocidades Std 1500 w'!$B$17:$F$28,5,FALSE),IF(O440="ALUMINIO",VLOOKUP(P440,'Velocidades Std 1500 w'!$B$30:$F$38,5,FALSE))))</f>
        <v>4.3859649122807014E-6</v>
      </c>
      <c r="R440" s="82">
        <f t="shared" si="571"/>
        <v>2.1929824561403508E-2</v>
      </c>
      <c r="S440" s="83">
        <f t="shared" si="572"/>
        <v>8.228396842105262</v>
      </c>
      <c r="T440" s="110">
        <f t="shared" si="573"/>
        <v>521.1318</v>
      </c>
      <c r="U440" s="80">
        <f t="shared" si="574"/>
        <v>11.428328947368421</v>
      </c>
      <c r="V440" s="98">
        <v>4</v>
      </c>
      <c r="W440" s="84">
        <f>+IF(O440="ACERO A36",VLOOKUP(P440,'Tiempo Objeto'!$B$2:$C$12,2,FALSE),IF(O440="INOXIDABLE",VLOOKUP(P440,'Tiempo Objeto'!$B$14:$C$22,2,FALSE),IF(O440="ALUMINIO",VLOOKUP(P440,'Tiempo Objeto'!$B$24:$C$32,2,FALSE))))</f>
        <v>1.84</v>
      </c>
      <c r="X440" s="84">
        <f t="shared" si="575"/>
        <v>7.36</v>
      </c>
      <c r="Y440" s="80">
        <f t="shared" si="576"/>
        <v>10.222222222222221</v>
      </c>
      <c r="Z440" s="100">
        <v>2</v>
      </c>
      <c r="AA440" s="85">
        <f t="shared" si="577"/>
        <v>600</v>
      </c>
      <c r="AB440" s="86">
        <f>+Z440*Analisis!$J$6</f>
        <v>50</v>
      </c>
      <c r="AC440" s="100">
        <v>0</v>
      </c>
      <c r="AD440" s="85">
        <f t="shared" si="578"/>
        <v>0</v>
      </c>
      <c r="AE440" s="86">
        <f>+AD440*Analisis!$J$7</f>
        <v>0</v>
      </c>
      <c r="AF440" s="86">
        <f t="shared" si="579"/>
        <v>77.4914678362573</v>
      </c>
      <c r="AG440" s="126">
        <f>+AF440/(1-Analisis!$E$9)</f>
        <v>96.864334795321625</v>
      </c>
      <c r="AH440" s="128">
        <f t="shared" si="581"/>
        <v>17435.580263157892</v>
      </c>
      <c r="AI440" s="128">
        <f t="shared" si="569"/>
        <v>1051.365</v>
      </c>
    </row>
    <row r="441" spans="1:35" s="73" customFormat="1" x14ac:dyDescent="0.25">
      <c r="A441" s="100"/>
      <c r="B441" s="120" t="s">
        <v>606</v>
      </c>
      <c r="C441" s="138">
        <f>IFERROR(VLOOKUP(B441,'REQ GALV'!A:B,2,0),0)</f>
        <v>90</v>
      </c>
      <c r="D441" s="116">
        <f t="shared" si="580"/>
        <v>921.00251970614045</v>
      </c>
      <c r="E441" s="103" t="s">
        <v>41</v>
      </c>
      <c r="F441" s="75" t="s">
        <v>314</v>
      </c>
      <c r="G441" s="90">
        <v>19.077000000000002</v>
      </c>
      <c r="H441" s="90">
        <v>38.904000000000003</v>
      </c>
      <c r="I441" s="76">
        <v>0.105</v>
      </c>
      <c r="J441" s="77">
        <v>28.24</v>
      </c>
      <c r="K441" s="78">
        <f t="shared" si="570"/>
        <v>42.721004977337131</v>
      </c>
      <c r="L441" s="58">
        <f>+VLOOKUP(E441,Material!$H$2:$M$17,6,FALSE)*G441*H441*(1+Material!$K$14)</f>
        <v>548.38235480000014</v>
      </c>
      <c r="M441" s="79" t="str">
        <f>+Analisis!$J$5</f>
        <v>T5.0</v>
      </c>
      <c r="N441" s="80">
        <f>+VLOOKUP(M441,Material!$A$3:$B$58,2,FALSE)</f>
        <v>5000</v>
      </c>
      <c r="O441" s="79" t="s">
        <v>42</v>
      </c>
      <c r="P441" s="79" t="s">
        <v>43</v>
      </c>
      <c r="Q441" s="81">
        <f>+IF(O441="ACERO A36",VLOOKUP(P441,'Velocidades Std 1500 w'!$B$2:$F$15,5,FALSE),IF(O441="INOXIDABLE",VLOOKUP(P441,'Velocidades Std 1500 w'!$B$17:$F$28,5,FALSE),IF(O441="ALUMINIO",VLOOKUP(P441,'Velocidades Std 1500 w'!$B$30:$F$38,5,FALSE))))</f>
        <v>4.3859649122807014E-6</v>
      </c>
      <c r="R441" s="82">
        <f t="shared" si="571"/>
        <v>2.1929824561403508E-2</v>
      </c>
      <c r="S441" s="83">
        <f t="shared" si="572"/>
        <v>52.622155894736842</v>
      </c>
      <c r="T441" s="110">
        <f t="shared" si="573"/>
        <v>3332.7365400000003</v>
      </c>
      <c r="U441" s="80">
        <f t="shared" si="574"/>
        <v>73.086327631578953</v>
      </c>
      <c r="V441" s="98">
        <v>6</v>
      </c>
      <c r="W441" s="84">
        <f>+IF(O441="ACERO A36",VLOOKUP(P441,'Tiempo Objeto'!$B$2:$C$12,2,FALSE),IF(O441="INOXIDABLE",VLOOKUP(P441,'Tiempo Objeto'!$B$14:$C$22,2,FALSE),IF(O441="ALUMINIO",VLOOKUP(P441,'Tiempo Objeto'!$B$24:$C$32,2,FALSE))))</f>
        <v>1.84</v>
      </c>
      <c r="X441" s="84">
        <f t="shared" si="575"/>
        <v>11.040000000000001</v>
      </c>
      <c r="Y441" s="80">
        <f t="shared" si="576"/>
        <v>15.333333333333336</v>
      </c>
      <c r="Z441" s="100">
        <v>4</v>
      </c>
      <c r="AA441" s="85">
        <f t="shared" si="577"/>
        <v>660</v>
      </c>
      <c r="AB441" s="86">
        <f>+Z441*Analisis!$J$6</f>
        <v>100</v>
      </c>
      <c r="AC441" s="100">
        <v>0</v>
      </c>
      <c r="AD441" s="85">
        <f t="shared" si="578"/>
        <v>0</v>
      </c>
      <c r="AE441" s="86">
        <f>+AD441*Analisis!$J$7</f>
        <v>0</v>
      </c>
      <c r="AF441" s="86">
        <f t="shared" si="579"/>
        <v>736.80201576491243</v>
      </c>
      <c r="AG441" s="126">
        <f>+AF441/(1-Analisis!$E$9)</f>
        <v>921.00251970614045</v>
      </c>
      <c r="AH441" s="128">
        <f t="shared" si="581"/>
        <v>82890.22677355264</v>
      </c>
      <c r="AI441" s="128">
        <f t="shared" si="569"/>
        <v>49354.41193200001</v>
      </c>
    </row>
    <row r="442" spans="1:35" s="73" customFormat="1" x14ac:dyDescent="0.25">
      <c r="A442" s="100"/>
      <c r="B442" s="120" t="s">
        <v>607</v>
      </c>
      <c r="C442" s="138">
        <f>IFERROR(VLOOKUP(B442,'REQ GALV'!A:B,2,0),0)</f>
        <v>120</v>
      </c>
      <c r="D442" s="116">
        <f t="shared" si="580"/>
        <v>598.65966319444453</v>
      </c>
      <c r="E442" s="103" t="s">
        <v>41</v>
      </c>
      <c r="F442" s="75" t="s">
        <v>314</v>
      </c>
      <c r="G442" s="90">
        <v>18.817</v>
      </c>
      <c r="H442" s="90">
        <v>20</v>
      </c>
      <c r="I442" s="76">
        <v>0.105</v>
      </c>
      <c r="J442" s="77">
        <v>28.24</v>
      </c>
      <c r="K442" s="78">
        <f t="shared" si="570"/>
        <v>21.662945388731515</v>
      </c>
      <c r="L442" s="58">
        <f>+VLOOKUP(E442,Material!$H$2:$M$17,6,FALSE)*G442*H442*(1+Material!$K$14)</f>
        <v>278.07344444444448</v>
      </c>
      <c r="M442" s="79" t="str">
        <f>+Analisis!$J$5</f>
        <v>T5.0</v>
      </c>
      <c r="N442" s="80">
        <f>+VLOOKUP(M442,Material!$A$3:$B$58,2,FALSE)</f>
        <v>5000</v>
      </c>
      <c r="O442" s="79" t="s">
        <v>42</v>
      </c>
      <c r="P442" s="79" t="s">
        <v>43</v>
      </c>
      <c r="Q442" s="81">
        <f>+IF(O442="ACERO A36",VLOOKUP(P442,'Velocidades Std 1500 w'!$B$2:$F$15,5,FALSE),IF(O442="INOXIDABLE",VLOOKUP(P442,'Velocidades Std 1500 w'!$B$17:$F$28,5,FALSE),IF(O442="ALUMINIO",VLOOKUP(P442,'Velocidades Std 1500 w'!$B$30:$F$38,5,FALSE))))</f>
        <v>4.3859649122807014E-6</v>
      </c>
      <c r="R442" s="82">
        <f t="shared" si="571"/>
        <v>2.1929824561403508E-2</v>
      </c>
      <c r="S442" s="83">
        <f t="shared" si="572"/>
        <v>56.695086000000003</v>
      </c>
      <c r="T442" s="110">
        <f t="shared" si="573"/>
        <v>3590.6887800000004</v>
      </c>
      <c r="U442" s="80">
        <f t="shared" si="574"/>
        <v>78.743175000000008</v>
      </c>
      <c r="V442" s="98">
        <v>38</v>
      </c>
      <c r="W442" s="84">
        <f>+IF(O442="ACERO A36",VLOOKUP(P442,'Tiempo Objeto'!$B$2:$C$12,2,FALSE),IF(O442="INOXIDABLE",VLOOKUP(P442,'Tiempo Objeto'!$B$14:$C$22,2,FALSE),IF(O442="ALUMINIO",VLOOKUP(P442,'Tiempo Objeto'!$B$24:$C$32,2,FALSE))))</f>
        <v>1.84</v>
      </c>
      <c r="X442" s="84">
        <f t="shared" si="575"/>
        <v>69.92</v>
      </c>
      <c r="Y442" s="80">
        <f t="shared" si="576"/>
        <v>97.111111111111114</v>
      </c>
      <c r="Z442" s="100">
        <v>1</v>
      </c>
      <c r="AA442" s="85">
        <f t="shared" si="577"/>
        <v>210</v>
      </c>
      <c r="AB442" s="86">
        <f>+Z442*Analisis!$J$6</f>
        <v>25</v>
      </c>
      <c r="AC442" s="100">
        <v>0</v>
      </c>
      <c r="AD442" s="85">
        <f t="shared" si="578"/>
        <v>0</v>
      </c>
      <c r="AE442" s="86">
        <f>+AD442*Analisis!$J$7</f>
        <v>0</v>
      </c>
      <c r="AF442" s="86">
        <f t="shared" si="579"/>
        <v>478.92773055555563</v>
      </c>
      <c r="AG442" s="126">
        <f>+AF442/(1-Analisis!$E$9)</f>
        <v>598.65966319444453</v>
      </c>
      <c r="AH442" s="128">
        <f t="shared" si="581"/>
        <v>71839.159583333341</v>
      </c>
      <c r="AI442" s="128">
        <f t="shared" si="569"/>
        <v>33368.813333333339</v>
      </c>
    </row>
    <row r="443" spans="1:35" s="73" customFormat="1" x14ac:dyDescent="0.25">
      <c r="A443" s="100"/>
      <c r="B443" s="120" t="s">
        <v>608</v>
      </c>
      <c r="C443" s="138">
        <f>IFERROR(VLOOKUP(B443,'REQ GALV'!A:B,2,0),0)</f>
        <v>60</v>
      </c>
      <c r="D443" s="116">
        <f t="shared" si="580"/>
        <v>646.03778326023382</v>
      </c>
      <c r="E443" s="103" t="s">
        <v>41</v>
      </c>
      <c r="F443" s="75" t="s">
        <v>314</v>
      </c>
      <c r="G443" s="90">
        <v>31</v>
      </c>
      <c r="H443" s="90">
        <v>18.25</v>
      </c>
      <c r="I443" s="76">
        <v>0.105</v>
      </c>
      <c r="J443" s="77">
        <v>28.24</v>
      </c>
      <c r="K443" s="78">
        <f t="shared" si="570"/>
        <v>32.565795168397862</v>
      </c>
      <c r="L443" s="58">
        <f>+VLOOKUP(E443,Material!$H$2:$M$17,6,FALSE)*G443*H443*(1+Material!$K$14)</f>
        <v>418.0263888888889</v>
      </c>
      <c r="M443" s="79" t="str">
        <f>+Analisis!$J$5</f>
        <v>T5.0</v>
      </c>
      <c r="N443" s="80">
        <f>+VLOOKUP(M443,Material!$A$3:$B$58,2,FALSE)</f>
        <v>5000</v>
      </c>
      <c r="O443" s="79" t="s">
        <v>42</v>
      </c>
      <c r="P443" s="79" t="s">
        <v>43</v>
      </c>
      <c r="Q443" s="81">
        <f>+IF(O443="ACERO A36",VLOOKUP(P443,'Velocidades Std 1500 w'!$B$2:$F$15,5,FALSE),IF(O443="INOXIDABLE",VLOOKUP(P443,'Velocidades Std 1500 w'!$B$17:$F$28,5,FALSE),IF(O443="ALUMINIO",VLOOKUP(P443,'Velocidades Std 1500 w'!$B$30:$F$38,5,FALSE))))</f>
        <v>4.3859649122807014E-6</v>
      </c>
      <c r="R443" s="82">
        <f t="shared" si="571"/>
        <v>2.1929824561403508E-2</v>
      </c>
      <c r="S443" s="83">
        <f t="shared" si="572"/>
        <v>49.058763157894731</v>
      </c>
      <c r="T443" s="110">
        <f t="shared" si="573"/>
        <v>3107.0549999999998</v>
      </c>
      <c r="U443" s="80">
        <f t="shared" si="574"/>
        <v>68.137171052631572</v>
      </c>
      <c r="V443" s="98">
        <v>12</v>
      </c>
      <c r="W443" s="84">
        <f>+IF(O443="ACERO A36",VLOOKUP(P443,'Tiempo Objeto'!$B$2:$C$12,2,FALSE),IF(O443="INOXIDABLE",VLOOKUP(P443,'Tiempo Objeto'!$B$14:$C$22,2,FALSE),IF(O443="ALUMINIO",VLOOKUP(P443,'Tiempo Objeto'!$B$24:$C$32,2,FALSE))))</f>
        <v>1.84</v>
      </c>
      <c r="X443" s="84">
        <f t="shared" si="575"/>
        <v>22.080000000000002</v>
      </c>
      <c r="Y443" s="80">
        <f t="shared" si="576"/>
        <v>30.666666666666671</v>
      </c>
      <c r="Z443" s="100">
        <v>0</v>
      </c>
      <c r="AA443" s="85">
        <f t="shared" si="577"/>
        <v>0</v>
      </c>
      <c r="AB443" s="86">
        <f>+Z443*Analisis!$J$6</f>
        <v>0</v>
      </c>
      <c r="AC443" s="100">
        <v>0</v>
      </c>
      <c r="AD443" s="85">
        <f t="shared" si="578"/>
        <v>0</v>
      </c>
      <c r="AE443" s="86">
        <f>+AD443*Analisis!$J$7</f>
        <v>0</v>
      </c>
      <c r="AF443" s="86">
        <f t="shared" si="579"/>
        <v>516.8302266081871</v>
      </c>
      <c r="AG443" s="126">
        <f>+AF443/(1-Analisis!$E$9)</f>
        <v>646.03778326023382</v>
      </c>
      <c r="AH443" s="128">
        <f t="shared" si="581"/>
        <v>38762.266995614031</v>
      </c>
      <c r="AI443" s="128">
        <f t="shared" si="569"/>
        <v>25081.583333333336</v>
      </c>
    </row>
    <row r="444" spans="1:35" s="73" customFormat="1" x14ac:dyDescent="0.25">
      <c r="A444" s="100"/>
      <c r="B444" s="120" t="s">
        <v>609</v>
      </c>
      <c r="C444" s="138">
        <f>IFERROR(VLOOKUP(B444,'REQ GALV'!A:B,2,0),0)</f>
        <v>180</v>
      </c>
      <c r="D444" s="116">
        <f t="shared" si="580"/>
        <v>192.14093429824561</v>
      </c>
      <c r="E444" s="103" t="s">
        <v>41</v>
      </c>
      <c r="F444" s="75" t="s">
        <v>314</v>
      </c>
      <c r="G444" s="90">
        <v>20.440000000000001</v>
      </c>
      <c r="H444" s="90">
        <v>3.698</v>
      </c>
      <c r="I444" s="76">
        <v>0.105</v>
      </c>
      <c r="J444" s="77">
        <v>28.24</v>
      </c>
      <c r="K444" s="78">
        <f t="shared" si="570"/>
        <v>4.350958316021404</v>
      </c>
      <c r="L444" s="58">
        <f>+VLOOKUP(E444,Material!$H$2:$M$17,6,FALSE)*G444*H444*(1+Material!$K$14)</f>
        <v>55.85048311111111</v>
      </c>
      <c r="M444" s="79" t="str">
        <f>+Analisis!$J$5</f>
        <v>T5.0</v>
      </c>
      <c r="N444" s="80">
        <f>+VLOOKUP(M444,Material!$A$3:$B$58,2,FALSE)</f>
        <v>5000</v>
      </c>
      <c r="O444" s="79" t="s">
        <v>42</v>
      </c>
      <c r="P444" s="79" t="s">
        <v>43</v>
      </c>
      <c r="Q444" s="81">
        <f>+IF(O444="ACERO A36",VLOOKUP(P444,'Velocidades Std 1500 w'!$B$2:$F$15,5,FALSE),IF(O444="INOXIDABLE",VLOOKUP(P444,'Velocidades Std 1500 w'!$B$17:$F$28,5,FALSE),IF(O444="ALUMINIO",VLOOKUP(P444,'Velocidades Std 1500 w'!$B$30:$F$38,5,FALSE))))</f>
        <v>4.3859649122807014E-6</v>
      </c>
      <c r="R444" s="82">
        <f t="shared" si="571"/>
        <v>2.1929824561403508E-2</v>
      </c>
      <c r="S444" s="83">
        <f t="shared" si="572"/>
        <v>28.540830315789478</v>
      </c>
      <c r="T444" s="110">
        <f t="shared" si="573"/>
        <v>1807.5859200000002</v>
      </c>
      <c r="U444" s="80">
        <f t="shared" si="574"/>
        <v>39.640042105263163</v>
      </c>
      <c r="V444" s="98">
        <v>13</v>
      </c>
      <c r="W444" s="84">
        <f>+IF(O444="ACERO A36",VLOOKUP(P444,'Tiempo Objeto'!$B$2:$C$12,2,FALSE),IF(O444="INOXIDABLE",VLOOKUP(P444,'Tiempo Objeto'!$B$14:$C$22,2,FALSE),IF(O444="ALUMINIO",VLOOKUP(P444,'Tiempo Objeto'!$B$24:$C$32,2,FALSE))))</f>
        <v>1.84</v>
      </c>
      <c r="X444" s="84">
        <f t="shared" si="575"/>
        <v>23.92</v>
      </c>
      <c r="Y444" s="80">
        <f t="shared" si="576"/>
        <v>33.222222222222229</v>
      </c>
      <c r="Z444" s="100">
        <v>1</v>
      </c>
      <c r="AA444" s="85">
        <f t="shared" si="577"/>
        <v>300</v>
      </c>
      <c r="AB444" s="86">
        <f>+Z444*Analisis!$J$6</f>
        <v>25</v>
      </c>
      <c r="AC444" s="100">
        <v>0</v>
      </c>
      <c r="AD444" s="85">
        <f t="shared" si="578"/>
        <v>0</v>
      </c>
      <c r="AE444" s="86">
        <f>+AD444*Analisis!$J$7</f>
        <v>0</v>
      </c>
      <c r="AF444" s="86">
        <f t="shared" si="579"/>
        <v>153.71274743859649</v>
      </c>
      <c r="AG444" s="126">
        <f>+AF444/(1-Analisis!$E$9)</f>
        <v>192.14093429824561</v>
      </c>
      <c r="AH444" s="128">
        <f t="shared" si="581"/>
        <v>34585.368173684212</v>
      </c>
      <c r="AI444" s="128">
        <f t="shared" si="569"/>
        <v>10053.086960000001</v>
      </c>
    </row>
    <row r="445" spans="1:35" s="73" customFormat="1" x14ac:dyDescent="0.25">
      <c r="A445" s="100"/>
      <c r="B445" s="120" t="s">
        <v>610</v>
      </c>
      <c r="C445" s="138">
        <f>IFERROR(VLOOKUP(B445,'REQ GALV'!A:B,2,0),0)</f>
        <v>45</v>
      </c>
      <c r="D445" s="116">
        <f t="shared" si="580"/>
        <v>283.37691675804092</v>
      </c>
      <c r="E445" s="103" t="s">
        <v>41</v>
      </c>
      <c r="F445" s="75" t="s">
        <v>314</v>
      </c>
      <c r="G445" s="90">
        <v>9.375</v>
      </c>
      <c r="H445" s="90">
        <v>9.3260000000000005</v>
      </c>
      <c r="I445" s="76">
        <v>0.105</v>
      </c>
      <c r="J445" s="77">
        <v>28.24</v>
      </c>
      <c r="K445" s="78">
        <f t="shared" si="570"/>
        <v>5.0327320880547699</v>
      </c>
      <c r="L445" s="58">
        <f>+VLOOKUP(E445,Material!$H$2:$M$17,6,FALSE)*G445*H445*(1+Material!$K$14)</f>
        <v>64.60197916666668</v>
      </c>
      <c r="M445" s="79" t="str">
        <f>+Analisis!$J$5</f>
        <v>T5.0</v>
      </c>
      <c r="N445" s="80">
        <f>+VLOOKUP(M445,Material!$A$3:$B$58,2,FALSE)</f>
        <v>5000</v>
      </c>
      <c r="O445" s="79" t="s">
        <v>42</v>
      </c>
      <c r="P445" s="79" t="s">
        <v>43</v>
      </c>
      <c r="Q445" s="81">
        <f>+IF(O445="ACERO A36",VLOOKUP(P445,'Velocidades Std 1500 w'!$B$2:$F$15,5,FALSE),IF(O445="INOXIDABLE",VLOOKUP(P445,'Velocidades Std 1500 w'!$B$17:$F$28,5,FALSE),IF(O445="ALUMINIO",VLOOKUP(P445,'Velocidades Std 1500 w'!$B$30:$F$38,5,FALSE))))</f>
        <v>4.3859649122807014E-6</v>
      </c>
      <c r="R445" s="82">
        <f t="shared" si="571"/>
        <v>2.1929824561403508E-2</v>
      </c>
      <c r="S445" s="83">
        <f t="shared" si="572"/>
        <v>27.75167905263158</v>
      </c>
      <c r="T445" s="110">
        <f t="shared" si="573"/>
        <v>1757.60634</v>
      </c>
      <c r="U445" s="80">
        <f t="shared" si="574"/>
        <v>38.543998684210528</v>
      </c>
      <c r="V445" s="98">
        <v>19</v>
      </c>
      <c r="W445" s="84">
        <f>+IF(O445="ACERO A36",VLOOKUP(P445,'Tiempo Objeto'!$B$2:$C$12,2,FALSE),IF(O445="INOXIDABLE",VLOOKUP(P445,'Tiempo Objeto'!$B$14:$C$22,2,FALSE),IF(O445="ALUMINIO",VLOOKUP(P445,'Tiempo Objeto'!$B$24:$C$32,2,FALSE))))</f>
        <v>1.84</v>
      </c>
      <c r="X445" s="84">
        <f t="shared" si="575"/>
        <v>34.96</v>
      </c>
      <c r="Y445" s="80">
        <f t="shared" si="576"/>
        <v>48.555555555555557</v>
      </c>
      <c r="Z445" s="100">
        <v>3</v>
      </c>
      <c r="AA445" s="85">
        <f t="shared" si="577"/>
        <v>292.5</v>
      </c>
      <c r="AB445" s="86">
        <f>+Z445*Analisis!$J$6</f>
        <v>75</v>
      </c>
      <c r="AC445" s="100">
        <v>0</v>
      </c>
      <c r="AD445" s="85">
        <f t="shared" si="578"/>
        <v>0</v>
      </c>
      <c r="AE445" s="86">
        <f>+AD445*Analisis!$J$7</f>
        <v>0</v>
      </c>
      <c r="AF445" s="86">
        <f t="shared" si="579"/>
        <v>226.70153340643276</v>
      </c>
      <c r="AG445" s="126">
        <f>+AF445/(1-Analisis!$E$9)</f>
        <v>283.37691675804092</v>
      </c>
      <c r="AH445" s="128">
        <f t="shared" si="581"/>
        <v>12751.961254111842</v>
      </c>
      <c r="AI445" s="128">
        <f t="shared" si="569"/>
        <v>2907.0890625000006</v>
      </c>
    </row>
    <row r="446" spans="1:35" s="73" customFormat="1" x14ac:dyDescent="0.25">
      <c r="A446" s="100"/>
      <c r="B446" s="120" t="s">
        <v>611</v>
      </c>
      <c r="C446" s="138">
        <f>IFERROR(VLOOKUP(B446,'REQ GALV'!A:B,2,0),0)</f>
        <v>90</v>
      </c>
      <c r="D446" s="116">
        <f t="shared" si="580"/>
        <v>235.16228828581873</v>
      </c>
      <c r="E446" s="103" t="s">
        <v>41</v>
      </c>
      <c r="F446" s="75" t="s">
        <v>314</v>
      </c>
      <c r="G446" s="90">
        <v>7.9539999999999997</v>
      </c>
      <c r="H446" s="90">
        <v>9.375</v>
      </c>
      <c r="I446" s="76">
        <v>0.105</v>
      </c>
      <c r="J446" s="77">
        <v>28.24</v>
      </c>
      <c r="K446" s="78">
        <f t="shared" si="570"/>
        <v>4.2923387334749767</v>
      </c>
      <c r="L446" s="58">
        <f>+VLOOKUP(E446,Material!$H$2:$M$17,6,FALSE)*G446*H446*(1+Material!$K$14)</f>
        <v>55.098020833333329</v>
      </c>
      <c r="M446" s="79" t="str">
        <f>+Analisis!$J$5</f>
        <v>T5.0</v>
      </c>
      <c r="N446" s="80">
        <f>+VLOOKUP(M446,Material!$A$3:$B$58,2,FALSE)</f>
        <v>5000</v>
      </c>
      <c r="O446" s="79" t="s">
        <v>42</v>
      </c>
      <c r="P446" s="79" t="s">
        <v>43</v>
      </c>
      <c r="Q446" s="81">
        <f>+IF(O446="ACERO A36",VLOOKUP(P446,'Velocidades Std 1500 w'!$B$2:$F$15,5,FALSE),IF(O446="INOXIDABLE",VLOOKUP(P446,'Velocidades Std 1500 w'!$B$17:$F$28,5,FALSE),IF(O446="ALUMINIO",VLOOKUP(P446,'Velocidades Std 1500 w'!$B$30:$F$38,5,FALSE))))</f>
        <v>4.3859649122807014E-6</v>
      </c>
      <c r="R446" s="82">
        <f t="shared" si="571"/>
        <v>2.1929824561403508E-2</v>
      </c>
      <c r="S446" s="83">
        <f t="shared" si="572"/>
        <v>21.542903052631576</v>
      </c>
      <c r="T446" s="110">
        <f t="shared" si="573"/>
        <v>1364.3838599999999</v>
      </c>
      <c r="U446" s="80">
        <f t="shared" si="574"/>
        <v>29.920698684210524</v>
      </c>
      <c r="V446" s="98">
        <v>11</v>
      </c>
      <c r="W446" s="84">
        <f>+IF(O446="ACERO A36",VLOOKUP(P446,'Tiempo Objeto'!$B$2:$C$12,2,FALSE),IF(O446="INOXIDABLE",VLOOKUP(P446,'Tiempo Objeto'!$B$14:$C$22,2,FALSE),IF(O446="ALUMINIO",VLOOKUP(P446,'Tiempo Objeto'!$B$24:$C$32,2,FALSE))))</f>
        <v>1.84</v>
      </c>
      <c r="X446" s="84">
        <f t="shared" si="575"/>
        <v>20.240000000000002</v>
      </c>
      <c r="Y446" s="80">
        <f t="shared" si="576"/>
        <v>28.111111111111114</v>
      </c>
      <c r="Z446" s="100">
        <v>3</v>
      </c>
      <c r="AA446" s="85">
        <f t="shared" si="577"/>
        <v>495</v>
      </c>
      <c r="AB446" s="86">
        <f>+Z446*Analisis!$J$6</f>
        <v>75</v>
      </c>
      <c r="AC446" s="100">
        <v>0</v>
      </c>
      <c r="AD446" s="85">
        <f t="shared" si="578"/>
        <v>0</v>
      </c>
      <c r="AE446" s="86">
        <f>+AD446*Analisis!$J$7</f>
        <v>0</v>
      </c>
      <c r="AF446" s="86">
        <f t="shared" si="579"/>
        <v>188.12983062865499</v>
      </c>
      <c r="AG446" s="126">
        <f>+AF446/(1-Analisis!$E$9)</f>
        <v>235.16228828581873</v>
      </c>
      <c r="AH446" s="128">
        <f t="shared" si="581"/>
        <v>21164.605945723684</v>
      </c>
      <c r="AI446" s="128">
        <f t="shared" si="569"/>
        <v>4958.8218749999996</v>
      </c>
    </row>
    <row r="447" spans="1:35" s="73" customFormat="1" x14ac:dyDescent="0.25">
      <c r="A447" s="100"/>
      <c r="B447" s="120" t="s">
        <v>612</v>
      </c>
      <c r="C447" s="138">
        <f>IFERROR(VLOOKUP(B447,'REQ GALV'!A:B,2,0),0)</f>
        <v>150</v>
      </c>
      <c r="D447" s="116">
        <f t="shared" si="580"/>
        <v>360.66995219298246</v>
      </c>
      <c r="E447" s="103" t="s">
        <v>41</v>
      </c>
      <c r="F447" s="75" t="s">
        <v>314</v>
      </c>
      <c r="G447" s="90">
        <v>4.3600000000000003</v>
      </c>
      <c r="H447" s="90">
        <v>31.61</v>
      </c>
      <c r="I447" s="76">
        <v>0.105</v>
      </c>
      <c r="J447" s="77">
        <v>28.24</v>
      </c>
      <c r="K447" s="78">
        <f t="shared" si="570"/>
        <v>7.9331946333018601</v>
      </c>
      <c r="L447" s="58">
        <f>+VLOOKUP(E447,Material!$H$2:$M$17,6,FALSE)*G447*H447*(1+Material!$K$14)</f>
        <v>101.83337111111113</v>
      </c>
      <c r="M447" s="79" t="str">
        <f>+Analisis!$J$5</f>
        <v>T5.0</v>
      </c>
      <c r="N447" s="80">
        <f>+VLOOKUP(M447,Material!$A$3:$B$58,2,FALSE)</f>
        <v>5000</v>
      </c>
      <c r="O447" s="79" t="s">
        <v>42</v>
      </c>
      <c r="P447" s="79" t="s">
        <v>43</v>
      </c>
      <c r="Q447" s="81">
        <f>+IF(O447="ACERO A36",VLOOKUP(P447,'Velocidades Std 1500 w'!$B$2:$F$15,5,FALSE),IF(O447="INOXIDABLE",VLOOKUP(P447,'Velocidades Std 1500 w'!$B$17:$F$28,5,FALSE),IF(O447="ALUMINIO",VLOOKUP(P447,'Velocidades Std 1500 w'!$B$30:$F$38,5,FALSE))))</f>
        <v>4.3859649122807014E-6</v>
      </c>
      <c r="R447" s="82">
        <f t="shared" si="571"/>
        <v>2.1929824561403508E-2</v>
      </c>
      <c r="S447" s="83">
        <f t="shared" si="572"/>
        <v>38.505865263157894</v>
      </c>
      <c r="T447" s="110">
        <f t="shared" si="573"/>
        <v>2438.7048</v>
      </c>
      <c r="U447" s="80">
        <f t="shared" si="574"/>
        <v>53.480368421052631</v>
      </c>
      <c r="V447" s="98">
        <v>13</v>
      </c>
      <c r="W447" s="84">
        <f>+IF(O447="ACERO A36",VLOOKUP(P447,'Tiempo Objeto'!$B$2:$C$12,2,FALSE),IF(O447="INOXIDABLE",VLOOKUP(P447,'Tiempo Objeto'!$B$14:$C$22,2,FALSE),IF(O447="ALUMINIO",VLOOKUP(P447,'Tiempo Objeto'!$B$24:$C$32,2,FALSE))))</f>
        <v>1.84</v>
      </c>
      <c r="X447" s="84">
        <f t="shared" si="575"/>
        <v>23.92</v>
      </c>
      <c r="Y447" s="80">
        <f t="shared" si="576"/>
        <v>33.222222222222229</v>
      </c>
      <c r="Z447" s="100">
        <v>4</v>
      </c>
      <c r="AA447" s="85">
        <f t="shared" si="577"/>
        <v>1020</v>
      </c>
      <c r="AB447" s="86">
        <f>+Z447*Analisis!$J$6</f>
        <v>100</v>
      </c>
      <c r="AC447" s="100">
        <v>0</v>
      </c>
      <c r="AD447" s="85">
        <f t="shared" si="578"/>
        <v>0</v>
      </c>
      <c r="AE447" s="86">
        <f>+AD447*Analisis!$J$7</f>
        <v>0</v>
      </c>
      <c r="AF447" s="86">
        <f t="shared" si="579"/>
        <v>288.53596175438599</v>
      </c>
      <c r="AG447" s="126">
        <f>+AF447/(1-Analisis!$E$9)</f>
        <v>360.66995219298246</v>
      </c>
      <c r="AH447" s="128">
        <f t="shared" si="581"/>
        <v>54100.492828947368</v>
      </c>
      <c r="AI447" s="128">
        <f t="shared" si="569"/>
        <v>15275.00566666667</v>
      </c>
    </row>
    <row r="448" spans="1:35" s="73" customFormat="1" x14ac:dyDescent="0.25">
      <c r="A448" s="100"/>
      <c r="B448" s="120" t="s">
        <v>613</v>
      </c>
      <c r="C448" s="138">
        <f>IFERROR(VLOOKUP(B448,'REQ GALV'!A:B,2,0),0)</f>
        <v>225</v>
      </c>
      <c r="D448" s="116">
        <f t="shared" si="580"/>
        <v>273.88893640350875</v>
      </c>
      <c r="E448" s="103" t="s">
        <v>41</v>
      </c>
      <c r="F448" s="75" t="s">
        <v>314</v>
      </c>
      <c r="G448" s="90">
        <v>4.3600000000000003</v>
      </c>
      <c r="H448" s="90">
        <v>28.75</v>
      </c>
      <c r="I448" s="76">
        <v>0.105</v>
      </c>
      <c r="J448" s="77">
        <v>28.24</v>
      </c>
      <c r="K448" s="78">
        <f t="shared" si="570"/>
        <v>7.2154174535725542</v>
      </c>
      <c r="L448" s="58">
        <f>+VLOOKUP(E448,Material!$H$2:$M$17,6,FALSE)*G448*H448*(1+Material!$K$14)</f>
        <v>92.619722222222236</v>
      </c>
      <c r="M448" s="79" t="str">
        <f>+Analisis!$J$5</f>
        <v>T5.0</v>
      </c>
      <c r="N448" s="80">
        <f>+VLOOKUP(M448,Material!$A$3:$B$58,2,FALSE)</f>
        <v>5000</v>
      </c>
      <c r="O448" s="79" t="s">
        <v>42</v>
      </c>
      <c r="P448" s="79" t="s">
        <v>43</v>
      </c>
      <c r="Q448" s="81">
        <f>+IF(O448="ACERO A36",VLOOKUP(P448,'Velocidades Std 1500 w'!$B$2:$F$15,5,FALSE),IF(O448="INOXIDABLE",VLOOKUP(P448,'Velocidades Std 1500 w'!$B$17:$F$28,5,FALSE),IF(O448="ALUMINIO",VLOOKUP(P448,'Velocidades Std 1500 w'!$B$30:$F$38,5,FALSE))))</f>
        <v>4.3859649122807014E-6</v>
      </c>
      <c r="R448" s="82">
        <f t="shared" si="571"/>
        <v>2.1929824561403508E-2</v>
      </c>
      <c r="S448" s="83">
        <f t="shared" si="572"/>
        <v>34.833827368421041</v>
      </c>
      <c r="T448" s="110">
        <f t="shared" si="573"/>
        <v>2206.1423999999997</v>
      </c>
      <c r="U448" s="80">
        <f t="shared" si="574"/>
        <v>48.380315789473677</v>
      </c>
      <c r="V448" s="98">
        <v>11</v>
      </c>
      <c r="W448" s="84">
        <f>+IF(O448="ACERO A36",VLOOKUP(P448,'Tiempo Objeto'!$B$2:$C$12,2,FALSE),IF(O448="INOXIDABLE",VLOOKUP(P448,'Tiempo Objeto'!$B$14:$C$22,2,FALSE),IF(O448="ALUMINIO",VLOOKUP(P448,'Tiempo Objeto'!$B$24:$C$32,2,FALSE))))</f>
        <v>1.84</v>
      </c>
      <c r="X448" s="84">
        <f t="shared" si="575"/>
        <v>20.240000000000002</v>
      </c>
      <c r="Y448" s="80">
        <f t="shared" si="576"/>
        <v>28.111111111111114</v>
      </c>
      <c r="Z448" s="100">
        <v>2</v>
      </c>
      <c r="AA448" s="85">
        <f t="shared" si="577"/>
        <v>735</v>
      </c>
      <c r="AB448" s="86">
        <f>+Z448*Analisis!$J$6</f>
        <v>50</v>
      </c>
      <c r="AC448" s="100">
        <v>0</v>
      </c>
      <c r="AD448" s="85">
        <f t="shared" si="578"/>
        <v>0</v>
      </c>
      <c r="AE448" s="86">
        <f>+AD448*Analisis!$J$7</f>
        <v>0</v>
      </c>
      <c r="AF448" s="86">
        <f t="shared" si="579"/>
        <v>219.11114912280703</v>
      </c>
      <c r="AG448" s="126">
        <f>+AF448/(1-Analisis!$E$9)</f>
        <v>273.88893640350875</v>
      </c>
      <c r="AH448" s="128">
        <f t="shared" si="581"/>
        <v>61625.010690789466</v>
      </c>
      <c r="AI448" s="128">
        <f t="shared" si="569"/>
        <v>20839.437500000004</v>
      </c>
    </row>
    <row r="449" spans="1:35" s="73" customFormat="1" x14ac:dyDescent="0.25">
      <c r="A449" s="100"/>
      <c r="B449" s="120" t="s">
        <v>614</v>
      </c>
      <c r="C449" s="138">
        <f>IFERROR(VLOOKUP(B449,'REQ GALV'!A:B,2,0),0)</f>
        <v>150</v>
      </c>
      <c r="D449" s="116">
        <f t="shared" si="580"/>
        <v>306.53870869883042</v>
      </c>
      <c r="E449" s="103" t="s">
        <v>41</v>
      </c>
      <c r="F449" s="75" t="s">
        <v>314</v>
      </c>
      <c r="G449" s="90">
        <v>4.7560000000000002</v>
      </c>
      <c r="H449" s="90">
        <v>29.5</v>
      </c>
      <c r="I449" s="76">
        <v>0.105</v>
      </c>
      <c r="J449" s="77">
        <v>28.24</v>
      </c>
      <c r="K449" s="78">
        <f t="shared" si="570"/>
        <v>8.0760869531004111</v>
      </c>
      <c r="L449" s="58">
        <f>+VLOOKUP(E449,Material!$H$2:$M$17,6,FALSE)*G449*H449*(1+Material!$K$14)</f>
        <v>103.6675888888889</v>
      </c>
      <c r="M449" s="79" t="str">
        <f>+Analisis!$J$5</f>
        <v>T5.0</v>
      </c>
      <c r="N449" s="80">
        <f>+VLOOKUP(M449,Material!$A$3:$B$58,2,FALSE)</f>
        <v>5000</v>
      </c>
      <c r="O449" s="79" t="s">
        <v>42</v>
      </c>
      <c r="P449" s="79" t="s">
        <v>43</v>
      </c>
      <c r="Q449" s="81">
        <f>+IF(O449="ACERO A36",VLOOKUP(P449,'Velocidades Std 1500 w'!$B$2:$F$15,5,FALSE),IF(O449="INOXIDABLE",VLOOKUP(P449,'Velocidades Std 1500 w'!$B$17:$F$28,5,FALSE),IF(O449="ALUMINIO",VLOOKUP(P449,'Velocidades Std 1500 w'!$B$30:$F$38,5,FALSE))))</f>
        <v>4.3859649122807014E-6</v>
      </c>
      <c r="R449" s="82">
        <f t="shared" si="571"/>
        <v>2.1929824561403508E-2</v>
      </c>
      <c r="S449" s="83">
        <f t="shared" si="572"/>
        <v>38.325632210526315</v>
      </c>
      <c r="T449" s="110">
        <f t="shared" si="573"/>
        <v>2427.2900399999999</v>
      </c>
      <c r="U449" s="80">
        <f t="shared" si="574"/>
        <v>53.230044736842096</v>
      </c>
      <c r="V449" s="98">
        <v>15</v>
      </c>
      <c r="W449" s="84">
        <f>+IF(O449="ACERO A36",VLOOKUP(P449,'Tiempo Objeto'!$B$2:$C$12,2,FALSE),IF(O449="INOXIDABLE",VLOOKUP(P449,'Tiempo Objeto'!$B$14:$C$22,2,FALSE),IF(O449="ALUMINIO",VLOOKUP(P449,'Tiempo Objeto'!$B$24:$C$32,2,FALSE))))</f>
        <v>1.84</v>
      </c>
      <c r="X449" s="84">
        <f t="shared" si="575"/>
        <v>27.6</v>
      </c>
      <c r="Y449" s="80">
        <f t="shared" si="576"/>
        <v>38.333333333333336</v>
      </c>
      <c r="Z449" s="100">
        <v>2</v>
      </c>
      <c r="AA449" s="85">
        <f t="shared" si="577"/>
        <v>510</v>
      </c>
      <c r="AB449" s="86">
        <f>+Z449*Analisis!$J$6</f>
        <v>50</v>
      </c>
      <c r="AC449" s="100">
        <v>0</v>
      </c>
      <c r="AD449" s="85">
        <f t="shared" si="578"/>
        <v>0</v>
      </c>
      <c r="AE449" s="86">
        <f>+AD449*Analisis!$J$7</f>
        <v>0</v>
      </c>
      <c r="AF449" s="86">
        <f t="shared" si="579"/>
        <v>245.23096695906435</v>
      </c>
      <c r="AG449" s="126">
        <f>+AF449/(1-Analisis!$E$9)</f>
        <v>306.53870869883042</v>
      </c>
      <c r="AH449" s="128">
        <f t="shared" si="581"/>
        <v>45980.80630482456</v>
      </c>
      <c r="AI449" s="128">
        <f t="shared" si="569"/>
        <v>15550.138333333334</v>
      </c>
    </row>
    <row r="450" spans="1:35" s="73" customFormat="1" x14ac:dyDescent="0.25">
      <c r="A450" s="100"/>
      <c r="B450" s="120" t="s">
        <v>615</v>
      </c>
      <c r="C450" s="138">
        <f>IFERROR(VLOOKUP(B450,'REQ GALV'!A:B,2,0),0)</f>
        <v>225</v>
      </c>
      <c r="D450" s="116">
        <f t="shared" si="580"/>
        <v>818.28056996600878</v>
      </c>
      <c r="E450" s="103" t="s">
        <v>41</v>
      </c>
      <c r="F450" s="75" t="s">
        <v>314</v>
      </c>
      <c r="G450" s="90">
        <v>20.777000000000001</v>
      </c>
      <c r="H450" s="90">
        <v>29.812999999999999</v>
      </c>
      <c r="I450" s="76">
        <v>0.105</v>
      </c>
      <c r="J450" s="77">
        <v>28.24</v>
      </c>
      <c r="K450" s="78">
        <f t="shared" si="570"/>
        <v>35.655427194011658</v>
      </c>
      <c r="L450" s="58">
        <f>+VLOOKUP(E450,Material!$H$2:$M$17,6,FALSE)*G450*H450*(1+Material!$K$14)</f>
        <v>457.68602907222231</v>
      </c>
      <c r="M450" s="79" t="str">
        <f>+Analisis!$J$5</f>
        <v>T5.0</v>
      </c>
      <c r="N450" s="80">
        <f>+VLOOKUP(M450,Material!$A$3:$B$58,2,FALSE)</f>
        <v>5000</v>
      </c>
      <c r="O450" s="79" t="s">
        <v>42</v>
      </c>
      <c r="P450" s="79" t="s">
        <v>43</v>
      </c>
      <c r="Q450" s="81">
        <f>+IF(O450="ACERO A36",VLOOKUP(P450,'Velocidades Std 1500 w'!$B$2:$F$15,5,FALSE),IF(O450="INOXIDABLE",VLOOKUP(P450,'Velocidades Std 1500 w'!$B$17:$F$28,5,FALSE),IF(O450="ALUMINIO",VLOOKUP(P450,'Velocidades Std 1500 w'!$B$30:$F$38,5,FALSE))))</f>
        <v>4.3859649122807014E-6</v>
      </c>
      <c r="R450" s="82">
        <f t="shared" si="571"/>
        <v>2.1929824561403508E-2</v>
      </c>
      <c r="S450" s="83">
        <f t="shared" si="572"/>
        <v>49.555667368421055</v>
      </c>
      <c r="T450" s="110">
        <f t="shared" si="573"/>
        <v>3138.5256000000004</v>
      </c>
      <c r="U450" s="80">
        <f t="shared" si="574"/>
        <v>68.827315789473687</v>
      </c>
      <c r="V450" s="98">
        <v>11</v>
      </c>
      <c r="W450" s="84">
        <f>+IF(O450="ACERO A36",VLOOKUP(P450,'Tiempo Objeto'!$B$2:$C$12,2,FALSE),IF(O450="INOXIDABLE",VLOOKUP(P450,'Tiempo Objeto'!$B$14:$C$22,2,FALSE),IF(O450="ALUMINIO",VLOOKUP(P450,'Tiempo Objeto'!$B$24:$C$32,2,FALSE))))</f>
        <v>1.84</v>
      </c>
      <c r="X450" s="84">
        <f t="shared" si="575"/>
        <v>20.240000000000002</v>
      </c>
      <c r="Y450" s="80">
        <f t="shared" si="576"/>
        <v>28.111111111111114</v>
      </c>
      <c r="Z450" s="100">
        <v>4</v>
      </c>
      <c r="AA450" s="85">
        <f t="shared" si="577"/>
        <v>1470</v>
      </c>
      <c r="AB450" s="86">
        <f>+Z450*Analisis!$J$6</f>
        <v>100</v>
      </c>
      <c r="AC450" s="100">
        <v>0</v>
      </c>
      <c r="AD450" s="85">
        <f t="shared" si="578"/>
        <v>0</v>
      </c>
      <c r="AE450" s="86">
        <f>+AD450*Analisis!$J$7</f>
        <v>0</v>
      </c>
      <c r="AF450" s="86">
        <f t="shared" si="579"/>
        <v>654.62445597280703</v>
      </c>
      <c r="AG450" s="126">
        <f>+AF450/(1-Analisis!$E$9)</f>
        <v>818.28056996600878</v>
      </c>
      <c r="AH450" s="128">
        <f t="shared" si="581"/>
        <v>184113.12824235199</v>
      </c>
      <c r="AI450" s="128">
        <f t="shared" si="569"/>
        <v>102979.35654125002</v>
      </c>
    </row>
    <row r="451" spans="1:35" s="73" customFormat="1" x14ac:dyDescent="0.25">
      <c r="A451" s="100"/>
      <c r="B451" s="120" t="s">
        <v>616</v>
      </c>
      <c r="C451" s="138">
        <f>IFERROR(VLOOKUP(B451,'REQ GALV'!A:B,2,0),0)</f>
        <v>450</v>
      </c>
      <c r="D451" s="116">
        <f t="shared" si="580"/>
        <v>249.77672331871341</v>
      </c>
      <c r="E451" s="103" t="s">
        <v>41</v>
      </c>
      <c r="F451" s="75" t="s">
        <v>314</v>
      </c>
      <c r="G451" s="90">
        <v>20.440000000000001</v>
      </c>
      <c r="H451" s="90">
        <v>4</v>
      </c>
      <c r="I451" s="76">
        <v>0.105</v>
      </c>
      <c r="J451" s="77">
        <v>28.24</v>
      </c>
      <c r="K451" s="78">
        <f t="shared" si="570"/>
        <v>4.7062826565942721</v>
      </c>
      <c r="L451" s="58">
        <f>+VLOOKUP(E451,Material!$H$2:$M$17,6,FALSE)*G451*H451*(1+Material!$K$14)</f>
        <v>60.411555555555559</v>
      </c>
      <c r="M451" s="79" t="str">
        <f>+Analisis!$J$5</f>
        <v>T5.0</v>
      </c>
      <c r="N451" s="80">
        <f>+VLOOKUP(M451,Material!$A$3:$B$58,2,FALSE)</f>
        <v>5000</v>
      </c>
      <c r="O451" s="79" t="s">
        <v>42</v>
      </c>
      <c r="P451" s="79" t="s">
        <v>43</v>
      </c>
      <c r="Q451" s="81">
        <f>+IF(O451="ACERO A36",VLOOKUP(P451,'Velocidades Std 1500 w'!$B$2:$F$15,5,FALSE),IF(O451="INOXIDABLE",VLOOKUP(P451,'Velocidades Std 1500 w'!$B$17:$F$28,5,FALSE),IF(O451="ALUMINIO",VLOOKUP(P451,'Velocidades Std 1500 w'!$B$30:$F$38,5,FALSE))))</f>
        <v>4.3859649122807014E-6</v>
      </c>
      <c r="R451" s="82">
        <f t="shared" si="571"/>
        <v>2.1929824561403508E-2</v>
      </c>
      <c r="S451" s="83">
        <f t="shared" si="572"/>
        <v>36.375072631578945</v>
      </c>
      <c r="T451" s="110">
        <f t="shared" si="573"/>
        <v>2303.7545999999998</v>
      </c>
      <c r="U451" s="80">
        <f t="shared" si="574"/>
        <v>50.520934210526306</v>
      </c>
      <c r="V451" s="98">
        <v>25</v>
      </c>
      <c r="W451" s="84">
        <f>+IF(O451="ACERO A36",VLOOKUP(P451,'Tiempo Objeto'!$B$2:$C$12,2,FALSE),IF(O451="INOXIDABLE",VLOOKUP(P451,'Tiempo Objeto'!$B$14:$C$22,2,FALSE),IF(O451="ALUMINIO",VLOOKUP(P451,'Tiempo Objeto'!$B$24:$C$32,2,FALSE))))</f>
        <v>1.84</v>
      </c>
      <c r="X451" s="84">
        <f t="shared" si="575"/>
        <v>46</v>
      </c>
      <c r="Y451" s="80">
        <f t="shared" si="576"/>
        <v>63.888888888888886</v>
      </c>
      <c r="Z451" s="100">
        <v>1</v>
      </c>
      <c r="AA451" s="85">
        <f t="shared" si="577"/>
        <v>705</v>
      </c>
      <c r="AB451" s="86">
        <f>+Z451*Analisis!$J$6</f>
        <v>25</v>
      </c>
      <c r="AC451" s="100">
        <v>0</v>
      </c>
      <c r="AD451" s="85">
        <f t="shared" si="578"/>
        <v>0</v>
      </c>
      <c r="AE451" s="86">
        <f>+AD451*Analisis!$J$7</f>
        <v>0</v>
      </c>
      <c r="AF451" s="86">
        <f t="shared" si="579"/>
        <v>199.82137865497074</v>
      </c>
      <c r="AG451" s="126">
        <f>+AF451/(1-Analisis!$E$9)</f>
        <v>249.77672331871341</v>
      </c>
      <c r="AH451" s="128">
        <f t="shared" si="581"/>
        <v>112399.52549342104</v>
      </c>
      <c r="AI451" s="128">
        <f t="shared" si="569"/>
        <v>27185.200000000001</v>
      </c>
    </row>
    <row r="452" spans="1:35" s="73" customFormat="1" x14ac:dyDescent="0.25">
      <c r="A452" s="100"/>
      <c r="B452" s="120" t="s">
        <v>617</v>
      </c>
      <c r="C452" s="138">
        <f>IFERROR(VLOOKUP(B452,'REQ GALV'!A:B,2,0),0)</f>
        <v>30</v>
      </c>
      <c r="D452" s="116">
        <f t="shared" si="580"/>
        <v>135.44012572368422</v>
      </c>
      <c r="E452" s="103" t="s">
        <v>41</v>
      </c>
      <c r="F452" s="75" t="s">
        <v>314</v>
      </c>
      <c r="G452" s="90">
        <v>4.4290000000000003</v>
      </c>
      <c r="H452" s="90">
        <v>6.56</v>
      </c>
      <c r="I452" s="76">
        <v>0.105</v>
      </c>
      <c r="J452" s="77">
        <v>28.24</v>
      </c>
      <c r="K452" s="78">
        <f t="shared" si="570"/>
        <v>1.6724249732451999</v>
      </c>
      <c r="L452" s="58">
        <f>+VLOOKUP(E452,Material!$H$2:$M$17,6,FALSE)*G452*H452*(1+Material!$K$14)</f>
        <v>21.46785511111111</v>
      </c>
      <c r="M452" s="79" t="str">
        <f>+Analisis!$J$5</f>
        <v>T5.0</v>
      </c>
      <c r="N452" s="80">
        <f>+VLOOKUP(M452,Material!$A$3:$B$58,2,FALSE)</f>
        <v>5000</v>
      </c>
      <c r="O452" s="79" t="s">
        <v>42</v>
      </c>
      <c r="P452" s="79" t="s">
        <v>43</v>
      </c>
      <c r="Q452" s="81">
        <f>+IF(O452="ACERO A36",VLOOKUP(P452,'Velocidades Std 1500 w'!$B$2:$F$15,5,FALSE),IF(O452="INOXIDABLE",VLOOKUP(P452,'Velocidades Std 1500 w'!$B$17:$F$28,5,FALSE),IF(O452="ALUMINIO",VLOOKUP(P452,'Velocidades Std 1500 w'!$B$30:$F$38,5,FALSE))))</f>
        <v>4.3859649122807014E-6</v>
      </c>
      <c r="R452" s="82">
        <f t="shared" si="571"/>
        <v>2.1929824561403508E-2</v>
      </c>
      <c r="S452" s="83">
        <f t="shared" si="572"/>
        <v>13.676656736842103</v>
      </c>
      <c r="T452" s="110">
        <f t="shared" si="573"/>
        <v>866.18826000000001</v>
      </c>
      <c r="U452" s="80">
        <f t="shared" si="574"/>
        <v>18.995356578947369</v>
      </c>
      <c r="V452" s="98">
        <v>7</v>
      </c>
      <c r="W452" s="84">
        <f>+IF(O452="ACERO A36",VLOOKUP(P452,'Tiempo Objeto'!$B$2:$C$12,2,FALSE),IF(O452="INOXIDABLE",VLOOKUP(P452,'Tiempo Objeto'!$B$14:$C$22,2,FALSE),IF(O452="ALUMINIO",VLOOKUP(P452,'Tiempo Objeto'!$B$24:$C$32,2,FALSE))))</f>
        <v>1.84</v>
      </c>
      <c r="X452" s="84">
        <f t="shared" si="575"/>
        <v>12.88</v>
      </c>
      <c r="Y452" s="80">
        <f t="shared" si="576"/>
        <v>17.888888888888889</v>
      </c>
      <c r="Z452" s="100">
        <v>2</v>
      </c>
      <c r="AA452" s="85">
        <f t="shared" si="577"/>
        <v>150</v>
      </c>
      <c r="AB452" s="86">
        <f>+Z452*Analisis!$J$6</f>
        <v>50</v>
      </c>
      <c r="AC452" s="100">
        <v>0</v>
      </c>
      <c r="AD452" s="85">
        <f t="shared" si="578"/>
        <v>0</v>
      </c>
      <c r="AE452" s="86">
        <f>+AD452*Analisis!$J$7</f>
        <v>0</v>
      </c>
      <c r="AF452" s="86">
        <f t="shared" si="579"/>
        <v>108.35210057894737</v>
      </c>
      <c r="AG452" s="126">
        <f>+AF452/(1-Analisis!$E$9)</f>
        <v>135.44012572368422</v>
      </c>
      <c r="AH452" s="128">
        <f t="shared" si="581"/>
        <v>4063.2037717105268</v>
      </c>
      <c r="AI452" s="128">
        <f t="shared" si="569"/>
        <v>644.03565333333324</v>
      </c>
    </row>
    <row r="453" spans="1:35" s="73" customFormat="1" x14ac:dyDescent="0.25">
      <c r="A453" s="100"/>
      <c r="B453" s="120" t="s">
        <v>618</v>
      </c>
      <c r="C453" s="138">
        <f>IFERROR(VLOOKUP(B453,'REQ GALV'!A:B,2,0),0)</f>
        <v>90</v>
      </c>
      <c r="D453" s="116">
        <f t="shared" si="580"/>
        <v>179.20047057748539</v>
      </c>
      <c r="E453" s="103" t="s">
        <v>41</v>
      </c>
      <c r="F453" s="75" t="s">
        <v>314</v>
      </c>
      <c r="G453" s="90">
        <v>9.375</v>
      </c>
      <c r="H453" s="90">
        <v>8.6</v>
      </c>
      <c r="I453" s="76">
        <v>0.105</v>
      </c>
      <c r="J453" s="77">
        <v>28.24</v>
      </c>
      <c r="K453" s="78">
        <f t="shared" si="570"/>
        <v>4.6409495986779996</v>
      </c>
      <c r="L453" s="58">
        <f>+VLOOKUP(E453,Material!$H$2:$M$17,6,FALSE)*G453*H453*(1+Material!$K$14)</f>
        <v>59.572916666666679</v>
      </c>
      <c r="M453" s="79" t="str">
        <f>+Analisis!$J$5</f>
        <v>T5.0</v>
      </c>
      <c r="N453" s="80">
        <f>+VLOOKUP(M453,Material!$A$3:$B$58,2,FALSE)</f>
        <v>5000</v>
      </c>
      <c r="O453" s="79" t="s">
        <v>42</v>
      </c>
      <c r="P453" s="79" t="s">
        <v>43</v>
      </c>
      <c r="Q453" s="81">
        <f>+IF(O453="ACERO A36",VLOOKUP(P453,'Velocidades Std 1500 w'!$B$2:$F$15,5,FALSE),IF(O453="INOXIDABLE",VLOOKUP(P453,'Velocidades Std 1500 w'!$B$17:$F$28,5,FALSE),IF(O453="ALUMINIO",VLOOKUP(P453,'Velocidades Std 1500 w'!$B$30:$F$38,5,FALSE))))</f>
        <v>4.3859649122807014E-6</v>
      </c>
      <c r="R453" s="82">
        <f t="shared" si="571"/>
        <v>2.1929824561403508E-2</v>
      </c>
      <c r="S453" s="83">
        <f t="shared" si="572"/>
        <v>22.086971052631579</v>
      </c>
      <c r="T453" s="110">
        <f t="shared" si="573"/>
        <v>1398.8415</v>
      </c>
      <c r="U453" s="80">
        <f t="shared" si="574"/>
        <v>30.676348684210524</v>
      </c>
      <c r="V453" s="98">
        <v>11</v>
      </c>
      <c r="W453" s="84">
        <f>+IF(O453="ACERO A36",VLOOKUP(P453,'Tiempo Objeto'!$B$2:$C$12,2,FALSE),IF(O453="INOXIDABLE",VLOOKUP(P453,'Tiempo Objeto'!$B$14:$C$22,2,FALSE),IF(O453="ALUMINIO",VLOOKUP(P453,'Tiempo Objeto'!$B$24:$C$32,2,FALSE))))</f>
        <v>1.84</v>
      </c>
      <c r="X453" s="84">
        <f t="shared" si="575"/>
        <v>20.240000000000002</v>
      </c>
      <c r="Y453" s="80">
        <f t="shared" si="576"/>
        <v>28.111111111111114</v>
      </c>
      <c r="Z453" s="100">
        <v>1</v>
      </c>
      <c r="AA453" s="85">
        <f t="shared" si="577"/>
        <v>165</v>
      </c>
      <c r="AB453" s="86">
        <f>+Z453*Analisis!$J$6</f>
        <v>25</v>
      </c>
      <c r="AC453" s="100">
        <v>0</v>
      </c>
      <c r="AD453" s="85">
        <f t="shared" si="578"/>
        <v>0</v>
      </c>
      <c r="AE453" s="86">
        <f>+AD453*Analisis!$J$7</f>
        <v>0</v>
      </c>
      <c r="AF453" s="86">
        <f t="shared" si="579"/>
        <v>143.36037646198832</v>
      </c>
      <c r="AG453" s="126">
        <f>+AF453/(1-Analisis!$E$9)</f>
        <v>179.20047057748539</v>
      </c>
      <c r="AH453" s="128">
        <f t="shared" si="581"/>
        <v>16128.042351973685</v>
      </c>
      <c r="AI453" s="128">
        <f t="shared" si="569"/>
        <v>5361.5625000000009</v>
      </c>
    </row>
    <row r="454" spans="1:35" s="73" customFormat="1" x14ac:dyDescent="0.25">
      <c r="A454" s="100"/>
      <c r="B454" s="120" t="s">
        <v>619</v>
      </c>
      <c r="C454" s="138">
        <f>IFERROR(VLOOKUP(B454,'REQ GALV'!A:B,2,0),0)</f>
        <v>90</v>
      </c>
      <c r="D454" s="116">
        <f t="shared" si="580"/>
        <v>372.70674890350875</v>
      </c>
      <c r="E454" s="103" t="s">
        <v>41</v>
      </c>
      <c r="F454" s="75" t="s">
        <v>314</v>
      </c>
      <c r="G454" s="90">
        <v>16</v>
      </c>
      <c r="H454" s="90">
        <v>8.7919999999999998</v>
      </c>
      <c r="I454" s="76">
        <v>0.105</v>
      </c>
      <c r="J454" s="77">
        <v>28.24</v>
      </c>
      <c r="K454" s="78">
        <f t="shared" si="570"/>
        <v>8.0973849543594589</v>
      </c>
      <c r="L454" s="58">
        <f>+VLOOKUP(E454,Material!$H$2:$M$17,6,FALSE)*G454*H454*(1+Material!$K$14)</f>
        <v>103.94097777777777</v>
      </c>
      <c r="M454" s="79" t="str">
        <f>+Analisis!$J$5</f>
        <v>T5.0</v>
      </c>
      <c r="N454" s="80">
        <f>+VLOOKUP(M454,Material!$A$3:$B$58,2,FALSE)</f>
        <v>5000</v>
      </c>
      <c r="O454" s="79" t="s">
        <v>42</v>
      </c>
      <c r="P454" s="79" t="s">
        <v>43</v>
      </c>
      <c r="Q454" s="81">
        <f>+IF(O454="ACERO A36",VLOOKUP(P454,'Velocidades Std 1500 w'!$B$2:$F$15,5,FALSE),IF(O454="INOXIDABLE",VLOOKUP(P454,'Velocidades Std 1500 w'!$B$17:$F$28,5,FALSE),IF(O454="ALUMINIO",VLOOKUP(P454,'Velocidades Std 1500 w'!$B$30:$F$38,5,FALSE))))</f>
        <v>4.3859649122807014E-6</v>
      </c>
      <c r="R454" s="82">
        <f t="shared" si="571"/>
        <v>2.1929824561403508E-2</v>
      </c>
      <c r="S454" s="83">
        <f t="shared" si="572"/>
        <v>32.881583368421055</v>
      </c>
      <c r="T454" s="110">
        <f t="shared" si="573"/>
        <v>2082.5002800000002</v>
      </c>
      <c r="U454" s="80">
        <f t="shared" si="574"/>
        <v>45.668865789473685</v>
      </c>
      <c r="V454" s="98">
        <v>19</v>
      </c>
      <c r="W454" s="84">
        <f>+IF(O454="ACERO A36",VLOOKUP(P454,'Tiempo Objeto'!$B$2:$C$12,2,FALSE),IF(O454="INOXIDABLE",VLOOKUP(P454,'Tiempo Objeto'!$B$14:$C$22,2,FALSE),IF(O454="ALUMINIO",VLOOKUP(P454,'Tiempo Objeto'!$B$24:$C$32,2,FALSE))))</f>
        <v>1.84</v>
      </c>
      <c r="X454" s="84">
        <f t="shared" si="575"/>
        <v>34.96</v>
      </c>
      <c r="Y454" s="80">
        <f t="shared" si="576"/>
        <v>48.555555555555557</v>
      </c>
      <c r="Z454" s="100">
        <v>4</v>
      </c>
      <c r="AA454" s="85">
        <f t="shared" si="577"/>
        <v>660</v>
      </c>
      <c r="AB454" s="86">
        <f>+Z454*Analisis!$J$6</f>
        <v>100</v>
      </c>
      <c r="AC454" s="100">
        <v>0</v>
      </c>
      <c r="AD454" s="85">
        <f t="shared" si="578"/>
        <v>0</v>
      </c>
      <c r="AE454" s="86">
        <f>+AD454*Analisis!$J$7</f>
        <v>0</v>
      </c>
      <c r="AF454" s="86">
        <f t="shared" si="579"/>
        <v>298.165399122807</v>
      </c>
      <c r="AG454" s="126">
        <f>+AF454/(1-Analisis!$E$9)</f>
        <v>372.70674890350875</v>
      </c>
      <c r="AH454" s="128">
        <f t="shared" si="581"/>
        <v>33543.607401315785</v>
      </c>
      <c r="AI454" s="128">
        <f t="shared" si="569"/>
        <v>9354.6880000000001</v>
      </c>
    </row>
    <row r="455" spans="1:35" s="73" customFormat="1" x14ac:dyDescent="0.25">
      <c r="A455" s="100"/>
      <c r="B455" s="120" t="s">
        <v>620</v>
      </c>
      <c r="C455" s="138">
        <f>IFERROR(VLOOKUP(B455,'REQ GALV'!A:B,2,0),0)</f>
        <v>60</v>
      </c>
      <c r="D455" s="116">
        <f t="shared" si="580"/>
        <v>197.43084769736842</v>
      </c>
      <c r="E455" s="103" t="s">
        <v>41</v>
      </c>
      <c r="F455" s="75" t="s">
        <v>314</v>
      </c>
      <c r="G455" s="90">
        <v>4.43</v>
      </c>
      <c r="H455" s="90">
        <v>14.63</v>
      </c>
      <c r="I455" s="76">
        <v>0.105</v>
      </c>
      <c r="J455" s="77">
        <v>28.24</v>
      </c>
      <c r="K455" s="78">
        <f t="shared" si="570"/>
        <v>3.7306557562165579</v>
      </c>
      <c r="L455" s="58">
        <f>+VLOOKUP(E455,Material!$H$2:$M$17,6,FALSE)*G455*H455*(1+Material!$K$14)</f>
        <v>47.888053888888898</v>
      </c>
      <c r="M455" s="79" t="str">
        <f>+Analisis!$J$5</f>
        <v>T5.0</v>
      </c>
      <c r="N455" s="80">
        <f>+VLOOKUP(M455,Material!$A$3:$B$58,2,FALSE)</f>
        <v>5000</v>
      </c>
      <c r="O455" s="79" t="s">
        <v>42</v>
      </c>
      <c r="P455" s="79" t="s">
        <v>43</v>
      </c>
      <c r="Q455" s="81">
        <f>+IF(O455="ACERO A36",VLOOKUP(P455,'Velocidades Std 1500 w'!$B$2:$F$15,5,FALSE),IF(O455="INOXIDABLE",VLOOKUP(P455,'Velocidades Std 1500 w'!$B$17:$F$28,5,FALSE),IF(O455="ALUMINIO",VLOOKUP(P455,'Velocidades Std 1500 w'!$B$30:$F$38,5,FALSE))))</f>
        <v>4.3859649122807014E-6</v>
      </c>
      <c r="R455" s="82">
        <f t="shared" si="571"/>
        <v>2.1929824561403508E-2</v>
      </c>
      <c r="S455" s="83">
        <f t="shared" si="572"/>
        <v>23.000769473684208</v>
      </c>
      <c r="T455" s="110">
        <f t="shared" si="573"/>
        <v>1456.7154</v>
      </c>
      <c r="U455" s="80">
        <f t="shared" si="574"/>
        <v>31.945513157894737</v>
      </c>
      <c r="V455" s="98">
        <v>11</v>
      </c>
      <c r="W455" s="84">
        <f>+IF(O455="ACERO A36",VLOOKUP(P455,'Tiempo Objeto'!$B$2:$C$12,2,FALSE),IF(O455="INOXIDABLE",VLOOKUP(P455,'Tiempo Objeto'!$B$14:$C$22,2,FALSE),IF(O455="ALUMINIO",VLOOKUP(P455,'Tiempo Objeto'!$B$24:$C$32,2,FALSE))))</f>
        <v>1.84</v>
      </c>
      <c r="X455" s="84">
        <f t="shared" si="575"/>
        <v>20.240000000000002</v>
      </c>
      <c r="Y455" s="80">
        <f t="shared" si="576"/>
        <v>28.111111111111114</v>
      </c>
      <c r="Z455" s="100">
        <v>2</v>
      </c>
      <c r="AA455" s="85">
        <f t="shared" si="577"/>
        <v>240</v>
      </c>
      <c r="AB455" s="86">
        <f>+Z455*Analisis!$J$6</f>
        <v>50</v>
      </c>
      <c r="AC455" s="100">
        <v>0</v>
      </c>
      <c r="AD455" s="85">
        <f t="shared" si="578"/>
        <v>0</v>
      </c>
      <c r="AE455" s="86">
        <f>+AD455*Analisis!$J$7</f>
        <v>0</v>
      </c>
      <c r="AF455" s="86">
        <f t="shared" si="579"/>
        <v>157.94467815789474</v>
      </c>
      <c r="AG455" s="126">
        <f>+AF455/(1-Analisis!$E$9)</f>
        <v>197.43084769736842</v>
      </c>
      <c r="AH455" s="128">
        <f t="shared" si="581"/>
        <v>11845.850861842106</v>
      </c>
      <c r="AI455" s="128">
        <f t="shared" si="569"/>
        <v>2873.283233333334</v>
      </c>
    </row>
    <row r="456" spans="1:35" s="73" customFormat="1" x14ac:dyDescent="0.25">
      <c r="A456" s="100"/>
      <c r="B456" s="120" t="s">
        <v>621</v>
      </c>
      <c r="C456" s="138">
        <f>IFERROR(VLOOKUP(B456,'REQ GALV'!A:B,2,0),0)</f>
        <v>150</v>
      </c>
      <c r="D456" s="116">
        <f t="shared" si="580"/>
        <v>669.07303463157882</v>
      </c>
      <c r="E456" s="103" t="s">
        <v>41</v>
      </c>
      <c r="F456" s="75" t="s">
        <v>314</v>
      </c>
      <c r="G456" s="90">
        <v>4.7480000000000002</v>
      </c>
      <c r="H456" s="90">
        <v>38.286999999999999</v>
      </c>
      <c r="I456" s="76">
        <v>0.105</v>
      </c>
      <c r="J456" s="77">
        <v>28.24</v>
      </c>
      <c r="K456" s="78">
        <f t="shared" si="570"/>
        <v>10.464034741422729</v>
      </c>
      <c r="L456" s="58">
        <f>+VLOOKUP(E456,Material!$H$2:$M$17,6,FALSE)*G456*H456*(1+Material!$K$14)</f>
        <v>134.32015504444448</v>
      </c>
      <c r="M456" s="79" t="str">
        <f>+Analisis!$J$5</f>
        <v>T5.0</v>
      </c>
      <c r="N456" s="80">
        <f>+VLOOKUP(M456,Material!$A$3:$B$58,2,FALSE)</f>
        <v>5000</v>
      </c>
      <c r="O456" s="79" t="s">
        <v>42</v>
      </c>
      <c r="P456" s="79" t="s">
        <v>43</v>
      </c>
      <c r="Q456" s="81">
        <f>+IF(O456="ACERO A36",VLOOKUP(P456,'Velocidades Std 1500 w'!$B$2:$F$15,5,FALSE),IF(O456="INOXIDABLE",VLOOKUP(P456,'Velocidades Std 1500 w'!$B$17:$F$28,5,FALSE),IF(O456="ALUMINIO",VLOOKUP(P456,'Velocidades Std 1500 w'!$B$30:$F$38,5,FALSE))))</f>
        <v>4.3859649122807014E-6</v>
      </c>
      <c r="R456" s="82">
        <f t="shared" si="571"/>
        <v>2.1929824561403508E-2</v>
      </c>
      <c r="S456" s="83">
        <f t="shared" si="572"/>
        <v>82.355556315789471</v>
      </c>
      <c r="T456" s="110">
        <f t="shared" si="573"/>
        <v>5215.8518999999997</v>
      </c>
      <c r="U456" s="80">
        <f t="shared" si="574"/>
        <v>114.38271710526314</v>
      </c>
      <c r="V456" s="98">
        <v>73</v>
      </c>
      <c r="W456" s="84">
        <f>+IF(O456="ACERO A36",VLOOKUP(P456,'Tiempo Objeto'!$B$2:$C$12,2,FALSE),IF(O456="INOXIDABLE",VLOOKUP(P456,'Tiempo Objeto'!$B$14:$C$22,2,FALSE),IF(O456="ALUMINIO",VLOOKUP(P456,'Tiempo Objeto'!$B$24:$C$32,2,FALSE))))</f>
        <v>1.84</v>
      </c>
      <c r="X456" s="84">
        <f t="shared" si="575"/>
        <v>134.32</v>
      </c>
      <c r="Y456" s="80">
        <f t="shared" si="576"/>
        <v>186.55555555555554</v>
      </c>
      <c r="Z456" s="100">
        <v>4</v>
      </c>
      <c r="AA456" s="85">
        <f t="shared" si="577"/>
        <v>1020</v>
      </c>
      <c r="AB456" s="86">
        <f>+Z456*Analisis!$J$6</f>
        <v>100</v>
      </c>
      <c r="AC456" s="100">
        <v>0</v>
      </c>
      <c r="AD456" s="85">
        <f t="shared" si="578"/>
        <v>0</v>
      </c>
      <c r="AE456" s="86">
        <f>+AD456*Analisis!$J$7</f>
        <v>0</v>
      </c>
      <c r="AF456" s="86">
        <f t="shared" si="579"/>
        <v>535.2584277052631</v>
      </c>
      <c r="AG456" s="126">
        <f>+AF456/(1-Analisis!$E$9)</f>
        <v>669.07303463157882</v>
      </c>
      <c r="AH456" s="128">
        <f t="shared" si="581"/>
        <v>100360.95519473682</v>
      </c>
      <c r="AI456" s="128">
        <f t="shared" si="569"/>
        <v>20148.023256666671</v>
      </c>
    </row>
    <row r="457" spans="1:35" s="73" customFormat="1" x14ac:dyDescent="0.25">
      <c r="A457" s="100"/>
      <c r="B457" s="120" t="s">
        <v>622</v>
      </c>
      <c r="C457" s="138">
        <f>IFERROR(VLOOKUP(B457,'REQ GALV'!A:B,2,0),0)</f>
        <v>150</v>
      </c>
      <c r="D457" s="116">
        <f t="shared" si="580"/>
        <v>613.2890890906433</v>
      </c>
      <c r="E457" s="103" t="s">
        <v>41</v>
      </c>
      <c r="F457" s="75" t="s">
        <v>314</v>
      </c>
      <c r="G457" s="90">
        <v>4.7480000000000002</v>
      </c>
      <c r="H457" s="90">
        <v>38.286999999999999</v>
      </c>
      <c r="I457" s="76">
        <v>0.105</v>
      </c>
      <c r="J457" s="77">
        <v>28.24</v>
      </c>
      <c r="K457" s="78">
        <f t="shared" si="570"/>
        <v>10.464034741422729</v>
      </c>
      <c r="L457" s="58">
        <f>+VLOOKUP(E457,Material!$H$2:$M$17,6,FALSE)*G457*H457*(1+Material!$K$14)</f>
        <v>134.32015504444448</v>
      </c>
      <c r="M457" s="79" t="str">
        <f>+Analisis!$J$5</f>
        <v>T5.0</v>
      </c>
      <c r="N457" s="80">
        <f>+VLOOKUP(M457,Material!$A$3:$B$58,2,FALSE)</f>
        <v>5000</v>
      </c>
      <c r="O457" s="79" t="s">
        <v>42</v>
      </c>
      <c r="P457" s="79" t="s">
        <v>43</v>
      </c>
      <c r="Q457" s="81">
        <f>+IF(O457="ACERO A36",VLOOKUP(P457,'Velocidades Std 1500 w'!$B$2:$F$15,5,FALSE),IF(O457="INOXIDABLE",VLOOKUP(P457,'Velocidades Std 1500 w'!$B$17:$F$28,5,FALSE),IF(O457="ALUMINIO",VLOOKUP(P457,'Velocidades Std 1500 w'!$B$30:$F$38,5,FALSE))))</f>
        <v>4.3859649122807014E-6</v>
      </c>
      <c r="R457" s="82">
        <f t="shared" si="571"/>
        <v>2.1929824561403508E-2</v>
      </c>
      <c r="S457" s="83">
        <f t="shared" si="572"/>
        <v>74.144003684210517</v>
      </c>
      <c r="T457" s="110">
        <f t="shared" si="573"/>
        <v>4695.7869000000001</v>
      </c>
      <c r="U457" s="80">
        <f t="shared" si="574"/>
        <v>102.97778289473683</v>
      </c>
      <c r="V457" s="98">
        <v>60</v>
      </c>
      <c r="W457" s="84">
        <f>+IF(O457="ACERO A36",VLOOKUP(P457,'Tiempo Objeto'!$B$2:$C$12,2,FALSE),IF(O457="INOXIDABLE",VLOOKUP(P457,'Tiempo Objeto'!$B$14:$C$22,2,FALSE),IF(O457="ALUMINIO",VLOOKUP(P457,'Tiempo Objeto'!$B$24:$C$32,2,FALSE))))</f>
        <v>1.84</v>
      </c>
      <c r="X457" s="84">
        <f t="shared" si="575"/>
        <v>110.4</v>
      </c>
      <c r="Y457" s="80">
        <f t="shared" si="576"/>
        <v>153.33333333333334</v>
      </c>
      <c r="Z457" s="100">
        <v>4</v>
      </c>
      <c r="AA457" s="85">
        <f t="shared" si="577"/>
        <v>1020</v>
      </c>
      <c r="AB457" s="86">
        <f>+Z457*Analisis!$J$6</f>
        <v>100</v>
      </c>
      <c r="AC457" s="100">
        <v>0</v>
      </c>
      <c r="AD457" s="85">
        <f t="shared" si="578"/>
        <v>0</v>
      </c>
      <c r="AE457" s="86">
        <f>+AD457*Analisis!$J$7</f>
        <v>0</v>
      </c>
      <c r="AF457" s="86">
        <f t="shared" si="579"/>
        <v>490.63127127251465</v>
      </c>
      <c r="AG457" s="126">
        <f>+AF457/(1-Analisis!$E$9)</f>
        <v>613.2890890906433</v>
      </c>
      <c r="AH457" s="128">
        <f t="shared" si="581"/>
        <v>91993.363363596494</v>
      </c>
      <c r="AI457" s="128">
        <f t="shared" si="569"/>
        <v>20148.023256666671</v>
      </c>
    </row>
    <row r="458" spans="1:35" s="73" customFormat="1" x14ac:dyDescent="0.25">
      <c r="A458" s="100"/>
      <c r="B458" s="120" t="s">
        <v>623</v>
      </c>
      <c r="C458" s="138">
        <f>IFERROR(VLOOKUP(B458,'REQ GALV'!A:B,2,0),0)</f>
        <v>30</v>
      </c>
      <c r="D458" s="116">
        <f t="shared" si="580"/>
        <v>479.03929093567245</v>
      </c>
      <c r="E458" s="103" t="s">
        <v>41</v>
      </c>
      <c r="F458" s="75" t="s">
        <v>314</v>
      </c>
      <c r="G458" s="90">
        <v>25</v>
      </c>
      <c r="H458" s="90">
        <v>15.75</v>
      </c>
      <c r="I458" s="76">
        <v>0.105</v>
      </c>
      <c r="J458" s="77">
        <v>28.24</v>
      </c>
      <c r="K458" s="78">
        <f t="shared" si="570"/>
        <v>22.665102691218131</v>
      </c>
      <c r="L458" s="58">
        <f>+VLOOKUP(E458,Material!$H$2:$M$17,6,FALSE)*G458*H458*(1+Material!$K$14)</f>
        <v>290.9375</v>
      </c>
      <c r="M458" s="79" t="str">
        <f>+Analisis!$J$5</f>
        <v>T5.0</v>
      </c>
      <c r="N458" s="80">
        <f>+VLOOKUP(M458,Material!$A$3:$B$58,2,FALSE)</f>
        <v>5000</v>
      </c>
      <c r="O458" s="79" t="s">
        <v>42</v>
      </c>
      <c r="P458" s="79" t="s">
        <v>43</v>
      </c>
      <c r="Q458" s="81">
        <f>+IF(O458="ACERO A36",VLOOKUP(P458,'Velocidades Std 1500 w'!$B$2:$F$15,5,FALSE),IF(O458="INOXIDABLE",VLOOKUP(P458,'Velocidades Std 1500 w'!$B$17:$F$28,5,FALSE),IF(O458="ALUMINIO",VLOOKUP(P458,'Velocidades Std 1500 w'!$B$30:$F$38,5,FALSE))))</f>
        <v>4.3859649122807014E-6</v>
      </c>
      <c r="R458" s="82">
        <f t="shared" si="571"/>
        <v>2.1929824561403508E-2</v>
      </c>
      <c r="S458" s="83">
        <f t="shared" si="572"/>
        <v>42.531631578947362</v>
      </c>
      <c r="T458" s="110">
        <f t="shared" si="573"/>
        <v>2693.6699999999996</v>
      </c>
      <c r="U458" s="80">
        <f t="shared" si="574"/>
        <v>59.071710526315776</v>
      </c>
      <c r="V458" s="98">
        <v>13</v>
      </c>
      <c r="W458" s="84">
        <f>+IF(O458="ACERO A36",VLOOKUP(P458,'Tiempo Objeto'!$B$2:$C$12,2,FALSE),IF(O458="INOXIDABLE",VLOOKUP(P458,'Tiempo Objeto'!$B$14:$C$22,2,FALSE),IF(O458="ALUMINIO",VLOOKUP(P458,'Tiempo Objeto'!$B$24:$C$32,2,FALSE))))</f>
        <v>1.84</v>
      </c>
      <c r="X458" s="84">
        <f t="shared" si="575"/>
        <v>23.92</v>
      </c>
      <c r="Y458" s="80">
        <f t="shared" si="576"/>
        <v>33.222222222222229</v>
      </c>
      <c r="Z458" s="100">
        <v>0</v>
      </c>
      <c r="AA458" s="85">
        <f t="shared" si="577"/>
        <v>0</v>
      </c>
      <c r="AB458" s="86">
        <f>+Z458*Analisis!$J$6</f>
        <v>0</v>
      </c>
      <c r="AC458" s="100">
        <v>0</v>
      </c>
      <c r="AD458" s="85">
        <f t="shared" si="578"/>
        <v>0</v>
      </c>
      <c r="AE458" s="86">
        <f>+AD458*Analisis!$J$7</f>
        <v>0</v>
      </c>
      <c r="AF458" s="86">
        <f t="shared" si="579"/>
        <v>383.231432748538</v>
      </c>
      <c r="AG458" s="126">
        <f>+AF458/(1-Analisis!$E$9)</f>
        <v>479.03929093567245</v>
      </c>
      <c r="AH458" s="128">
        <f t="shared" si="581"/>
        <v>14371.178728070174</v>
      </c>
      <c r="AI458" s="128">
        <f t="shared" si="569"/>
        <v>8728.125</v>
      </c>
    </row>
    <row r="459" spans="1:35" s="73" customFormat="1" x14ac:dyDescent="0.25">
      <c r="A459" s="100"/>
      <c r="B459" s="120" t="s">
        <v>624</v>
      </c>
      <c r="C459" s="138">
        <f>IFERROR(VLOOKUP(B459,'REQ GALV'!A:B,2,0),0)</f>
        <v>60</v>
      </c>
      <c r="D459" s="116">
        <f t="shared" si="580"/>
        <v>855.95111038742698</v>
      </c>
      <c r="E459" s="103" t="s">
        <v>41</v>
      </c>
      <c r="F459" s="75" t="s">
        <v>314</v>
      </c>
      <c r="G459" s="90">
        <v>19.003</v>
      </c>
      <c r="H459" s="90">
        <v>32.92</v>
      </c>
      <c r="I459" s="76">
        <v>0.105</v>
      </c>
      <c r="J459" s="77">
        <v>28.24</v>
      </c>
      <c r="K459" s="78">
        <f t="shared" si="570"/>
        <v>36.009668157066422</v>
      </c>
      <c r="L459" s="58">
        <f>+VLOOKUP(E459,Material!$H$2:$M$17,6,FALSE)*G459*H459*(1+Material!$K$14)</f>
        <v>462.23319488888893</v>
      </c>
      <c r="M459" s="79" t="str">
        <f>+Analisis!$J$5</f>
        <v>T5.0</v>
      </c>
      <c r="N459" s="80">
        <f>+VLOOKUP(M459,Material!$A$3:$B$58,2,FALSE)</f>
        <v>5000</v>
      </c>
      <c r="O459" s="79" t="s">
        <v>42</v>
      </c>
      <c r="P459" s="79" t="s">
        <v>43</v>
      </c>
      <c r="Q459" s="81">
        <f>+IF(O459="ACERO A36",VLOOKUP(P459,'Velocidades Std 1500 w'!$B$2:$F$15,5,FALSE),IF(O459="INOXIDABLE",VLOOKUP(P459,'Velocidades Std 1500 w'!$B$17:$F$28,5,FALSE),IF(O459="ALUMINIO",VLOOKUP(P459,'Velocidades Std 1500 w'!$B$30:$F$38,5,FALSE))))</f>
        <v>4.3859649122807014E-6</v>
      </c>
      <c r="R459" s="82">
        <f t="shared" si="571"/>
        <v>2.1929824561403508E-2</v>
      </c>
      <c r="S459" s="83">
        <f t="shared" si="572"/>
        <v>55.099939263157893</v>
      </c>
      <c r="T459" s="110">
        <f t="shared" si="573"/>
        <v>3489.66282</v>
      </c>
      <c r="U459" s="80">
        <f t="shared" si="574"/>
        <v>76.527693421052632</v>
      </c>
      <c r="V459" s="98">
        <v>18</v>
      </c>
      <c r="W459" s="84">
        <f>+IF(O459="ACERO A36",VLOOKUP(P459,'Tiempo Objeto'!$B$2:$C$12,2,FALSE),IF(O459="INOXIDABLE",VLOOKUP(P459,'Tiempo Objeto'!$B$14:$C$22,2,FALSE),IF(O459="ALUMINIO",VLOOKUP(P459,'Tiempo Objeto'!$B$24:$C$32,2,FALSE))))</f>
        <v>1.84</v>
      </c>
      <c r="X459" s="84">
        <f t="shared" si="575"/>
        <v>33.120000000000005</v>
      </c>
      <c r="Y459" s="80">
        <f t="shared" si="576"/>
        <v>46.000000000000007</v>
      </c>
      <c r="Z459" s="100">
        <v>4</v>
      </c>
      <c r="AA459" s="85">
        <f t="shared" si="577"/>
        <v>480</v>
      </c>
      <c r="AB459" s="86">
        <f>+Z459*Analisis!$J$6</f>
        <v>100</v>
      </c>
      <c r="AC459" s="100">
        <v>0</v>
      </c>
      <c r="AD459" s="85">
        <f t="shared" si="578"/>
        <v>0</v>
      </c>
      <c r="AE459" s="86">
        <f>+AD459*Analisis!$J$7</f>
        <v>0</v>
      </c>
      <c r="AF459" s="86">
        <f t="shared" si="579"/>
        <v>684.76088830994161</v>
      </c>
      <c r="AG459" s="126">
        <f>+AF459/(1-Analisis!$E$9)</f>
        <v>855.95111038742698</v>
      </c>
      <c r="AH459" s="128">
        <f t="shared" si="581"/>
        <v>51357.066623245621</v>
      </c>
      <c r="AI459" s="128">
        <f t="shared" si="569"/>
        <v>27733.991693333337</v>
      </c>
    </row>
    <row r="460" spans="1:35" s="73" customFormat="1" x14ac:dyDescent="0.25">
      <c r="A460" s="100"/>
      <c r="B460" s="120" t="s">
        <v>625</v>
      </c>
      <c r="C460" s="138">
        <f>IFERROR(VLOOKUP(B460,'REQ GALV'!A:B,2,0),0)</f>
        <v>60</v>
      </c>
      <c r="D460" s="116">
        <f t="shared" si="580"/>
        <v>614.6875752923977</v>
      </c>
      <c r="E460" s="103" t="s">
        <v>41</v>
      </c>
      <c r="F460" s="75" t="s">
        <v>314</v>
      </c>
      <c r="G460" s="90">
        <v>18.747</v>
      </c>
      <c r="H460" s="90">
        <v>17.5</v>
      </c>
      <c r="I460" s="76">
        <v>0.105</v>
      </c>
      <c r="J460" s="77">
        <v>28.24</v>
      </c>
      <c r="K460" s="78">
        <f t="shared" si="570"/>
        <v>18.884563562322953</v>
      </c>
      <c r="L460" s="58">
        <f>+VLOOKUP(E460,Material!$H$2:$M$17,6,FALSE)*G460*H460*(1+Material!$K$14)</f>
        <v>242.40912500000005</v>
      </c>
      <c r="M460" s="79" t="str">
        <f>+Analisis!$J$5</f>
        <v>T5.0</v>
      </c>
      <c r="N460" s="80">
        <f>+VLOOKUP(M460,Material!$A$3:$B$58,2,FALSE)</f>
        <v>5000</v>
      </c>
      <c r="O460" s="79" t="s">
        <v>42</v>
      </c>
      <c r="P460" s="79" t="s">
        <v>43</v>
      </c>
      <c r="Q460" s="81">
        <f>+IF(O460="ACERO A36",VLOOKUP(P460,'Velocidades Std 1500 w'!$B$2:$F$15,5,FALSE),IF(O460="INOXIDABLE",VLOOKUP(P460,'Velocidades Std 1500 w'!$B$17:$F$28,5,FALSE),IF(O460="ALUMINIO",VLOOKUP(P460,'Velocidades Std 1500 w'!$B$30:$F$38,5,FALSE))))</f>
        <v>4.3859649122807014E-6</v>
      </c>
      <c r="R460" s="82">
        <f t="shared" si="571"/>
        <v>2.1929824561403508E-2</v>
      </c>
      <c r="S460" s="83">
        <f t="shared" si="572"/>
        <v>64.00547336842105</v>
      </c>
      <c r="T460" s="110">
        <f t="shared" si="573"/>
        <v>4053.6799799999999</v>
      </c>
      <c r="U460" s="80">
        <f t="shared" si="574"/>
        <v>88.896490789473674</v>
      </c>
      <c r="V460" s="98">
        <v>53</v>
      </c>
      <c r="W460" s="84">
        <f>+IF(O460="ACERO A36",VLOOKUP(P460,'Tiempo Objeto'!$B$2:$C$12,2,FALSE),IF(O460="INOXIDABLE",VLOOKUP(P460,'Tiempo Objeto'!$B$14:$C$22,2,FALSE),IF(O460="ALUMINIO",VLOOKUP(P460,'Tiempo Objeto'!$B$24:$C$32,2,FALSE))))</f>
        <v>1.84</v>
      </c>
      <c r="X460" s="84">
        <f t="shared" si="575"/>
        <v>97.52000000000001</v>
      </c>
      <c r="Y460" s="80">
        <f t="shared" si="576"/>
        <v>135.44444444444446</v>
      </c>
      <c r="Z460" s="100">
        <v>1</v>
      </c>
      <c r="AA460" s="85">
        <f t="shared" si="577"/>
        <v>120</v>
      </c>
      <c r="AB460" s="86">
        <f>+Z460*Analisis!$J$6</f>
        <v>25</v>
      </c>
      <c r="AC460" s="100">
        <v>0</v>
      </c>
      <c r="AD460" s="85">
        <f t="shared" si="578"/>
        <v>0</v>
      </c>
      <c r="AE460" s="86">
        <f>+AD460*Analisis!$J$7</f>
        <v>0</v>
      </c>
      <c r="AF460" s="86">
        <f t="shared" si="579"/>
        <v>491.75006023391819</v>
      </c>
      <c r="AG460" s="126">
        <f>+AF460/(1-Analisis!$E$9)</f>
        <v>614.6875752923977</v>
      </c>
      <c r="AH460" s="128">
        <f t="shared" si="581"/>
        <v>36881.254517543864</v>
      </c>
      <c r="AI460" s="128">
        <f t="shared" ref="AI460:AI491" si="582">+L460*C460</f>
        <v>14544.547500000002</v>
      </c>
    </row>
    <row r="461" spans="1:35" s="73" customFormat="1" x14ac:dyDescent="0.25">
      <c r="A461" s="100"/>
      <c r="B461" s="120" t="s">
        <v>626</v>
      </c>
      <c r="C461" s="138">
        <f>IFERROR(VLOOKUP(B461,'REQ GALV'!A:B,2,0),0)</f>
        <v>420</v>
      </c>
      <c r="D461" s="116">
        <f t="shared" si="580"/>
        <v>80.22301754385964</v>
      </c>
      <c r="E461" s="103" t="s">
        <v>41</v>
      </c>
      <c r="F461" s="75" t="s">
        <v>314</v>
      </c>
      <c r="G461" s="90">
        <v>2</v>
      </c>
      <c r="H461" s="90">
        <v>8.7279999999999998</v>
      </c>
      <c r="I461" s="76">
        <v>0.105</v>
      </c>
      <c r="J461" s="77">
        <v>28.24</v>
      </c>
      <c r="K461" s="78">
        <f t="shared" si="570"/>
        <v>1.0048051621026128</v>
      </c>
      <c r="L461" s="58">
        <f>+VLOOKUP(E461,Material!$H$2:$M$17,6,FALSE)*G461*H461*(1+Material!$K$14)</f>
        <v>12.898044444444446</v>
      </c>
      <c r="M461" s="79" t="str">
        <f>+Analisis!$J$5</f>
        <v>T5.0</v>
      </c>
      <c r="N461" s="80">
        <f>+VLOOKUP(M461,Material!$A$3:$B$58,2,FALSE)</f>
        <v>5000</v>
      </c>
      <c r="O461" s="79" t="s">
        <v>42</v>
      </c>
      <c r="P461" s="79" t="s">
        <v>43</v>
      </c>
      <c r="Q461" s="81">
        <f>+IF(O461="ACERO A36",VLOOKUP(P461,'Velocidades Std 1500 w'!$B$2:$F$15,5,FALSE),IF(O461="INOXIDABLE",VLOOKUP(P461,'Velocidades Std 1500 w'!$B$17:$F$28,5,FALSE),IF(O461="ALUMINIO",VLOOKUP(P461,'Velocidades Std 1500 w'!$B$30:$F$38,5,FALSE))))</f>
        <v>4.3859649122807014E-6</v>
      </c>
      <c r="R461" s="82">
        <f t="shared" si="571"/>
        <v>2.1929824561403508E-2</v>
      </c>
      <c r="S461" s="83">
        <f t="shared" si="572"/>
        <v>11.561866105263158</v>
      </c>
      <c r="T461" s="110">
        <f t="shared" si="573"/>
        <v>732.25152000000003</v>
      </c>
      <c r="U461" s="80">
        <f t="shared" si="574"/>
        <v>16.058147368421054</v>
      </c>
      <c r="V461" s="98">
        <v>4</v>
      </c>
      <c r="W461" s="84">
        <f>+IF(O461="ACERO A36",VLOOKUP(P461,'Tiempo Objeto'!$B$2:$C$12,2,FALSE),IF(O461="INOXIDABLE",VLOOKUP(P461,'Tiempo Objeto'!$B$14:$C$22,2,FALSE),IF(O461="ALUMINIO",VLOOKUP(P461,'Tiempo Objeto'!$B$24:$C$32,2,FALSE))))</f>
        <v>1.84</v>
      </c>
      <c r="X461" s="84">
        <f t="shared" si="575"/>
        <v>7.36</v>
      </c>
      <c r="Y461" s="80">
        <f t="shared" si="576"/>
        <v>10.222222222222221</v>
      </c>
      <c r="Z461" s="100">
        <v>1</v>
      </c>
      <c r="AA461" s="85">
        <f t="shared" si="577"/>
        <v>660</v>
      </c>
      <c r="AB461" s="86">
        <f>+Z461*Analisis!$J$6</f>
        <v>25</v>
      </c>
      <c r="AC461" s="100">
        <v>0</v>
      </c>
      <c r="AD461" s="85">
        <f t="shared" si="578"/>
        <v>0</v>
      </c>
      <c r="AE461" s="86">
        <f>+AD461*Analisis!$J$7</f>
        <v>0</v>
      </c>
      <c r="AF461" s="86">
        <f t="shared" si="579"/>
        <v>64.178414035087712</v>
      </c>
      <c r="AG461" s="126">
        <f>+AF461/(1-Analisis!$E$9)</f>
        <v>80.22301754385964</v>
      </c>
      <c r="AH461" s="128">
        <f t="shared" si="581"/>
        <v>33693.667368421047</v>
      </c>
      <c r="AI461" s="128">
        <f t="shared" si="582"/>
        <v>5417.1786666666676</v>
      </c>
    </row>
    <row r="462" spans="1:35" s="73" customFormat="1" x14ac:dyDescent="0.25">
      <c r="A462" s="100"/>
      <c r="B462" s="120" t="s">
        <v>627</v>
      </c>
      <c r="C462" s="138">
        <f>IFERROR(VLOOKUP(B462,'REQ GALV'!A:B,2,0),0)</f>
        <v>420</v>
      </c>
      <c r="D462" s="116">
        <f t="shared" si="580"/>
        <v>65.744421966374262</v>
      </c>
      <c r="E462" s="103" t="s">
        <v>41</v>
      </c>
      <c r="F462" s="75" t="s">
        <v>314</v>
      </c>
      <c r="G462" s="90">
        <v>4.3529999999999998</v>
      </c>
      <c r="H462" s="90">
        <v>2</v>
      </c>
      <c r="I462" s="76">
        <v>0.105</v>
      </c>
      <c r="J462" s="77">
        <v>28.24</v>
      </c>
      <c r="K462" s="78">
        <f t="shared" si="570"/>
        <v>0.50113621340887637</v>
      </c>
      <c r="L462" s="58">
        <f>+VLOOKUP(E462,Material!$H$2:$M$17,6,FALSE)*G462*H462*(1+Material!$K$14)</f>
        <v>6.4327666666666676</v>
      </c>
      <c r="M462" s="79" t="str">
        <f>+Analisis!$J$5</f>
        <v>T5.0</v>
      </c>
      <c r="N462" s="80">
        <f>+VLOOKUP(M462,Material!$A$3:$B$58,2,FALSE)</f>
        <v>5000</v>
      </c>
      <c r="O462" s="79" t="s">
        <v>42</v>
      </c>
      <c r="P462" s="79" t="s">
        <v>43</v>
      </c>
      <c r="Q462" s="81">
        <f>+IF(O462="ACERO A36",VLOOKUP(P462,'Velocidades Std 1500 w'!$B$2:$F$15,5,FALSE),IF(O462="INOXIDABLE",VLOOKUP(P462,'Velocidades Std 1500 w'!$B$17:$F$28,5,FALSE),IF(O462="ALUMINIO",VLOOKUP(P462,'Velocidades Std 1500 w'!$B$30:$F$38,5,FALSE))))</f>
        <v>4.3859649122807014E-6</v>
      </c>
      <c r="R462" s="82">
        <f t="shared" si="571"/>
        <v>2.1929824561403508E-2</v>
      </c>
      <c r="S462" s="83">
        <f t="shared" si="572"/>
        <v>7.8771950526315777</v>
      </c>
      <c r="T462" s="110">
        <f t="shared" si="573"/>
        <v>498.88901999999996</v>
      </c>
      <c r="U462" s="80">
        <f t="shared" si="574"/>
        <v>10.940548684210524</v>
      </c>
      <c r="V462" s="98">
        <v>4</v>
      </c>
      <c r="W462" s="84">
        <f>+IF(O462="ACERO A36",VLOOKUP(P462,'Tiempo Objeto'!$B$2:$C$12,2,FALSE),IF(O462="INOXIDABLE",VLOOKUP(P462,'Tiempo Objeto'!$B$14:$C$22,2,FALSE),IF(O462="ALUMINIO",VLOOKUP(P462,'Tiempo Objeto'!$B$24:$C$32,2,FALSE))))</f>
        <v>1.84</v>
      </c>
      <c r="X462" s="84">
        <f t="shared" si="575"/>
        <v>7.36</v>
      </c>
      <c r="Y462" s="80">
        <f t="shared" si="576"/>
        <v>10.222222222222221</v>
      </c>
      <c r="Z462" s="100">
        <v>1</v>
      </c>
      <c r="AA462" s="85">
        <f t="shared" si="577"/>
        <v>660</v>
      </c>
      <c r="AB462" s="86">
        <f>+Z462*Analisis!$J$6</f>
        <v>25</v>
      </c>
      <c r="AC462" s="100">
        <v>0</v>
      </c>
      <c r="AD462" s="85">
        <f t="shared" si="578"/>
        <v>0</v>
      </c>
      <c r="AE462" s="86">
        <f>+AD462*Analisis!$J$7</f>
        <v>0</v>
      </c>
      <c r="AF462" s="86">
        <f t="shared" si="579"/>
        <v>52.595537573099413</v>
      </c>
      <c r="AG462" s="126">
        <f>+AF462/(1-Analisis!$E$9)</f>
        <v>65.744421966374262</v>
      </c>
      <c r="AH462" s="128">
        <f t="shared" si="581"/>
        <v>27612.657225877188</v>
      </c>
      <c r="AI462" s="128">
        <f t="shared" si="582"/>
        <v>2701.7620000000006</v>
      </c>
    </row>
    <row r="463" spans="1:35" s="73" customFormat="1" x14ac:dyDescent="0.25">
      <c r="A463" s="100"/>
      <c r="B463" s="120" t="s">
        <v>628</v>
      </c>
      <c r="C463" s="138">
        <f>IFERROR(VLOOKUP(B463,'REQ GALV'!A:B,2,0),0)</f>
        <v>60</v>
      </c>
      <c r="D463" s="116">
        <f t="shared" si="580"/>
        <v>161.92445029239767</v>
      </c>
      <c r="E463" s="103" t="s">
        <v>41</v>
      </c>
      <c r="F463" s="75" t="s">
        <v>314</v>
      </c>
      <c r="G463" s="90">
        <v>4.43</v>
      </c>
      <c r="H463" s="90">
        <v>12.1</v>
      </c>
      <c r="I463" s="76">
        <v>0.105</v>
      </c>
      <c r="J463" s="77">
        <v>28.24</v>
      </c>
      <c r="K463" s="78">
        <f t="shared" si="570"/>
        <v>3.0855047607806116</v>
      </c>
      <c r="L463" s="58">
        <f>+VLOOKUP(E463,Material!$H$2:$M$17,6,FALSE)*G463*H463*(1+Material!$K$14)</f>
        <v>39.606661111111116</v>
      </c>
      <c r="M463" s="79" t="str">
        <f>+Analisis!$J$5</f>
        <v>T5.0</v>
      </c>
      <c r="N463" s="80">
        <f>+VLOOKUP(M463,Material!$A$3:$B$58,2,FALSE)</f>
        <v>5000</v>
      </c>
      <c r="O463" s="79" t="s">
        <v>42</v>
      </c>
      <c r="P463" s="79" t="s">
        <v>43</v>
      </c>
      <c r="Q463" s="81">
        <f>+IF(O463="ACERO A36",VLOOKUP(P463,'Velocidades Std 1500 w'!$B$2:$F$15,5,FALSE),IF(O463="INOXIDABLE",VLOOKUP(P463,'Velocidades Std 1500 w'!$B$17:$F$28,5,FALSE),IF(O463="ALUMINIO",VLOOKUP(P463,'Velocidades Std 1500 w'!$B$30:$F$38,5,FALSE))))</f>
        <v>4.3859649122807014E-6</v>
      </c>
      <c r="R463" s="82">
        <f t="shared" si="571"/>
        <v>2.1929824561403508E-2</v>
      </c>
      <c r="S463" s="83">
        <f t="shared" si="572"/>
        <v>17.711687368421053</v>
      </c>
      <c r="T463" s="110">
        <f t="shared" si="573"/>
        <v>1121.7402000000002</v>
      </c>
      <c r="U463" s="80">
        <f t="shared" si="574"/>
        <v>24.599565789473687</v>
      </c>
      <c r="V463" s="98">
        <v>6</v>
      </c>
      <c r="W463" s="84">
        <f>+IF(O463="ACERO A36",VLOOKUP(P463,'Tiempo Objeto'!$B$2:$C$12,2,FALSE),IF(O463="INOXIDABLE",VLOOKUP(P463,'Tiempo Objeto'!$B$14:$C$22,2,FALSE),IF(O463="ALUMINIO",VLOOKUP(P463,'Tiempo Objeto'!$B$24:$C$32,2,FALSE))))</f>
        <v>1.84</v>
      </c>
      <c r="X463" s="84">
        <f t="shared" si="575"/>
        <v>11.040000000000001</v>
      </c>
      <c r="Y463" s="80">
        <f t="shared" si="576"/>
        <v>15.333333333333336</v>
      </c>
      <c r="Z463" s="100">
        <v>2</v>
      </c>
      <c r="AA463" s="85">
        <f t="shared" si="577"/>
        <v>240</v>
      </c>
      <c r="AB463" s="86">
        <f>+Z463*Analisis!$J$6</f>
        <v>50</v>
      </c>
      <c r="AC463" s="100">
        <v>0</v>
      </c>
      <c r="AD463" s="85">
        <f t="shared" si="578"/>
        <v>0</v>
      </c>
      <c r="AE463" s="86">
        <f>+AD463*Analisis!$J$7</f>
        <v>0</v>
      </c>
      <c r="AF463" s="86">
        <f t="shared" si="579"/>
        <v>129.53956023391814</v>
      </c>
      <c r="AG463" s="126">
        <f>+AF463/(1-Analisis!$E$9)</f>
        <v>161.92445029239767</v>
      </c>
      <c r="AH463" s="128">
        <f t="shared" si="581"/>
        <v>9715.4670175438605</v>
      </c>
      <c r="AI463" s="128">
        <f t="shared" si="582"/>
        <v>2376.3996666666671</v>
      </c>
    </row>
    <row r="464" spans="1:35" s="73" customFormat="1" x14ac:dyDescent="0.25">
      <c r="A464" s="100"/>
      <c r="B464" s="120" t="s">
        <v>629</v>
      </c>
      <c r="C464" s="138">
        <f>IFERROR(VLOOKUP(B464,'REQ GALV'!A:B,2,0),0)</f>
        <v>30</v>
      </c>
      <c r="D464" s="116">
        <f t="shared" si="580"/>
        <v>69.145148026315795</v>
      </c>
      <c r="E464" s="103" t="s">
        <v>41</v>
      </c>
      <c r="F464" s="75" t="s">
        <v>314</v>
      </c>
      <c r="G464" s="90">
        <v>6</v>
      </c>
      <c r="H464" s="90">
        <v>2.3199999999999998</v>
      </c>
      <c r="I464" s="76">
        <v>0.105</v>
      </c>
      <c r="J464" s="77">
        <v>28.24</v>
      </c>
      <c r="K464" s="78">
        <f t="shared" si="570"/>
        <v>0.80126534466477817</v>
      </c>
      <c r="L464" s="58">
        <f>+VLOOKUP(E464,Material!$H$2:$M$17,6,FALSE)*G464*H464*(1+Material!$K$14)</f>
        <v>10.285333333333334</v>
      </c>
      <c r="M464" s="79" t="str">
        <f>+Analisis!$J$5</f>
        <v>T5.0</v>
      </c>
      <c r="N464" s="80">
        <f>+VLOOKUP(M464,Material!$A$3:$B$58,2,FALSE)</f>
        <v>5000</v>
      </c>
      <c r="O464" s="79" t="s">
        <v>42</v>
      </c>
      <c r="P464" s="79" t="s">
        <v>43</v>
      </c>
      <c r="Q464" s="81">
        <f>+IF(O464="ACERO A36",VLOOKUP(P464,'Velocidades Std 1500 w'!$B$2:$F$15,5,FALSE),IF(O464="INOXIDABLE",VLOOKUP(P464,'Velocidades Std 1500 w'!$B$17:$F$28,5,FALSE),IF(O464="ALUMINIO",VLOOKUP(P464,'Velocidades Std 1500 w'!$B$30:$F$38,5,FALSE))))</f>
        <v>4.3859649122807014E-6</v>
      </c>
      <c r="R464" s="82">
        <f t="shared" si="571"/>
        <v>2.1929824561403508E-2</v>
      </c>
      <c r="S464" s="83">
        <f t="shared" si="572"/>
        <v>8.9021652631578938</v>
      </c>
      <c r="T464" s="110">
        <f t="shared" si="573"/>
        <v>563.80380000000002</v>
      </c>
      <c r="U464" s="80">
        <f t="shared" si="574"/>
        <v>12.364118421052632</v>
      </c>
      <c r="V464" s="98">
        <v>3</v>
      </c>
      <c r="W464" s="84">
        <f>+IF(O464="ACERO A36",VLOOKUP(P464,'Tiempo Objeto'!$B$2:$C$12,2,FALSE),IF(O464="INOXIDABLE",VLOOKUP(P464,'Tiempo Objeto'!$B$14:$C$22,2,FALSE),IF(O464="ALUMINIO",VLOOKUP(P464,'Tiempo Objeto'!$B$24:$C$32,2,FALSE))))</f>
        <v>1.84</v>
      </c>
      <c r="X464" s="84">
        <f t="shared" si="575"/>
        <v>5.5200000000000005</v>
      </c>
      <c r="Y464" s="80">
        <f t="shared" si="576"/>
        <v>7.6666666666666679</v>
      </c>
      <c r="Z464" s="100">
        <v>1</v>
      </c>
      <c r="AA464" s="85">
        <f t="shared" si="577"/>
        <v>75</v>
      </c>
      <c r="AB464" s="86">
        <f>+Z464*Analisis!$J$6</f>
        <v>25</v>
      </c>
      <c r="AC464" s="100">
        <v>0</v>
      </c>
      <c r="AD464" s="85">
        <f t="shared" si="578"/>
        <v>0</v>
      </c>
      <c r="AE464" s="86">
        <f>+AD464*Analisis!$J$7</f>
        <v>0</v>
      </c>
      <c r="AF464" s="86">
        <f t="shared" si="579"/>
        <v>55.316118421052636</v>
      </c>
      <c r="AG464" s="126">
        <f>+AF464/(1-Analisis!$E$9)</f>
        <v>69.145148026315795</v>
      </c>
      <c r="AH464" s="128">
        <f t="shared" si="581"/>
        <v>2074.3544407894738</v>
      </c>
      <c r="AI464" s="128">
        <f t="shared" si="582"/>
        <v>308.56</v>
      </c>
    </row>
    <row r="465" spans="1:35" s="73" customFormat="1" x14ac:dyDescent="0.25">
      <c r="A465" s="100"/>
      <c r="B465" s="120" t="s">
        <v>630</v>
      </c>
      <c r="C465" s="138">
        <f>IFERROR(VLOOKUP(B465,'REQ GALV'!A:B,2,0),0)</f>
        <v>15</v>
      </c>
      <c r="D465" s="116">
        <f t="shared" si="580"/>
        <v>402.91021881578939</v>
      </c>
      <c r="E465" s="103" t="s">
        <v>41</v>
      </c>
      <c r="F465" s="75" t="s">
        <v>314</v>
      </c>
      <c r="G465" s="90">
        <v>3.42</v>
      </c>
      <c r="H465" s="90">
        <v>50.701999999999998</v>
      </c>
      <c r="I465" s="76">
        <v>0.105</v>
      </c>
      <c r="J465" s="77">
        <v>28.24</v>
      </c>
      <c r="K465" s="78">
        <f t="shared" si="570"/>
        <v>9.9813278611898024</v>
      </c>
      <c r="L465" s="58">
        <f>+VLOOKUP(E465,Material!$H$2:$M$17,6,FALSE)*G465*H465*(1+Material!$K$14)</f>
        <v>128.123954</v>
      </c>
      <c r="M465" s="79" t="str">
        <f>+Analisis!$J$5</f>
        <v>T5.0</v>
      </c>
      <c r="N465" s="80">
        <f>+VLOOKUP(M465,Material!$A$3:$B$58,2,FALSE)</f>
        <v>5000</v>
      </c>
      <c r="O465" s="79" t="s">
        <v>42</v>
      </c>
      <c r="P465" s="79" t="s">
        <v>43</v>
      </c>
      <c r="Q465" s="81">
        <f>+IF(O465="ACERO A36",VLOOKUP(P465,'Velocidades Std 1500 w'!$B$2:$F$15,5,FALSE),IF(O465="INOXIDABLE",VLOOKUP(P465,'Velocidades Std 1500 w'!$B$17:$F$28,5,FALSE),IF(O465="ALUMINIO",VLOOKUP(P465,'Velocidades Std 1500 w'!$B$30:$F$38,5,FALSE))))</f>
        <v>4.3859649122807014E-6</v>
      </c>
      <c r="R465" s="82">
        <f t="shared" si="571"/>
        <v>2.1929824561403508E-2</v>
      </c>
      <c r="S465" s="83">
        <f t="shared" si="572"/>
        <v>51.267039157894729</v>
      </c>
      <c r="T465" s="110">
        <f t="shared" si="573"/>
        <v>3246.91248</v>
      </c>
      <c r="U465" s="80">
        <f t="shared" si="574"/>
        <v>71.204221052631567</v>
      </c>
      <c r="V465" s="98">
        <v>9</v>
      </c>
      <c r="W465" s="84">
        <f>+IF(O465="ACERO A36",VLOOKUP(P465,'Tiempo Objeto'!$B$2:$C$12,2,FALSE),IF(O465="INOXIDABLE",VLOOKUP(P465,'Tiempo Objeto'!$B$14:$C$22,2,FALSE),IF(O465="ALUMINIO",VLOOKUP(P465,'Tiempo Objeto'!$B$24:$C$32,2,FALSE))))</f>
        <v>1.84</v>
      </c>
      <c r="X465" s="84">
        <f t="shared" si="575"/>
        <v>16.560000000000002</v>
      </c>
      <c r="Y465" s="80">
        <f t="shared" si="576"/>
        <v>23.000000000000004</v>
      </c>
      <c r="Z465" s="100">
        <v>4</v>
      </c>
      <c r="AA465" s="85">
        <f t="shared" si="577"/>
        <v>210</v>
      </c>
      <c r="AB465" s="86">
        <f>+Z465*Analisis!$J$6</f>
        <v>100</v>
      </c>
      <c r="AC465" s="100">
        <v>0</v>
      </c>
      <c r="AD465" s="85">
        <f t="shared" si="578"/>
        <v>0</v>
      </c>
      <c r="AE465" s="86">
        <f>+AD465*Analisis!$J$7</f>
        <v>0</v>
      </c>
      <c r="AF465" s="86">
        <f t="shared" si="579"/>
        <v>322.32817505263154</v>
      </c>
      <c r="AG465" s="126">
        <f>+AF465/(1-Analisis!$E$9)</f>
        <v>402.91021881578939</v>
      </c>
      <c r="AH465" s="128">
        <f t="shared" si="581"/>
        <v>6043.6532822368408</v>
      </c>
      <c r="AI465" s="128">
        <f t="shared" si="582"/>
        <v>1921.8593100000001</v>
      </c>
    </row>
    <row r="466" spans="1:35" s="73" customFormat="1" x14ac:dyDescent="0.25">
      <c r="A466" s="100"/>
      <c r="B466" s="120" t="s">
        <v>631</v>
      </c>
      <c r="C466" s="138">
        <f>IFERROR(VLOOKUP(B466,'REQ GALV'!A:B,2,0),0)</f>
        <v>15</v>
      </c>
      <c r="D466" s="116">
        <f t="shared" si="580"/>
        <v>416.55615001827482</v>
      </c>
      <c r="E466" s="103" t="s">
        <v>41</v>
      </c>
      <c r="F466" s="75" t="s">
        <v>314</v>
      </c>
      <c r="G466" s="90">
        <v>4.67</v>
      </c>
      <c r="H466" s="90">
        <v>38.155000000000001</v>
      </c>
      <c r="I466" s="76">
        <v>0.105</v>
      </c>
      <c r="J466" s="77">
        <v>28.24</v>
      </c>
      <c r="K466" s="78">
        <f t="shared" si="570"/>
        <v>10.256648274708848</v>
      </c>
      <c r="L466" s="58">
        <f>+VLOOKUP(E466,Material!$H$2:$M$17,6,FALSE)*G466*H466*(1+Material!$K$14)</f>
        <v>131.65806694444447</v>
      </c>
      <c r="M466" s="79" t="str">
        <f>+Analisis!$J$5</f>
        <v>T5.0</v>
      </c>
      <c r="N466" s="80">
        <f>+VLOOKUP(M466,Material!$A$3:$B$58,2,FALSE)</f>
        <v>5000</v>
      </c>
      <c r="O466" s="79" t="s">
        <v>42</v>
      </c>
      <c r="P466" s="79" t="s">
        <v>43</v>
      </c>
      <c r="Q466" s="81">
        <f>+IF(O466="ACERO A36",VLOOKUP(P466,'Velocidades Std 1500 w'!$B$2:$F$15,5,FALSE),IF(O466="INOXIDABLE",VLOOKUP(P466,'Velocidades Std 1500 w'!$B$17:$F$28,5,FALSE),IF(O466="ALUMINIO",VLOOKUP(P466,'Velocidades Std 1500 w'!$B$30:$F$38,5,FALSE))))</f>
        <v>4.3859649122807014E-6</v>
      </c>
      <c r="R466" s="82">
        <f t="shared" si="571"/>
        <v>2.1929824561403508E-2</v>
      </c>
      <c r="S466" s="83">
        <f t="shared" si="572"/>
        <v>45.542534210526306</v>
      </c>
      <c r="T466" s="110">
        <f t="shared" si="573"/>
        <v>2884.3604999999998</v>
      </c>
      <c r="U466" s="80">
        <f t="shared" si="574"/>
        <v>63.253519736842094</v>
      </c>
      <c r="V466" s="98">
        <v>15</v>
      </c>
      <c r="W466" s="84">
        <f>+IF(O466="ACERO A36",VLOOKUP(P466,'Tiempo Objeto'!$B$2:$C$12,2,FALSE),IF(O466="INOXIDABLE",VLOOKUP(P466,'Tiempo Objeto'!$B$14:$C$22,2,FALSE),IF(O466="ALUMINIO",VLOOKUP(P466,'Tiempo Objeto'!$B$24:$C$32,2,FALSE))))</f>
        <v>1.84</v>
      </c>
      <c r="X466" s="84">
        <f t="shared" si="575"/>
        <v>27.6</v>
      </c>
      <c r="Y466" s="80">
        <f t="shared" si="576"/>
        <v>38.333333333333336</v>
      </c>
      <c r="Z466" s="100">
        <v>4</v>
      </c>
      <c r="AA466" s="85">
        <f t="shared" si="577"/>
        <v>210</v>
      </c>
      <c r="AB466" s="86">
        <f>+Z466*Analisis!$J$6</f>
        <v>100</v>
      </c>
      <c r="AC466" s="100">
        <v>0</v>
      </c>
      <c r="AD466" s="85">
        <f t="shared" si="578"/>
        <v>0</v>
      </c>
      <c r="AE466" s="86">
        <f>+AD466*Analisis!$J$7</f>
        <v>0</v>
      </c>
      <c r="AF466" s="86">
        <f t="shared" si="579"/>
        <v>333.24492001461988</v>
      </c>
      <c r="AG466" s="126">
        <f>+AF466/(1-Analisis!$E$9)</f>
        <v>416.55615001827482</v>
      </c>
      <c r="AH466" s="128">
        <f t="shared" si="581"/>
        <v>6248.3422502741223</v>
      </c>
      <c r="AI466" s="128">
        <f t="shared" si="582"/>
        <v>1974.871004166667</v>
      </c>
    </row>
    <row r="467" spans="1:35" s="73" customFormat="1" x14ac:dyDescent="0.25">
      <c r="A467" s="100"/>
      <c r="B467" s="120" t="s">
        <v>632</v>
      </c>
      <c r="C467" s="138">
        <f>IFERROR(VLOOKUP(B467,'REQ GALV'!A:B,2,0),0)</f>
        <v>15</v>
      </c>
      <c r="D467" s="116">
        <f t="shared" si="580"/>
        <v>473.10920896564329</v>
      </c>
      <c r="E467" s="103" t="s">
        <v>41</v>
      </c>
      <c r="F467" s="75" t="s">
        <v>314</v>
      </c>
      <c r="G467" s="90">
        <v>4.67</v>
      </c>
      <c r="H467" s="90">
        <v>47.947000000000003</v>
      </c>
      <c r="I467" s="76">
        <v>0.105</v>
      </c>
      <c r="J467" s="77">
        <v>28.24</v>
      </c>
      <c r="K467" s="78">
        <f t="shared" si="570"/>
        <v>12.888887821451059</v>
      </c>
      <c r="L467" s="58">
        <f>+VLOOKUP(E467,Material!$H$2:$M$17,6,FALSE)*G467*H467*(1+Material!$K$14)</f>
        <v>165.44645094444448</v>
      </c>
      <c r="M467" s="79" t="str">
        <f>+Analisis!$J$5</f>
        <v>T5.0</v>
      </c>
      <c r="N467" s="80">
        <f>+VLOOKUP(M467,Material!$A$3:$B$58,2,FALSE)</f>
        <v>5000</v>
      </c>
      <c r="O467" s="79" t="s">
        <v>42</v>
      </c>
      <c r="P467" s="79" t="s">
        <v>43</v>
      </c>
      <c r="Q467" s="81">
        <f>+IF(O467="ACERO A36",VLOOKUP(P467,'Velocidades Std 1500 w'!$B$2:$F$15,5,FALSE),IF(O467="INOXIDABLE",VLOOKUP(P467,'Velocidades Std 1500 w'!$B$17:$F$28,5,FALSE),IF(O467="ALUMINIO",VLOOKUP(P467,'Velocidades Std 1500 w'!$B$30:$F$38,5,FALSE))))</f>
        <v>4.3859649122807014E-6</v>
      </c>
      <c r="R467" s="82">
        <f t="shared" si="571"/>
        <v>2.1929824561403508E-2</v>
      </c>
      <c r="S467" s="83">
        <f t="shared" si="572"/>
        <v>53.78945968421052</v>
      </c>
      <c r="T467" s="110">
        <f t="shared" si="573"/>
        <v>3406.6657800000003</v>
      </c>
      <c r="U467" s="80">
        <f t="shared" si="574"/>
        <v>74.707582894736845</v>
      </c>
      <c r="V467" s="98">
        <v>15</v>
      </c>
      <c r="W467" s="84">
        <f>+IF(O467="ACERO A36",VLOOKUP(P467,'Tiempo Objeto'!$B$2:$C$12,2,FALSE),IF(O467="INOXIDABLE",VLOOKUP(P467,'Tiempo Objeto'!$B$14:$C$22,2,FALSE),IF(O467="ALUMINIO",VLOOKUP(P467,'Tiempo Objeto'!$B$24:$C$32,2,FALSE))))</f>
        <v>1.84</v>
      </c>
      <c r="X467" s="84">
        <f t="shared" si="575"/>
        <v>27.6</v>
      </c>
      <c r="Y467" s="80">
        <f t="shared" si="576"/>
        <v>38.333333333333336</v>
      </c>
      <c r="Z467" s="100">
        <v>4</v>
      </c>
      <c r="AA467" s="85">
        <f t="shared" si="577"/>
        <v>210</v>
      </c>
      <c r="AB467" s="86">
        <f>+Z467*Analisis!$J$6</f>
        <v>100</v>
      </c>
      <c r="AC467" s="100">
        <v>0</v>
      </c>
      <c r="AD467" s="85">
        <f t="shared" si="578"/>
        <v>0</v>
      </c>
      <c r="AE467" s="86">
        <f>+AD467*Analisis!$J$7</f>
        <v>0</v>
      </c>
      <c r="AF467" s="86">
        <f t="shared" si="579"/>
        <v>378.48736717251467</v>
      </c>
      <c r="AG467" s="126">
        <f>+AF467/(1-Analisis!$E$9)</f>
        <v>473.10920896564329</v>
      </c>
      <c r="AH467" s="128">
        <f t="shared" si="581"/>
        <v>7096.6381344846495</v>
      </c>
      <c r="AI467" s="128">
        <f t="shared" si="582"/>
        <v>2481.696764166667</v>
      </c>
    </row>
    <row r="468" spans="1:35" s="73" customFormat="1" x14ac:dyDescent="0.25">
      <c r="A468" s="100"/>
      <c r="B468" s="120" t="s">
        <v>633</v>
      </c>
      <c r="C468" s="138">
        <f>IFERROR(VLOOKUP(B468,'REQ GALV'!A:B,2,0),0)</f>
        <v>180</v>
      </c>
      <c r="D468" s="116">
        <f t="shared" si="580"/>
        <v>74.018095760233919</v>
      </c>
      <c r="E468" s="103" t="s">
        <v>41</v>
      </c>
      <c r="F468" s="75" t="s">
        <v>314</v>
      </c>
      <c r="G468" s="90">
        <v>2.5</v>
      </c>
      <c r="H468" s="90">
        <v>5.82</v>
      </c>
      <c r="I468" s="76">
        <v>0.105</v>
      </c>
      <c r="J468" s="77">
        <v>28.24</v>
      </c>
      <c r="K468" s="78">
        <f t="shared" si="570"/>
        <v>0.8375295089707272</v>
      </c>
      <c r="L468" s="58">
        <f>+VLOOKUP(E468,Material!$H$2:$M$17,6,FALSE)*G468*H468*(1+Material!$K$14)</f>
        <v>10.750833333333334</v>
      </c>
      <c r="M468" s="79" t="str">
        <f>+Analisis!$J$5</f>
        <v>T5.0</v>
      </c>
      <c r="N468" s="80">
        <f>+VLOOKUP(M468,Material!$A$3:$B$58,2,FALSE)</f>
        <v>5000</v>
      </c>
      <c r="O468" s="79" t="s">
        <v>42</v>
      </c>
      <c r="P468" s="79" t="s">
        <v>43</v>
      </c>
      <c r="Q468" s="81">
        <f>+IF(O468="ACERO A36",VLOOKUP(P468,'Velocidades Std 1500 w'!$B$2:$F$15,5,FALSE),IF(O468="INOXIDABLE",VLOOKUP(P468,'Velocidades Std 1500 w'!$B$17:$F$28,5,FALSE),IF(O468="ALUMINIO",VLOOKUP(P468,'Velocidades Std 1500 w'!$B$30:$F$38,5,FALSE))))</f>
        <v>4.3859649122807014E-6</v>
      </c>
      <c r="R468" s="82">
        <f t="shared" si="571"/>
        <v>2.1929824561403508E-2</v>
      </c>
      <c r="S468" s="83">
        <f t="shared" si="572"/>
        <v>9.5338231578947337</v>
      </c>
      <c r="T468" s="110">
        <f t="shared" si="573"/>
        <v>603.80879999999991</v>
      </c>
      <c r="U468" s="80">
        <f t="shared" si="574"/>
        <v>13.241421052631576</v>
      </c>
      <c r="V468" s="98">
        <v>4</v>
      </c>
      <c r="W468" s="84">
        <f>+IF(O468="ACERO A36",VLOOKUP(P468,'Tiempo Objeto'!$B$2:$C$12,2,FALSE),IF(O468="INOXIDABLE",VLOOKUP(P468,'Tiempo Objeto'!$B$14:$C$22,2,FALSE),IF(O468="ALUMINIO",VLOOKUP(P468,'Tiempo Objeto'!$B$24:$C$32,2,FALSE))))</f>
        <v>1.84</v>
      </c>
      <c r="X468" s="84">
        <f t="shared" si="575"/>
        <v>7.36</v>
      </c>
      <c r="Y468" s="80">
        <f t="shared" si="576"/>
        <v>10.222222222222221</v>
      </c>
      <c r="Z468" s="100">
        <v>1</v>
      </c>
      <c r="AA468" s="85">
        <f t="shared" si="577"/>
        <v>300</v>
      </c>
      <c r="AB468" s="86">
        <f>+Z468*Analisis!$J$6</f>
        <v>25</v>
      </c>
      <c r="AC468" s="100">
        <v>0</v>
      </c>
      <c r="AD468" s="85">
        <f t="shared" si="578"/>
        <v>0</v>
      </c>
      <c r="AE468" s="86">
        <f>+AD468*Analisis!$J$7</f>
        <v>0</v>
      </c>
      <c r="AF468" s="86">
        <f t="shared" si="579"/>
        <v>59.214476608187134</v>
      </c>
      <c r="AG468" s="126">
        <f>+AF468/(1-Analisis!$E$9)</f>
        <v>74.018095760233919</v>
      </c>
      <c r="AH468" s="128">
        <f t="shared" si="581"/>
        <v>13323.257236842106</v>
      </c>
      <c r="AI468" s="128">
        <f t="shared" si="582"/>
        <v>1935.15</v>
      </c>
    </row>
    <row r="469" spans="1:35" s="73" customFormat="1" x14ac:dyDescent="0.25">
      <c r="A469" s="100"/>
      <c r="B469" s="120" t="s">
        <v>634</v>
      </c>
      <c r="C469" s="138">
        <f>IFERROR(VLOOKUP(B469,'REQ GALV'!A:B,2,0),0)</f>
        <v>15</v>
      </c>
      <c r="D469" s="116">
        <f t="shared" si="580"/>
        <v>194.45790387426899</v>
      </c>
      <c r="E469" s="103" t="s">
        <v>41</v>
      </c>
      <c r="F469" s="75" t="s">
        <v>314</v>
      </c>
      <c r="G469" s="90">
        <v>36</v>
      </c>
      <c r="H469" s="90">
        <v>2.3199999999999998</v>
      </c>
      <c r="I469" s="76">
        <v>0.105</v>
      </c>
      <c r="J469" s="77">
        <v>28.24</v>
      </c>
      <c r="K469" s="78">
        <f t="shared" si="570"/>
        <v>4.8075920679886686</v>
      </c>
      <c r="L469" s="58">
        <f>+VLOOKUP(E469,Material!$H$2:$M$17,6,FALSE)*G469*H469*(1+Material!$K$14)</f>
        <v>61.712000000000003</v>
      </c>
      <c r="M469" s="79" t="str">
        <f>+Analisis!$J$5</f>
        <v>T5.0</v>
      </c>
      <c r="N469" s="80">
        <f>+VLOOKUP(M469,Material!$A$3:$B$58,2,FALSE)</f>
        <v>5000</v>
      </c>
      <c r="O469" s="79" t="s">
        <v>42</v>
      </c>
      <c r="P469" s="79" t="s">
        <v>43</v>
      </c>
      <c r="Q469" s="81">
        <f>+IF(O469="ACERO A36",VLOOKUP(P469,'Velocidades Std 1500 w'!$B$2:$F$15,5,FALSE),IF(O469="INOXIDABLE",VLOOKUP(P469,'Velocidades Std 1500 w'!$B$17:$F$28,5,FALSE),IF(O469="ALUMINIO",VLOOKUP(P469,'Velocidades Std 1500 w'!$B$30:$F$38,5,FALSE))))</f>
        <v>4.3859649122807014E-6</v>
      </c>
      <c r="R469" s="82">
        <f t="shared" si="571"/>
        <v>2.1929824561403508E-2</v>
      </c>
      <c r="S469" s="83">
        <f t="shared" si="572"/>
        <v>36.695112631578944</v>
      </c>
      <c r="T469" s="110">
        <f t="shared" si="573"/>
        <v>2324.0237999999999</v>
      </c>
      <c r="U469" s="80">
        <f t="shared" si="574"/>
        <v>50.965434210526311</v>
      </c>
      <c r="V469" s="98">
        <v>7</v>
      </c>
      <c r="W469" s="84">
        <f>+IF(O469="ACERO A36",VLOOKUP(P469,'Tiempo Objeto'!$B$2:$C$12,2,FALSE),IF(O469="INOXIDABLE",VLOOKUP(P469,'Tiempo Objeto'!$B$14:$C$22,2,FALSE),IF(O469="ALUMINIO",VLOOKUP(P469,'Tiempo Objeto'!$B$24:$C$32,2,FALSE))))</f>
        <v>1.84</v>
      </c>
      <c r="X469" s="84">
        <f t="shared" si="575"/>
        <v>12.88</v>
      </c>
      <c r="Y469" s="80">
        <f t="shared" si="576"/>
        <v>17.888888888888889</v>
      </c>
      <c r="Z469" s="100">
        <v>1</v>
      </c>
      <c r="AA469" s="85">
        <f t="shared" si="577"/>
        <v>52.5</v>
      </c>
      <c r="AB469" s="86">
        <f>+Z469*Analisis!$J$6</f>
        <v>25</v>
      </c>
      <c r="AC469" s="100">
        <v>0</v>
      </c>
      <c r="AD469" s="85">
        <f t="shared" si="578"/>
        <v>0</v>
      </c>
      <c r="AE469" s="86">
        <f>+AD469*Analisis!$J$7</f>
        <v>0</v>
      </c>
      <c r="AF469" s="86">
        <f t="shared" si="579"/>
        <v>155.5663230994152</v>
      </c>
      <c r="AG469" s="126">
        <f>+AF469/(1-Analisis!$E$9)</f>
        <v>194.45790387426899</v>
      </c>
      <c r="AH469" s="128">
        <f t="shared" si="581"/>
        <v>2916.8685581140348</v>
      </c>
      <c r="AI469" s="128">
        <f t="shared" si="582"/>
        <v>925.68000000000006</v>
      </c>
    </row>
    <row r="470" spans="1:35" s="73" customFormat="1" x14ac:dyDescent="0.25">
      <c r="A470" s="100"/>
      <c r="B470" s="120" t="s">
        <v>635</v>
      </c>
      <c r="C470" s="138">
        <f>IFERROR(VLOOKUP(B470,'REQ GALV'!A:B,2,0),0)</f>
        <v>75</v>
      </c>
      <c r="D470" s="116">
        <f t="shared" si="580"/>
        <v>1033.823553936769</v>
      </c>
      <c r="E470" s="103" t="s">
        <v>44</v>
      </c>
      <c r="F470" s="75" t="s">
        <v>314</v>
      </c>
      <c r="G470" s="90">
        <v>19.640999999999998</v>
      </c>
      <c r="H470" s="90">
        <v>36.064</v>
      </c>
      <c r="I470" s="76">
        <v>0.105</v>
      </c>
      <c r="J470" s="77">
        <v>28.24</v>
      </c>
      <c r="K470" s="78">
        <f t="shared" si="570"/>
        <v>49.692316540722388</v>
      </c>
      <c r="L470" s="58">
        <f>+VLOOKUP(E470,Material!$H$2:$M$17,6,FALSE)*G470*H470*(1+Material!$K$14)</f>
        <v>637.86864505000005</v>
      </c>
      <c r="M470" s="79" t="str">
        <f>+Analisis!$J$5</f>
        <v>T5.0</v>
      </c>
      <c r="N470" s="80">
        <f>+VLOOKUP(M470,Material!$A$3:$B$58,2,FALSE)</f>
        <v>5000</v>
      </c>
      <c r="O470" s="79" t="s">
        <v>42</v>
      </c>
      <c r="P470" s="79" t="s">
        <v>43</v>
      </c>
      <c r="Q470" s="81">
        <f>+IF(O470="ACERO A36",VLOOKUP(P470,'Velocidades Std 1500 w'!$B$2:$F$15,5,FALSE),IF(O470="INOXIDABLE",VLOOKUP(P470,'Velocidades Std 1500 w'!$B$17:$F$28,5,FALSE),IF(O470="ALUMINIO",VLOOKUP(P470,'Velocidades Std 1500 w'!$B$30:$F$38,5,FALSE))))</f>
        <v>4.3859649122807014E-6</v>
      </c>
      <c r="R470" s="82">
        <f t="shared" si="571"/>
        <v>2.1929824561403508E-2</v>
      </c>
      <c r="S470" s="83">
        <f t="shared" si="572"/>
        <v>51.336942631578943</v>
      </c>
      <c r="T470" s="110">
        <f t="shared" si="573"/>
        <v>3251.3397</v>
      </c>
      <c r="U470" s="80">
        <f t="shared" si="574"/>
        <v>71.301309210526313</v>
      </c>
      <c r="V470" s="98">
        <v>7</v>
      </c>
      <c r="W470" s="84">
        <f>+IF(O470="ACERO A36",VLOOKUP(P470,'Tiempo Objeto'!$B$2:$C$12,2,FALSE),IF(O470="INOXIDABLE",VLOOKUP(P470,'Tiempo Objeto'!$B$14:$C$22,2,FALSE),IF(O470="ALUMINIO",VLOOKUP(P470,'Tiempo Objeto'!$B$24:$C$32,2,FALSE))))</f>
        <v>1.84</v>
      </c>
      <c r="X470" s="84">
        <f t="shared" si="575"/>
        <v>12.88</v>
      </c>
      <c r="Y470" s="80">
        <f t="shared" si="576"/>
        <v>17.888888888888889</v>
      </c>
      <c r="Z470" s="100">
        <v>4</v>
      </c>
      <c r="AA470" s="85">
        <f t="shared" si="577"/>
        <v>570</v>
      </c>
      <c r="AB470" s="86">
        <f>+Z470*Analisis!$J$6</f>
        <v>100</v>
      </c>
      <c r="AC470" s="100">
        <v>0</v>
      </c>
      <c r="AD470" s="85">
        <f t="shared" si="578"/>
        <v>0</v>
      </c>
      <c r="AE470" s="86">
        <f>+AD470*Analisis!$J$7</f>
        <v>0</v>
      </c>
      <c r="AF470" s="86">
        <f t="shared" si="579"/>
        <v>827.05884314941522</v>
      </c>
      <c r="AG470" s="126">
        <f>+AF470/(1-Analisis!$E$9)</f>
        <v>1033.823553936769</v>
      </c>
      <c r="AH470" s="128">
        <f t="shared" si="581"/>
        <v>77536.766545257677</v>
      </c>
      <c r="AI470" s="128">
        <f t="shared" si="582"/>
        <v>47840.148378750004</v>
      </c>
    </row>
    <row r="471" spans="1:35" s="73" customFormat="1" x14ac:dyDescent="0.25">
      <c r="A471" s="100"/>
      <c r="B471" s="120" t="s">
        <v>636</v>
      </c>
      <c r="C471" s="138">
        <f>IFERROR(VLOOKUP(B471,'REQ GALV'!A:B,2,0),0)</f>
        <v>30</v>
      </c>
      <c r="D471" s="116">
        <f t="shared" si="580"/>
        <v>420.07450975146196</v>
      </c>
      <c r="E471" s="103" t="s">
        <v>41</v>
      </c>
      <c r="F471" s="75" t="s">
        <v>314</v>
      </c>
      <c r="G471" s="90">
        <v>3.42</v>
      </c>
      <c r="H471" s="90">
        <v>50.701999999999998</v>
      </c>
      <c r="I471" s="76">
        <v>0.105</v>
      </c>
      <c r="J471" s="77">
        <v>28.24</v>
      </c>
      <c r="K471" s="78">
        <f t="shared" si="570"/>
        <v>9.9813278611898024</v>
      </c>
      <c r="L471" s="58">
        <f>+VLOOKUP(E471,Material!$H$2:$M$17,6,FALSE)*G471*H471*(1+Material!$K$14)</f>
        <v>128.123954</v>
      </c>
      <c r="M471" s="79" t="str">
        <f>+Analisis!$J$5</f>
        <v>T5.0</v>
      </c>
      <c r="N471" s="80">
        <f>+VLOOKUP(M471,Material!$A$3:$B$58,2,FALSE)</f>
        <v>5000</v>
      </c>
      <c r="O471" s="79" t="s">
        <v>42</v>
      </c>
      <c r="P471" s="79" t="s">
        <v>43</v>
      </c>
      <c r="Q471" s="81">
        <f>+IF(O471="ACERO A36",VLOOKUP(P471,'Velocidades Std 1500 w'!$B$2:$F$15,5,FALSE),IF(O471="INOXIDABLE",VLOOKUP(P471,'Velocidades Std 1500 w'!$B$17:$F$28,5,FALSE),IF(O471="ALUMINIO",VLOOKUP(P471,'Velocidades Std 1500 w'!$B$30:$F$38,5,FALSE))))</f>
        <v>4.3859649122807014E-6</v>
      </c>
      <c r="R471" s="82">
        <f t="shared" si="571"/>
        <v>2.1929824561403508E-2</v>
      </c>
      <c r="S471" s="83">
        <f t="shared" si="572"/>
        <v>53.793670736842103</v>
      </c>
      <c r="T471" s="110">
        <f t="shared" si="573"/>
        <v>3406.9324799999999</v>
      </c>
      <c r="U471" s="80">
        <f t="shared" si="574"/>
        <v>74.713431578947365</v>
      </c>
      <c r="V471" s="98">
        <v>13</v>
      </c>
      <c r="W471" s="84">
        <f>+IF(O471="ACERO A36",VLOOKUP(P471,'Tiempo Objeto'!$B$2:$C$12,2,FALSE),IF(O471="INOXIDABLE",VLOOKUP(P471,'Tiempo Objeto'!$B$14:$C$22,2,FALSE),IF(O471="ALUMINIO",VLOOKUP(P471,'Tiempo Objeto'!$B$24:$C$32,2,FALSE))))</f>
        <v>1.84</v>
      </c>
      <c r="X471" s="84">
        <f t="shared" si="575"/>
        <v>23.92</v>
      </c>
      <c r="Y471" s="80">
        <f t="shared" si="576"/>
        <v>33.222222222222229</v>
      </c>
      <c r="Z471" s="100">
        <v>4</v>
      </c>
      <c r="AA471" s="85">
        <f t="shared" si="577"/>
        <v>300</v>
      </c>
      <c r="AB471" s="86">
        <f>+Z471*Analisis!$J$6</f>
        <v>100</v>
      </c>
      <c r="AC471" s="100">
        <v>0</v>
      </c>
      <c r="AD471" s="85">
        <f t="shared" si="578"/>
        <v>0</v>
      </c>
      <c r="AE471" s="86">
        <f>+AD471*Analisis!$J$7</f>
        <v>0</v>
      </c>
      <c r="AF471" s="86">
        <f t="shared" si="579"/>
        <v>336.05960780116959</v>
      </c>
      <c r="AG471" s="126">
        <f>+AF471/(1-Analisis!$E$9)</f>
        <v>420.07450975146196</v>
      </c>
      <c r="AH471" s="128">
        <f t="shared" si="581"/>
        <v>12602.235292543859</v>
      </c>
      <c r="AI471" s="128">
        <f t="shared" si="582"/>
        <v>3843.7186200000001</v>
      </c>
    </row>
    <row r="472" spans="1:35" s="73" customFormat="1" x14ac:dyDescent="0.25">
      <c r="A472" s="100"/>
      <c r="B472" s="120" t="s">
        <v>637</v>
      </c>
      <c r="C472" s="138">
        <f>IFERROR(VLOOKUP(B472,'REQ GALV'!A:B,2,0),0)</f>
        <v>30</v>
      </c>
      <c r="D472" s="116">
        <f t="shared" si="580"/>
        <v>416.55615001827482</v>
      </c>
      <c r="E472" s="103" t="s">
        <v>41</v>
      </c>
      <c r="F472" s="75" t="s">
        <v>314</v>
      </c>
      <c r="G472" s="90">
        <v>4.67</v>
      </c>
      <c r="H472" s="90">
        <v>38.155000000000001</v>
      </c>
      <c r="I472" s="76">
        <v>0.105</v>
      </c>
      <c r="J472" s="77">
        <v>28.24</v>
      </c>
      <c r="K472" s="78">
        <f t="shared" si="570"/>
        <v>10.256648274708848</v>
      </c>
      <c r="L472" s="58">
        <f>+VLOOKUP(E472,Material!$H$2:$M$17,6,FALSE)*G472*H472*(1+Material!$K$14)</f>
        <v>131.65806694444447</v>
      </c>
      <c r="M472" s="79" t="str">
        <f>+Analisis!$J$5</f>
        <v>T5.0</v>
      </c>
      <c r="N472" s="80">
        <f>+VLOOKUP(M472,Material!$A$3:$B$58,2,FALSE)</f>
        <v>5000</v>
      </c>
      <c r="O472" s="79" t="s">
        <v>42</v>
      </c>
      <c r="P472" s="79" t="s">
        <v>43</v>
      </c>
      <c r="Q472" s="81">
        <f>+IF(O472="ACERO A36",VLOOKUP(P472,'Velocidades Std 1500 w'!$B$2:$F$15,5,FALSE),IF(O472="INOXIDABLE",VLOOKUP(P472,'Velocidades Std 1500 w'!$B$17:$F$28,5,FALSE),IF(O472="ALUMINIO",VLOOKUP(P472,'Velocidades Std 1500 w'!$B$30:$F$38,5,FALSE))))</f>
        <v>4.3859649122807014E-6</v>
      </c>
      <c r="R472" s="82">
        <f t="shared" si="571"/>
        <v>2.1929824561403508E-2</v>
      </c>
      <c r="S472" s="83">
        <f t="shared" si="572"/>
        <v>45.542534210526306</v>
      </c>
      <c r="T472" s="110">
        <f t="shared" si="573"/>
        <v>2884.3604999999998</v>
      </c>
      <c r="U472" s="80">
        <f t="shared" si="574"/>
        <v>63.253519736842094</v>
      </c>
      <c r="V472" s="98">
        <v>15</v>
      </c>
      <c r="W472" s="84">
        <f>+IF(O472="ACERO A36",VLOOKUP(P472,'Tiempo Objeto'!$B$2:$C$12,2,FALSE),IF(O472="INOXIDABLE",VLOOKUP(P472,'Tiempo Objeto'!$B$14:$C$22,2,FALSE),IF(O472="ALUMINIO",VLOOKUP(P472,'Tiempo Objeto'!$B$24:$C$32,2,FALSE))))</f>
        <v>1.84</v>
      </c>
      <c r="X472" s="84">
        <f t="shared" si="575"/>
        <v>27.6</v>
      </c>
      <c r="Y472" s="80">
        <f t="shared" si="576"/>
        <v>38.333333333333336</v>
      </c>
      <c r="Z472" s="100">
        <v>4</v>
      </c>
      <c r="AA472" s="85">
        <f t="shared" si="577"/>
        <v>300</v>
      </c>
      <c r="AB472" s="86">
        <f>+Z472*Analisis!$J$6</f>
        <v>100</v>
      </c>
      <c r="AC472" s="100">
        <v>0</v>
      </c>
      <c r="AD472" s="85">
        <f t="shared" si="578"/>
        <v>0</v>
      </c>
      <c r="AE472" s="86">
        <f>+AD472*Analisis!$J$7</f>
        <v>0</v>
      </c>
      <c r="AF472" s="86">
        <f t="shared" si="579"/>
        <v>333.24492001461988</v>
      </c>
      <c r="AG472" s="126">
        <f>+AF472/(1-Analisis!$E$9)</f>
        <v>416.55615001827482</v>
      </c>
      <c r="AH472" s="128">
        <f t="shared" si="581"/>
        <v>12496.684500548245</v>
      </c>
      <c r="AI472" s="128">
        <f t="shared" si="582"/>
        <v>3949.7420083333341</v>
      </c>
    </row>
    <row r="473" spans="1:35" s="73" customFormat="1" x14ac:dyDescent="0.25">
      <c r="A473" s="100"/>
      <c r="B473" s="120" t="s">
        <v>638</v>
      </c>
      <c r="C473" s="138">
        <f>IFERROR(VLOOKUP(B473,'REQ GALV'!A:B,2,0),0)</f>
        <v>30</v>
      </c>
      <c r="D473" s="116">
        <f t="shared" si="580"/>
        <v>473.10920896564329</v>
      </c>
      <c r="E473" s="103" t="s">
        <v>41</v>
      </c>
      <c r="F473" s="75" t="s">
        <v>314</v>
      </c>
      <c r="G473" s="90">
        <v>4.67</v>
      </c>
      <c r="H473" s="90">
        <v>47.947000000000003</v>
      </c>
      <c r="I473" s="76">
        <v>0.105</v>
      </c>
      <c r="J473" s="77">
        <v>28.24</v>
      </c>
      <c r="K473" s="78">
        <f t="shared" si="570"/>
        <v>12.888887821451059</v>
      </c>
      <c r="L473" s="58">
        <f>+VLOOKUP(E473,Material!$H$2:$M$17,6,FALSE)*G473*H473*(1+Material!$K$14)</f>
        <v>165.44645094444448</v>
      </c>
      <c r="M473" s="79" t="str">
        <f>+Analisis!$J$5</f>
        <v>T5.0</v>
      </c>
      <c r="N473" s="80">
        <f>+VLOOKUP(M473,Material!$A$3:$B$58,2,FALSE)</f>
        <v>5000</v>
      </c>
      <c r="O473" s="79" t="s">
        <v>42</v>
      </c>
      <c r="P473" s="79" t="s">
        <v>43</v>
      </c>
      <c r="Q473" s="81">
        <f>+IF(O473="ACERO A36",VLOOKUP(P473,'Velocidades Std 1500 w'!$B$2:$F$15,5,FALSE),IF(O473="INOXIDABLE",VLOOKUP(P473,'Velocidades Std 1500 w'!$B$17:$F$28,5,FALSE),IF(O473="ALUMINIO",VLOOKUP(P473,'Velocidades Std 1500 w'!$B$30:$F$38,5,FALSE))))</f>
        <v>4.3859649122807014E-6</v>
      </c>
      <c r="R473" s="82">
        <f t="shared" si="571"/>
        <v>2.1929824561403508E-2</v>
      </c>
      <c r="S473" s="83">
        <f t="shared" si="572"/>
        <v>53.78945968421052</v>
      </c>
      <c r="T473" s="110">
        <f t="shared" si="573"/>
        <v>3406.6657800000003</v>
      </c>
      <c r="U473" s="80">
        <f t="shared" si="574"/>
        <v>74.707582894736845</v>
      </c>
      <c r="V473" s="98">
        <v>15</v>
      </c>
      <c r="W473" s="84">
        <f>+IF(O473="ACERO A36",VLOOKUP(P473,'Tiempo Objeto'!$B$2:$C$12,2,FALSE),IF(O473="INOXIDABLE",VLOOKUP(P473,'Tiempo Objeto'!$B$14:$C$22,2,FALSE),IF(O473="ALUMINIO",VLOOKUP(P473,'Tiempo Objeto'!$B$24:$C$32,2,FALSE))))</f>
        <v>1.84</v>
      </c>
      <c r="X473" s="84">
        <f t="shared" si="575"/>
        <v>27.6</v>
      </c>
      <c r="Y473" s="80">
        <f t="shared" si="576"/>
        <v>38.333333333333336</v>
      </c>
      <c r="Z473" s="100">
        <v>4</v>
      </c>
      <c r="AA473" s="85">
        <f t="shared" si="577"/>
        <v>300</v>
      </c>
      <c r="AB473" s="86">
        <f>+Z473*Analisis!$J$6</f>
        <v>100</v>
      </c>
      <c r="AC473" s="100">
        <v>0</v>
      </c>
      <c r="AD473" s="85">
        <f t="shared" si="578"/>
        <v>0</v>
      </c>
      <c r="AE473" s="86">
        <f>+AD473*Analisis!$J$7</f>
        <v>0</v>
      </c>
      <c r="AF473" s="86">
        <f t="shared" si="579"/>
        <v>378.48736717251467</v>
      </c>
      <c r="AG473" s="126">
        <f>+AF473/(1-Analisis!$E$9)</f>
        <v>473.10920896564329</v>
      </c>
      <c r="AH473" s="128">
        <f t="shared" si="581"/>
        <v>14193.276268969299</v>
      </c>
      <c r="AI473" s="128">
        <f t="shared" si="582"/>
        <v>4963.393528333334</v>
      </c>
    </row>
    <row r="474" spans="1:35" s="73" customFormat="1" x14ac:dyDescent="0.25">
      <c r="A474" s="100"/>
      <c r="B474" s="120" t="s">
        <v>639</v>
      </c>
      <c r="C474" s="138">
        <f>IFERROR(VLOOKUP(B474,'REQ GALV'!A:B,2,0),0)</f>
        <v>30</v>
      </c>
      <c r="D474" s="116">
        <f t="shared" si="580"/>
        <v>184.48598455774857</v>
      </c>
      <c r="E474" s="103" t="s">
        <v>41</v>
      </c>
      <c r="F474" s="75" t="s">
        <v>314</v>
      </c>
      <c r="G474" s="90">
        <v>25.625</v>
      </c>
      <c r="H474" s="90">
        <v>3.07</v>
      </c>
      <c r="I474" s="76">
        <v>0.105</v>
      </c>
      <c r="J474" s="77">
        <v>28.24</v>
      </c>
      <c r="K474" s="78">
        <f t="shared" si="570"/>
        <v>4.5283436122914713</v>
      </c>
      <c r="L474" s="58">
        <f>+VLOOKUP(E474,Material!$H$2:$M$17,6,FALSE)*G474*H474*(1+Material!$K$14)</f>
        <v>58.127465277777787</v>
      </c>
      <c r="M474" s="79" t="str">
        <f>+Analisis!$J$5</f>
        <v>T5.0</v>
      </c>
      <c r="N474" s="80">
        <f>+VLOOKUP(M474,Material!$A$3:$B$58,2,FALSE)</f>
        <v>5000</v>
      </c>
      <c r="O474" s="79" t="s">
        <v>42</v>
      </c>
      <c r="P474" s="79" t="s">
        <v>43</v>
      </c>
      <c r="Q474" s="81">
        <f>+IF(O474="ACERO A36",VLOOKUP(P474,'Velocidades Std 1500 w'!$B$2:$F$15,5,FALSE),IF(O474="INOXIDABLE",VLOOKUP(P474,'Velocidades Std 1500 w'!$B$17:$F$28,5,FALSE),IF(O474="ALUMINIO",VLOOKUP(P474,'Velocidades Std 1500 w'!$B$30:$F$38,5,FALSE))))</f>
        <v>4.3859649122807014E-6</v>
      </c>
      <c r="R474" s="82">
        <f t="shared" si="571"/>
        <v>2.1929824561403508E-2</v>
      </c>
      <c r="S474" s="83">
        <f t="shared" si="572"/>
        <v>29.852152105263158</v>
      </c>
      <c r="T474" s="110">
        <f t="shared" si="573"/>
        <v>1890.6363000000001</v>
      </c>
      <c r="U474" s="80">
        <f t="shared" si="574"/>
        <v>41.461322368421051</v>
      </c>
      <c r="V474" s="98">
        <v>9</v>
      </c>
      <c r="W474" s="84">
        <f>+IF(O474="ACERO A36",VLOOKUP(P474,'Tiempo Objeto'!$B$2:$C$12,2,FALSE),IF(O474="INOXIDABLE",VLOOKUP(P474,'Tiempo Objeto'!$B$14:$C$22,2,FALSE),IF(O474="ALUMINIO",VLOOKUP(P474,'Tiempo Objeto'!$B$24:$C$32,2,FALSE))))</f>
        <v>1.84</v>
      </c>
      <c r="X474" s="84">
        <f t="shared" si="575"/>
        <v>16.560000000000002</v>
      </c>
      <c r="Y474" s="80">
        <f t="shared" si="576"/>
        <v>23.000000000000004</v>
      </c>
      <c r="Z474" s="100">
        <v>1</v>
      </c>
      <c r="AA474" s="85">
        <f t="shared" si="577"/>
        <v>75</v>
      </c>
      <c r="AB474" s="86">
        <f>+Z474*Analisis!$J$6</f>
        <v>25</v>
      </c>
      <c r="AC474" s="100">
        <v>0</v>
      </c>
      <c r="AD474" s="85">
        <f t="shared" si="578"/>
        <v>0</v>
      </c>
      <c r="AE474" s="86">
        <f>+AD474*Analisis!$J$7</f>
        <v>0</v>
      </c>
      <c r="AF474" s="86">
        <f t="shared" si="579"/>
        <v>147.58878764619885</v>
      </c>
      <c r="AG474" s="126">
        <f>+AF474/(1-Analisis!$E$9)</f>
        <v>184.48598455774857</v>
      </c>
      <c r="AH474" s="128">
        <f t="shared" si="581"/>
        <v>5534.5795367324572</v>
      </c>
      <c r="AI474" s="128">
        <f t="shared" si="582"/>
        <v>1743.8239583333336</v>
      </c>
    </row>
    <row r="475" spans="1:35" s="73" customFormat="1" x14ac:dyDescent="0.25">
      <c r="A475" s="100"/>
      <c r="B475" s="120" t="s">
        <v>640</v>
      </c>
      <c r="C475" s="138">
        <f>IFERROR(VLOOKUP(B475,'REQ GALV'!A:B,2,0),0)</f>
        <v>60</v>
      </c>
      <c r="D475" s="116">
        <f t="shared" si="580"/>
        <v>101.51972222222223</v>
      </c>
      <c r="E475" s="103" t="s">
        <v>41</v>
      </c>
      <c r="F475" s="75" t="s">
        <v>314</v>
      </c>
      <c r="G475" s="90">
        <v>2.25</v>
      </c>
      <c r="H475" s="90">
        <v>4.032</v>
      </c>
      <c r="I475" s="76">
        <v>0.105</v>
      </c>
      <c r="J475" s="77">
        <v>28.24</v>
      </c>
      <c r="K475" s="78">
        <f t="shared" si="570"/>
        <v>0.52220396600566577</v>
      </c>
      <c r="L475" s="58">
        <f>+VLOOKUP(E475,Material!$H$2:$M$17,6,FALSE)*G475*H475*(1+Material!$K$14)</f>
        <v>6.7032000000000007</v>
      </c>
      <c r="M475" s="79" t="str">
        <f>+Analisis!$J$5</f>
        <v>T5.0</v>
      </c>
      <c r="N475" s="80">
        <f>+VLOOKUP(M475,Material!$A$3:$B$58,2,FALSE)</f>
        <v>5000</v>
      </c>
      <c r="O475" s="79" t="s">
        <v>42</v>
      </c>
      <c r="P475" s="79" t="s">
        <v>43</v>
      </c>
      <c r="Q475" s="81">
        <f>+IF(O475="ACERO A36",VLOOKUP(P475,'Velocidades Std 1500 w'!$B$2:$F$15,5,FALSE),IF(O475="INOXIDABLE",VLOOKUP(P475,'Velocidades Std 1500 w'!$B$17:$F$28,5,FALSE),IF(O475="ALUMINIO",VLOOKUP(P475,'Velocidades Std 1500 w'!$B$30:$F$38,5,FALSE))))</f>
        <v>4.3859649122807014E-6</v>
      </c>
      <c r="R475" s="82">
        <f t="shared" si="571"/>
        <v>2.1929824561403508E-2</v>
      </c>
      <c r="S475" s="83">
        <f t="shared" si="572"/>
        <v>8.4490559999999988</v>
      </c>
      <c r="T475" s="110">
        <f t="shared" si="573"/>
        <v>535.10687999999993</v>
      </c>
      <c r="U475" s="80">
        <f t="shared" si="574"/>
        <v>11.734799999999998</v>
      </c>
      <c r="V475" s="98">
        <v>5</v>
      </c>
      <c r="W475" s="84">
        <f>+IF(O475="ACERO A36",VLOOKUP(P475,'Tiempo Objeto'!$B$2:$C$12,2,FALSE),IF(O475="INOXIDABLE",VLOOKUP(P475,'Tiempo Objeto'!$B$14:$C$22,2,FALSE),IF(O475="ALUMINIO",VLOOKUP(P475,'Tiempo Objeto'!$B$24:$C$32,2,FALSE))))</f>
        <v>1.84</v>
      </c>
      <c r="X475" s="84">
        <f t="shared" si="575"/>
        <v>9.2000000000000011</v>
      </c>
      <c r="Y475" s="80">
        <f t="shared" si="576"/>
        <v>12.77777777777778</v>
      </c>
      <c r="Z475" s="100">
        <v>2</v>
      </c>
      <c r="AA475" s="85">
        <f t="shared" si="577"/>
        <v>240</v>
      </c>
      <c r="AB475" s="86">
        <f>+Z475*Analisis!$J$6</f>
        <v>50</v>
      </c>
      <c r="AC475" s="100">
        <v>0</v>
      </c>
      <c r="AD475" s="85">
        <f t="shared" si="578"/>
        <v>0</v>
      </c>
      <c r="AE475" s="86">
        <f>+AD475*Analisis!$J$7</f>
        <v>0</v>
      </c>
      <c r="AF475" s="86">
        <f t="shared" si="579"/>
        <v>81.215777777777788</v>
      </c>
      <c r="AG475" s="126">
        <f>+AF475/(1-Analisis!$E$9)</f>
        <v>101.51972222222223</v>
      </c>
      <c r="AH475" s="128">
        <f t="shared" si="581"/>
        <v>6091.1833333333334</v>
      </c>
      <c r="AI475" s="128">
        <f t="shared" si="582"/>
        <v>402.19200000000006</v>
      </c>
    </row>
    <row r="476" spans="1:35" s="73" customFormat="1" x14ac:dyDescent="0.25">
      <c r="A476" s="100"/>
      <c r="B476" s="120" t="s">
        <v>641</v>
      </c>
      <c r="C476" s="138">
        <f>IFERROR(VLOOKUP(B476,'REQ GALV'!A:B,2,0),0)</f>
        <v>30</v>
      </c>
      <c r="D476" s="116">
        <f t="shared" si="580"/>
        <v>523.14180186403507</v>
      </c>
      <c r="E476" s="103" t="s">
        <v>41</v>
      </c>
      <c r="F476" s="75" t="s">
        <v>314</v>
      </c>
      <c r="G476" s="90">
        <v>4.67</v>
      </c>
      <c r="H476" s="90">
        <v>56.61</v>
      </c>
      <c r="I476" s="76">
        <v>0.105</v>
      </c>
      <c r="J476" s="77">
        <v>28.24</v>
      </c>
      <c r="K476" s="78">
        <f t="shared" si="570"/>
        <v>15.217634879603402</v>
      </c>
      <c r="L476" s="58">
        <f>+VLOOKUP(E476,Material!$H$2:$M$17,6,FALSE)*G476*H476*(1+Material!$K$14)</f>
        <v>195.33909500000001</v>
      </c>
      <c r="M476" s="79" t="str">
        <f>+Analisis!$J$5</f>
        <v>T5.0</v>
      </c>
      <c r="N476" s="80">
        <f>+VLOOKUP(M476,Material!$A$3:$B$58,2,FALSE)</f>
        <v>5000</v>
      </c>
      <c r="O476" s="79" t="s">
        <v>42</v>
      </c>
      <c r="P476" s="79" t="s">
        <v>43</v>
      </c>
      <c r="Q476" s="81">
        <f>+IF(O476="ACERO A36",VLOOKUP(P476,'Velocidades Std 1500 w'!$B$2:$F$15,5,FALSE),IF(O476="INOXIDABLE",VLOOKUP(P476,'Velocidades Std 1500 w'!$B$17:$F$28,5,FALSE),IF(O476="ALUMINIO",VLOOKUP(P476,'Velocidades Std 1500 w'!$B$30:$F$38,5,FALSE))))</f>
        <v>4.3859649122807014E-6</v>
      </c>
      <c r="R476" s="82">
        <f t="shared" si="571"/>
        <v>2.1929824561403508E-2</v>
      </c>
      <c r="S476" s="83">
        <f t="shared" si="572"/>
        <v>61.085529473684211</v>
      </c>
      <c r="T476" s="110">
        <f t="shared" si="573"/>
        <v>3868.7501999999999</v>
      </c>
      <c r="U476" s="80">
        <f t="shared" si="574"/>
        <v>84.841013157894736</v>
      </c>
      <c r="V476" s="98">
        <v>15</v>
      </c>
      <c r="W476" s="84">
        <f>+IF(O476="ACERO A36",VLOOKUP(P476,'Tiempo Objeto'!$B$2:$C$12,2,FALSE),IF(O476="INOXIDABLE",VLOOKUP(P476,'Tiempo Objeto'!$B$14:$C$22,2,FALSE),IF(O476="ALUMINIO",VLOOKUP(P476,'Tiempo Objeto'!$B$24:$C$32,2,FALSE))))</f>
        <v>1.84</v>
      </c>
      <c r="X476" s="84">
        <f t="shared" si="575"/>
        <v>27.6</v>
      </c>
      <c r="Y476" s="80">
        <f t="shared" si="576"/>
        <v>38.333333333333336</v>
      </c>
      <c r="Z476" s="100">
        <v>4</v>
      </c>
      <c r="AA476" s="85">
        <f t="shared" si="577"/>
        <v>300</v>
      </c>
      <c r="AB476" s="86">
        <f>+Z476*Analisis!$J$6</f>
        <v>100</v>
      </c>
      <c r="AC476" s="100">
        <v>0</v>
      </c>
      <c r="AD476" s="85">
        <f t="shared" si="578"/>
        <v>0</v>
      </c>
      <c r="AE476" s="86">
        <f>+AD476*Analisis!$J$7</f>
        <v>0</v>
      </c>
      <c r="AF476" s="86">
        <f t="shared" si="579"/>
        <v>418.51344149122809</v>
      </c>
      <c r="AG476" s="126">
        <f>+AF476/(1-Analisis!$E$9)</f>
        <v>523.14180186403507</v>
      </c>
      <c r="AH476" s="128">
        <f t="shared" si="581"/>
        <v>15694.254055921052</v>
      </c>
      <c r="AI476" s="128">
        <f t="shared" si="582"/>
        <v>5860.1728500000008</v>
      </c>
    </row>
    <row r="477" spans="1:35" s="73" customFormat="1" x14ac:dyDescent="0.25">
      <c r="A477" s="100"/>
      <c r="B477" s="120" t="s">
        <v>642</v>
      </c>
      <c r="C477" s="138">
        <f>IFERROR(VLOOKUP(B477,'REQ GALV'!A:B,2,0),0)</f>
        <v>30</v>
      </c>
      <c r="D477" s="116">
        <f t="shared" si="580"/>
        <v>423.0771448245614</v>
      </c>
      <c r="E477" s="103" t="s">
        <v>41</v>
      </c>
      <c r="F477" s="75" t="s">
        <v>314</v>
      </c>
      <c r="G477" s="90">
        <v>3.39</v>
      </c>
      <c r="H477" s="90">
        <v>55.408000000000001</v>
      </c>
      <c r="I477" s="76">
        <v>0.105</v>
      </c>
      <c r="J477" s="77">
        <v>28.24</v>
      </c>
      <c r="K477" s="78">
        <f t="shared" si="570"/>
        <v>10.81208115203022</v>
      </c>
      <c r="L477" s="58">
        <f>+VLOOKUP(E477,Material!$H$2:$M$17,6,FALSE)*G477*H477*(1+Material!$K$14)</f>
        <v>138.78780533333335</v>
      </c>
      <c r="M477" s="79" t="str">
        <f>+Analisis!$J$5</f>
        <v>T5.0</v>
      </c>
      <c r="N477" s="80">
        <f>+VLOOKUP(M477,Material!$A$3:$B$58,2,FALSE)</f>
        <v>5000</v>
      </c>
      <c r="O477" s="79" t="s">
        <v>42</v>
      </c>
      <c r="P477" s="79" t="s">
        <v>43</v>
      </c>
      <c r="Q477" s="81">
        <f>+IF(O477="ACERO A36",VLOOKUP(P477,'Velocidades Std 1500 w'!$B$2:$F$15,5,FALSE),IF(O477="INOXIDABLE",VLOOKUP(P477,'Velocidades Std 1500 w'!$B$17:$F$28,5,FALSE),IF(O477="ALUMINIO",VLOOKUP(P477,'Velocidades Std 1500 w'!$B$30:$F$38,5,FALSE))))</f>
        <v>4.3859649122807014E-6</v>
      </c>
      <c r="R477" s="82">
        <f t="shared" si="571"/>
        <v>2.1929824561403508E-2</v>
      </c>
      <c r="S477" s="83">
        <f t="shared" si="572"/>
        <v>55.205215578947367</v>
      </c>
      <c r="T477" s="110">
        <f t="shared" si="573"/>
        <v>3496.33032</v>
      </c>
      <c r="U477" s="80">
        <f t="shared" si="574"/>
        <v>76.67391052631578</v>
      </c>
      <c r="V477" s="98">
        <v>9</v>
      </c>
      <c r="W477" s="84">
        <f>+IF(O477="ACERO A36",VLOOKUP(P477,'Tiempo Objeto'!$B$2:$C$12,2,FALSE),IF(O477="INOXIDABLE",VLOOKUP(P477,'Tiempo Objeto'!$B$14:$C$22,2,FALSE),IF(O477="ALUMINIO",VLOOKUP(P477,'Tiempo Objeto'!$B$24:$C$32,2,FALSE))))</f>
        <v>1.84</v>
      </c>
      <c r="X477" s="84">
        <f t="shared" si="575"/>
        <v>16.560000000000002</v>
      </c>
      <c r="Y477" s="80">
        <f t="shared" si="576"/>
        <v>23.000000000000004</v>
      </c>
      <c r="Z477" s="100">
        <v>4</v>
      </c>
      <c r="AA477" s="85">
        <f t="shared" si="577"/>
        <v>300</v>
      </c>
      <c r="AB477" s="86">
        <f>+Z477*Analisis!$J$6</f>
        <v>100</v>
      </c>
      <c r="AC477" s="100">
        <v>0</v>
      </c>
      <c r="AD477" s="85">
        <f t="shared" si="578"/>
        <v>0</v>
      </c>
      <c r="AE477" s="86">
        <f>+AD477*Analisis!$J$7</f>
        <v>0</v>
      </c>
      <c r="AF477" s="86">
        <f t="shared" si="579"/>
        <v>338.46171585964913</v>
      </c>
      <c r="AG477" s="126">
        <f>+AF477/(1-Analisis!$E$9)</f>
        <v>423.0771448245614</v>
      </c>
      <c r="AH477" s="128">
        <f t="shared" si="581"/>
        <v>12692.314344736842</v>
      </c>
      <c r="AI477" s="128">
        <f t="shared" si="582"/>
        <v>4163.6341600000005</v>
      </c>
    </row>
    <row r="478" spans="1:35" s="73" customFormat="1" x14ac:dyDescent="0.25">
      <c r="A478" s="100"/>
      <c r="B478" s="120" t="s">
        <v>643</v>
      </c>
      <c r="C478" s="138">
        <f>IFERROR(VLOOKUP(B478,'REQ GALV'!A:B,2,0),0)</f>
        <v>30</v>
      </c>
      <c r="D478" s="116">
        <f t="shared" si="580"/>
        <v>1441.327020342231</v>
      </c>
      <c r="E478" s="103" t="s">
        <v>44</v>
      </c>
      <c r="F478" s="75" t="s">
        <v>314</v>
      </c>
      <c r="G478" s="90">
        <v>23.677</v>
      </c>
      <c r="H478" s="90">
        <v>44.063000000000002</v>
      </c>
      <c r="I478" s="76">
        <v>0.105</v>
      </c>
      <c r="J478" s="77">
        <v>28.24</v>
      </c>
      <c r="K478" s="78">
        <f t="shared" si="570"/>
        <v>73.190125126774248</v>
      </c>
      <c r="L478" s="58">
        <f>+VLOOKUP(E478,Material!$H$2:$M$17,6,FALSE)*G478*H478*(1+Material!$K$14)</f>
        <v>939.4950607182293</v>
      </c>
      <c r="M478" s="79" t="str">
        <f>+Analisis!$J$5</f>
        <v>T5.0</v>
      </c>
      <c r="N478" s="80">
        <f>+VLOOKUP(M478,Material!$A$3:$B$58,2,FALSE)</f>
        <v>5000</v>
      </c>
      <c r="O478" s="79" t="s">
        <v>42</v>
      </c>
      <c r="P478" s="79" t="s">
        <v>43</v>
      </c>
      <c r="Q478" s="81">
        <f>+IF(O478="ACERO A36",VLOOKUP(P478,'Velocidades Std 1500 w'!$B$2:$F$15,5,FALSE),IF(O478="INOXIDABLE",VLOOKUP(P478,'Velocidades Std 1500 w'!$B$17:$F$28,5,FALSE),IF(O478="ALUMINIO",VLOOKUP(P478,'Velocidades Std 1500 w'!$B$30:$F$38,5,FALSE))))</f>
        <v>4.3859649122807014E-6</v>
      </c>
      <c r="R478" s="82">
        <f t="shared" si="571"/>
        <v>2.1929824561403508E-2</v>
      </c>
      <c r="S478" s="83">
        <f t="shared" si="572"/>
        <v>63.367920000000005</v>
      </c>
      <c r="T478" s="110">
        <f t="shared" si="573"/>
        <v>4013.3016000000007</v>
      </c>
      <c r="U478" s="80">
        <f t="shared" si="574"/>
        <v>88.01100000000001</v>
      </c>
      <c r="V478" s="98">
        <v>10</v>
      </c>
      <c r="W478" s="84">
        <f>+IF(O478="ACERO A36",VLOOKUP(P478,'Tiempo Objeto'!$B$2:$C$12,2,FALSE),IF(O478="INOXIDABLE",VLOOKUP(P478,'Tiempo Objeto'!$B$14:$C$22,2,FALSE),IF(O478="ALUMINIO",VLOOKUP(P478,'Tiempo Objeto'!$B$24:$C$32,2,FALSE))))</f>
        <v>1.84</v>
      </c>
      <c r="X478" s="84">
        <f t="shared" si="575"/>
        <v>18.400000000000002</v>
      </c>
      <c r="Y478" s="80">
        <f t="shared" si="576"/>
        <v>25.555555555555561</v>
      </c>
      <c r="Z478" s="100">
        <v>4</v>
      </c>
      <c r="AA478" s="85">
        <f t="shared" si="577"/>
        <v>300</v>
      </c>
      <c r="AB478" s="86">
        <f>+Z478*Analisis!$J$6</f>
        <v>100</v>
      </c>
      <c r="AC478" s="100">
        <v>0</v>
      </c>
      <c r="AD478" s="85">
        <f t="shared" si="578"/>
        <v>0</v>
      </c>
      <c r="AE478" s="86">
        <f>+AD478*Analisis!$J$7</f>
        <v>0</v>
      </c>
      <c r="AF478" s="86">
        <f t="shared" si="579"/>
        <v>1153.0616162737849</v>
      </c>
      <c r="AG478" s="126">
        <f>+AF478/(1-Analisis!$E$9)</f>
        <v>1441.327020342231</v>
      </c>
      <c r="AH478" s="128">
        <f t="shared" si="581"/>
        <v>43239.810610266926</v>
      </c>
      <c r="AI478" s="128">
        <f t="shared" si="582"/>
        <v>28184.851821546879</v>
      </c>
    </row>
    <row r="479" spans="1:35" s="73" customFormat="1" x14ac:dyDescent="0.25">
      <c r="A479" s="100"/>
      <c r="B479" s="120" t="s">
        <v>644</v>
      </c>
      <c r="C479" s="138">
        <f>IFERROR(VLOOKUP(B479,'REQ GALV'!A:B,2,0),0)</f>
        <v>360</v>
      </c>
      <c r="D479" s="116">
        <f t="shared" si="580"/>
        <v>199.93133633954676</v>
      </c>
      <c r="E479" s="103" t="s">
        <v>41</v>
      </c>
      <c r="F479" s="75" t="s">
        <v>314</v>
      </c>
      <c r="G479" s="90">
        <v>4.2350000000000003</v>
      </c>
      <c r="H479" s="90">
        <v>5.6050000000000004</v>
      </c>
      <c r="I479" s="76">
        <v>0.105</v>
      </c>
      <c r="J479" s="77">
        <v>28.24</v>
      </c>
      <c r="K479" s="78">
        <f t="shared" si="570"/>
        <v>1.3663631973953421</v>
      </c>
      <c r="L479" s="58">
        <f>+VLOOKUP(E479,Material!$H$2:$M$17,6,FALSE)*G479*H479*(1+Material!$K$14)</f>
        <v>17.539134861111116</v>
      </c>
      <c r="M479" s="79" t="str">
        <f>+Analisis!$J$5</f>
        <v>T5.0</v>
      </c>
      <c r="N479" s="80">
        <f>+VLOOKUP(M479,Material!$A$3:$B$58,2,FALSE)</f>
        <v>5000</v>
      </c>
      <c r="O479" s="79" t="s">
        <v>42</v>
      </c>
      <c r="P479" s="79" t="s">
        <v>43</v>
      </c>
      <c r="Q479" s="81">
        <f>+IF(O479="ACERO A36",VLOOKUP(P479,'Velocidades Std 1500 w'!$B$2:$F$15,5,FALSE),IF(O479="INOXIDABLE",VLOOKUP(P479,'Velocidades Std 1500 w'!$B$17:$F$28,5,FALSE),IF(O479="ALUMINIO",VLOOKUP(P479,'Velocidades Std 1500 w'!$B$30:$F$38,5,FALSE))))</f>
        <v>4.3859649122807014E-6</v>
      </c>
      <c r="R479" s="82">
        <f t="shared" si="571"/>
        <v>2.1929824561403508E-2</v>
      </c>
      <c r="S479" s="83">
        <f t="shared" si="572"/>
        <v>13.972272631578946</v>
      </c>
      <c r="T479" s="110">
        <f t="shared" si="573"/>
        <v>884.91059999999993</v>
      </c>
      <c r="U479" s="80">
        <f t="shared" si="574"/>
        <v>19.405934210526315</v>
      </c>
      <c r="V479" s="98">
        <v>9</v>
      </c>
      <c r="W479" s="84">
        <f>+IF(O479="ACERO A36",VLOOKUP(P479,'Tiempo Objeto'!$B$2:$C$12,2,FALSE),IF(O479="INOXIDABLE",VLOOKUP(P479,'Tiempo Objeto'!$B$14:$C$22,2,FALSE),IF(O479="ALUMINIO",VLOOKUP(P479,'Tiempo Objeto'!$B$24:$C$32,2,FALSE))))</f>
        <v>1.84</v>
      </c>
      <c r="X479" s="84">
        <f t="shared" si="575"/>
        <v>16.560000000000002</v>
      </c>
      <c r="Y479" s="80">
        <f t="shared" si="576"/>
        <v>23.000000000000004</v>
      </c>
      <c r="Z479" s="100">
        <v>4</v>
      </c>
      <c r="AA479" s="85">
        <f t="shared" si="577"/>
        <v>2280</v>
      </c>
      <c r="AB479" s="86">
        <f>+Z479*Analisis!$J$6</f>
        <v>100</v>
      </c>
      <c r="AC479" s="100">
        <v>0</v>
      </c>
      <c r="AD479" s="85">
        <f t="shared" si="578"/>
        <v>0</v>
      </c>
      <c r="AE479" s="86">
        <f>+AD479*Analisis!$J$7</f>
        <v>0</v>
      </c>
      <c r="AF479" s="86">
        <f t="shared" si="579"/>
        <v>159.94506907163742</v>
      </c>
      <c r="AG479" s="126">
        <f>+AF479/(1-Analisis!$E$9)</f>
        <v>199.93133633954676</v>
      </c>
      <c r="AH479" s="128">
        <f t="shared" si="581"/>
        <v>71975.281082236834</v>
      </c>
      <c r="AI479" s="128">
        <f t="shared" si="582"/>
        <v>6314.0885500000013</v>
      </c>
    </row>
    <row r="480" spans="1:35" s="73" customFormat="1" x14ac:dyDescent="0.25">
      <c r="A480" s="100"/>
      <c r="B480" s="120" t="s">
        <v>645</v>
      </c>
      <c r="C480" s="138">
        <f>IFERROR(VLOOKUP(B480,'REQ GALV'!A:B,2,0),0)</f>
        <v>30</v>
      </c>
      <c r="D480" s="116">
        <f t="shared" si="580"/>
        <v>74.098023757309932</v>
      </c>
      <c r="E480" s="103" t="s">
        <v>41</v>
      </c>
      <c r="F480" s="75" t="s">
        <v>314</v>
      </c>
      <c r="G480" s="90">
        <v>5</v>
      </c>
      <c r="H480" s="90">
        <v>2.3159999999999998</v>
      </c>
      <c r="I480" s="76">
        <v>0.105</v>
      </c>
      <c r="J480" s="77">
        <v>28.24</v>
      </c>
      <c r="K480" s="78">
        <f t="shared" si="570"/>
        <v>0.6665698772426818</v>
      </c>
      <c r="L480" s="58">
        <f>+VLOOKUP(E480,Material!$H$2:$M$17,6,FALSE)*G480*H480*(1+Material!$K$14)</f>
        <v>8.5563333333333329</v>
      </c>
      <c r="M480" s="79" t="str">
        <f>+Analisis!$J$5</f>
        <v>T5.0</v>
      </c>
      <c r="N480" s="80">
        <f>+VLOOKUP(M480,Material!$A$3:$B$58,2,FALSE)</f>
        <v>5000</v>
      </c>
      <c r="O480" s="79" t="s">
        <v>42</v>
      </c>
      <c r="P480" s="79" t="s">
        <v>43</v>
      </c>
      <c r="Q480" s="81">
        <f>+IF(O480="ACERO A36",VLOOKUP(P480,'Velocidades Std 1500 w'!$B$2:$F$15,5,FALSE),IF(O480="INOXIDABLE",VLOOKUP(P480,'Velocidades Std 1500 w'!$B$17:$F$28,5,FALSE),IF(O480="ALUMINIO",VLOOKUP(P480,'Velocidades Std 1500 w'!$B$30:$F$38,5,FALSE))))</f>
        <v>4.3859649122807014E-6</v>
      </c>
      <c r="R480" s="82">
        <f t="shared" si="571"/>
        <v>2.1929824561403508E-2</v>
      </c>
      <c r="S480" s="83">
        <f t="shared" si="572"/>
        <v>9.3199016842105262</v>
      </c>
      <c r="T480" s="110">
        <f t="shared" si="573"/>
        <v>590.26044000000002</v>
      </c>
      <c r="U480" s="80">
        <f t="shared" si="574"/>
        <v>12.944307894736841</v>
      </c>
      <c r="V480" s="98">
        <v>5</v>
      </c>
      <c r="W480" s="84">
        <f>+IF(O480="ACERO A36",VLOOKUP(P480,'Tiempo Objeto'!$B$2:$C$12,2,FALSE),IF(O480="INOXIDABLE",VLOOKUP(P480,'Tiempo Objeto'!$B$14:$C$22,2,FALSE),IF(O480="ALUMINIO",VLOOKUP(P480,'Tiempo Objeto'!$B$24:$C$32,2,FALSE))))</f>
        <v>1.84</v>
      </c>
      <c r="X480" s="84">
        <f t="shared" si="575"/>
        <v>9.2000000000000011</v>
      </c>
      <c r="Y480" s="80">
        <f t="shared" si="576"/>
        <v>12.77777777777778</v>
      </c>
      <c r="Z480" s="100">
        <v>1</v>
      </c>
      <c r="AA480" s="85">
        <f t="shared" si="577"/>
        <v>75</v>
      </c>
      <c r="AB480" s="86">
        <f>+Z480*Analisis!$J$6</f>
        <v>25</v>
      </c>
      <c r="AC480" s="100">
        <v>0</v>
      </c>
      <c r="AD480" s="85">
        <f t="shared" si="578"/>
        <v>0</v>
      </c>
      <c r="AE480" s="86">
        <f>+AD480*Analisis!$J$7</f>
        <v>0</v>
      </c>
      <c r="AF480" s="86">
        <f t="shared" si="579"/>
        <v>59.278419005847951</v>
      </c>
      <c r="AG480" s="126">
        <f>+AF480/(1-Analisis!$E$9)</f>
        <v>74.098023757309932</v>
      </c>
      <c r="AH480" s="128">
        <f t="shared" si="581"/>
        <v>2222.9407127192981</v>
      </c>
      <c r="AI480" s="128">
        <f t="shared" si="582"/>
        <v>256.69</v>
      </c>
    </row>
    <row r="481" spans="1:35" s="73" customFormat="1" x14ac:dyDescent="0.25">
      <c r="A481" s="100"/>
      <c r="B481" s="120" t="s">
        <v>646</v>
      </c>
      <c r="C481" s="138">
        <f>IFERROR(VLOOKUP(B481,'REQ GALV'!A:B,2,0),0)</f>
        <v>30</v>
      </c>
      <c r="D481" s="116">
        <f t="shared" si="580"/>
        <v>703.16593567251459</v>
      </c>
      <c r="E481" s="103" t="s">
        <v>41</v>
      </c>
      <c r="F481" s="75" t="s">
        <v>314</v>
      </c>
      <c r="G481" s="90">
        <v>39</v>
      </c>
      <c r="H481" s="90">
        <v>15.75</v>
      </c>
      <c r="I481" s="76">
        <v>0.105</v>
      </c>
      <c r="J481" s="77">
        <v>28.24</v>
      </c>
      <c r="K481" s="78">
        <f t="shared" si="570"/>
        <v>35.357560198300284</v>
      </c>
      <c r="L481" s="58">
        <f>+VLOOKUP(E481,Material!$H$2:$M$17,6,FALSE)*G481*H481*(1+Material!$K$14)</f>
        <v>453.86250000000001</v>
      </c>
      <c r="M481" s="79" t="str">
        <f>+Analisis!$J$5</f>
        <v>T5.0</v>
      </c>
      <c r="N481" s="80">
        <f>+VLOOKUP(M481,Material!$A$3:$B$58,2,FALSE)</f>
        <v>5000</v>
      </c>
      <c r="O481" s="79" t="s">
        <v>42</v>
      </c>
      <c r="P481" s="79" t="s">
        <v>43</v>
      </c>
      <c r="Q481" s="81">
        <f>+IF(O481="ACERO A36",VLOOKUP(P481,'Velocidades Std 1500 w'!$B$2:$F$15,5,FALSE),IF(O481="INOXIDABLE",VLOOKUP(P481,'Velocidades Std 1500 w'!$B$17:$F$28,5,FALSE),IF(O481="ALUMINIO",VLOOKUP(P481,'Velocidades Std 1500 w'!$B$30:$F$38,5,FALSE))))</f>
        <v>4.3859649122807014E-6</v>
      </c>
      <c r="R481" s="82">
        <f t="shared" si="571"/>
        <v>2.1929824561403508E-2</v>
      </c>
      <c r="S481" s="83">
        <f t="shared" si="572"/>
        <v>54.322578947368413</v>
      </c>
      <c r="T481" s="110">
        <f t="shared" si="573"/>
        <v>3440.43</v>
      </c>
      <c r="U481" s="80">
        <f t="shared" si="574"/>
        <v>75.448026315789463</v>
      </c>
      <c r="V481" s="98">
        <v>13</v>
      </c>
      <c r="W481" s="84">
        <f>+IF(O481="ACERO A36",VLOOKUP(P481,'Tiempo Objeto'!$B$2:$C$12,2,FALSE),IF(O481="INOXIDABLE",VLOOKUP(P481,'Tiempo Objeto'!$B$14:$C$22,2,FALSE),IF(O481="ALUMINIO",VLOOKUP(P481,'Tiempo Objeto'!$B$24:$C$32,2,FALSE))))</f>
        <v>1.84</v>
      </c>
      <c r="X481" s="84">
        <f t="shared" si="575"/>
        <v>23.92</v>
      </c>
      <c r="Y481" s="80">
        <f t="shared" si="576"/>
        <v>33.222222222222229</v>
      </c>
      <c r="Z481" s="100">
        <v>0</v>
      </c>
      <c r="AA481" s="85">
        <f t="shared" si="577"/>
        <v>0</v>
      </c>
      <c r="AB481" s="86">
        <f>+Z481*Analisis!$J$6</f>
        <v>0</v>
      </c>
      <c r="AC481" s="100">
        <v>0</v>
      </c>
      <c r="AD481" s="85">
        <f t="shared" si="578"/>
        <v>0</v>
      </c>
      <c r="AE481" s="86">
        <f>+AD481*Analisis!$J$7</f>
        <v>0</v>
      </c>
      <c r="AF481" s="86">
        <f t="shared" si="579"/>
        <v>562.53274853801167</v>
      </c>
      <c r="AG481" s="126">
        <f>+AF481/(1-Analisis!$E$9)</f>
        <v>703.16593567251459</v>
      </c>
      <c r="AH481" s="128">
        <f t="shared" si="581"/>
        <v>21094.978070175439</v>
      </c>
      <c r="AI481" s="128">
        <f t="shared" si="582"/>
        <v>13615.875</v>
      </c>
    </row>
    <row r="482" spans="1:35" s="73" customFormat="1" x14ac:dyDescent="0.25">
      <c r="A482" s="100"/>
      <c r="B482" s="120" t="s">
        <v>647</v>
      </c>
      <c r="C482" s="138">
        <f>IFERROR(VLOOKUP(B482,'REQ GALV'!A:B,2,0),0)</f>
        <v>30</v>
      </c>
      <c r="D482" s="116">
        <f t="shared" si="580"/>
        <v>1082.7456732456142</v>
      </c>
      <c r="E482" s="103" t="s">
        <v>41</v>
      </c>
      <c r="F482" s="75" t="s">
        <v>314</v>
      </c>
      <c r="G482" s="90">
        <v>19.09</v>
      </c>
      <c r="H482" s="90">
        <v>46.9</v>
      </c>
      <c r="I482" s="76">
        <v>0.105</v>
      </c>
      <c r="J482" s="77">
        <v>28.24</v>
      </c>
      <c r="K482" s="78">
        <f t="shared" si="570"/>
        <v>51.53661563581997</v>
      </c>
      <c r="L482" s="58">
        <f>+VLOOKUP(E482,Material!$H$2:$M$17,6,FALSE)*G482*H482*(1+Material!$K$14)</f>
        <v>661.54273888888895</v>
      </c>
      <c r="M482" s="79" t="str">
        <f>+Analisis!$J$5</f>
        <v>T5.0</v>
      </c>
      <c r="N482" s="80">
        <f>+VLOOKUP(M482,Material!$A$3:$B$58,2,FALSE)</f>
        <v>5000</v>
      </c>
      <c r="O482" s="79" t="s">
        <v>42</v>
      </c>
      <c r="P482" s="79" t="s">
        <v>43</v>
      </c>
      <c r="Q482" s="81">
        <f>+IF(O482="ACERO A36",VLOOKUP(P482,'Velocidades Std 1500 w'!$B$2:$F$15,5,FALSE),IF(O482="INOXIDABLE",VLOOKUP(P482,'Velocidades Std 1500 w'!$B$17:$F$28,5,FALSE),IF(O482="ALUMINIO",VLOOKUP(P482,'Velocidades Std 1500 w'!$B$30:$F$38,5,FALSE))))</f>
        <v>4.3859649122807014E-6</v>
      </c>
      <c r="R482" s="82">
        <f t="shared" si="571"/>
        <v>2.1929824561403508E-2</v>
      </c>
      <c r="S482" s="83">
        <f t="shared" si="572"/>
        <v>60.630735789473682</v>
      </c>
      <c r="T482" s="110">
        <f t="shared" si="573"/>
        <v>3839.9465999999998</v>
      </c>
      <c r="U482" s="80">
        <f t="shared" si="574"/>
        <v>84.209355263157889</v>
      </c>
      <c r="V482" s="98">
        <v>8</v>
      </c>
      <c r="W482" s="84">
        <f>+IF(O482="ACERO A36",VLOOKUP(P482,'Tiempo Objeto'!$B$2:$C$12,2,FALSE),IF(O482="INOXIDABLE",VLOOKUP(P482,'Tiempo Objeto'!$B$14:$C$22,2,FALSE),IF(O482="ALUMINIO",VLOOKUP(P482,'Tiempo Objeto'!$B$24:$C$32,2,FALSE))))</f>
        <v>1.84</v>
      </c>
      <c r="X482" s="84">
        <f t="shared" si="575"/>
        <v>14.72</v>
      </c>
      <c r="Y482" s="80">
        <f t="shared" si="576"/>
        <v>20.444444444444443</v>
      </c>
      <c r="Z482" s="100">
        <v>4</v>
      </c>
      <c r="AA482" s="85">
        <f t="shared" si="577"/>
        <v>300</v>
      </c>
      <c r="AB482" s="86">
        <f>+Z482*Analisis!$J$6</f>
        <v>100</v>
      </c>
      <c r="AC482" s="100">
        <v>0</v>
      </c>
      <c r="AD482" s="85">
        <f t="shared" si="578"/>
        <v>0</v>
      </c>
      <c r="AE482" s="86">
        <f>+AD482*Analisis!$J$7</f>
        <v>0</v>
      </c>
      <c r="AF482" s="86">
        <f t="shared" si="579"/>
        <v>866.19653859649134</v>
      </c>
      <c r="AG482" s="126">
        <f>+AF482/(1-Analisis!$E$9)</f>
        <v>1082.7456732456142</v>
      </c>
      <c r="AH482" s="128">
        <f t="shared" si="581"/>
        <v>32482.370197368426</v>
      </c>
      <c r="AI482" s="128">
        <f t="shared" si="582"/>
        <v>19846.282166666668</v>
      </c>
    </row>
    <row r="483" spans="1:35" s="73" customFormat="1" x14ac:dyDescent="0.25">
      <c r="A483" s="100"/>
      <c r="B483" s="120" t="s">
        <v>648</v>
      </c>
      <c r="C483" s="138">
        <f>IFERROR(VLOOKUP(B483,'REQ GALV'!A:B,2,0),0)</f>
        <v>60</v>
      </c>
      <c r="D483" s="116">
        <f t="shared" si="580"/>
        <v>473.04658808479542</v>
      </c>
      <c r="E483" s="103" t="s">
        <v>41</v>
      </c>
      <c r="F483" s="75" t="s">
        <v>314</v>
      </c>
      <c r="G483" s="90">
        <v>15.58</v>
      </c>
      <c r="H483" s="90">
        <v>17.5</v>
      </c>
      <c r="I483" s="76">
        <v>0.105</v>
      </c>
      <c r="J483" s="77">
        <v>28.24</v>
      </c>
      <c r="K483" s="78">
        <f t="shared" si="570"/>
        <v>15.694324441296827</v>
      </c>
      <c r="L483" s="58">
        <f>+VLOOKUP(E483,Material!$H$2:$M$17,6,FALSE)*G483*H483*(1+Material!$K$14)</f>
        <v>201.4580555555556</v>
      </c>
      <c r="M483" s="79" t="str">
        <f>+Analisis!$J$5</f>
        <v>T5.0</v>
      </c>
      <c r="N483" s="80">
        <f>+VLOOKUP(M483,Material!$A$3:$B$58,2,FALSE)</f>
        <v>5000</v>
      </c>
      <c r="O483" s="79" t="s">
        <v>42</v>
      </c>
      <c r="P483" s="79" t="s">
        <v>43</v>
      </c>
      <c r="Q483" s="81">
        <f>+IF(O483="ACERO A36",VLOOKUP(P483,'Velocidades Std 1500 w'!$B$2:$F$15,5,FALSE),IF(O483="INOXIDABLE",VLOOKUP(P483,'Velocidades Std 1500 w'!$B$17:$F$28,5,FALSE),IF(O483="ALUMINIO",VLOOKUP(P483,'Velocidades Std 1500 w'!$B$30:$F$38,5,FALSE))))</f>
        <v>4.3859649122807014E-6</v>
      </c>
      <c r="R483" s="82">
        <f t="shared" si="571"/>
        <v>2.1929824561403508E-2</v>
      </c>
      <c r="S483" s="83">
        <f t="shared" si="572"/>
        <v>48.705034736842101</v>
      </c>
      <c r="T483" s="110">
        <f t="shared" si="573"/>
        <v>3084.6522</v>
      </c>
      <c r="U483" s="80">
        <f t="shared" si="574"/>
        <v>67.645881578947368</v>
      </c>
      <c r="V483" s="98">
        <v>33</v>
      </c>
      <c r="W483" s="84">
        <f>+IF(O483="ACERO A36",VLOOKUP(P483,'Tiempo Objeto'!$B$2:$C$12,2,FALSE),IF(O483="INOXIDABLE",VLOOKUP(P483,'Tiempo Objeto'!$B$14:$C$22,2,FALSE),IF(O483="ALUMINIO",VLOOKUP(P483,'Tiempo Objeto'!$B$24:$C$32,2,FALSE))))</f>
        <v>1.84</v>
      </c>
      <c r="X483" s="84">
        <f t="shared" si="575"/>
        <v>60.720000000000006</v>
      </c>
      <c r="Y483" s="80">
        <f t="shared" si="576"/>
        <v>84.333333333333343</v>
      </c>
      <c r="Z483" s="100">
        <v>1</v>
      </c>
      <c r="AA483" s="85">
        <f t="shared" si="577"/>
        <v>120</v>
      </c>
      <c r="AB483" s="86">
        <f>+Z483*Analisis!$J$6</f>
        <v>25</v>
      </c>
      <c r="AC483" s="100">
        <v>0</v>
      </c>
      <c r="AD483" s="85">
        <f t="shared" si="578"/>
        <v>0</v>
      </c>
      <c r="AE483" s="86">
        <f>+AD483*Analisis!$J$7</f>
        <v>0</v>
      </c>
      <c r="AF483" s="86">
        <f t="shared" si="579"/>
        <v>378.43727046783636</v>
      </c>
      <c r="AG483" s="126">
        <f>+AF483/(1-Analisis!$E$9)</f>
        <v>473.04658808479542</v>
      </c>
      <c r="AH483" s="128">
        <f t="shared" si="581"/>
        <v>28382.795285087726</v>
      </c>
      <c r="AI483" s="128">
        <f t="shared" si="582"/>
        <v>12087.483333333335</v>
      </c>
    </row>
    <row r="484" spans="1:35" s="73" customFormat="1" x14ac:dyDescent="0.25">
      <c r="A484" s="100"/>
      <c r="B484" s="120" t="s">
        <v>649</v>
      </c>
      <c r="C484" s="138">
        <f>IFERROR(VLOOKUP(B484,'REQ GALV'!A:B,2,0),0)</f>
        <v>30</v>
      </c>
      <c r="D484" s="116">
        <f t="shared" si="580"/>
        <v>1082.7456732456142</v>
      </c>
      <c r="E484" s="103" t="s">
        <v>41</v>
      </c>
      <c r="F484" s="75" t="s">
        <v>314</v>
      </c>
      <c r="G484" s="90">
        <v>19.09</v>
      </c>
      <c r="H484" s="90">
        <v>46.9</v>
      </c>
      <c r="I484" s="76">
        <v>0.105</v>
      </c>
      <c r="J484" s="77">
        <v>28.24</v>
      </c>
      <c r="K484" s="78">
        <f t="shared" si="570"/>
        <v>51.53661563581997</v>
      </c>
      <c r="L484" s="58">
        <f>+VLOOKUP(E484,Material!$H$2:$M$17,6,FALSE)*G484*H484*(1+Material!$K$14)</f>
        <v>661.54273888888895</v>
      </c>
      <c r="M484" s="79" t="str">
        <f>+Analisis!$J$5</f>
        <v>T5.0</v>
      </c>
      <c r="N484" s="80">
        <f>+VLOOKUP(M484,Material!$A$3:$B$58,2,FALSE)</f>
        <v>5000</v>
      </c>
      <c r="O484" s="79" t="s">
        <v>42</v>
      </c>
      <c r="P484" s="79" t="s">
        <v>43</v>
      </c>
      <c r="Q484" s="81">
        <f>+IF(O484="ACERO A36",VLOOKUP(P484,'Velocidades Std 1500 w'!$B$2:$F$15,5,FALSE),IF(O484="INOXIDABLE",VLOOKUP(P484,'Velocidades Std 1500 w'!$B$17:$F$28,5,FALSE),IF(O484="ALUMINIO",VLOOKUP(P484,'Velocidades Std 1500 w'!$B$30:$F$38,5,FALSE))))</f>
        <v>4.3859649122807014E-6</v>
      </c>
      <c r="R484" s="82">
        <f t="shared" si="571"/>
        <v>2.1929824561403508E-2</v>
      </c>
      <c r="S484" s="83">
        <f t="shared" si="572"/>
        <v>60.630735789473682</v>
      </c>
      <c r="T484" s="110">
        <f t="shared" si="573"/>
        <v>3839.9465999999998</v>
      </c>
      <c r="U484" s="80">
        <f t="shared" si="574"/>
        <v>84.209355263157889</v>
      </c>
      <c r="V484" s="98">
        <v>8</v>
      </c>
      <c r="W484" s="84">
        <f>+IF(O484="ACERO A36",VLOOKUP(P484,'Tiempo Objeto'!$B$2:$C$12,2,FALSE),IF(O484="INOXIDABLE",VLOOKUP(P484,'Tiempo Objeto'!$B$14:$C$22,2,FALSE),IF(O484="ALUMINIO",VLOOKUP(P484,'Tiempo Objeto'!$B$24:$C$32,2,FALSE))))</f>
        <v>1.84</v>
      </c>
      <c r="X484" s="84">
        <f t="shared" si="575"/>
        <v>14.72</v>
      </c>
      <c r="Y484" s="80">
        <f t="shared" si="576"/>
        <v>20.444444444444443</v>
      </c>
      <c r="Z484" s="100">
        <v>4</v>
      </c>
      <c r="AA484" s="85">
        <f t="shared" si="577"/>
        <v>300</v>
      </c>
      <c r="AB484" s="86">
        <f>+Z484*Analisis!$J$6</f>
        <v>100</v>
      </c>
      <c r="AC484" s="100">
        <v>0</v>
      </c>
      <c r="AD484" s="85">
        <f t="shared" si="578"/>
        <v>0</v>
      </c>
      <c r="AE484" s="86">
        <f>+AD484*Analisis!$J$7</f>
        <v>0</v>
      </c>
      <c r="AF484" s="86">
        <f t="shared" si="579"/>
        <v>866.19653859649134</v>
      </c>
      <c r="AG484" s="126">
        <f>+AF484/(1-Analisis!$E$9)</f>
        <v>1082.7456732456142</v>
      </c>
      <c r="AH484" s="128">
        <f t="shared" si="581"/>
        <v>32482.370197368426</v>
      </c>
      <c r="AI484" s="128">
        <f t="shared" si="582"/>
        <v>19846.282166666668</v>
      </c>
    </row>
    <row r="485" spans="1:35" s="73" customFormat="1" x14ac:dyDescent="0.25">
      <c r="A485" s="100"/>
      <c r="B485" s="120" t="s">
        <v>650</v>
      </c>
      <c r="C485" s="138">
        <f>IFERROR(VLOOKUP(B485,'REQ GALV'!A:B,2,0),0)</f>
        <v>60</v>
      </c>
      <c r="D485" s="116">
        <f t="shared" si="580"/>
        <v>454.42975423291301</v>
      </c>
      <c r="E485" s="103" t="s">
        <v>44</v>
      </c>
      <c r="F485" s="75" t="s">
        <v>314</v>
      </c>
      <c r="G485" s="90">
        <v>4.0599999999999996</v>
      </c>
      <c r="H485" s="90">
        <v>50.07</v>
      </c>
      <c r="I485" s="76">
        <v>0.105</v>
      </c>
      <c r="J485" s="77">
        <v>28.24</v>
      </c>
      <c r="K485" s="78">
        <f t="shared" si="570"/>
        <v>14.261177259649434</v>
      </c>
      <c r="L485" s="58">
        <f>+VLOOKUP(E485,Material!$H$2:$M$17,6,FALSE)*G485*H485*(1+Material!$K$14)</f>
        <v>183.0616571875</v>
      </c>
      <c r="M485" s="79" t="str">
        <f>+Analisis!$J$5</f>
        <v>T5.0</v>
      </c>
      <c r="N485" s="80">
        <f>+VLOOKUP(M485,Material!$A$3:$B$58,2,FALSE)</f>
        <v>5000</v>
      </c>
      <c r="O485" s="79" t="s">
        <v>42</v>
      </c>
      <c r="P485" s="79" t="s">
        <v>43</v>
      </c>
      <c r="Q485" s="81">
        <f>+IF(O485="ACERO A36",VLOOKUP(P485,'Velocidades Std 1500 w'!$B$2:$F$15,5,FALSE),IF(O485="INOXIDABLE",VLOOKUP(P485,'Velocidades Std 1500 w'!$B$17:$F$28,5,FALSE),IF(O485="ALUMINIO",VLOOKUP(P485,'Velocidades Std 1500 w'!$B$30:$F$38,5,FALSE))))</f>
        <v>4.3859649122807014E-6</v>
      </c>
      <c r="R485" s="82">
        <f t="shared" si="571"/>
        <v>2.1929824561403508E-2</v>
      </c>
      <c r="S485" s="83">
        <f t="shared" si="572"/>
        <v>48.747145263157897</v>
      </c>
      <c r="T485" s="110">
        <f t="shared" si="573"/>
        <v>3087.3192000000004</v>
      </c>
      <c r="U485" s="80">
        <f t="shared" si="574"/>
        <v>67.704368421052635</v>
      </c>
      <c r="V485" s="98">
        <v>5</v>
      </c>
      <c r="W485" s="84">
        <f>+IF(O485="ACERO A36",VLOOKUP(P485,'Tiempo Objeto'!$B$2:$C$12,2,FALSE),IF(O485="INOXIDABLE",VLOOKUP(P485,'Tiempo Objeto'!$B$14:$C$22,2,FALSE),IF(O485="ALUMINIO",VLOOKUP(P485,'Tiempo Objeto'!$B$24:$C$32,2,FALSE))))</f>
        <v>1.84</v>
      </c>
      <c r="X485" s="84">
        <f t="shared" si="575"/>
        <v>9.2000000000000011</v>
      </c>
      <c r="Y485" s="80">
        <f t="shared" si="576"/>
        <v>12.77777777777778</v>
      </c>
      <c r="Z485" s="100">
        <v>4</v>
      </c>
      <c r="AA485" s="85">
        <f t="shared" si="577"/>
        <v>480</v>
      </c>
      <c r="AB485" s="86">
        <f>+Z485*Analisis!$J$6</f>
        <v>100</v>
      </c>
      <c r="AC485" s="100">
        <v>0</v>
      </c>
      <c r="AD485" s="85">
        <f t="shared" si="578"/>
        <v>0</v>
      </c>
      <c r="AE485" s="86">
        <f>+AD485*Analisis!$J$7</f>
        <v>0</v>
      </c>
      <c r="AF485" s="86">
        <f t="shared" si="579"/>
        <v>363.54380338633041</v>
      </c>
      <c r="AG485" s="126">
        <f>+AF485/(1-Analisis!$E$9)</f>
        <v>454.42975423291301</v>
      </c>
      <c r="AH485" s="128">
        <f t="shared" si="581"/>
        <v>27265.78525397478</v>
      </c>
      <c r="AI485" s="128">
        <f t="shared" si="582"/>
        <v>10983.699431250001</v>
      </c>
    </row>
    <row r="486" spans="1:35" s="73" customFormat="1" x14ac:dyDescent="0.25">
      <c r="A486" s="100"/>
      <c r="B486" s="120" t="s">
        <v>651</v>
      </c>
      <c r="C486" s="138">
        <f>IFERROR(VLOOKUP(B486,'REQ GALV'!A:B,2,0),0)</f>
        <v>30</v>
      </c>
      <c r="D486" s="116">
        <f t="shared" si="580"/>
        <v>406.17123997852707</v>
      </c>
      <c r="E486" s="103" t="s">
        <v>44</v>
      </c>
      <c r="F486" s="75" t="s">
        <v>314</v>
      </c>
      <c r="G486" s="90">
        <v>4.0599999999999996</v>
      </c>
      <c r="H486" s="90">
        <v>42.07</v>
      </c>
      <c r="I486" s="76">
        <v>0.105</v>
      </c>
      <c r="J486" s="77">
        <v>28.24</v>
      </c>
      <c r="K486" s="78">
        <f t="shared" si="570"/>
        <v>11.982578935758974</v>
      </c>
      <c r="L486" s="58">
        <f>+VLOOKUP(E486,Material!$H$2:$M$17,6,FALSE)*G486*H486*(1+Material!$K$14)</f>
        <v>153.81274052083336</v>
      </c>
      <c r="M486" s="79" t="str">
        <f>+Analisis!$J$5</f>
        <v>T5.0</v>
      </c>
      <c r="N486" s="80">
        <f>+VLOOKUP(M486,Material!$A$3:$B$58,2,FALSE)</f>
        <v>5000</v>
      </c>
      <c r="O486" s="79" t="s">
        <v>42</v>
      </c>
      <c r="P486" s="79" t="s">
        <v>43</v>
      </c>
      <c r="Q486" s="81">
        <f>+IF(O486="ACERO A36",VLOOKUP(P486,'Velocidades Std 1500 w'!$B$2:$F$15,5,FALSE),IF(O486="INOXIDABLE",VLOOKUP(P486,'Velocidades Std 1500 w'!$B$17:$F$28,5,FALSE),IF(O486="ALUMINIO",VLOOKUP(P486,'Velocidades Std 1500 w'!$B$30:$F$38,5,FALSE))))</f>
        <v>4.3859649122807014E-6</v>
      </c>
      <c r="R486" s="82">
        <f t="shared" si="571"/>
        <v>2.1929824561403508E-2</v>
      </c>
      <c r="S486" s="83">
        <f t="shared" si="572"/>
        <v>42.009461052631579</v>
      </c>
      <c r="T486" s="110">
        <f t="shared" si="573"/>
        <v>2660.5992000000001</v>
      </c>
      <c r="U486" s="80">
        <f t="shared" si="574"/>
        <v>58.346473684210522</v>
      </c>
      <c r="V486" s="98">
        <v>5</v>
      </c>
      <c r="W486" s="84">
        <f>+IF(O486="ACERO A36",VLOOKUP(P486,'Tiempo Objeto'!$B$2:$C$12,2,FALSE),IF(O486="INOXIDABLE",VLOOKUP(P486,'Tiempo Objeto'!$B$14:$C$22,2,FALSE),IF(O486="ALUMINIO",VLOOKUP(P486,'Tiempo Objeto'!$B$24:$C$32,2,FALSE))))</f>
        <v>1.84</v>
      </c>
      <c r="X486" s="84">
        <f t="shared" si="575"/>
        <v>9.2000000000000011</v>
      </c>
      <c r="Y486" s="80">
        <f t="shared" si="576"/>
        <v>12.77777777777778</v>
      </c>
      <c r="Z486" s="100">
        <v>4</v>
      </c>
      <c r="AA486" s="85">
        <f t="shared" si="577"/>
        <v>300</v>
      </c>
      <c r="AB486" s="86">
        <f>+Z486*Analisis!$J$6</f>
        <v>100</v>
      </c>
      <c r="AC486" s="100">
        <v>0</v>
      </c>
      <c r="AD486" s="85">
        <f t="shared" si="578"/>
        <v>0</v>
      </c>
      <c r="AE486" s="86">
        <f>+AD486*Analisis!$J$7</f>
        <v>0</v>
      </c>
      <c r="AF486" s="86">
        <f t="shared" si="579"/>
        <v>324.93699198282167</v>
      </c>
      <c r="AG486" s="126">
        <f>+AF486/(1-Analisis!$E$9)</f>
        <v>406.17123997852707</v>
      </c>
      <c r="AH486" s="128">
        <f t="shared" si="581"/>
        <v>12185.137199355811</v>
      </c>
      <c r="AI486" s="128">
        <f t="shared" si="582"/>
        <v>4614.3822156250008</v>
      </c>
    </row>
    <row r="487" spans="1:35" s="73" customFormat="1" x14ac:dyDescent="0.25">
      <c r="A487" s="100"/>
      <c r="B487" s="120" t="s">
        <v>652</v>
      </c>
      <c r="C487" s="138">
        <f>IFERROR(VLOOKUP(B487,'REQ GALV'!A:B,2,0),0)</f>
        <v>45</v>
      </c>
      <c r="D487" s="116">
        <f t="shared" si="580"/>
        <v>2057.4865663011692</v>
      </c>
      <c r="E487" s="103" t="s">
        <v>41</v>
      </c>
      <c r="F487" s="75" t="s">
        <v>314</v>
      </c>
      <c r="G487" s="90">
        <v>32.68</v>
      </c>
      <c r="H487" s="90">
        <v>44.39</v>
      </c>
      <c r="I487" s="76">
        <v>0.105</v>
      </c>
      <c r="J487" s="77">
        <v>28.24</v>
      </c>
      <c r="K487" s="78">
        <f t="shared" si="570"/>
        <v>83.503430421781573</v>
      </c>
      <c r="L487" s="58">
        <f>+VLOOKUP(E487,Material!$H$2:$M$17,6,FALSE)*G487*H487*(1+Material!$K$14)</f>
        <v>1071.8803977777777</v>
      </c>
      <c r="M487" s="79" t="str">
        <f>+Analisis!$J$5</f>
        <v>T5.0</v>
      </c>
      <c r="N487" s="80">
        <f>+VLOOKUP(M487,Material!$A$3:$B$58,2,FALSE)</f>
        <v>5000</v>
      </c>
      <c r="O487" s="79" t="s">
        <v>42</v>
      </c>
      <c r="P487" s="79" t="s">
        <v>43</v>
      </c>
      <c r="Q487" s="81">
        <f>+IF(O487="ACERO A36",VLOOKUP(P487,'Velocidades Std 1500 w'!$B$2:$F$15,5,FALSE),IF(O487="INOXIDABLE",VLOOKUP(P487,'Velocidades Std 1500 w'!$B$17:$F$28,5,FALSE),IF(O487="ALUMINIO",VLOOKUP(P487,'Velocidades Std 1500 w'!$B$30:$F$38,5,FALSE))))</f>
        <v>4.3859649122807014E-6</v>
      </c>
      <c r="R487" s="82">
        <f t="shared" si="571"/>
        <v>2.1929824561403508E-2</v>
      </c>
      <c r="S487" s="83">
        <f t="shared" si="572"/>
        <v>121.75837578947366</v>
      </c>
      <c r="T487" s="110">
        <f t="shared" si="573"/>
        <v>7711.3637999999992</v>
      </c>
      <c r="U487" s="80">
        <f t="shared" si="574"/>
        <v>169.10885526315786</v>
      </c>
      <c r="V487" s="98">
        <v>90</v>
      </c>
      <c r="W487" s="84">
        <f>+IF(O487="ACERO A36",VLOOKUP(P487,'Tiempo Objeto'!$B$2:$C$12,2,FALSE),IF(O487="INOXIDABLE",VLOOKUP(P487,'Tiempo Objeto'!$B$14:$C$22,2,FALSE),IF(O487="ALUMINIO",VLOOKUP(P487,'Tiempo Objeto'!$B$24:$C$32,2,FALSE))))</f>
        <v>1.84</v>
      </c>
      <c r="X487" s="84">
        <f t="shared" si="575"/>
        <v>165.6</v>
      </c>
      <c r="Y487" s="80">
        <f t="shared" si="576"/>
        <v>230</v>
      </c>
      <c r="Z487" s="100">
        <v>7</v>
      </c>
      <c r="AA487" s="85">
        <f t="shared" si="577"/>
        <v>682.5</v>
      </c>
      <c r="AB487" s="86">
        <f>+Z487*Analisis!$J$6</f>
        <v>175</v>
      </c>
      <c r="AC487" s="100">
        <v>0</v>
      </c>
      <c r="AD487" s="85">
        <f t="shared" si="578"/>
        <v>0</v>
      </c>
      <c r="AE487" s="86">
        <f>+AD487*Analisis!$J$7</f>
        <v>0</v>
      </c>
      <c r="AF487" s="86">
        <f t="shared" si="579"/>
        <v>1645.9892530409356</v>
      </c>
      <c r="AG487" s="126">
        <f>+AF487/(1-Analisis!$E$9)</f>
        <v>2057.4865663011692</v>
      </c>
      <c r="AH487" s="128">
        <f t="shared" si="581"/>
        <v>92586.895483552609</v>
      </c>
      <c r="AI487" s="128">
        <f t="shared" si="582"/>
        <v>48234.617899999997</v>
      </c>
    </row>
    <row r="488" spans="1:35" s="73" customFormat="1" x14ac:dyDescent="0.25">
      <c r="A488" s="100"/>
      <c r="B488" s="120" t="s">
        <v>653</v>
      </c>
      <c r="C488" s="138">
        <f>IFERROR(VLOOKUP(B488,'REQ GALV'!A:B,2,0),0)</f>
        <v>90</v>
      </c>
      <c r="D488" s="116">
        <f t="shared" si="580"/>
        <v>218.30612207602343</v>
      </c>
      <c r="E488" s="103" t="s">
        <v>41</v>
      </c>
      <c r="F488" s="75" t="s">
        <v>314</v>
      </c>
      <c r="G488" s="90">
        <v>28.5</v>
      </c>
      <c r="H488" s="90">
        <v>3.49</v>
      </c>
      <c r="I488" s="76">
        <v>0.105</v>
      </c>
      <c r="J488" s="77">
        <v>28.24</v>
      </c>
      <c r="K488" s="78">
        <f t="shared" si="570"/>
        <v>5.7254207979225704</v>
      </c>
      <c r="L488" s="58">
        <f>+VLOOKUP(E488,Material!$H$2:$M$17,6,FALSE)*G488*H488*(1+Material!$K$14)</f>
        <v>73.493583333333348</v>
      </c>
      <c r="M488" s="79" t="str">
        <f>+Analisis!$J$5</f>
        <v>T5.0</v>
      </c>
      <c r="N488" s="80">
        <f>+VLOOKUP(M488,Material!$A$3:$B$58,2,FALSE)</f>
        <v>5000</v>
      </c>
      <c r="O488" s="79" t="s">
        <v>42</v>
      </c>
      <c r="P488" s="79" t="s">
        <v>43</v>
      </c>
      <c r="Q488" s="81">
        <f>+IF(O488="ACERO A36",VLOOKUP(P488,'Velocidades Std 1500 w'!$B$2:$F$15,5,FALSE),IF(O488="INOXIDABLE",VLOOKUP(P488,'Velocidades Std 1500 w'!$B$17:$F$28,5,FALSE),IF(O488="ALUMINIO",VLOOKUP(P488,'Velocidades Std 1500 w'!$B$30:$F$38,5,FALSE))))</f>
        <v>4.3859649122807014E-6</v>
      </c>
      <c r="R488" s="82">
        <f t="shared" si="571"/>
        <v>2.1929824561403508E-2</v>
      </c>
      <c r="S488" s="83">
        <f t="shared" si="572"/>
        <v>29.468946315789474</v>
      </c>
      <c r="T488" s="110">
        <f t="shared" si="573"/>
        <v>1866.3666000000001</v>
      </c>
      <c r="U488" s="80">
        <f t="shared" si="574"/>
        <v>40.929092105263159</v>
      </c>
      <c r="V488" s="98">
        <v>4</v>
      </c>
      <c r="W488" s="84">
        <f>+IF(O488="ACERO A36",VLOOKUP(P488,'Tiempo Objeto'!$B$2:$C$12,2,FALSE),IF(O488="INOXIDABLE",VLOOKUP(P488,'Tiempo Objeto'!$B$14:$C$22,2,FALSE),IF(O488="ALUMINIO",VLOOKUP(P488,'Tiempo Objeto'!$B$24:$C$32,2,FALSE))))</f>
        <v>1.84</v>
      </c>
      <c r="X488" s="84">
        <f t="shared" si="575"/>
        <v>7.36</v>
      </c>
      <c r="Y488" s="80">
        <f t="shared" si="576"/>
        <v>10.222222222222221</v>
      </c>
      <c r="Z488" s="100">
        <v>2</v>
      </c>
      <c r="AA488" s="85">
        <f t="shared" si="577"/>
        <v>330</v>
      </c>
      <c r="AB488" s="86">
        <f>+Z488*Analisis!$J$6</f>
        <v>50</v>
      </c>
      <c r="AC488" s="100">
        <v>0</v>
      </c>
      <c r="AD488" s="85">
        <f t="shared" si="578"/>
        <v>0</v>
      </c>
      <c r="AE488" s="86">
        <f>+AD488*Analisis!$J$7</f>
        <v>0</v>
      </c>
      <c r="AF488" s="86">
        <f t="shared" si="579"/>
        <v>174.64489766081874</v>
      </c>
      <c r="AG488" s="126">
        <f>+AF488/(1-Analisis!$E$9)</f>
        <v>218.30612207602343</v>
      </c>
      <c r="AH488" s="128">
        <f t="shared" si="581"/>
        <v>19647.550986842107</v>
      </c>
      <c r="AI488" s="128">
        <f t="shared" si="582"/>
        <v>6614.4225000000015</v>
      </c>
    </row>
    <row r="489" spans="1:35" s="73" customFormat="1" x14ac:dyDescent="0.25">
      <c r="A489" s="100"/>
      <c r="B489" s="120" t="s">
        <v>654</v>
      </c>
      <c r="C489" s="138">
        <f>IFERROR(VLOOKUP(B489,'REQ GALV'!A:B,2,0),0)</f>
        <v>30</v>
      </c>
      <c r="D489" s="116">
        <f t="shared" si="580"/>
        <v>1113.9122932017544</v>
      </c>
      <c r="E489" s="103" t="s">
        <v>41</v>
      </c>
      <c r="F489" s="75" t="s">
        <v>314</v>
      </c>
      <c r="G489" s="90">
        <v>19.074000000000002</v>
      </c>
      <c r="H489" s="90">
        <v>38.9</v>
      </c>
      <c r="I489" s="76">
        <v>0.105</v>
      </c>
      <c r="J489" s="77">
        <v>28.24</v>
      </c>
      <c r="K489" s="78">
        <f t="shared" si="570"/>
        <v>42.709895018885753</v>
      </c>
      <c r="L489" s="58">
        <f>+VLOOKUP(E489,Material!$H$2:$M$17,6,FALSE)*G489*H489*(1+Material!$K$14)</f>
        <v>548.23974333333342</v>
      </c>
      <c r="M489" s="79" t="str">
        <f>+Analisis!$J$5</f>
        <v>T5.0</v>
      </c>
      <c r="N489" s="80">
        <f>+VLOOKUP(M489,Material!$A$3:$B$58,2,FALSE)</f>
        <v>5000</v>
      </c>
      <c r="O489" s="79" t="s">
        <v>42</v>
      </c>
      <c r="P489" s="79" t="s">
        <v>43</v>
      </c>
      <c r="Q489" s="81">
        <f>+IF(O489="ACERO A36",VLOOKUP(P489,'Velocidades Std 1500 w'!$B$2:$F$15,5,FALSE),IF(O489="INOXIDABLE",VLOOKUP(P489,'Velocidades Std 1500 w'!$B$17:$F$28,5,FALSE),IF(O489="ALUMINIO",VLOOKUP(P489,'Velocidades Std 1500 w'!$B$30:$F$38,5,FALSE))))</f>
        <v>4.3859649122807014E-6</v>
      </c>
      <c r="R489" s="82">
        <f t="shared" si="571"/>
        <v>2.1929824561403508E-2</v>
      </c>
      <c r="S489" s="83">
        <f t="shared" si="572"/>
        <v>81.040865684210516</v>
      </c>
      <c r="T489" s="110">
        <f t="shared" si="573"/>
        <v>5132.5881599999993</v>
      </c>
      <c r="U489" s="80">
        <f t="shared" si="574"/>
        <v>112.55675789473682</v>
      </c>
      <c r="V489" s="98">
        <v>51</v>
      </c>
      <c r="W489" s="84">
        <f>+IF(O489="ACERO A36",VLOOKUP(P489,'Tiempo Objeto'!$B$2:$C$12,2,FALSE),IF(O489="INOXIDABLE",VLOOKUP(P489,'Tiempo Objeto'!$B$14:$C$22,2,FALSE),IF(O489="ALUMINIO",VLOOKUP(P489,'Tiempo Objeto'!$B$24:$C$32,2,FALSE))))</f>
        <v>1.84</v>
      </c>
      <c r="X489" s="84">
        <f t="shared" si="575"/>
        <v>93.84</v>
      </c>
      <c r="Y489" s="80">
        <f t="shared" si="576"/>
        <v>130.33333333333334</v>
      </c>
      <c r="Z489" s="100">
        <v>4</v>
      </c>
      <c r="AA489" s="85">
        <f t="shared" si="577"/>
        <v>300</v>
      </c>
      <c r="AB489" s="86">
        <f>+Z489*Analisis!$J$6</f>
        <v>100</v>
      </c>
      <c r="AC489" s="100">
        <v>0</v>
      </c>
      <c r="AD489" s="85">
        <f t="shared" si="578"/>
        <v>0</v>
      </c>
      <c r="AE489" s="86">
        <f>+AD489*Analisis!$J$7</f>
        <v>0</v>
      </c>
      <c r="AF489" s="86">
        <f t="shared" si="579"/>
        <v>891.12983456140364</v>
      </c>
      <c r="AG489" s="126">
        <f>+AF489/(1-Analisis!$E$9)</f>
        <v>1113.9122932017544</v>
      </c>
      <c r="AH489" s="128">
        <f t="shared" si="581"/>
        <v>33417.368796052629</v>
      </c>
      <c r="AI489" s="128">
        <f t="shared" si="582"/>
        <v>16447.192300000002</v>
      </c>
    </row>
    <row r="490" spans="1:35" s="73" customFormat="1" x14ac:dyDescent="0.25">
      <c r="A490" s="100"/>
      <c r="B490" s="120" t="s">
        <v>655</v>
      </c>
      <c r="C490" s="138">
        <f>IFERROR(VLOOKUP(B490,'REQ GALV'!A:B,2,0),0)</f>
        <v>30</v>
      </c>
      <c r="D490" s="116">
        <f t="shared" si="580"/>
        <v>520.53080226608188</v>
      </c>
      <c r="E490" s="103" t="s">
        <v>41</v>
      </c>
      <c r="F490" s="75" t="s">
        <v>314</v>
      </c>
      <c r="G490" s="90">
        <v>11.59</v>
      </c>
      <c r="H490" s="90">
        <v>36</v>
      </c>
      <c r="I490" s="76">
        <v>0.105</v>
      </c>
      <c r="J490" s="77">
        <v>28.24</v>
      </c>
      <c r="K490" s="78">
        <f t="shared" si="570"/>
        <v>24.017237960339948</v>
      </c>
      <c r="L490" s="58">
        <f>+VLOOKUP(E490,Material!$H$2:$M$17,6,FALSE)*G490*H490*(1+Material!$K$14)</f>
        <v>308.29400000000004</v>
      </c>
      <c r="M490" s="79" t="str">
        <f>+Analisis!$J$5</f>
        <v>T5.0</v>
      </c>
      <c r="N490" s="80">
        <f>+VLOOKUP(M490,Material!$A$3:$B$58,2,FALSE)</f>
        <v>5000</v>
      </c>
      <c r="O490" s="79" t="s">
        <v>42</v>
      </c>
      <c r="P490" s="79" t="s">
        <v>43</v>
      </c>
      <c r="Q490" s="81">
        <f>+IF(O490="ACERO A36",VLOOKUP(P490,'Velocidades Std 1500 w'!$B$2:$F$15,5,FALSE),IF(O490="INOXIDABLE",VLOOKUP(P490,'Velocidades Std 1500 w'!$B$17:$F$28,5,FALSE),IF(O490="ALUMINIO",VLOOKUP(P490,'Velocidades Std 1500 w'!$B$30:$F$38,5,FALSE))))</f>
        <v>4.3859649122807014E-6</v>
      </c>
      <c r="R490" s="82">
        <f t="shared" si="571"/>
        <v>2.1929824561403508E-2</v>
      </c>
      <c r="S490" s="83">
        <f t="shared" si="572"/>
        <v>45.134062105263155</v>
      </c>
      <c r="T490" s="110">
        <f t="shared" si="573"/>
        <v>2858.4906000000001</v>
      </c>
      <c r="U490" s="80">
        <f t="shared" si="574"/>
        <v>62.686197368421048</v>
      </c>
      <c r="V490" s="98">
        <v>8</v>
      </c>
      <c r="W490" s="84">
        <f>+IF(O490="ACERO A36",VLOOKUP(P490,'Tiempo Objeto'!$B$2:$C$12,2,FALSE),IF(O490="INOXIDABLE",VLOOKUP(P490,'Tiempo Objeto'!$B$14:$C$22,2,FALSE),IF(O490="ALUMINIO",VLOOKUP(P490,'Tiempo Objeto'!$B$24:$C$32,2,FALSE))))</f>
        <v>1.84</v>
      </c>
      <c r="X490" s="84">
        <f t="shared" si="575"/>
        <v>14.72</v>
      </c>
      <c r="Y490" s="80">
        <f t="shared" si="576"/>
        <v>20.444444444444443</v>
      </c>
      <c r="Z490" s="100">
        <v>1</v>
      </c>
      <c r="AA490" s="85">
        <f t="shared" si="577"/>
        <v>75</v>
      </c>
      <c r="AB490" s="86">
        <f>+Z490*Analisis!$J$6</f>
        <v>25</v>
      </c>
      <c r="AC490" s="100">
        <v>0</v>
      </c>
      <c r="AD490" s="85">
        <f t="shared" si="578"/>
        <v>0</v>
      </c>
      <c r="AE490" s="86">
        <f>+AD490*Analisis!$J$7</f>
        <v>0</v>
      </c>
      <c r="AF490" s="86">
        <f t="shared" si="579"/>
        <v>416.42464181286556</v>
      </c>
      <c r="AG490" s="126">
        <f>+AF490/(1-Analisis!$E$9)</f>
        <v>520.53080226608188</v>
      </c>
      <c r="AH490" s="128">
        <f t="shared" si="581"/>
        <v>15615.924067982456</v>
      </c>
      <c r="AI490" s="128">
        <f t="shared" si="582"/>
        <v>9248.8200000000015</v>
      </c>
    </row>
    <row r="491" spans="1:35" s="73" customFormat="1" x14ac:dyDescent="0.25">
      <c r="A491" s="100"/>
      <c r="B491" s="120" t="s">
        <v>656</v>
      </c>
      <c r="C491" s="138">
        <f>IFERROR(VLOOKUP(B491,'REQ GALV'!A:B,2,0),0)</f>
        <v>30</v>
      </c>
      <c r="D491" s="116">
        <f t="shared" si="580"/>
        <v>617.86539290935673</v>
      </c>
      <c r="E491" s="103" t="s">
        <v>41</v>
      </c>
      <c r="F491" s="75" t="s">
        <v>314</v>
      </c>
      <c r="G491" s="90">
        <v>11.59</v>
      </c>
      <c r="H491" s="90">
        <v>44</v>
      </c>
      <c r="I491" s="76">
        <v>0.105</v>
      </c>
      <c r="J491" s="77">
        <v>28.24</v>
      </c>
      <c r="K491" s="78">
        <f t="shared" si="570"/>
        <v>29.354401951526608</v>
      </c>
      <c r="L491" s="58">
        <f>+VLOOKUP(E491,Material!$H$2:$M$17,6,FALSE)*G491*H491*(1+Material!$K$14)</f>
        <v>376.80377777777784</v>
      </c>
      <c r="M491" s="79" t="str">
        <f>+Analisis!$J$5</f>
        <v>T5.0</v>
      </c>
      <c r="N491" s="80">
        <f>+VLOOKUP(M491,Material!$A$3:$B$58,2,FALSE)</f>
        <v>5000</v>
      </c>
      <c r="O491" s="79" t="s">
        <v>42</v>
      </c>
      <c r="P491" s="79" t="s">
        <v>43</v>
      </c>
      <c r="Q491" s="81">
        <f>+IF(O491="ACERO A36",VLOOKUP(P491,'Velocidades Std 1500 w'!$B$2:$F$15,5,FALSE),IF(O491="INOXIDABLE",VLOOKUP(P491,'Velocidades Std 1500 w'!$B$17:$F$28,5,FALSE),IF(O491="ALUMINIO",VLOOKUP(P491,'Velocidades Std 1500 w'!$B$30:$F$38,5,FALSE))))</f>
        <v>4.3859649122807014E-6</v>
      </c>
      <c r="R491" s="82">
        <f t="shared" si="571"/>
        <v>2.1929824561403508E-2</v>
      </c>
      <c r="S491" s="83">
        <f t="shared" si="572"/>
        <v>51.871746315789473</v>
      </c>
      <c r="T491" s="110">
        <f t="shared" si="573"/>
        <v>3285.2105999999999</v>
      </c>
      <c r="U491" s="80">
        <f t="shared" si="574"/>
        <v>72.044092105263147</v>
      </c>
      <c r="V491" s="98">
        <v>8</v>
      </c>
      <c r="W491" s="84">
        <f>+IF(O491="ACERO A36",VLOOKUP(P491,'Tiempo Objeto'!$B$2:$C$12,2,FALSE),IF(O491="INOXIDABLE",VLOOKUP(P491,'Tiempo Objeto'!$B$14:$C$22,2,FALSE),IF(O491="ALUMINIO",VLOOKUP(P491,'Tiempo Objeto'!$B$24:$C$32,2,FALSE))))</f>
        <v>1.84</v>
      </c>
      <c r="X491" s="84">
        <f t="shared" si="575"/>
        <v>14.72</v>
      </c>
      <c r="Y491" s="80">
        <f t="shared" si="576"/>
        <v>20.444444444444443</v>
      </c>
      <c r="Z491" s="100">
        <v>1</v>
      </c>
      <c r="AA491" s="85">
        <f t="shared" si="577"/>
        <v>75</v>
      </c>
      <c r="AB491" s="86">
        <f>+Z491*Analisis!$J$6</f>
        <v>25</v>
      </c>
      <c r="AC491" s="100">
        <v>0</v>
      </c>
      <c r="AD491" s="85">
        <f t="shared" si="578"/>
        <v>0</v>
      </c>
      <c r="AE491" s="86">
        <f>+AD491*Analisis!$J$7</f>
        <v>0</v>
      </c>
      <c r="AF491" s="86">
        <f t="shared" si="579"/>
        <v>494.29231432748543</v>
      </c>
      <c r="AG491" s="126">
        <f>+AF491/(1-Analisis!$E$9)</f>
        <v>617.86539290935673</v>
      </c>
      <c r="AH491" s="128">
        <f t="shared" si="581"/>
        <v>18535.961787280703</v>
      </c>
      <c r="AI491" s="128">
        <f t="shared" si="582"/>
        <v>11304.113333333335</v>
      </c>
    </row>
    <row r="492" spans="1:35" s="73" customFormat="1" x14ac:dyDescent="0.25">
      <c r="A492" s="100"/>
      <c r="B492" s="120" t="s">
        <v>657</v>
      </c>
      <c r="C492" s="138">
        <f>IFERROR(VLOOKUP(B492,'REQ GALV'!A:B,2,0),0)</f>
        <v>45</v>
      </c>
      <c r="D492" s="116">
        <f t="shared" si="580"/>
        <v>622.55288559941528</v>
      </c>
      <c r="E492" s="103" t="s">
        <v>41</v>
      </c>
      <c r="F492" s="75" t="s">
        <v>314</v>
      </c>
      <c r="G492" s="90">
        <v>17.59</v>
      </c>
      <c r="H492" s="90">
        <v>30</v>
      </c>
      <c r="I492" s="76">
        <v>0.105</v>
      </c>
      <c r="J492" s="77">
        <v>28.24</v>
      </c>
      <c r="K492" s="78">
        <f t="shared" si="570"/>
        <v>30.375554768649675</v>
      </c>
      <c r="L492" s="58">
        <f>+VLOOKUP(E492,Material!$H$2:$M$17,6,FALSE)*G492*H492*(1+Material!$K$14)</f>
        <v>389.91166666666669</v>
      </c>
      <c r="M492" s="79" t="str">
        <f>+Analisis!$J$5</f>
        <v>T5.0</v>
      </c>
      <c r="N492" s="80">
        <f>+VLOOKUP(M492,Material!$A$3:$B$58,2,FALSE)</f>
        <v>5000</v>
      </c>
      <c r="O492" s="79" t="s">
        <v>42</v>
      </c>
      <c r="P492" s="79" t="s">
        <v>43</v>
      </c>
      <c r="Q492" s="81">
        <f>+IF(O492="ACERO A36",VLOOKUP(P492,'Velocidades Std 1500 w'!$B$2:$F$15,5,FALSE),IF(O492="INOXIDABLE",VLOOKUP(P492,'Velocidades Std 1500 w'!$B$17:$F$28,5,FALSE),IF(O492="ALUMINIO",VLOOKUP(P492,'Velocidades Std 1500 w'!$B$30:$F$38,5,FALSE))))</f>
        <v>4.3859649122807014E-6</v>
      </c>
      <c r="R492" s="82">
        <f t="shared" si="571"/>
        <v>2.1929824561403508E-2</v>
      </c>
      <c r="S492" s="83">
        <f t="shared" si="572"/>
        <v>45.134062105263155</v>
      </c>
      <c r="T492" s="110">
        <f t="shared" si="573"/>
        <v>2858.4906000000001</v>
      </c>
      <c r="U492" s="80">
        <f t="shared" si="574"/>
        <v>62.686197368421048</v>
      </c>
      <c r="V492" s="98">
        <v>8</v>
      </c>
      <c r="W492" s="84">
        <f>+IF(O492="ACERO A36",VLOOKUP(P492,'Tiempo Objeto'!$B$2:$C$12,2,FALSE),IF(O492="INOXIDABLE",VLOOKUP(P492,'Tiempo Objeto'!$B$14:$C$22,2,FALSE),IF(O492="ALUMINIO",VLOOKUP(P492,'Tiempo Objeto'!$B$24:$C$32,2,FALSE))))</f>
        <v>1.84</v>
      </c>
      <c r="X492" s="84">
        <f t="shared" si="575"/>
        <v>14.72</v>
      </c>
      <c r="Y492" s="80">
        <f t="shared" si="576"/>
        <v>20.444444444444443</v>
      </c>
      <c r="Z492" s="100">
        <v>1</v>
      </c>
      <c r="AA492" s="85">
        <f t="shared" si="577"/>
        <v>97.5</v>
      </c>
      <c r="AB492" s="86">
        <f>+Z492*Analisis!$J$6</f>
        <v>25</v>
      </c>
      <c r="AC492" s="100">
        <v>0</v>
      </c>
      <c r="AD492" s="85">
        <f t="shared" si="578"/>
        <v>0</v>
      </c>
      <c r="AE492" s="86">
        <f>+AD492*Analisis!$J$7</f>
        <v>0</v>
      </c>
      <c r="AF492" s="86">
        <f t="shared" si="579"/>
        <v>498.04230847953221</v>
      </c>
      <c r="AG492" s="126">
        <f>+AF492/(1-Analisis!$E$9)</f>
        <v>622.55288559941528</v>
      </c>
      <c r="AH492" s="128">
        <f t="shared" si="581"/>
        <v>28014.879851973688</v>
      </c>
      <c r="AI492" s="128">
        <f t="shared" ref="AI492:AI504" si="583">+L492*C492</f>
        <v>17546.025000000001</v>
      </c>
    </row>
    <row r="493" spans="1:35" s="73" customFormat="1" x14ac:dyDescent="0.25">
      <c r="A493" s="100"/>
      <c r="B493" s="120" t="s">
        <v>658</v>
      </c>
      <c r="C493" s="138">
        <f>IFERROR(VLOOKUP(B493,'REQ GALV'!A:B,2,0),0)</f>
        <v>30</v>
      </c>
      <c r="D493" s="116">
        <f t="shared" si="580"/>
        <v>554.85938413742701</v>
      </c>
      <c r="E493" s="103" t="s">
        <v>41</v>
      </c>
      <c r="F493" s="75" t="s">
        <v>314</v>
      </c>
      <c r="G493" s="90">
        <v>11.59</v>
      </c>
      <c r="H493" s="90">
        <v>36</v>
      </c>
      <c r="I493" s="76">
        <v>0.105</v>
      </c>
      <c r="J493" s="77">
        <v>28.24</v>
      </c>
      <c r="K493" s="78">
        <f t="shared" si="570"/>
        <v>24.017237960339948</v>
      </c>
      <c r="L493" s="58">
        <f>+VLOOKUP(E493,Material!$H$2:$M$17,6,FALSE)*G493*H493*(1+Material!$K$14)</f>
        <v>308.29400000000004</v>
      </c>
      <c r="M493" s="79" t="str">
        <f>+Analisis!$J$5</f>
        <v>T5.0</v>
      </c>
      <c r="N493" s="80">
        <f>+VLOOKUP(M493,Material!$A$3:$B$58,2,FALSE)</f>
        <v>5000</v>
      </c>
      <c r="O493" s="79" t="s">
        <v>42</v>
      </c>
      <c r="P493" s="79" t="s">
        <v>43</v>
      </c>
      <c r="Q493" s="81">
        <f>+IF(O493="ACERO A36",VLOOKUP(P493,'Velocidades Std 1500 w'!$B$2:$F$15,5,FALSE),IF(O493="INOXIDABLE",VLOOKUP(P493,'Velocidades Std 1500 w'!$B$17:$F$28,5,FALSE),IF(O493="ALUMINIO",VLOOKUP(P493,'Velocidades Std 1500 w'!$B$30:$F$38,5,FALSE))))</f>
        <v>4.3859649122807014E-6</v>
      </c>
      <c r="R493" s="82">
        <f t="shared" si="571"/>
        <v>2.1929824561403508E-2</v>
      </c>
      <c r="S493" s="83">
        <f t="shared" si="572"/>
        <v>50.187325263157895</v>
      </c>
      <c r="T493" s="110">
        <f t="shared" si="573"/>
        <v>3178.5306</v>
      </c>
      <c r="U493" s="80">
        <f t="shared" si="574"/>
        <v>69.704618421052629</v>
      </c>
      <c r="V493" s="98">
        <v>16</v>
      </c>
      <c r="W493" s="84">
        <f>+IF(O493="ACERO A36",VLOOKUP(P493,'Tiempo Objeto'!$B$2:$C$12,2,FALSE),IF(O493="INOXIDABLE",VLOOKUP(P493,'Tiempo Objeto'!$B$14:$C$22,2,FALSE),IF(O493="ALUMINIO",VLOOKUP(P493,'Tiempo Objeto'!$B$24:$C$32,2,FALSE))))</f>
        <v>1.84</v>
      </c>
      <c r="X493" s="84">
        <f t="shared" si="575"/>
        <v>29.44</v>
      </c>
      <c r="Y493" s="80">
        <f t="shared" si="576"/>
        <v>40.888888888888886</v>
      </c>
      <c r="Z493" s="100">
        <v>1</v>
      </c>
      <c r="AA493" s="85">
        <f t="shared" si="577"/>
        <v>75</v>
      </c>
      <c r="AB493" s="86">
        <f>+Z493*Analisis!$J$6</f>
        <v>25</v>
      </c>
      <c r="AC493" s="100">
        <v>0</v>
      </c>
      <c r="AD493" s="85">
        <f t="shared" si="578"/>
        <v>0</v>
      </c>
      <c r="AE493" s="86">
        <f>+AD493*Analisis!$J$7</f>
        <v>0</v>
      </c>
      <c r="AF493" s="86">
        <f t="shared" si="579"/>
        <v>443.88750730994161</v>
      </c>
      <c r="AG493" s="126">
        <f>+AF493/(1-Analisis!$E$9)</f>
        <v>554.85938413742701</v>
      </c>
      <c r="AH493" s="128">
        <f t="shared" si="581"/>
        <v>16645.781524122809</v>
      </c>
      <c r="AI493" s="128">
        <f t="shared" si="583"/>
        <v>9248.8200000000015</v>
      </c>
    </row>
    <row r="494" spans="1:35" s="73" customFormat="1" x14ac:dyDescent="0.25">
      <c r="A494" s="100"/>
      <c r="B494" s="120" t="s">
        <v>659</v>
      </c>
      <c r="C494" s="138">
        <f>IFERROR(VLOOKUP(B494,'REQ GALV'!A:B,2,0),0)</f>
        <v>30</v>
      </c>
      <c r="D494" s="116">
        <f t="shared" si="580"/>
        <v>652.19397478070175</v>
      </c>
      <c r="E494" s="103" t="s">
        <v>41</v>
      </c>
      <c r="F494" s="75" t="s">
        <v>314</v>
      </c>
      <c r="G494" s="90">
        <v>11.59</v>
      </c>
      <c r="H494" s="90">
        <v>44</v>
      </c>
      <c r="I494" s="76">
        <v>0.105</v>
      </c>
      <c r="J494" s="77">
        <v>28.24</v>
      </c>
      <c r="K494" s="78">
        <f t="shared" si="570"/>
        <v>29.354401951526608</v>
      </c>
      <c r="L494" s="58">
        <f>+VLOOKUP(E494,Material!$H$2:$M$17,6,FALSE)*G494*H494*(1+Material!$K$14)</f>
        <v>376.80377777777784</v>
      </c>
      <c r="M494" s="79" t="str">
        <f>+Analisis!$J$5</f>
        <v>T5.0</v>
      </c>
      <c r="N494" s="80">
        <f>+VLOOKUP(M494,Material!$A$3:$B$58,2,FALSE)</f>
        <v>5000</v>
      </c>
      <c r="O494" s="79" t="s">
        <v>42</v>
      </c>
      <c r="P494" s="79" t="s">
        <v>43</v>
      </c>
      <c r="Q494" s="81">
        <f>+IF(O494="ACERO A36",VLOOKUP(P494,'Velocidades Std 1500 w'!$B$2:$F$15,5,FALSE),IF(O494="INOXIDABLE",VLOOKUP(P494,'Velocidades Std 1500 w'!$B$17:$F$28,5,FALSE),IF(O494="ALUMINIO",VLOOKUP(P494,'Velocidades Std 1500 w'!$B$30:$F$38,5,FALSE))))</f>
        <v>4.3859649122807014E-6</v>
      </c>
      <c r="R494" s="82">
        <f t="shared" si="571"/>
        <v>2.1929824561403508E-2</v>
      </c>
      <c r="S494" s="83">
        <f t="shared" si="572"/>
        <v>56.925009473684213</v>
      </c>
      <c r="T494" s="110">
        <f t="shared" si="573"/>
        <v>3605.2506000000003</v>
      </c>
      <c r="U494" s="80">
        <f t="shared" si="574"/>
        <v>79.062513157894742</v>
      </c>
      <c r="V494" s="98">
        <v>16</v>
      </c>
      <c r="W494" s="84">
        <f>+IF(O494="ACERO A36",VLOOKUP(P494,'Tiempo Objeto'!$B$2:$C$12,2,FALSE),IF(O494="INOXIDABLE",VLOOKUP(P494,'Tiempo Objeto'!$B$14:$C$22,2,FALSE),IF(O494="ALUMINIO",VLOOKUP(P494,'Tiempo Objeto'!$B$24:$C$32,2,FALSE))))</f>
        <v>1.84</v>
      </c>
      <c r="X494" s="84">
        <f t="shared" si="575"/>
        <v>29.44</v>
      </c>
      <c r="Y494" s="80">
        <f t="shared" si="576"/>
        <v>40.888888888888886</v>
      </c>
      <c r="Z494" s="100">
        <v>1</v>
      </c>
      <c r="AA494" s="85">
        <f t="shared" si="577"/>
        <v>75</v>
      </c>
      <c r="AB494" s="86">
        <f>+Z494*Analisis!$J$6</f>
        <v>25</v>
      </c>
      <c r="AC494" s="100">
        <v>0</v>
      </c>
      <c r="AD494" s="85">
        <f t="shared" si="578"/>
        <v>0</v>
      </c>
      <c r="AE494" s="86">
        <f>+AD494*Analisis!$J$7</f>
        <v>0</v>
      </c>
      <c r="AF494" s="86">
        <f t="shared" si="579"/>
        <v>521.75517982456142</v>
      </c>
      <c r="AG494" s="126">
        <f>+AF494/(1-Analisis!$E$9)</f>
        <v>652.19397478070175</v>
      </c>
      <c r="AH494" s="128">
        <f t="shared" si="581"/>
        <v>19565.819243421054</v>
      </c>
      <c r="AI494" s="128">
        <f t="shared" si="583"/>
        <v>11304.113333333335</v>
      </c>
    </row>
    <row r="495" spans="1:35" s="73" customFormat="1" x14ac:dyDescent="0.25">
      <c r="A495" s="100"/>
      <c r="B495" s="120" t="s">
        <v>660</v>
      </c>
      <c r="C495" s="138">
        <f>IFERROR(VLOOKUP(B495,'REQ GALV'!A:B,2,0),0)</f>
        <v>45</v>
      </c>
      <c r="D495" s="116">
        <f t="shared" si="580"/>
        <v>656.8814674707603</v>
      </c>
      <c r="E495" s="103" t="s">
        <v>41</v>
      </c>
      <c r="F495" s="75" t="s">
        <v>314</v>
      </c>
      <c r="G495" s="90">
        <v>17.59</v>
      </c>
      <c r="H495" s="90">
        <v>30</v>
      </c>
      <c r="I495" s="76">
        <v>0.105</v>
      </c>
      <c r="J495" s="77">
        <v>28.24</v>
      </c>
      <c r="K495" s="78">
        <f t="shared" ref="K495:K513" si="584">+L495*2.2/J495</f>
        <v>30.375554768649675</v>
      </c>
      <c r="L495" s="58">
        <f>+VLOOKUP(E495,Material!$H$2:$M$17,6,FALSE)*G495*H495*(1+Material!$K$14)</f>
        <v>389.91166666666669</v>
      </c>
      <c r="M495" s="79" t="str">
        <f>+Analisis!$J$5</f>
        <v>T5.0</v>
      </c>
      <c r="N495" s="80">
        <f>+VLOOKUP(M495,Material!$A$3:$B$58,2,FALSE)</f>
        <v>5000</v>
      </c>
      <c r="O495" s="79" t="s">
        <v>42</v>
      </c>
      <c r="P495" s="79" t="s">
        <v>43</v>
      </c>
      <c r="Q495" s="81">
        <f>+IF(O495="ACERO A36",VLOOKUP(P495,'Velocidades Std 1500 w'!$B$2:$F$15,5,FALSE),IF(O495="INOXIDABLE",VLOOKUP(P495,'Velocidades Std 1500 w'!$B$17:$F$28,5,FALSE),IF(O495="ALUMINIO",VLOOKUP(P495,'Velocidades Std 1500 w'!$B$30:$F$38,5,FALSE))))</f>
        <v>4.3859649122807014E-6</v>
      </c>
      <c r="R495" s="82">
        <f t="shared" ref="R495:R513" si="585">+Q495*N495</f>
        <v>2.1929824561403508E-2</v>
      </c>
      <c r="S495" s="83">
        <f t="shared" ref="S495:S513" si="586">+Q495*T495*3600</f>
        <v>50.187325263157895</v>
      </c>
      <c r="T495" s="110">
        <f t="shared" ref="T495:T513" si="587">(+H495*2+G495*2+V495*1.5)*25.4*1.05</f>
        <v>3178.5306</v>
      </c>
      <c r="U495" s="80">
        <f t="shared" ref="U495:U513" si="588">+T495*R495</f>
        <v>69.704618421052629</v>
      </c>
      <c r="V495" s="98">
        <v>16</v>
      </c>
      <c r="W495" s="84">
        <f>+IF(O495="ACERO A36",VLOOKUP(P495,'Tiempo Objeto'!$B$2:$C$12,2,FALSE),IF(O495="INOXIDABLE",VLOOKUP(P495,'Tiempo Objeto'!$B$14:$C$22,2,FALSE),IF(O495="ALUMINIO",VLOOKUP(P495,'Tiempo Objeto'!$B$24:$C$32,2,FALSE))))</f>
        <v>1.84</v>
      </c>
      <c r="X495" s="84">
        <f t="shared" ref="X495:X513" si="589">+W495*V495</f>
        <v>29.44</v>
      </c>
      <c r="Y495" s="80">
        <f t="shared" ref="Y495:Y513" si="590">+X495*N495/3600</f>
        <v>40.888888888888886</v>
      </c>
      <c r="Z495" s="100">
        <v>1</v>
      </c>
      <c r="AA495" s="85">
        <f t="shared" ref="AA495:AA505" si="591">30*Z495+Z495*$C495*1.5</f>
        <v>97.5</v>
      </c>
      <c r="AB495" s="86">
        <f>+Z495*Analisis!$J$6</f>
        <v>25</v>
      </c>
      <c r="AC495" s="100">
        <v>0</v>
      </c>
      <c r="AD495" s="85">
        <f t="shared" ref="AD495:AD505" si="592">30*AC495+AC495*$C495*1.5</f>
        <v>0</v>
      </c>
      <c r="AE495" s="86">
        <f>+AD495*Analisis!$J$7</f>
        <v>0</v>
      </c>
      <c r="AF495" s="86">
        <f t="shared" si="579"/>
        <v>525.50517397660826</v>
      </c>
      <c r="AG495" s="126">
        <f>+AF495/(1-Analisis!$E$9)</f>
        <v>656.8814674707603</v>
      </c>
      <c r="AH495" s="128">
        <f t="shared" si="581"/>
        <v>29559.666036184215</v>
      </c>
      <c r="AI495" s="128">
        <f t="shared" si="583"/>
        <v>17546.025000000001</v>
      </c>
    </row>
    <row r="496" spans="1:35" s="73" customFormat="1" x14ac:dyDescent="0.25">
      <c r="A496" s="100"/>
      <c r="B496" s="120" t="s">
        <v>661</v>
      </c>
      <c r="C496" s="138">
        <f>IFERROR(VLOOKUP(B496,'REQ GALV'!A:B,2,0),0)</f>
        <v>30</v>
      </c>
      <c r="D496" s="116">
        <f t="shared" si="580"/>
        <v>1948.6639492426903</v>
      </c>
      <c r="E496" s="103" t="s">
        <v>41</v>
      </c>
      <c r="F496" s="75" t="s">
        <v>314</v>
      </c>
      <c r="G496" s="90">
        <v>21.423999999999999</v>
      </c>
      <c r="H496" s="90">
        <v>55.786000000000001</v>
      </c>
      <c r="I496" s="76">
        <v>0.105</v>
      </c>
      <c r="J496" s="77">
        <v>28.24</v>
      </c>
      <c r="K496" s="78">
        <f t="shared" si="584"/>
        <v>68.795955430909672</v>
      </c>
      <c r="L496" s="58">
        <f>+VLOOKUP(E496,Material!$H$2:$M$17,6,FALSE)*G496*H496*(1+Material!$K$14)</f>
        <v>883.08990062222233</v>
      </c>
      <c r="M496" s="79" t="str">
        <f>+Analisis!$J$5</f>
        <v>T5.0</v>
      </c>
      <c r="N496" s="80">
        <f>+VLOOKUP(M496,Material!$A$3:$B$58,2,FALSE)</f>
        <v>5000</v>
      </c>
      <c r="O496" s="79" t="s">
        <v>42</v>
      </c>
      <c r="P496" s="79" t="s">
        <v>43</v>
      </c>
      <c r="Q496" s="81">
        <f>+IF(O496="ACERO A36",VLOOKUP(P496,'Velocidades Std 1500 w'!$B$2:$F$15,5,FALSE),IF(O496="INOXIDABLE",VLOOKUP(P496,'Velocidades Std 1500 w'!$B$17:$F$28,5,FALSE),IF(O496="ALUMINIO",VLOOKUP(P496,'Velocidades Std 1500 w'!$B$30:$F$38,5,FALSE))))</f>
        <v>4.3859649122807014E-6</v>
      </c>
      <c r="R496" s="82">
        <f t="shared" si="585"/>
        <v>2.1929824561403508E-2</v>
      </c>
      <c r="S496" s="83">
        <f t="shared" si="586"/>
        <v>163.5657063157895</v>
      </c>
      <c r="T496" s="110">
        <f t="shared" si="587"/>
        <v>10359.161400000001</v>
      </c>
      <c r="U496" s="80">
        <f t="shared" si="588"/>
        <v>227.17459210526317</v>
      </c>
      <c r="V496" s="98">
        <v>156</v>
      </c>
      <c r="W496" s="84">
        <f>+IF(O496="ACERO A36",VLOOKUP(P496,'Tiempo Objeto'!$B$2:$C$12,2,FALSE),IF(O496="INOXIDABLE",VLOOKUP(P496,'Tiempo Objeto'!$B$14:$C$22,2,FALSE),IF(O496="ALUMINIO",VLOOKUP(P496,'Tiempo Objeto'!$B$24:$C$32,2,FALSE))))</f>
        <v>1.84</v>
      </c>
      <c r="X496" s="84">
        <f t="shared" si="589"/>
        <v>287.04000000000002</v>
      </c>
      <c r="Y496" s="80">
        <f t="shared" si="590"/>
        <v>398.66666666666669</v>
      </c>
      <c r="Z496" s="100">
        <v>2</v>
      </c>
      <c r="AA496" s="85">
        <f t="shared" si="591"/>
        <v>150</v>
      </c>
      <c r="AB496" s="86">
        <f>+Z496*Analisis!$J$6</f>
        <v>50</v>
      </c>
      <c r="AC496" s="100">
        <v>0</v>
      </c>
      <c r="AD496" s="85">
        <f t="shared" si="592"/>
        <v>0</v>
      </c>
      <c r="AE496" s="86">
        <f>+AD496*Analisis!$J$7</f>
        <v>0</v>
      </c>
      <c r="AF496" s="86">
        <f t="shared" si="579"/>
        <v>1558.9311593941522</v>
      </c>
      <c r="AG496" s="126">
        <f>+AF496/(1-Analisis!$E$9)</f>
        <v>1948.6639492426903</v>
      </c>
      <c r="AH496" s="128">
        <f t="shared" si="581"/>
        <v>58459.918477280706</v>
      </c>
      <c r="AI496" s="128">
        <f t="shared" si="583"/>
        <v>26492.697018666669</v>
      </c>
    </row>
    <row r="497" spans="1:35" s="73" customFormat="1" x14ac:dyDescent="0.25">
      <c r="A497" s="100"/>
      <c r="B497" s="120" t="s">
        <v>662</v>
      </c>
      <c r="C497" s="138">
        <f>IFERROR(VLOOKUP(B497,'REQ GALV'!A:B,2,0),0)</f>
        <v>30</v>
      </c>
      <c r="D497" s="116">
        <f t="shared" si="580"/>
        <v>1825.3648717573099</v>
      </c>
      <c r="E497" s="103" t="s">
        <v>41</v>
      </c>
      <c r="F497" s="75" t="s">
        <v>314</v>
      </c>
      <c r="G497" s="90">
        <v>16.423999999999999</v>
      </c>
      <c r="H497" s="90">
        <v>63.786000000000001</v>
      </c>
      <c r="I497" s="76">
        <v>0.105</v>
      </c>
      <c r="J497" s="77">
        <v>28.24</v>
      </c>
      <c r="K497" s="78">
        <f t="shared" si="584"/>
        <v>60.303348647780936</v>
      </c>
      <c r="L497" s="58">
        <f>+VLOOKUP(E497,Material!$H$2:$M$17,6,FALSE)*G497*H497*(1+Material!$K$14)</f>
        <v>774.07571173333338</v>
      </c>
      <c r="M497" s="79" t="str">
        <f>+Analisis!$J$5</f>
        <v>T5.0</v>
      </c>
      <c r="N497" s="80">
        <f>+VLOOKUP(M497,Material!$A$3:$B$58,2,FALSE)</f>
        <v>5000</v>
      </c>
      <c r="O497" s="79" t="s">
        <v>42</v>
      </c>
      <c r="P497" s="79" t="s">
        <v>43</v>
      </c>
      <c r="Q497" s="81">
        <f>+IF(O497="ACERO A36",VLOOKUP(P497,'Velocidades Std 1500 w'!$B$2:$F$15,5,FALSE),IF(O497="INOXIDABLE",VLOOKUP(P497,'Velocidades Std 1500 w'!$B$17:$F$28,5,FALSE),IF(O497="ALUMINIO",VLOOKUP(P497,'Velocidades Std 1500 w'!$B$30:$F$38,5,FALSE))))</f>
        <v>4.3859649122807014E-6</v>
      </c>
      <c r="R497" s="82">
        <f t="shared" si="585"/>
        <v>2.1929824561403508E-2</v>
      </c>
      <c r="S497" s="83">
        <f t="shared" si="586"/>
        <v>167.35565368421052</v>
      </c>
      <c r="T497" s="110">
        <f t="shared" si="587"/>
        <v>10599.1914</v>
      </c>
      <c r="U497" s="80">
        <f t="shared" si="588"/>
        <v>232.43840789473683</v>
      </c>
      <c r="V497" s="98">
        <v>158</v>
      </c>
      <c r="W497" s="84">
        <f>+IF(O497="ACERO A36",VLOOKUP(P497,'Tiempo Objeto'!$B$2:$C$12,2,FALSE),IF(O497="INOXIDABLE",VLOOKUP(P497,'Tiempo Objeto'!$B$14:$C$22,2,FALSE),IF(O497="ALUMINIO",VLOOKUP(P497,'Tiempo Objeto'!$B$24:$C$32,2,FALSE))))</f>
        <v>1.84</v>
      </c>
      <c r="X497" s="84">
        <f t="shared" si="589"/>
        <v>290.72000000000003</v>
      </c>
      <c r="Y497" s="80">
        <f t="shared" si="590"/>
        <v>403.77777777777783</v>
      </c>
      <c r="Z497" s="100">
        <v>2</v>
      </c>
      <c r="AA497" s="85">
        <f t="shared" si="591"/>
        <v>150</v>
      </c>
      <c r="AB497" s="86">
        <f>+Z497*Analisis!$J$6</f>
        <v>50</v>
      </c>
      <c r="AC497" s="100">
        <v>0</v>
      </c>
      <c r="AD497" s="85">
        <f t="shared" si="592"/>
        <v>0</v>
      </c>
      <c r="AE497" s="86">
        <f>+AD497*Analisis!$J$7</f>
        <v>0</v>
      </c>
      <c r="AF497" s="86">
        <f t="shared" si="579"/>
        <v>1460.291897405848</v>
      </c>
      <c r="AG497" s="126">
        <f>+AF497/(1-Analisis!$E$9)</f>
        <v>1825.3648717573099</v>
      </c>
      <c r="AH497" s="128">
        <f t="shared" si="581"/>
        <v>54760.946152719298</v>
      </c>
      <c r="AI497" s="128">
        <f t="shared" si="583"/>
        <v>23222.271352</v>
      </c>
    </row>
    <row r="498" spans="1:35" s="73" customFormat="1" x14ac:dyDescent="0.25">
      <c r="A498" s="100"/>
      <c r="B498" s="120" t="s">
        <v>663</v>
      </c>
      <c r="C498" s="138">
        <f>IFERROR(VLOOKUP(B498,'REQ GALV'!A:B,2,0),0)</f>
        <v>45</v>
      </c>
      <c r="D498" s="116">
        <f t="shared" si="580"/>
        <v>1792.101751874269</v>
      </c>
      <c r="E498" s="103" t="s">
        <v>41</v>
      </c>
      <c r="F498" s="75" t="s">
        <v>314</v>
      </c>
      <c r="G498" s="90">
        <v>16.423999999999999</v>
      </c>
      <c r="H498" s="90">
        <v>61.786000000000001</v>
      </c>
      <c r="I498" s="76">
        <v>0.105</v>
      </c>
      <c r="J498" s="77">
        <v>28.24</v>
      </c>
      <c r="K498" s="78">
        <f t="shared" si="584"/>
        <v>58.412546633301872</v>
      </c>
      <c r="L498" s="58">
        <f>+VLOOKUP(E498,Material!$H$2:$M$17,6,FALSE)*G498*H498*(1+Material!$K$14)</f>
        <v>749.80468951111118</v>
      </c>
      <c r="M498" s="79" t="str">
        <f>+Analisis!$J$5</f>
        <v>T5.0</v>
      </c>
      <c r="N498" s="80">
        <f>+VLOOKUP(M498,Material!$A$3:$B$58,2,FALSE)</f>
        <v>5000</v>
      </c>
      <c r="O498" s="79" t="s">
        <v>42</v>
      </c>
      <c r="P498" s="79" t="s">
        <v>43</v>
      </c>
      <c r="Q498" s="81">
        <f>+IF(O498="ACERO A36",VLOOKUP(P498,'Velocidades Std 1500 w'!$B$2:$F$15,5,FALSE),IF(O498="INOXIDABLE",VLOOKUP(P498,'Velocidades Std 1500 w'!$B$17:$F$28,5,FALSE),IF(O498="ALUMINIO",VLOOKUP(P498,'Velocidades Std 1500 w'!$B$30:$F$38,5,FALSE))))</f>
        <v>4.3859649122807014E-6</v>
      </c>
      <c r="R498" s="82">
        <f t="shared" si="585"/>
        <v>2.1929824561403508E-2</v>
      </c>
      <c r="S498" s="83">
        <f t="shared" si="586"/>
        <v>165.67123263157896</v>
      </c>
      <c r="T498" s="110">
        <f t="shared" si="587"/>
        <v>10492.511400000001</v>
      </c>
      <c r="U498" s="80">
        <f t="shared" si="588"/>
        <v>230.09893421052632</v>
      </c>
      <c r="V498" s="98">
        <v>158</v>
      </c>
      <c r="W498" s="84">
        <f>+IF(O498="ACERO A36",VLOOKUP(P498,'Tiempo Objeto'!$B$2:$C$12,2,FALSE),IF(O498="INOXIDABLE",VLOOKUP(P498,'Tiempo Objeto'!$B$14:$C$22,2,FALSE),IF(O498="ALUMINIO",VLOOKUP(P498,'Tiempo Objeto'!$B$24:$C$32,2,FALSE))))</f>
        <v>1.84</v>
      </c>
      <c r="X498" s="84">
        <f t="shared" si="589"/>
        <v>290.72000000000003</v>
      </c>
      <c r="Y498" s="80">
        <f t="shared" si="590"/>
        <v>403.77777777777783</v>
      </c>
      <c r="Z498" s="100">
        <v>2</v>
      </c>
      <c r="AA498" s="85">
        <f t="shared" si="591"/>
        <v>195</v>
      </c>
      <c r="AB498" s="86">
        <f>+Z498*Analisis!$J$6</f>
        <v>50</v>
      </c>
      <c r="AC498" s="100">
        <v>0</v>
      </c>
      <c r="AD498" s="85">
        <f t="shared" si="592"/>
        <v>0</v>
      </c>
      <c r="AE498" s="86">
        <f>+AD498*Analisis!$J$7</f>
        <v>0</v>
      </c>
      <c r="AF498" s="86">
        <f t="shared" si="579"/>
        <v>1433.6814014994152</v>
      </c>
      <c r="AG498" s="126">
        <f>+AF498/(1-Analisis!$E$9)</f>
        <v>1792.101751874269</v>
      </c>
      <c r="AH498" s="128">
        <f t="shared" si="581"/>
        <v>80644.578834342101</v>
      </c>
      <c r="AI498" s="128">
        <f t="shared" si="583"/>
        <v>33741.211028000005</v>
      </c>
    </row>
    <row r="499" spans="1:35" s="73" customFormat="1" x14ac:dyDescent="0.25">
      <c r="A499" s="100"/>
      <c r="B499" s="120" t="s">
        <v>664</v>
      </c>
      <c r="C499" s="138">
        <f>IFERROR(VLOOKUP(B499,'REQ GALV'!A:B,2,0),0)</f>
        <v>30</v>
      </c>
      <c r="D499" s="116">
        <f t="shared" si="580"/>
        <v>101.6440915113304</v>
      </c>
      <c r="E499" s="103" t="s">
        <v>41</v>
      </c>
      <c r="F499" s="75" t="s">
        <v>314</v>
      </c>
      <c r="G499" s="90">
        <v>2.875</v>
      </c>
      <c r="H499" s="90">
        <v>3.2749999999999999</v>
      </c>
      <c r="I499" s="76">
        <v>0.105</v>
      </c>
      <c r="J499" s="77">
        <v>28.24</v>
      </c>
      <c r="K499" s="78">
        <f t="shared" si="584"/>
        <v>0.54198376514793833</v>
      </c>
      <c r="L499" s="58">
        <f>+VLOOKUP(E499,Material!$H$2:$M$17,6,FALSE)*G499*H499*(1+Material!$K$14)</f>
        <v>6.9571006944444447</v>
      </c>
      <c r="M499" s="79" t="str">
        <f>+Analisis!$J$5</f>
        <v>T5.0</v>
      </c>
      <c r="N499" s="80">
        <f>+VLOOKUP(M499,Material!$A$3:$B$58,2,FALSE)</f>
        <v>5000</v>
      </c>
      <c r="O499" s="79" t="s">
        <v>42</v>
      </c>
      <c r="P499" s="79" t="s">
        <v>43</v>
      </c>
      <c r="Q499" s="81">
        <f>+IF(O499="ACERO A36",VLOOKUP(P499,'Velocidades Std 1500 w'!$B$2:$F$15,5,FALSE),IF(O499="INOXIDABLE",VLOOKUP(P499,'Velocidades Std 1500 w'!$B$17:$F$28,5,FALSE),IF(O499="ALUMINIO",VLOOKUP(P499,'Velocidades Std 1500 w'!$B$30:$F$38,5,FALSE))))</f>
        <v>4.3859649122807014E-6</v>
      </c>
      <c r="R499" s="82">
        <f t="shared" si="585"/>
        <v>2.1929824561403508E-2</v>
      </c>
      <c r="S499" s="83">
        <f t="shared" si="586"/>
        <v>8.3378842105263171</v>
      </c>
      <c r="T499" s="110">
        <f t="shared" si="587"/>
        <v>528.06600000000003</v>
      </c>
      <c r="U499" s="80">
        <f t="shared" si="588"/>
        <v>11.580394736842106</v>
      </c>
      <c r="V499" s="98">
        <v>5</v>
      </c>
      <c r="W499" s="84">
        <f>+IF(O499="ACERO A36",VLOOKUP(P499,'Tiempo Objeto'!$B$2:$C$12,2,FALSE),IF(O499="INOXIDABLE",VLOOKUP(P499,'Tiempo Objeto'!$B$14:$C$22,2,FALSE),IF(O499="ALUMINIO",VLOOKUP(P499,'Tiempo Objeto'!$B$24:$C$32,2,FALSE))))</f>
        <v>1.84</v>
      </c>
      <c r="X499" s="84">
        <f t="shared" si="589"/>
        <v>9.2000000000000011</v>
      </c>
      <c r="Y499" s="80">
        <f t="shared" si="590"/>
        <v>12.77777777777778</v>
      </c>
      <c r="Z499" s="100">
        <v>2</v>
      </c>
      <c r="AA499" s="85">
        <f t="shared" si="591"/>
        <v>150</v>
      </c>
      <c r="AB499" s="86">
        <f>+Z499*Analisis!$J$6</f>
        <v>50</v>
      </c>
      <c r="AC499" s="100">
        <v>0</v>
      </c>
      <c r="AD499" s="85">
        <f t="shared" si="592"/>
        <v>0</v>
      </c>
      <c r="AE499" s="86">
        <f>+AD499*Analisis!$J$7</f>
        <v>0</v>
      </c>
      <c r="AF499" s="86">
        <f t="shared" si="579"/>
        <v>81.31527320906433</v>
      </c>
      <c r="AG499" s="126">
        <f>+AF499/(1-Analisis!$E$9)</f>
        <v>101.6440915113304</v>
      </c>
      <c r="AH499" s="128">
        <f t="shared" si="581"/>
        <v>3049.3227453399122</v>
      </c>
      <c r="AI499" s="128">
        <f t="shared" si="583"/>
        <v>208.71302083333333</v>
      </c>
    </row>
    <row r="500" spans="1:35" s="73" customFormat="1" x14ac:dyDescent="0.25">
      <c r="A500" s="100"/>
      <c r="B500" s="120" t="s">
        <v>665</v>
      </c>
      <c r="C500" s="138">
        <f>IFERROR(VLOOKUP(B500,'REQ GALV'!A:B,2,0),0)</f>
        <v>30</v>
      </c>
      <c r="D500" s="116">
        <f t="shared" si="580"/>
        <v>407.49237406798244</v>
      </c>
      <c r="E500" s="103" t="s">
        <v>41</v>
      </c>
      <c r="F500" s="75" t="s">
        <v>314</v>
      </c>
      <c r="G500" s="90">
        <v>3.39</v>
      </c>
      <c r="H500" s="90">
        <v>52.015000000000001</v>
      </c>
      <c r="I500" s="76">
        <v>0.105</v>
      </c>
      <c r="J500" s="77">
        <v>28.24</v>
      </c>
      <c r="K500" s="78">
        <f t="shared" si="584"/>
        <v>10.149985581916907</v>
      </c>
      <c r="L500" s="58">
        <f>+VLOOKUP(E500,Material!$H$2:$M$17,6,FALSE)*G500*H500*(1+Material!$K$14)</f>
        <v>130.28890583333336</v>
      </c>
      <c r="M500" s="79" t="str">
        <f>+Analisis!$J$5</f>
        <v>T5.0</v>
      </c>
      <c r="N500" s="80">
        <f>+VLOOKUP(M500,Material!$A$3:$B$58,2,FALSE)</f>
        <v>5000</v>
      </c>
      <c r="O500" s="79" t="s">
        <v>42</v>
      </c>
      <c r="P500" s="79" t="s">
        <v>43</v>
      </c>
      <c r="Q500" s="81">
        <f>+IF(O500="ACERO A36",VLOOKUP(P500,'Velocidades Std 1500 w'!$B$2:$F$15,5,FALSE),IF(O500="INOXIDABLE",VLOOKUP(P500,'Velocidades Std 1500 w'!$B$17:$F$28,5,FALSE),IF(O500="ALUMINIO",VLOOKUP(P500,'Velocidades Std 1500 w'!$B$30:$F$38,5,FALSE))))</f>
        <v>4.3859649122807014E-6</v>
      </c>
      <c r="R500" s="82">
        <f t="shared" si="585"/>
        <v>2.1929824561403508E-2</v>
      </c>
      <c r="S500" s="83">
        <f t="shared" si="586"/>
        <v>52.347595263157885</v>
      </c>
      <c r="T500" s="110">
        <f t="shared" si="587"/>
        <v>3315.3476999999998</v>
      </c>
      <c r="U500" s="80">
        <f t="shared" si="588"/>
        <v>72.70499342105262</v>
      </c>
      <c r="V500" s="98">
        <v>9</v>
      </c>
      <c r="W500" s="84">
        <f>+IF(O500="ACERO A36",VLOOKUP(P500,'Tiempo Objeto'!$B$2:$C$12,2,FALSE),IF(O500="INOXIDABLE",VLOOKUP(P500,'Tiempo Objeto'!$B$14:$C$22,2,FALSE),IF(O500="ALUMINIO",VLOOKUP(P500,'Tiempo Objeto'!$B$24:$C$32,2,FALSE))))</f>
        <v>1.84</v>
      </c>
      <c r="X500" s="84">
        <f t="shared" si="589"/>
        <v>16.560000000000002</v>
      </c>
      <c r="Y500" s="80">
        <f t="shared" si="590"/>
        <v>23.000000000000004</v>
      </c>
      <c r="Z500" s="100">
        <v>4</v>
      </c>
      <c r="AA500" s="85">
        <f t="shared" si="591"/>
        <v>300</v>
      </c>
      <c r="AB500" s="86">
        <f>+Z500*Analisis!$J$6</f>
        <v>100</v>
      </c>
      <c r="AC500" s="100">
        <v>0</v>
      </c>
      <c r="AD500" s="85">
        <f t="shared" si="592"/>
        <v>0</v>
      </c>
      <c r="AE500" s="86">
        <f>+AD500*Analisis!$J$7</f>
        <v>0</v>
      </c>
      <c r="AF500" s="86">
        <f t="shared" si="579"/>
        <v>325.99389925438595</v>
      </c>
      <c r="AG500" s="126">
        <f>+AF500/(1-Analisis!$E$9)</f>
        <v>407.49237406798244</v>
      </c>
      <c r="AH500" s="128">
        <f t="shared" si="581"/>
        <v>12224.771222039473</v>
      </c>
      <c r="AI500" s="128">
        <f t="shared" si="583"/>
        <v>3908.667175000001</v>
      </c>
    </row>
    <row r="501" spans="1:35" s="73" customFormat="1" x14ac:dyDescent="0.25">
      <c r="A501" s="100"/>
      <c r="B501" s="120" t="s">
        <v>666</v>
      </c>
      <c r="C501" s="138">
        <f>IFERROR(VLOOKUP(B501,'REQ GALV'!A:B,2,0),0)</f>
        <v>60</v>
      </c>
      <c r="D501" s="116">
        <f t="shared" si="580"/>
        <v>71.552407163742686</v>
      </c>
      <c r="E501" s="103" t="s">
        <v>41</v>
      </c>
      <c r="F501" s="75" t="s">
        <v>314</v>
      </c>
      <c r="G501" s="90">
        <v>2</v>
      </c>
      <c r="H501" s="90">
        <v>6.1079999999999997</v>
      </c>
      <c r="I501" s="76">
        <v>0.105</v>
      </c>
      <c r="J501" s="77">
        <v>28.24</v>
      </c>
      <c r="K501" s="78">
        <f t="shared" si="584"/>
        <v>0.70317941454202093</v>
      </c>
      <c r="L501" s="58">
        <f>+VLOOKUP(E501,Material!$H$2:$M$17,6,FALSE)*G501*H501*(1+Material!$K$14)</f>
        <v>9.0262666666666664</v>
      </c>
      <c r="M501" s="79" t="str">
        <f>+Analisis!$J$5</f>
        <v>T5.0</v>
      </c>
      <c r="N501" s="80">
        <f>+VLOOKUP(M501,Material!$A$3:$B$58,2,FALSE)</f>
        <v>5000</v>
      </c>
      <c r="O501" s="79" t="s">
        <v>42</v>
      </c>
      <c r="P501" s="79" t="s">
        <v>43</v>
      </c>
      <c r="Q501" s="81">
        <f>+IF(O501="ACERO A36",VLOOKUP(P501,'Velocidades Std 1500 w'!$B$2:$F$15,5,FALSE),IF(O501="INOXIDABLE",VLOOKUP(P501,'Velocidades Std 1500 w'!$B$17:$F$28,5,FALSE),IF(O501="ALUMINIO",VLOOKUP(P501,'Velocidades Std 1500 w'!$B$30:$F$38,5,FALSE))))</f>
        <v>4.3859649122807014E-6</v>
      </c>
      <c r="R501" s="82">
        <f t="shared" si="585"/>
        <v>2.1929824561403508E-2</v>
      </c>
      <c r="S501" s="83">
        <f t="shared" si="586"/>
        <v>9.3552745263157888</v>
      </c>
      <c r="T501" s="110">
        <f t="shared" si="587"/>
        <v>592.50072</v>
      </c>
      <c r="U501" s="80">
        <f t="shared" si="588"/>
        <v>12.993436842105263</v>
      </c>
      <c r="V501" s="98">
        <v>4</v>
      </c>
      <c r="W501" s="84">
        <f>+IF(O501="ACERO A36",VLOOKUP(P501,'Tiempo Objeto'!$B$2:$C$12,2,FALSE),IF(O501="INOXIDABLE",VLOOKUP(P501,'Tiempo Objeto'!$B$14:$C$22,2,FALSE),IF(O501="ALUMINIO",VLOOKUP(P501,'Tiempo Objeto'!$B$24:$C$32,2,FALSE))))</f>
        <v>1.84</v>
      </c>
      <c r="X501" s="84">
        <f t="shared" si="589"/>
        <v>7.36</v>
      </c>
      <c r="Y501" s="80">
        <f t="shared" si="590"/>
        <v>10.222222222222221</v>
      </c>
      <c r="Z501" s="100">
        <v>1</v>
      </c>
      <c r="AA501" s="85">
        <f t="shared" si="591"/>
        <v>120</v>
      </c>
      <c r="AB501" s="86">
        <f>+Z501*Analisis!$J$6</f>
        <v>25</v>
      </c>
      <c r="AC501" s="100">
        <v>0</v>
      </c>
      <c r="AD501" s="85">
        <f t="shared" si="592"/>
        <v>0</v>
      </c>
      <c r="AE501" s="86">
        <f>+AD501*Analisis!$J$7</f>
        <v>0</v>
      </c>
      <c r="AF501" s="86">
        <f t="shared" si="579"/>
        <v>57.241925730994154</v>
      </c>
      <c r="AG501" s="126">
        <f>+AF501/(1-Analisis!$E$9)</f>
        <v>71.552407163742686</v>
      </c>
      <c r="AH501" s="128">
        <f t="shared" si="581"/>
        <v>4293.1444298245615</v>
      </c>
      <c r="AI501" s="128">
        <f t="shared" si="583"/>
        <v>541.57600000000002</v>
      </c>
    </row>
    <row r="502" spans="1:35" s="73" customFormat="1" x14ac:dyDescent="0.25">
      <c r="A502" s="100"/>
      <c r="B502" s="120" t="s">
        <v>667</v>
      </c>
      <c r="C502" s="138">
        <f>IFERROR(VLOOKUP(B502,'REQ GALV'!A:B,2,0),0)</f>
        <v>15</v>
      </c>
      <c r="D502" s="116">
        <f t="shared" si="580"/>
        <v>177.25973956460157</v>
      </c>
      <c r="E502" s="103" t="s">
        <v>130</v>
      </c>
      <c r="F502" s="75" t="s">
        <v>314</v>
      </c>
      <c r="G502" s="90">
        <v>26.071999999999999</v>
      </c>
      <c r="H502" s="90">
        <v>3.5150000000000001</v>
      </c>
      <c r="I502" s="76">
        <v>0.105</v>
      </c>
      <c r="J502" s="77">
        <v>28.24</v>
      </c>
      <c r="K502" s="78">
        <f t="shared" si="584"/>
        <v>3.4618330318991974</v>
      </c>
      <c r="L502" s="58">
        <f>+VLOOKUP(E502,Material!$H$2:$M$17,6,FALSE)*G502*H502*(1+Material!$K$14)</f>
        <v>44.437347645833327</v>
      </c>
      <c r="M502" s="79" t="str">
        <f>+Analisis!$J$5</f>
        <v>T5.0</v>
      </c>
      <c r="N502" s="80">
        <f>+VLOOKUP(M502,Material!$A$3:$B$58,2,FALSE)</f>
        <v>5000</v>
      </c>
      <c r="O502" s="79" t="s">
        <v>42</v>
      </c>
      <c r="P502" s="79" t="s">
        <v>43</v>
      </c>
      <c r="Q502" s="81">
        <f>+IF(O502="ACERO A36",VLOOKUP(P502,'Velocidades Std 1500 w'!$B$2:$F$15,5,FALSE),IF(O502="INOXIDABLE",VLOOKUP(P502,'Velocidades Std 1500 w'!$B$17:$F$28,5,FALSE),IF(O502="ALUMINIO",VLOOKUP(P502,'Velocidades Std 1500 w'!$B$30:$F$38,5,FALSE))))</f>
        <v>4.3859649122807014E-6</v>
      </c>
      <c r="R502" s="82">
        <f t="shared" si="585"/>
        <v>2.1929824561403508E-2</v>
      </c>
      <c r="S502" s="83">
        <f t="shared" si="586"/>
        <v>31.866719684210523</v>
      </c>
      <c r="T502" s="110">
        <f t="shared" si="587"/>
        <v>2018.22558</v>
      </c>
      <c r="U502" s="80">
        <f t="shared" si="588"/>
        <v>44.259332894736843</v>
      </c>
      <c r="V502" s="98">
        <v>11</v>
      </c>
      <c r="W502" s="84">
        <f>+IF(O502="ACERO A36",VLOOKUP(P502,'Tiempo Objeto'!$B$2:$C$12,2,FALSE),IF(O502="INOXIDABLE",VLOOKUP(P502,'Tiempo Objeto'!$B$14:$C$22,2,FALSE),IF(O502="ALUMINIO",VLOOKUP(P502,'Tiempo Objeto'!$B$24:$C$32,2,FALSE))))</f>
        <v>1.84</v>
      </c>
      <c r="X502" s="84">
        <f t="shared" si="589"/>
        <v>20.240000000000002</v>
      </c>
      <c r="Y502" s="80">
        <f t="shared" si="590"/>
        <v>28.111111111111114</v>
      </c>
      <c r="Z502" s="100">
        <v>1</v>
      </c>
      <c r="AA502" s="85">
        <f t="shared" si="591"/>
        <v>52.5</v>
      </c>
      <c r="AB502" s="86">
        <f>+Z502*Analisis!$J$6</f>
        <v>25</v>
      </c>
      <c r="AC502" s="100">
        <v>0</v>
      </c>
      <c r="AD502" s="85">
        <f t="shared" si="592"/>
        <v>0</v>
      </c>
      <c r="AE502" s="86">
        <f>+AD502*Analisis!$J$7</f>
        <v>0</v>
      </c>
      <c r="AF502" s="86">
        <f t="shared" ref="AF502:AF513" si="593">+L502+U502+Y502+AB502+AE502</f>
        <v>141.80779165168127</v>
      </c>
      <c r="AG502" s="126">
        <f>+AF502/(1-Analisis!$E$9)</f>
        <v>177.25973956460157</v>
      </c>
      <c r="AH502" s="128">
        <f t="shared" si="581"/>
        <v>2658.8960934690235</v>
      </c>
      <c r="AI502" s="128">
        <f t="shared" si="583"/>
        <v>666.56021468749987</v>
      </c>
    </row>
    <row r="503" spans="1:35" s="73" customFormat="1" x14ac:dyDescent="0.25">
      <c r="A503" s="100"/>
      <c r="B503" s="120" t="s">
        <v>668</v>
      </c>
      <c r="C503" s="138">
        <f>IFERROR(VLOOKUP(B503,'REQ GALV'!A:B,2,0),0)</f>
        <v>30</v>
      </c>
      <c r="D503" s="116">
        <f t="shared" ref="D503:D513" si="594">+AG503</f>
        <v>183.47318165204678</v>
      </c>
      <c r="E503" s="103" t="s">
        <v>41</v>
      </c>
      <c r="F503" s="75" t="s">
        <v>314</v>
      </c>
      <c r="G503" s="90">
        <v>1</v>
      </c>
      <c r="H503" s="90">
        <v>41.1</v>
      </c>
      <c r="I503" s="76">
        <v>0.105</v>
      </c>
      <c r="J503" s="77">
        <v>28.24</v>
      </c>
      <c r="K503" s="78">
        <f t="shared" si="584"/>
        <v>2.3658050047214361</v>
      </c>
      <c r="L503" s="58">
        <f>+VLOOKUP(E503,Material!$H$2:$M$17,6,FALSE)*G503*H503*(1+Material!$K$14)</f>
        <v>30.368333333333339</v>
      </c>
      <c r="M503" s="79" t="str">
        <f>+Analisis!$J$5</f>
        <v>T5.0</v>
      </c>
      <c r="N503" s="80">
        <f>+VLOOKUP(M503,Material!$A$3:$B$58,2,FALSE)</f>
        <v>5000</v>
      </c>
      <c r="O503" s="79" t="s">
        <v>42</v>
      </c>
      <c r="P503" s="79" t="s">
        <v>43</v>
      </c>
      <c r="Q503" s="81">
        <f>+IF(O503="ACERO A36",VLOOKUP(P503,'Velocidades Std 1500 w'!$B$2:$F$15,5,FALSE),IF(O503="INOXIDABLE",VLOOKUP(P503,'Velocidades Std 1500 w'!$B$17:$F$28,5,FALSE),IF(O503="ALUMINIO",VLOOKUP(P503,'Velocidades Std 1500 w'!$B$30:$F$38,5,FALSE))))</f>
        <v>4.3859649122807014E-6</v>
      </c>
      <c r="R503" s="82">
        <f t="shared" si="585"/>
        <v>2.1929824561403508E-2</v>
      </c>
      <c r="S503" s="83">
        <f t="shared" si="586"/>
        <v>38.615352631578943</v>
      </c>
      <c r="T503" s="110">
        <f t="shared" si="587"/>
        <v>2445.6390000000001</v>
      </c>
      <c r="U503" s="80">
        <f t="shared" si="588"/>
        <v>53.632434210526313</v>
      </c>
      <c r="V503" s="98">
        <v>5</v>
      </c>
      <c r="W503" s="84">
        <f>+IF(O503="ACERO A36",VLOOKUP(P503,'Tiempo Objeto'!$B$2:$C$12,2,FALSE),IF(O503="INOXIDABLE",VLOOKUP(P503,'Tiempo Objeto'!$B$14:$C$22,2,FALSE),IF(O503="ALUMINIO",VLOOKUP(P503,'Tiempo Objeto'!$B$24:$C$32,2,FALSE))))</f>
        <v>1.84</v>
      </c>
      <c r="X503" s="84">
        <f t="shared" si="589"/>
        <v>9.2000000000000011</v>
      </c>
      <c r="Y503" s="80">
        <f t="shared" si="590"/>
        <v>12.77777777777778</v>
      </c>
      <c r="Z503" s="100">
        <v>2</v>
      </c>
      <c r="AA503" s="85">
        <f t="shared" si="591"/>
        <v>150</v>
      </c>
      <c r="AB503" s="86">
        <f>+Z503*Analisis!$J$6</f>
        <v>50</v>
      </c>
      <c r="AC503" s="100">
        <v>0</v>
      </c>
      <c r="AD503" s="85">
        <f t="shared" si="592"/>
        <v>0</v>
      </c>
      <c r="AE503" s="86">
        <f>+AD503*Analisis!$J$7</f>
        <v>0</v>
      </c>
      <c r="AF503" s="86">
        <f t="shared" si="593"/>
        <v>146.77854532163744</v>
      </c>
      <c r="AG503" s="126">
        <f>+AF503/(1-Analisis!$E$9)</f>
        <v>183.47318165204678</v>
      </c>
      <c r="AH503" s="128">
        <f t="shared" ref="AH503:AH513" si="595">+AG503*C503</f>
        <v>5504.1954495614036</v>
      </c>
      <c r="AI503" s="128">
        <f t="shared" si="583"/>
        <v>911.05000000000018</v>
      </c>
    </row>
    <row r="504" spans="1:35" s="73" customFormat="1" x14ac:dyDescent="0.25">
      <c r="A504" s="100"/>
      <c r="B504" s="120" t="s">
        <v>669</v>
      </c>
      <c r="C504" s="138">
        <f>IFERROR(VLOOKUP(B504,'REQ GALV'!A:B,2,0),0)</f>
        <v>30</v>
      </c>
      <c r="D504" s="116">
        <f t="shared" si="594"/>
        <v>401.25940238888887</v>
      </c>
      <c r="E504" s="103" t="s">
        <v>41</v>
      </c>
      <c r="F504" s="75" t="s">
        <v>314</v>
      </c>
      <c r="G504" s="90">
        <v>3.641</v>
      </c>
      <c r="H504" s="90">
        <v>48.148000000000003</v>
      </c>
      <c r="I504" s="76">
        <v>0.105</v>
      </c>
      <c r="J504" s="77">
        <v>28.24</v>
      </c>
      <c r="K504" s="78">
        <f t="shared" si="584"/>
        <v>10.091042960497328</v>
      </c>
      <c r="L504" s="58">
        <f>+VLOOKUP(E504,Material!$H$2:$M$17,6,FALSE)*G504*H504*(1+Material!$K$14)</f>
        <v>129.53229691111113</v>
      </c>
      <c r="M504" s="79" t="str">
        <f>+Analisis!$J$5</f>
        <v>T5.0</v>
      </c>
      <c r="N504" s="80">
        <f>+VLOOKUP(M504,Material!$A$3:$B$58,2,FALSE)</f>
        <v>5000</v>
      </c>
      <c r="O504" s="79" t="s">
        <v>42</v>
      </c>
      <c r="P504" s="79" t="s">
        <v>43</v>
      </c>
      <c r="Q504" s="81">
        <f>+IF(O504="ACERO A36",VLOOKUP(P504,'Velocidades Std 1500 w'!$B$2:$F$15,5,FALSE),IF(O504="INOXIDABLE",VLOOKUP(P504,'Velocidades Std 1500 w'!$B$17:$F$28,5,FALSE),IF(O504="ALUMINIO",VLOOKUP(P504,'Velocidades Std 1500 w'!$B$30:$F$38,5,FALSE))))</f>
        <v>4.3859649122807014E-6</v>
      </c>
      <c r="R504" s="82">
        <f t="shared" si="585"/>
        <v>2.1929824561403508E-2</v>
      </c>
      <c r="S504" s="83">
        <f t="shared" si="586"/>
        <v>49.302161999999996</v>
      </c>
      <c r="T504" s="110">
        <f t="shared" si="587"/>
        <v>3122.4702600000001</v>
      </c>
      <c r="U504" s="80">
        <f t="shared" si="588"/>
        <v>68.475224999999995</v>
      </c>
      <c r="V504" s="98">
        <v>9</v>
      </c>
      <c r="W504" s="84">
        <f>+IF(O504="ACERO A36",VLOOKUP(P504,'Tiempo Objeto'!$B$2:$C$12,2,FALSE),IF(O504="INOXIDABLE",VLOOKUP(P504,'Tiempo Objeto'!$B$14:$C$22,2,FALSE),IF(O504="ALUMINIO",VLOOKUP(P504,'Tiempo Objeto'!$B$24:$C$32,2,FALSE))))</f>
        <v>1.84</v>
      </c>
      <c r="X504" s="84">
        <f t="shared" si="589"/>
        <v>16.560000000000002</v>
      </c>
      <c r="Y504" s="80">
        <f t="shared" si="590"/>
        <v>23.000000000000004</v>
      </c>
      <c r="Z504" s="100">
        <v>4</v>
      </c>
      <c r="AA504" s="85">
        <f t="shared" si="591"/>
        <v>300</v>
      </c>
      <c r="AB504" s="86">
        <f>+Z504*Analisis!$J$6</f>
        <v>100</v>
      </c>
      <c r="AC504" s="100">
        <v>0</v>
      </c>
      <c r="AD504" s="85">
        <f t="shared" si="592"/>
        <v>0</v>
      </c>
      <c r="AE504" s="86">
        <f>+AD504*Analisis!$J$7</f>
        <v>0</v>
      </c>
      <c r="AF504" s="86">
        <f t="shared" si="593"/>
        <v>321.0075219111111</v>
      </c>
      <c r="AG504" s="126">
        <f>+AF504/(1-Analisis!$E$9)</f>
        <v>401.25940238888887</v>
      </c>
      <c r="AH504" s="128">
        <f t="shared" si="595"/>
        <v>12037.782071666667</v>
      </c>
      <c r="AI504" s="128">
        <f t="shared" si="583"/>
        <v>3885.9689073333338</v>
      </c>
    </row>
    <row r="505" spans="1:35" s="73" customFormat="1" x14ac:dyDescent="0.25">
      <c r="A505" s="100"/>
      <c r="B505" s="123"/>
      <c r="C505" s="74">
        <f>IFERROR(VLOOKUP(B505,'REQ GALV'!A:B,2,0),0)</f>
        <v>0</v>
      </c>
      <c r="D505" s="116">
        <f t="shared" si="594"/>
        <v>0</v>
      </c>
      <c r="E505" s="103" t="s">
        <v>41</v>
      </c>
      <c r="F505" s="75" t="s">
        <v>314</v>
      </c>
      <c r="G505" s="90"/>
      <c r="H505" s="90"/>
      <c r="I505" s="76">
        <v>0.105</v>
      </c>
      <c r="J505" s="77">
        <v>28.24</v>
      </c>
      <c r="K505" s="78">
        <f t="shared" si="584"/>
        <v>0</v>
      </c>
      <c r="L505" s="58">
        <f>+VLOOKUP(E505,Material!$H$2:$M$17,6,FALSE)*G505*H505*(1+Material!$K$14)</f>
        <v>0</v>
      </c>
      <c r="M505" s="79" t="str">
        <f>+Analisis!$J$5</f>
        <v>T5.0</v>
      </c>
      <c r="N505" s="80">
        <f>+VLOOKUP(M505,Material!$A$3:$B$58,2,FALSE)</f>
        <v>5000</v>
      </c>
      <c r="O505" s="79" t="s">
        <v>42</v>
      </c>
      <c r="P505" s="79" t="s">
        <v>43</v>
      </c>
      <c r="Q505" s="81">
        <f>+IF(O505="ACERO A36",VLOOKUP(P505,'Velocidades Std 1500 w'!$B$2:$F$15,5,FALSE),IF(O505="INOXIDABLE",VLOOKUP(P505,'Velocidades Std 1500 w'!$B$17:$F$28,5,FALSE),IF(O505="ALUMINIO",VLOOKUP(P505,'Velocidades Std 1500 w'!$B$30:$F$38,5,FALSE))))</f>
        <v>4.3859649122807014E-6</v>
      </c>
      <c r="R505" s="82">
        <f t="shared" si="585"/>
        <v>2.1929824561403508E-2</v>
      </c>
      <c r="S505" s="83">
        <f t="shared" si="586"/>
        <v>0</v>
      </c>
      <c r="T505" s="110">
        <f t="shared" si="587"/>
        <v>0</v>
      </c>
      <c r="U505" s="80">
        <f t="shared" si="588"/>
        <v>0</v>
      </c>
      <c r="V505" s="98"/>
      <c r="W505" s="84">
        <f>+IF(O505="ACERO A36",VLOOKUP(P505,'Tiempo Objeto'!$B$2:$C$12,2,FALSE),IF(O505="INOXIDABLE",VLOOKUP(P505,'Tiempo Objeto'!$B$14:$C$22,2,FALSE),IF(O505="ALUMINIO",VLOOKUP(P505,'Tiempo Objeto'!$B$24:$C$32,2,FALSE))))</f>
        <v>1.84</v>
      </c>
      <c r="X505" s="84">
        <f t="shared" si="589"/>
        <v>0</v>
      </c>
      <c r="Y505" s="80">
        <f t="shared" si="590"/>
        <v>0</v>
      </c>
      <c r="Z505" s="100"/>
      <c r="AA505" s="85">
        <f t="shared" si="591"/>
        <v>0</v>
      </c>
      <c r="AB505" s="86">
        <f>+Z505*Analisis!$J$6</f>
        <v>0</v>
      </c>
      <c r="AC505" s="100"/>
      <c r="AD505" s="85">
        <f t="shared" si="592"/>
        <v>0</v>
      </c>
      <c r="AE505" s="86">
        <f>+AD505*Analisis!$J$7</f>
        <v>0</v>
      </c>
      <c r="AF505" s="86">
        <f t="shared" si="593"/>
        <v>0</v>
      </c>
      <c r="AG505" s="126">
        <f>+AF505/(1-Analisis!$E$9)</f>
        <v>0</v>
      </c>
      <c r="AH505" s="128">
        <f t="shared" si="595"/>
        <v>0</v>
      </c>
    </row>
    <row r="506" spans="1:35" s="73" customFormat="1" x14ac:dyDescent="0.25">
      <c r="A506" s="100"/>
      <c r="B506" s="123"/>
      <c r="C506" s="74">
        <f>IFERROR(VLOOKUP(B506,'REQ GALV'!A:B,2,0),0)</f>
        <v>0</v>
      </c>
      <c r="D506" s="116">
        <f t="shared" si="594"/>
        <v>0</v>
      </c>
      <c r="E506" s="103" t="s">
        <v>41</v>
      </c>
      <c r="F506" s="75" t="s">
        <v>314</v>
      </c>
      <c r="G506" s="90"/>
      <c r="H506" s="90"/>
      <c r="I506" s="76">
        <v>0.105</v>
      </c>
      <c r="J506" s="77">
        <v>28.24</v>
      </c>
      <c r="K506" s="78">
        <f t="shared" ref="K506:K512" si="596">+L506*2.2/J506</f>
        <v>0</v>
      </c>
      <c r="L506" s="58">
        <f>+VLOOKUP(E506,Material!$H$2:$M$17,6,FALSE)*G506*H506*(1+Material!$K$14)</f>
        <v>0</v>
      </c>
      <c r="M506" s="79" t="str">
        <f>+Analisis!$J$5</f>
        <v>T5.0</v>
      </c>
      <c r="N506" s="80">
        <f>+VLOOKUP(M506,Material!$A$3:$B$58,2,FALSE)</f>
        <v>5000</v>
      </c>
      <c r="O506" s="79" t="s">
        <v>42</v>
      </c>
      <c r="P506" s="79" t="s">
        <v>43</v>
      </c>
      <c r="Q506" s="81">
        <f>+IF(O506="ACERO A36",VLOOKUP(P506,'Velocidades Std 1500 w'!$B$2:$F$15,5,FALSE),IF(O506="INOXIDABLE",VLOOKUP(P506,'Velocidades Std 1500 w'!$B$17:$F$28,5,FALSE),IF(O506="ALUMINIO",VLOOKUP(P506,'Velocidades Std 1500 w'!$B$30:$F$38,5,FALSE))))</f>
        <v>4.3859649122807014E-6</v>
      </c>
      <c r="R506" s="82">
        <f t="shared" ref="R506:R512" si="597">+Q506*N506</f>
        <v>2.1929824561403508E-2</v>
      </c>
      <c r="S506" s="83">
        <f t="shared" ref="S506:S512" si="598">+Q506*T506*3600</f>
        <v>0</v>
      </c>
      <c r="T506" s="110">
        <f t="shared" ref="T506:T512" si="599">(+H506*2+G506*2+V506*1.5)*25.4*1.05</f>
        <v>0</v>
      </c>
      <c r="U506" s="80">
        <f t="shared" ref="U506:U512" si="600">+T506*R506</f>
        <v>0</v>
      </c>
      <c r="V506" s="98"/>
      <c r="W506" s="84">
        <f>+IF(O506="ACERO A36",VLOOKUP(P506,'Tiempo Objeto'!$B$2:$C$12,2,FALSE),IF(O506="INOXIDABLE",VLOOKUP(P506,'Tiempo Objeto'!$B$14:$C$22,2,FALSE),IF(O506="ALUMINIO",VLOOKUP(P506,'Tiempo Objeto'!$B$24:$C$32,2,FALSE))))</f>
        <v>1.84</v>
      </c>
      <c r="X506" s="84">
        <f t="shared" ref="X506:X512" si="601">+W506*V506</f>
        <v>0</v>
      </c>
      <c r="Y506" s="80">
        <f t="shared" ref="Y506:Y512" si="602">+X506*N506/3600</f>
        <v>0</v>
      </c>
      <c r="Z506" s="100"/>
      <c r="AA506" s="85">
        <f t="shared" ref="AA506:AA512" si="603">30*Z506+Z506*$C506*1.5</f>
        <v>0</v>
      </c>
      <c r="AB506" s="86">
        <f>+Z506*Analisis!$J$6</f>
        <v>0</v>
      </c>
      <c r="AC506" s="100"/>
      <c r="AD506" s="85">
        <f t="shared" ref="AD506:AD512" si="604">30*AC506+AC506*$C506*1.5</f>
        <v>0</v>
      </c>
      <c r="AE506" s="86">
        <f>+AD506*Analisis!$J$7</f>
        <v>0</v>
      </c>
      <c r="AF506" s="86">
        <f t="shared" si="593"/>
        <v>0</v>
      </c>
      <c r="AG506" s="126">
        <f>+AF506/(1-Analisis!$E$9)</f>
        <v>0</v>
      </c>
      <c r="AH506" s="128">
        <f t="shared" si="595"/>
        <v>0</v>
      </c>
    </row>
    <row r="507" spans="1:35" s="73" customFormat="1" x14ac:dyDescent="0.25">
      <c r="A507" s="100"/>
      <c r="B507" s="123"/>
      <c r="C507" s="74">
        <f>IFERROR(VLOOKUP(B507,'REQ GALV'!A:B,2,0),0)</f>
        <v>0</v>
      </c>
      <c r="D507" s="116">
        <f t="shared" si="594"/>
        <v>0</v>
      </c>
      <c r="E507" s="103" t="s">
        <v>41</v>
      </c>
      <c r="F507" s="75" t="s">
        <v>314</v>
      </c>
      <c r="G507" s="90"/>
      <c r="H507" s="90"/>
      <c r="I507" s="76">
        <v>0.105</v>
      </c>
      <c r="J507" s="77">
        <v>28.24</v>
      </c>
      <c r="K507" s="78">
        <f t="shared" si="596"/>
        <v>0</v>
      </c>
      <c r="L507" s="58">
        <f>+VLOOKUP(E507,Material!$H$2:$M$17,6,FALSE)*G507*H507*(1+Material!$K$14)</f>
        <v>0</v>
      </c>
      <c r="M507" s="79" t="str">
        <f>+Analisis!$J$5</f>
        <v>T5.0</v>
      </c>
      <c r="N507" s="80">
        <f>+VLOOKUP(M507,Material!$A$3:$B$58,2,FALSE)</f>
        <v>5000</v>
      </c>
      <c r="O507" s="79" t="s">
        <v>42</v>
      </c>
      <c r="P507" s="79" t="s">
        <v>43</v>
      </c>
      <c r="Q507" s="81">
        <f>+IF(O507="ACERO A36",VLOOKUP(P507,'Velocidades Std 1500 w'!$B$2:$F$15,5,FALSE),IF(O507="INOXIDABLE",VLOOKUP(P507,'Velocidades Std 1500 w'!$B$17:$F$28,5,FALSE),IF(O507="ALUMINIO",VLOOKUP(P507,'Velocidades Std 1500 w'!$B$30:$F$38,5,FALSE))))</f>
        <v>4.3859649122807014E-6</v>
      </c>
      <c r="R507" s="82">
        <f t="shared" si="597"/>
        <v>2.1929824561403508E-2</v>
      </c>
      <c r="S507" s="83">
        <f t="shared" si="598"/>
        <v>0</v>
      </c>
      <c r="T507" s="110">
        <f t="shared" si="599"/>
        <v>0</v>
      </c>
      <c r="U507" s="80">
        <f t="shared" si="600"/>
        <v>0</v>
      </c>
      <c r="V507" s="98"/>
      <c r="W507" s="84">
        <f>+IF(O507="ACERO A36",VLOOKUP(P507,'Tiempo Objeto'!$B$2:$C$12,2,FALSE),IF(O507="INOXIDABLE",VLOOKUP(P507,'Tiempo Objeto'!$B$14:$C$22,2,FALSE),IF(O507="ALUMINIO",VLOOKUP(P507,'Tiempo Objeto'!$B$24:$C$32,2,FALSE))))</f>
        <v>1.84</v>
      </c>
      <c r="X507" s="84">
        <f t="shared" si="601"/>
        <v>0</v>
      </c>
      <c r="Y507" s="80">
        <f t="shared" si="602"/>
        <v>0</v>
      </c>
      <c r="Z507" s="100"/>
      <c r="AA507" s="85">
        <f t="shared" si="603"/>
        <v>0</v>
      </c>
      <c r="AB507" s="86">
        <f>+Z507*Analisis!$J$6</f>
        <v>0</v>
      </c>
      <c r="AC507" s="100"/>
      <c r="AD507" s="85">
        <f t="shared" si="604"/>
        <v>0</v>
      </c>
      <c r="AE507" s="86">
        <f>+AD507*Analisis!$J$7</f>
        <v>0</v>
      </c>
      <c r="AF507" s="86">
        <f t="shared" si="593"/>
        <v>0</v>
      </c>
      <c r="AG507" s="126">
        <f>+AF507/(1-Analisis!$E$9)</f>
        <v>0</v>
      </c>
      <c r="AH507" s="128">
        <f t="shared" si="595"/>
        <v>0</v>
      </c>
    </row>
    <row r="508" spans="1:35" s="73" customFormat="1" x14ac:dyDescent="0.25">
      <c r="A508" s="100"/>
      <c r="B508" s="123"/>
      <c r="C508" s="74">
        <f>IFERROR(VLOOKUP(B508,'REQ GALV'!A:B,2,0),0)</f>
        <v>0</v>
      </c>
      <c r="D508" s="116">
        <f t="shared" si="594"/>
        <v>0</v>
      </c>
      <c r="E508" s="103" t="s">
        <v>41</v>
      </c>
      <c r="F508" s="75" t="s">
        <v>314</v>
      </c>
      <c r="G508" s="90"/>
      <c r="H508" s="90"/>
      <c r="I508" s="76">
        <v>0.105</v>
      </c>
      <c r="J508" s="77">
        <v>28.24</v>
      </c>
      <c r="K508" s="78">
        <f t="shared" si="596"/>
        <v>0</v>
      </c>
      <c r="L508" s="58">
        <f>+VLOOKUP(E508,Material!$H$2:$M$17,6,FALSE)*G508*H508*(1+Material!$K$14)</f>
        <v>0</v>
      </c>
      <c r="M508" s="79" t="str">
        <f>+Analisis!$J$5</f>
        <v>T5.0</v>
      </c>
      <c r="N508" s="80">
        <f>+VLOOKUP(M508,Material!$A$3:$B$58,2,FALSE)</f>
        <v>5000</v>
      </c>
      <c r="O508" s="79" t="s">
        <v>42</v>
      </c>
      <c r="P508" s="79" t="s">
        <v>43</v>
      </c>
      <c r="Q508" s="81">
        <f>+IF(O508="ACERO A36",VLOOKUP(P508,'Velocidades Std 1500 w'!$B$2:$F$15,5,FALSE),IF(O508="INOXIDABLE",VLOOKUP(P508,'Velocidades Std 1500 w'!$B$17:$F$28,5,FALSE),IF(O508="ALUMINIO",VLOOKUP(P508,'Velocidades Std 1500 w'!$B$30:$F$38,5,FALSE))))</f>
        <v>4.3859649122807014E-6</v>
      </c>
      <c r="R508" s="82">
        <f t="shared" si="597"/>
        <v>2.1929824561403508E-2</v>
      </c>
      <c r="S508" s="83">
        <f t="shared" si="598"/>
        <v>0</v>
      </c>
      <c r="T508" s="110">
        <f t="shared" si="599"/>
        <v>0</v>
      </c>
      <c r="U508" s="80">
        <f t="shared" si="600"/>
        <v>0</v>
      </c>
      <c r="V508" s="98"/>
      <c r="W508" s="84">
        <f>+IF(O508="ACERO A36",VLOOKUP(P508,'Tiempo Objeto'!$B$2:$C$12,2,FALSE),IF(O508="INOXIDABLE",VLOOKUP(P508,'Tiempo Objeto'!$B$14:$C$22,2,FALSE),IF(O508="ALUMINIO",VLOOKUP(P508,'Tiempo Objeto'!$B$24:$C$32,2,FALSE))))</f>
        <v>1.84</v>
      </c>
      <c r="X508" s="84">
        <f t="shared" si="601"/>
        <v>0</v>
      </c>
      <c r="Y508" s="80">
        <f t="shared" si="602"/>
        <v>0</v>
      </c>
      <c r="Z508" s="100"/>
      <c r="AA508" s="85">
        <f t="shared" si="603"/>
        <v>0</v>
      </c>
      <c r="AB508" s="86">
        <f>+Z508*Analisis!$J$6</f>
        <v>0</v>
      </c>
      <c r="AC508" s="100"/>
      <c r="AD508" s="85">
        <f t="shared" si="604"/>
        <v>0</v>
      </c>
      <c r="AE508" s="86">
        <f>+AD508*Analisis!$J$7</f>
        <v>0</v>
      </c>
      <c r="AF508" s="86">
        <f t="shared" si="593"/>
        <v>0</v>
      </c>
      <c r="AG508" s="126">
        <f>+AF508/(1-Analisis!$E$9)</f>
        <v>0</v>
      </c>
      <c r="AH508" s="128">
        <f t="shared" si="595"/>
        <v>0</v>
      </c>
    </row>
    <row r="509" spans="1:35" s="73" customFormat="1" x14ac:dyDescent="0.25">
      <c r="A509" s="100"/>
      <c r="B509" s="123"/>
      <c r="C509" s="74">
        <f>IFERROR(VLOOKUP(B509,'REQ GALV'!A:B,2,0),0)</f>
        <v>0</v>
      </c>
      <c r="D509" s="116">
        <f t="shared" si="594"/>
        <v>0</v>
      </c>
      <c r="E509" s="103" t="s">
        <v>41</v>
      </c>
      <c r="F509" s="75" t="s">
        <v>314</v>
      </c>
      <c r="G509" s="90"/>
      <c r="H509" s="90"/>
      <c r="I509" s="76">
        <v>0.105</v>
      </c>
      <c r="J509" s="77">
        <v>28.24</v>
      </c>
      <c r="K509" s="78">
        <f t="shared" si="596"/>
        <v>0</v>
      </c>
      <c r="L509" s="58">
        <f>+VLOOKUP(E509,Material!$H$2:$M$17,6,FALSE)*G509*H509*(1+Material!$K$14)</f>
        <v>0</v>
      </c>
      <c r="M509" s="79" t="str">
        <f>+Analisis!$J$5</f>
        <v>T5.0</v>
      </c>
      <c r="N509" s="80">
        <f>+VLOOKUP(M509,Material!$A$3:$B$58,2,FALSE)</f>
        <v>5000</v>
      </c>
      <c r="O509" s="79" t="s">
        <v>42</v>
      </c>
      <c r="P509" s="79" t="s">
        <v>43</v>
      </c>
      <c r="Q509" s="81">
        <f>+IF(O509="ACERO A36",VLOOKUP(P509,'Velocidades Std 1500 w'!$B$2:$F$15,5,FALSE),IF(O509="INOXIDABLE",VLOOKUP(P509,'Velocidades Std 1500 w'!$B$17:$F$28,5,FALSE),IF(O509="ALUMINIO",VLOOKUP(P509,'Velocidades Std 1500 w'!$B$30:$F$38,5,FALSE))))</f>
        <v>4.3859649122807014E-6</v>
      </c>
      <c r="R509" s="82">
        <f t="shared" si="597"/>
        <v>2.1929824561403508E-2</v>
      </c>
      <c r="S509" s="83">
        <f t="shared" si="598"/>
        <v>0</v>
      </c>
      <c r="T509" s="110">
        <f t="shared" si="599"/>
        <v>0</v>
      </c>
      <c r="U509" s="80">
        <f t="shared" si="600"/>
        <v>0</v>
      </c>
      <c r="V509" s="98"/>
      <c r="W509" s="84">
        <f>+IF(O509="ACERO A36",VLOOKUP(P509,'Tiempo Objeto'!$B$2:$C$12,2,FALSE),IF(O509="INOXIDABLE",VLOOKUP(P509,'Tiempo Objeto'!$B$14:$C$22,2,FALSE),IF(O509="ALUMINIO",VLOOKUP(P509,'Tiempo Objeto'!$B$24:$C$32,2,FALSE))))</f>
        <v>1.84</v>
      </c>
      <c r="X509" s="84">
        <f t="shared" si="601"/>
        <v>0</v>
      </c>
      <c r="Y509" s="80">
        <f t="shared" si="602"/>
        <v>0</v>
      </c>
      <c r="Z509" s="100"/>
      <c r="AA509" s="85">
        <f t="shared" si="603"/>
        <v>0</v>
      </c>
      <c r="AB509" s="86">
        <f>+Z509*Analisis!$J$6</f>
        <v>0</v>
      </c>
      <c r="AC509" s="100"/>
      <c r="AD509" s="85">
        <f t="shared" si="604"/>
        <v>0</v>
      </c>
      <c r="AE509" s="86">
        <f>+AD509*Analisis!$J$7</f>
        <v>0</v>
      </c>
      <c r="AF509" s="86">
        <f t="shared" si="593"/>
        <v>0</v>
      </c>
      <c r="AG509" s="126">
        <f>+AF509/(1-Analisis!$E$9)</f>
        <v>0</v>
      </c>
      <c r="AH509" s="128">
        <f t="shared" si="595"/>
        <v>0</v>
      </c>
    </row>
    <row r="510" spans="1:35" s="73" customFormat="1" x14ac:dyDescent="0.25">
      <c r="A510" s="100"/>
      <c r="B510" s="123"/>
      <c r="C510" s="74">
        <f>IFERROR(VLOOKUP(B510,'REQ GALV'!A:B,2,0),0)</f>
        <v>0</v>
      </c>
      <c r="D510" s="116">
        <f t="shared" si="594"/>
        <v>0</v>
      </c>
      <c r="E510" s="103" t="s">
        <v>41</v>
      </c>
      <c r="F510" s="75" t="s">
        <v>314</v>
      </c>
      <c r="G510" s="90"/>
      <c r="H510" s="90"/>
      <c r="I510" s="76">
        <v>0.105</v>
      </c>
      <c r="J510" s="77">
        <v>28.24</v>
      </c>
      <c r="K510" s="78">
        <f t="shared" si="596"/>
        <v>0</v>
      </c>
      <c r="L510" s="58">
        <f>+VLOOKUP(E510,Material!$H$2:$M$17,6,FALSE)*G510*H510*(1+Material!$K$14)</f>
        <v>0</v>
      </c>
      <c r="M510" s="79" t="str">
        <f>+Analisis!$J$5</f>
        <v>T5.0</v>
      </c>
      <c r="N510" s="80">
        <f>+VLOOKUP(M510,Material!$A$3:$B$58,2,FALSE)</f>
        <v>5000</v>
      </c>
      <c r="O510" s="79" t="s">
        <v>42</v>
      </c>
      <c r="P510" s="79" t="s">
        <v>43</v>
      </c>
      <c r="Q510" s="81">
        <f>+IF(O510="ACERO A36",VLOOKUP(P510,'Velocidades Std 1500 w'!$B$2:$F$15,5,FALSE),IF(O510="INOXIDABLE",VLOOKUP(P510,'Velocidades Std 1500 w'!$B$17:$F$28,5,FALSE),IF(O510="ALUMINIO",VLOOKUP(P510,'Velocidades Std 1500 w'!$B$30:$F$38,5,FALSE))))</f>
        <v>4.3859649122807014E-6</v>
      </c>
      <c r="R510" s="82">
        <f t="shared" si="597"/>
        <v>2.1929824561403508E-2</v>
      </c>
      <c r="S510" s="83">
        <f t="shared" si="598"/>
        <v>0</v>
      </c>
      <c r="T510" s="110">
        <f t="shared" si="599"/>
        <v>0</v>
      </c>
      <c r="U510" s="80">
        <f t="shared" si="600"/>
        <v>0</v>
      </c>
      <c r="V510" s="98"/>
      <c r="W510" s="84">
        <f>+IF(O510="ACERO A36",VLOOKUP(P510,'Tiempo Objeto'!$B$2:$C$12,2,FALSE),IF(O510="INOXIDABLE",VLOOKUP(P510,'Tiempo Objeto'!$B$14:$C$22,2,FALSE),IF(O510="ALUMINIO",VLOOKUP(P510,'Tiempo Objeto'!$B$24:$C$32,2,FALSE))))</f>
        <v>1.84</v>
      </c>
      <c r="X510" s="84">
        <f t="shared" si="601"/>
        <v>0</v>
      </c>
      <c r="Y510" s="80">
        <f t="shared" si="602"/>
        <v>0</v>
      </c>
      <c r="Z510" s="100"/>
      <c r="AA510" s="85">
        <f t="shared" si="603"/>
        <v>0</v>
      </c>
      <c r="AB510" s="86">
        <f>+Z510*Analisis!$J$6</f>
        <v>0</v>
      </c>
      <c r="AC510" s="100"/>
      <c r="AD510" s="85">
        <f t="shared" si="604"/>
        <v>0</v>
      </c>
      <c r="AE510" s="86">
        <f>+AD510*Analisis!$J$7</f>
        <v>0</v>
      </c>
      <c r="AF510" s="86">
        <f t="shared" si="593"/>
        <v>0</v>
      </c>
      <c r="AG510" s="126">
        <f>+AF510/(1-Analisis!$E$9)</f>
        <v>0</v>
      </c>
      <c r="AH510" s="128">
        <f t="shared" si="595"/>
        <v>0</v>
      </c>
    </row>
    <row r="511" spans="1:35" s="73" customFormat="1" x14ac:dyDescent="0.25">
      <c r="A511" s="100"/>
      <c r="B511" s="123"/>
      <c r="C511" s="74">
        <f>IFERROR(VLOOKUP(B511,'REQ GALV'!A:B,2,0),0)</f>
        <v>0</v>
      </c>
      <c r="D511" s="116">
        <f t="shared" si="594"/>
        <v>0</v>
      </c>
      <c r="E511" s="103" t="s">
        <v>41</v>
      </c>
      <c r="F511" s="75" t="s">
        <v>314</v>
      </c>
      <c r="G511" s="90"/>
      <c r="H511" s="90"/>
      <c r="I511" s="76">
        <v>0.105</v>
      </c>
      <c r="J511" s="77">
        <v>28.24</v>
      </c>
      <c r="K511" s="78">
        <f t="shared" si="596"/>
        <v>0</v>
      </c>
      <c r="L511" s="58">
        <f>+VLOOKUP(E511,Material!$H$2:$M$17,6,FALSE)*G511*H511*(1+Material!$K$14)</f>
        <v>0</v>
      </c>
      <c r="M511" s="79" t="str">
        <f>+Analisis!$J$5</f>
        <v>T5.0</v>
      </c>
      <c r="N511" s="80">
        <f>+VLOOKUP(M511,Material!$A$3:$B$58,2,FALSE)</f>
        <v>5000</v>
      </c>
      <c r="O511" s="79" t="s">
        <v>42</v>
      </c>
      <c r="P511" s="79" t="s">
        <v>43</v>
      </c>
      <c r="Q511" s="81">
        <f>+IF(O511="ACERO A36",VLOOKUP(P511,'Velocidades Std 1500 w'!$B$2:$F$15,5,FALSE),IF(O511="INOXIDABLE",VLOOKUP(P511,'Velocidades Std 1500 w'!$B$17:$F$28,5,FALSE),IF(O511="ALUMINIO",VLOOKUP(P511,'Velocidades Std 1500 w'!$B$30:$F$38,5,FALSE))))</f>
        <v>4.3859649122807014E-6</v>
      </c>
      <c r="R511" s="82">
        <f t="shared" si="597"/>
        <v>2.1929824561403508E-2</v>
      </c>
      <c r="S511" s="83">
        <f t="shared" si="598"/>
        <v>0</v>
      </c>
      <c r="T511" s="110">
        <f t="shared" si="599"/>
        <v>0</v>
      </c>
      <c r="U511" s="80">
        <f t="shared" si="600"/>
        <v>0</v>
      </c>
      <c r="V511" s="98"/>
      <c r="W511" s="84">
        <f>+IF(O511="ACERO A36",VLOOKUP(P511,'Tiempo Objeto'!$B$2:$C$12,2,FALSE),IF(O511="INOXIDABLE",VLOOKUP(P511,'Tiempo Objeto'!$B$14:$C$22,2,FALSE),IF(O511="ALUMINIO",VLOOKUP(P511,'Tiempo Objeto'!$B$24:$C$32,2,FALSE))))</f>
        <v>1.84</v>
      </c>
      <c r="X511" s="84">
        <f t="shared" si="601"/>
        <v>0</v>
      </c>
      <c r="Y511" s="80">
        <f t="shared" si="602"/>
        <v>0</v>
      </c>
      <c r="Z511" s="100"/>
      <c r="AA511" s="85">
        <f t="shared" si="603"/>
        <v>0</v>
      </c>
      <c r="AB511" s="86">
        <f>+Z511*Analisis!$J$6</f>
        <v>0</v>
      </c>
      <c r="AC511" s="100"/>
      <c r="AD511" s="85">
        <f t="shared" si="604"/>
        <v>0</v>
      </c>
      <c r="AE511" s="86">
        <f>+AD511*Analisis!$J$7</f>
        <v>0</v>
      </c>
      <c r="AF511" s="86">
        <f t="shared" si="593"/>
        <v>0</v>
      </c>
      <c r="AG511" s="126">
        <f>+AF511/(1-Analisis!$E$9)</f>
        <v>0</v>
      </c>
      <c r="AH511" s="128">
        <f t="shared" si="595"/>
        <v>0</v>
      </c>
    </row>
    <row r="512" spans="1:35" s="73" customFormat="1" x14ac:dyDescent="0.25">
      <c r="A512" s="100"/>
      <c r="B512" s="123"/>
      <c r="C512" s="74">
        <f>IFERROR(VLOOKUP(B512,'REQ GALV'!A:B,2,0),0)</f>
        <v>0</v>
      </c>
      <c r="D512" s="116">
        <f t="shared" si="594"/>
        <v>0</v>
      </c>
      <c r="E512" s="103" t="s">
        <v>41</v>
      </c>
      <c r="F512" s="75" t="s">
        <v>314</v>
      </c>
      <c r="G512" s="90"/>
      <c r="H512" s="90"/>
      <c r="I512" s="76">
        <v>0.105</v>
      </c>
      <c r="J512" s="77">
        <v>28.24</v>
      </c>
      <c r="K512" s="78">
        <f t="shared" si="596"/>
        <v>0</v>
      </c>
      <c r="L512" s="58">
        <f>+VLOOKUP(E512,Material!$H$2:$M$17,6,FALSE)*G512*H512*(1+Material!$K$14)</f>
        <v>0</v>
      </c>
      <c r="M512" s="79" t="str">
        <f>+Analisis!$J$5</f>
        <v>T5.0</v>
      </c>
      <c r="N512" s="80">
        <f>+VLOOKUP(M512,Material!$A$3:$B$58,2,FALSE)</f>
        <v>5000</v>
      </c>
      <c r="O512" s="79" t="s">
        <v>42</v>
      </c>
      <c r="P512" s="79" t="s">
        <v>43</v>
      </c>
      <c r="Q512" s="81">
        <f>+IF(O512="ACERO A36",VLOOKUP(P512,'Velocidades Std 1500 w'!$B$2:$F$15,5,FALSE),IF(O512="INOXIDABLE",VLOOKUP(P512,'Velocidades Std 1500 w'!$B$17:$F$28,5,FALSE),IF(O512="ALUMINIO",VLOOKUP(P512,'Velocidades Std 1500 w'!$B$30:$F$38,5,FALSE))))</f>
        <v>4.3859649122807014E-6</v>
      </c>
      <c r="R512" s="82">
        <f t="shared" si="597"/>
        <v>2.1929824561403508E-2</v>
      </c>
      <c r="S512" s="83">
        <f t="shared" si="598"/>
        <v>0</v>
      </c>
      <c r="T512" s="110">
        <f t="shared" si="599"/>
        <v>0</v>
      </c>
      <c r="U512" s="80">
        <f t="shared" si="600"/>
        <v>0</v>
      </c>
      <c r="V512" s="98"/>
      <c r="W512" s="84">
        <f>+IF(O512="ACERO A36",VLOOKUP(P512,'Tiempo Objeto'!$B$2:$C$12,2,FALSE),IF(O512="INOXIDABLE",VLOOKUP(P512,'Tiempo Objeto'!$B$14:$C$22,2,FALSE),IF(O512="ALUMINIO",VLOOKUP(P512,'Tiempo Objeto'!$B$24:$C$32,2,FALSE))))</f>
        <v>1.84</v>
      </c>
      <c r="X512" s="84">
        <f t="shared" si="601"/>
        <v>0</v>
      </c>
      <c r="Y512" s="80">
        <f t="shared" si="602"/>
        <v>0</v>
      </c>
      <c r="Z512" s="100"/>
      <c r="AA512" s="85">
        <f t="shared" si="603"/>
        <v>0</v>
      </c>
      <c r="AB512" s="86">
        <f>+Z512*Analisis!$J$6</f>
        <v>0</v>
      </c>
      <c r="AC512" s="100"/>
      <c r="AD512" s="85">
        <f t="shared" si="604"/>
        <v>0</v>
      </c>
      <c r="AE512" s="86">
        <f>+AD512*Analisis!$J$7</f>
        <v>0</v>
      </c>
      <c r="AF512" s="86">
        <f t="shared" si="593"/>
        <v>0</v>
      </c>
      <c r="AG512" s="126">
        <f>+AF512/(1-Analisis!$E$9)</f>
        <v>0</v>
      </c>
      <c r="AH512" s="128">
        <f t="shared" si="595"/>
        <v>0</v>
      </c>
    </row>
    <row r="513" spans="1:35" s="73" customFormat="1" x14ac:dyDescent="0.25">
      <c r="A513" s="100"/>
      <c r="B513" s="123"/>
      <c r="C513" s="74">
        <f>IFERROR(VLOOKUP(B513,'REQ GALV'!A:B,2,0),0)</f>
        <v>0</v>
      </c>
      <c r="D513" s="116">
        <f t="shared" si="594"/>
        <v>0</v>
      </c>
      <c r="E513" s="103" t="s">
        <v>41</v>
      </c>
      <c r="F513" s="75" t="s">
        <v>314</v>
      </c>
      <c r="G513" s="90"/>
      <c r="H513" s="90"/>
      <c r="I513" s="76">
        <v>0.105</v>
      </c>
      <c r="J513" s="77">
        <v>28.24</v>
      </c>
      <c r="K513" s="78">
        <f t="shared" si="584"/>
        <v>0</v>
      </c>
      <c r="L513" s="58">
        <f>+VLOOKUP(E513,Material!$H$2:$M$17,6,FALSE)*G513*H513*(1+Material!$K$14)</f>
        <v>0</v>
      </c>
      <c r="M513" s="79" t="str">
        <f>+Analisis!$J$5</f>
        <v>T5.0</v>
      </c>
      <c r="N513" s="80">
        <f>+VLOOKUP(M513,Material!$A$3:$B$58,2,FALSE)</f>
        <v>5000</v>
      </c>
      <c r="O513" s="79" t="s">
        <v>42</v>
      </c>
      <c r="P513" s="79" t="s">
        <v>43</v>
      </c>
      <c r="Q513" s="81">
        <f>+IF(O513="ACERO A36",VLOOKUP(P513,'Velocidades Std 1500 w'!$B$2:$F$15,5,FALSE),IF(O513="INOXIDABLE",VLOOKUP(P513,'Velocidades Std 1500 w'!$B$17:$F$28,5,FALSE),IF(O513="ALUMINIO",VLOOKUP(P513,'Velocidades Std 1500 w'!$B$30:$F$38,5,FALSE))))</f>
        <v>4.3859649122807014E-6</v>
      </c>
      <c r="R513" s="82">
        <f t="shared" si="585"/>
        <v>2.1929824561403508E-2</v>
      </c>
      <c r="S513" s="83">
        <f t="shared" si="586"/>
        <v>0</v>
      </c>
      <c r="T513" s="110">
        <f t="shared" si="587"/>
        <v>0</v>
      </c>
      <c r="U513" s="80">
        <f t="shared" si="588"/>
        <v>0</v>
      </c>
      <c r="V513" s="98"/>
      <c r="W513" s="84">
        <f>+IF(O513="ACERO A36",VLOOKUP(P513,'Tiempo Objeto'!$B$2:$C$12,2,FALSE),IF(O513="INOXIDABLE",VLOOKUP(P513,'Tiempo Objeto'!$B$14:$C$22,2,FALSE),IF(O513="ALUMINIO",VLOOKUP(P513,'Tiempo Objeto'!$B$24:$C$32,2,FALSE))))</f>
        <v>1.84</v>
      </c>
      <c r="X513" s="84">
        <f t="shared" si="589"/>
        <v>0</v>
      </c>
      <c r="Y513" s="80">
        <f t="shared" si="590"/>
        <v>0</v>
      </c>
      <c r="Z513" s="100"/>
      <c r="AA513" s="85">
        <f>30*Z513+Z513*$C513*1.5</f>
        <v>0</v>
      </c>
      <c r="AB513" s="86">
        <f>+Z513*Analisis!$J$6</f>
        <v>0</v>
      </c>
      <c r="AC513" s="100"/>
      <c r="AD513" s="85">
        <f>30*AC513+AC513*$C513*1.5</f>
        <v>0</v>
      </c>
      <c r="AE513" s="86">
        <f>+AD513*Analisis!$J$7</f>
        <v>0</v>
      </c>
      <c r="AF513" s="86">
        <f t="shared" si="593"/>
        <v>0</v>
      </c>
      <c r="AG513" s="126">
        <f>+AF513/(1-Analisis!$E$9)</f>
        <v>0</v>
      </c>
      <c r="AH513" s="128">
        <f t="shared" si="595"/>
        <v>0</v>
      </c>
    </row>
    <row r="514" spans="1:35" ht="18.75" x14ac:dyDescent="0.25">
      <c r="G514" s="91"/>
      <c r="H514" s="91"/>
      <c r="I514" s="31"/>
      <c r="J514" s="32"/>
      <c r="L514" s="59">
        <f>+SUMPRODUCT(L2:L513,$C$2:$C$513)</f>
        <v>2091971.9582474637</v>
      </c>
      <c r="U514" s="56">
        <f>+SUMPRODUCT(U2:U513,$C$2:$C$513)</f>
        <v>909223.39895394747</v>
      </c>
      <c r="Y514" s="56">
        <f>+SUMPRODUCT(Y2:Y513,$C$2:$C$513)</f>
        <v>900370.7777777781</v>
      </c>
      <c r="AB514" s="97">
        <f>+SUMPRODUCT(AB2:AB513,$C$2:$C$513)</f>
        <v>1206950</v>
      </c>
      <c r="AE514" s="97">
        <f>+SUMPRODUCT(AE2:AE513,$C$2:$C$513)</f>
        <v>0</v>
      </c>
      <c r="AH514" s="136">
        <f>SUM(AH2:AH513)</f>
        <v>6385645.1687239874</v>
      </c>
      <c r="AI514" s="59">
        <f>+SUMPRODUCT(AI2:AI513,$C$2:$C$513)</f>
        <v>1102796994.6302841</v>
      </c>
    </row>
    <row r="516" spans="1:35" x14ac:dyDescent="0.25">
      <c r="F516" s="140"/>
      <c r="G516" s="141"/>
      <c r="H516" s="142"/>
    </row>
    <row r="517" spans="1:35" x14ac:dyDescent="0.25">
      <c r="F517" s="140"/>
      <c r="G517" s="141"/>
      <c r="H517" s="142"/>
    </row>
    <row r="518" spans="1:35" x14ac:dyDescent="0.25">
      <c r="F518" s="140"/>
      <c r="G518" s="141"/>
      <c r="H518" s="142"/>
    </row>
    <row r="519" spans="1:35" x14ac:dyDescent="0.25">
      <c r="F519" s="140"/>
      <c r="G519" s="141"/>
      <c r="H519" s="142"/>
    </row>
    <row r="520" spans="1:35" x14ac:dyDescent="0.25">
      <c r="F520" s="140"/>
      <c r="G520" s="141"/>
      <c r="H520" s="142"/>
    </row>
    <row r="521" spans="1:35" x14ac:dyDescent="0.25">
      <c r="F521" s="140"/>
      <c r="G521" s="141"/>
      <c r="H521" s="142"/>
    </row>
    <row r="522" spans="1:35" x14ac:dyDescent="0.25">
      <c r="F522" s="140"/>
      <c r="G522" s="141"/>
      <c r="H522" s="142"/>
    </row>
    <row r="523" spans="1:35" x14ac:dyDescent="0.25">
      <c r="F523" s="140"/>
      <c r="G523" s="141"/>
      <c r="H523" s="142"/>
    </row>
    <row r="809" spans="2:2" x14ac:dyDescent="0.25">
      <c r="B809" s="29" t="s">
        <v>149</v>
      </c>
    </row>
  </sheetData>
  <autoFilter ref="A1:AH809" xr:uid="{E51B94DF-C57F-4446-8D7A-AB4518B9268F}"/>
  <phoneticPr fontId="9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EF7103F-FE60-45D2-A4B5-32E7CDF9D0FB}">
          <x14:formula1>
            <xm:f>Material!$H$2:$H$12</xm:f>
          </x14:formula1>
          <xm:sqref>E82:E513 F516:F523</xm:sqref>
        </x14:dataValidation>
        <x14:dataValidation type="list" allowBlank="1" showInputMessage="1" showErrorMessage="1" xr:uid="{F2382ED9-8183-42BB-A47D-D6F6EDE559F4}">
          <x14:formula1>
            <xm:f>Material!$A$3:$A$58</xm:f>
          </x14:formula1>
          <xm:sqref>M2:M513</xm:sqref>
        </x14:dataValidation>
        <x14:dataValidation type="list" allowBlank="1" showInputMessage="1" showErrorMessage="1" xr:uid="{505AA459-9D13-4A01-8912-FADBBC6AC829}">
          <x14:formula1>
            <xm:f>'Tiempo Objeto'!$B$2:$B$12</xm:f>
          </x14:formula1>
          <xm:sqref>P2:P513</xm:sqref>
        </x14:dataValidation>
        <x14:dataValidation type="list" allowBlank="1" showInputMessage="1" showErrorMessage="1" xr:uid="{BEEC01B1-1BBD-4238-AD79-637E65D81EDA}">
          <x14:formula1>
            <xm:f>Material!$C$4:$C$6</xm:f>
          </x14:formula1>
          <xm:sqref>O2:O513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BD29A-DE85-4D54-8DFB-135210FD6499}">
  <sheetPr>
    <tabColor theme="1"/>
  </sheetPr>
  <dimension ref="A1:O32"/>
  <sheetViews>
    <sheetView zoomScale="115" zoomScaleNormal="115" workbookViewId="0">
      <selection activeCell="C27" sqref="C27"/>
    </sheetView>
  </sheetViews>
  <sheetFormatPr baseColWidth="10" defaultRowHeight="15" x14ac:dyDescent="0.25"/>
  <cols>
    <col min="1" max="1" width="14" customWidth="1"/>
    <col min="2" max="2" width="11.42578125" style="1"/>
    <col min="3" max="3" width="17.85546875" bestFit="1" customWidth="1"/>
    <col min="15" max="15" width="7.85546875" customWidth="1"/>
  </cols>
  <sheetData>
    <row r="1" spans="1:15" ht="15.75" x14ac:dyDescent="0.25">
      <c r="A1" s="2" t="s">
        <v>15</v>
      </c>
      <c r="B1" s="2" t="s">
        <v>50</v>
      </c>
      <c r="C1" s="3" t="s">
        <v>42</v>
      </c>
    </row>
    <row r="2" spans="1:15" x14ac:dyDescent="0.25">
      <c r="A2" t="s">
        <v>42</v>
      </c>
      <c r="B2" s="1" t="s">
        <v>51</v>
      </c>
      <c r="C2" s="4">
        <v>8.35</v>
      </c>
      <c r="O2" s="1" t="s">
        <v>45</v>
      </c>
    </row>
    <row r="3" spans="1:15" x14ac:dyDescent="0.25">
      <c r="A3" t="s">
        <v>42</v>
      </c>
      <c r="B3" s="1" t="s">
        <v>52</v>
      </c>
      <c r="C3" s="4">
        <v>4.41</v>
      </c>
    </row>
    <row r="4" spans="1:15" x14ac:dyDescent="0.25">
      <c r="A4" t="s">
        <v>42</v>
      </c>
      <c r="B4" s="1" t="s">
        <v>53</v>
      </c>
      <c r="C4" s="4">
        <v>3.12</v>
      </c>
    </row>
    <row r="5" spans="1:15" x14ac:dyDescent="0.25">
      <c r="A5" t="s">
        <v>42</v>
      </c>
      <c r="B5" s="1" t="s">
        <v>54</v>
      </c>
      <c r="C5" s="4">
        <v>2.46</v>
      </c>
    </row>
    <row r="6" spans="1:15" x14ac:dyDescent="0.25">
      <c r="A6" t="s">
        <v>42</v>
      </c>
      <c r="B6" s="1" t="s">
        <v>45</v>
      </c>
      <c r="C6" s="4">
        <v>2.14</v>
      </c>
    </row>
    <row r="7" spans="1:15" x14ac:dyDescent="0.25">
      <c r="A7" t="s">
        <v>42</v>
      </c>
      <c r="B7" s="1" t="s">
        <v>55</v>
      </c>
      <c r="C7" s="4">
        <v>2.02</v>
      </c>
    </row>
    <row r="8" spans="1:15" x14ac:dyDescent="0.25">
      <c r="A8" t="s">
        <v>42</v>
      </c>
      <c r="B8" s="1" t="s">
        <v>43</v>
      </c>
      <c r="C8" s="4">
        <v>1.84</v>
      </c>
    </row>
    <row r="9" spans="1:15" x14ac:dyDescent="0.25">
      <c r="A9" t="s">
        <v>42</v>
      </c>
      <c r="B9" s="1" t="s">
        <v>48</v>
      </c>
      <c r="C9" s="4">
        <v>0.94</v>
      </c>
      <c r="D9" s="4"/>
      <c r="E9" s="4"/>
    </row>
    <row r="10" spans="1:15" x14ac:dyDescent="0.25">
      <c r="A10" t="s">
        <v>42</v>
      </c>
      <c r="B10" s="1" t="s">
        <v>56</v>
      </c>
      <c r="C10" s="4">
        <v>0.74</v>
      </c>
      <c r="D10" s="4"/>
      <c r="E10" s="4"/>
    </row>
    <row r="11" spans="1:15" x14ac:dyDescent="0.25">
      <c r="A11" t="s">
        <v>42</v>
      </c>
      <c r="B11" s="1" t="s">
        <v>57</v>
      </c>
      <c r="C11" s="4">
        <v>0.35</v>
      </c>
      <c r="D11" s="4"/>
      <c r="E11" s="4"/>
    </row>
    <row r="12" spans="1:15" x14ac:dyDescent="0.25">
      <c r="A12" t="s">
        <v>42</v>
      </c>
      <c r="B12" s="1" t="s">
        <v>58</v>
      </c>
      <c r="C12" s="4">
        <v>0.25</v>
      </c>
      <c r="D12" s="4"/>
      <c r="E12" s="4"/>
    </row>
    <row r="14" spans="1:15" x14ac:dyDescent="0.25">
      <c r="A14" t="s">
        <v>59</v>
      </c>
      <c r="B14" s="5" t="s">
        <v>53</v>
      </c>
      <c r="C14" s="4">
        <v>2.58</v>
      </c>
    </row>
    <row r="15" spans="1:15" x14ac:dyDescent="0.25">
      <c r="A15" t="s">
        <v>59</v>
      </c>
      <c r="B15" s="5" t="s">
        <v>54</v>
      </c>
      <c r="C15" s="4">
        <v>2.48</v>
      </c>
    </row>
    <row r="16" spans="1:15" x14ac:dyDescent="0.25">
      <c r="A16" t="s">
        <v>59</v>
      </c>
      <c r="B16" s="4" t="s">
        <v>45</v>
      </c>
      <c r="C16" s="4">
        <v>2.35</v>
      </c>
    </row>
    <row r="17" spans="1:3" x14ac:dyDescent="0.25">
      <c r="A17" t="s">
        <v>59</v>
      </c>
      <c r="B17" s="5" t="s">
        <v>55</v>
      </c>
      <c r="C17" s="4">
        <v>2.25</v>
      </c>
    </row>
    <row r="18" spans="1:3" x14ac:dyDescent="0.25">
      <c r="A18" t="s">
        <v>59</v>
      </c>
      <c r="B18" s="4" t="s">
        <v>43</v>
      </c>
      <c r="C18" s="4">
        <v>1.64</v>
      </c>
    </row>
    <row r="19" spans="1:3" x14ac:dyDescent="0.25">
      <c r="A19" t="s">
        <v>59</v>
      </c>
      <c r="B19" s="4" t="s">
        <v>48</v>
      </c>
      <c r="C19" s="4">
        <v>1.47</v>
      </c>
    </row>
    <row r="20" spans="1:3" x14ac:dyDescent="0.25">
      <c r="A20" t="s">
        <v>59</v>
      </c>
      <c r="B20" s="4" t="s">
        <v>56</v>
      </c>
      <c r="C20" s="4">
        <v>1.4</v>
      </c>
    </row>
    <row r="21" spans="1:3" x14ac:dyDescent="0.25">
      <c r="A21" t="s">
        <v>59</v>
      </c>
      <c r="B21" s="4" t="s">
        <v>57</v>
      </c>
      <c r="C21" s="4">
        <v>1.39</v>
      </c>
    </row>
    <row r="22" spans="1:3" x14ac:dyDescent="0.25">
      <c r="A22" t="s">
        <v>59</v>
      </c>
      <c r="B22" s="4" t="s">
        <v>58</v>
      </c>
      <c r="C22" s="4">
        <v>1.03</v>
      </c>
    </row>
    <row r="24" spans="1:3" x14ac:dyDescent="0.25">
      <c r="A24" t="s">
        <v>60</v>
      </c>
      <c r="B24" s="1" t="s">
        <v>55</v>
      </c>
      <c r="C24" s="6">
        <v>1.06</v>
      </c>
    </row>
    <row r="25" spans="1:3" x14ac:dyDescent="0.25">
      <c r="A25" t="s">
        <v>60</v>
      </c>
      <c r="B25" s="5" t="s">
        <v>54</v>
      </c>
      <c r="C25" s="6">
        <v>1.06</v>
      </c>
    </row>
    <row r="26" spans="1:3" x14ac:dyDescent="0.25">
      <c r="A26" t="s">
        <v>60</v>
      </c>
      <c r="B26" s="5" t="s">
        <v>53</v>
      </c>
      <c r="C26" s="4">
        <f>+C24*2</f>
        <v>2.12</v>
      </c>
    </row>
    <row r="27" spans="1:3" x14ac:dyDescent="0.25">
      <c r="A27" t="s">
        <v>60</v>
      </c>
      <c r="C27" s="6"/>
    </row>
    <row r="28" spans="1:3" x14ac:dyDescent="0.25">
      <c r="A28" t="s">
        <v>60</v>
      </c>
      <c r="B28" s="1" t="s">
        <v>43</v>
      </c>
      <c r="C28" s="6">
        <v>1.06</v>
      </c>
    </row>
    <row r="29" spans="1:3" x14ac:dyDescent="0.25">
      <c r="A29" t="s">
        <v>60</v>
      </c>
      <c r="B29" s="1" t="s">
        <v>48</v>
      </c>
      <c r="C29" s="6">
        <v>1.06</v>
      </c>
    </row>
    <row r="30" spans="1:3" x14ac:dyDescent="0.25">
      <c r="A30" t="s">
        <v>60</v>
      </c>
      <c r="B30" s="1" t="s">
        <v>56</v>
      </c>
      <c r="C30" s="6">
        <v>1.06</v>
      </c>
    </row>
    <row r="31" spans="1:3" x14ac:dyDescent="0.25">
      <c r="A31" t="s">
        <v>60</v>
      </c>
      <c r="B31" s="1" t="s">
        <v>57</v>
      </c>
      <c r="C31" s="6">
        <v>1.06</v>
      </c>
    </row>
    <row r="32" spans="1:3" x14ac:dyDescent="0.25">
      <c r="A32" t="s">
        <v>60</v>
      </c>
      <c r="B32" s="1" t="s">
        <v>58</v>
      </c>
      <c r="C32" s="6">
        <v>1.06</v>
      </c>
    </row>
  </sheetData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17E00-7707-4FBF-B6D4-DFD21AB7F0E1}">
  <sheetPr>
    <tabColor rgb="FF00B0F0"/>
  </sheetPr>
  <dimension ref="A1:T32"/>
  <sheetViews>
    <sheetView showGridLines="0" zoomScale="85" zoomScaleNormal="85" workbookViewId="0">
      <pane xSplit="2" ySplit="2" topLeftCell="C3" activePane="bottomRight" state="frozen"/>
      <selection activeCell="C16" sqref="C16"/>
      <selection pane="topRight" activeCell="C16" sqref="C16"/>
      <selection pane="bottomLeft" activeCell="C16" sqref="C16"/>
      <selection pane="bottomRight" activeCell="F21" sqref="F21"/>
    </sheetView>
  </sheetViews>
  <sheetFormatPr baseColWidth="10" defaultRowHeight="15" x14ac:dyDescent="0.25"/>
  <cols>
    <col min="1" max="1" width="4.85546875" style="4" customWidth="1"/>
    <col min="2" max="2" width="23.7109375" style="4" customWidth="1"/>
    <col min="3" max="4" width="11.42578125" style="133"/>
    <col min="5" max="8" width="13.42578125" style="134" customWidth="1"/>
    <col min="9" max="10" width="13.42578125" style="372" customWidth="1"/>
    <col min="11" max="11" width="14.140625" style="134" bestFit="1" customWidth="1"/>
    <col min="12" max="14" width="13.42578125" style="134" customWidth="1"/>
    <col min="15" max="15" width="14.5703125" style="88" customWidth="1"/>
    <col min="16" max="16" width="14.42578125" style="135" bestFit="1" customWidth="1"/>
    <col min="17" max="17" width="12.5703125" style="4" bestFit="1" customWidth="1"/>
    <col min="18" max="18" width="13.140625" style="4" bestFit="1" customWidth="1"/>
    <col min="19" max="19" width="12.5703125" style="4" bestFit="1" customWidth="1"/>
    <col min="20" max="16384" width="11.42578125" style="4"/>
  </cols>
  <sheetData>
    <row r="1" spans="1:20" ht="61.5" customHeight="1" x14ac:dyDescent="0.25">
      <c r="B1" s="466" t="s">
        <v>674</v>
      </c>
      <c r="C1" s="468" t="s">
        <v>591</v>
      </c>
      <c r="D1" s="468" t="s">
        <v>4</v>
      </c>
      <c r="E1" s="465" t="s">
        <v>1970</v>
      </c>
      <c r="F1" s="465"/>
      <c r="G1" s="465"/>
      <c r="H1" s="465"/>
      <c r="I1" s="370"/>
      <c r="J1" s="370"/>
      <c r="K1" s="472" t="s">
        <v>673</v>
      </c>
      <c r="L1" s="472"/>
      <c r="M1" s="472"/>
      <c r="N1" s="472"/>
      <c r="O1" s="470" t="s">
        <v>673</v>
      </c>
      <c r="P1" s="463" t="s">
        <v>1974</v>
      </c>
    </row>
    <row r="2" spans="1:20" s="121" customFormat="1" ht="19.5" customHeight="1" x14ac:dyDescent="0.25">
      <c r="B2" s="467"/>
      <c r="C2" s="469"/>
      <c r="D2" s="469"/>
      <c r="E2" s="122" t="s">
        <v>670</v>
      </c>
      <c r="F2" s="122" t="s">
        <v>671</v>
      </c>
      <c r="G2" s="122" t="s">
        <v>672</v>
      </c>
      <c r="H2" s="122" t="s">
        <v>1963</v>
      </c>
      <c r="I2" s="385" t="s">
        <v>1972</v>
      </c>
      <c r="J2" s="385" t="s">
        <v>1977</v>
      </c>
      <c r="K2" s="369" t="s">
        <v>670</v>
      </c>
      <c r="L2" s="369" t="s">
        <v>671</v>
      </c>
      <c r="M2" s="369" t="s">
        <v>672</v>
      </c>
      <c r="N2" s="369" t="s">
        <v>1963</v>
      </c>
      <c r="O2" s="471"/>
      <c r="P2" s="464"/>
    </row>
    <row r="3" spans="1:20" x14ac:dyDescent="0.25">
      <c r="A3" s="129">
        <v>1</v>
      </c>
      <c r="B3" s="376" t="s">
        <v>2158</v>
      </c>
      <c r="C3" s="363">
        <v>48</v>
      </c>
      <c r="D3" s="375" t="str">
        <f>+VLOOKUP(B3,'COT. PITADO'!B:F,5,FALSE)</f>
        <v>16gacr</v>
      </c>
      <c r="E3" s="177">
        <f>IFERROR(+VLOOKUP(B3,'COT. PITADO'!B:AG,12,0),0)</f>
        <v>9.7323388552857644</v>
      </c>
      <c r="F3" s="177">
        <f>IFERROR(+VLOOKUP(B3,'COT. PITADO'!B:AG,21,0)+VLOOKUP(B3,'COT. PITADO'!B:AG,25,0),0)</f>
        <v>6.7696431623931614</v>
      </c>
      <c r="G3" s="177">
        <f>IFERROR(+VLOOKUP(B3,'COT. PITADO'!B:AG,27,0)+VLOOKUP(B3,'COT. PITADO'!B:AG,30,0),0)</f>
        <v>50</v>
      </c>
      <c r="H3" s="177">
        <f>IFERROR(+VLOOKUP(B3,'COT. PITADO'!B:AG,22,0),0)</f>
        <v>3</v>
      </c>
      <c r="I3" s="386">
        <f>SUM(E3:H3)</f>
        <v>69.501982017678927</v>
      </c>
      <c r="J3" s="386">
        <f>+I3/(1-Analisis!$E$9)</f>
        <v>86.877477522098658</v>
      </c>
      <c r="K3" s="177">
        <f>+E3*$C3</f>
        <v>467.15226505371669</v>
      </c>
      <c r="L3" s="177">
        <f t="shared" ref="L3:N3" si="0">+F3*$C3</f>
        <v>324.94287179487173</v>
      </c>
      <c r="M3" s="177">
        <f t="shared" si="0"/>
        <v>2400</v>
      </c>
      <c r="N3" s="177">
        <f t="shared" si="0"/>
        <v>144</v>
      </c>
      <c r="O3" s="178">
        <f>SUM(K3:N3)</f>
        <v>3336.0951368485885</v>
      </c>
      <c r="P3" s="178">
        <f>+O3/(1-Analisis!$E$9)</f>
        <v>4170.1189210607354</v>
      </c>
    </row>
    <row r="4" spans="1:20" x14ac:dyDescent="0.25">
      <c r="A4" s="129">
        <v>2</v>
      </c>
      <c r="B4" s="376" t="s">
        <v>2159</v>
      </c>
      <c r="C4" s="363">
        <v>48</v>
      </c>
      <c r="D4" s="375" t="str">
        <f>+VLOOKUP(B4,'COT. PITADO'!B:F,5,FALSE)</f>
        <v>16gacr</v>
      </c>
      <c r="E4" s="177">
        <f>IFERROR(+VLOOKUP(B4,'COT. PITADO'!B:AG,12,0),0)</f>
        <v>31.134871647661985</v>
      </c>
      <c r="F4" s="177">
        <f>IFERROR(+VLOOKUP(B4,'COT. PITADO'!B:AG,21,0)+VLOOKUP(B4,'COT. PITADO'!B:AG,25,0),0)</f>
        <v>13.241126780626782</v>
      </c>
      <c r="G4" s="177">
        <f>IFERROR(+VLOOKUP(B4,'COT. PITADO'!B:AG,27,0)+VLOOKUP(B4,'COT. PITADO'!B:AG,30,0),0)</f>
        <v>50</v>
      </c>
      <c r="H4" s="177">
        <f>IFERROR(+VLOOKUP(B4,'COT. PITADO'!B:AG,22,0),0)</f>
        <v>13</v>
      </c>
      <c r="I4" s="386">
        <f t="shared" ref="I4:I6" si="1">SUM(E4:H4)</f>
        <v>107.37599842828877</v>
      </c>
      <c r="J4" s="386">
        <f>+I4/(1-Analisis!$E$9)</f>
        <v>134.21999803536096</v>
      </c>
      <c r="K4" s="177">
        <f t="shared" ref="K4:K6" si="2">+E4*$C4</f>
        <v>1494.4738390877753</v>
      </c>
      <c r="L4" s="177">
        <f t="shared" ref="L4:L6" si="3">+F4*$C4</f>
        <v>635.57408547008549</v>
      </c>
      <c r="M4" s="177">
        <f t="shared" ref="M4:M6" si="4">+G4*$C4</f>
        <v>2400</v>
      </c>
      <c r="N4" s="177">
        <f t="shared" ref="N4:N6" si="5">+H4*$C4</f>
        <v>624</v>
      </c>
      <c r="O4" s="178">
        <f t="shared" ref="O4:O6" si="6">SUM(K4:N4)</f>
        <v>5154.0479245578608</v>
      </c>
      <c r="P4" s="178">
        <f>+O4/(1-Analisis!$E$9)</f>
        <v>6442.559905697326</v>
      </c>
    </row>
    <row r="5" spans="1:20" x14ac:dyDescent="0.25">
      <c r="A5" s="129">
        <v>3</v>
      </c>
      <c r="B5" s="376" t="s">
        <v>2160</v>
      </c>
      <c r="C5" s="363">
        <v>96</v>
      </c>
      <c r="D5" s="375" t="str">
        <f>+VLOOKUP(B5,'COT. PITADO'!B:F,5,FALSE)</f>
        <v>16gacr</v>
      </c>
      <c r="E5" s="177">
        <f>IFERROR(+VLOOKUP(B5,'COT. PITADO'!B:AG,12,0),0)</f>
        <v>31.177935093924308</v>
      </c>
      <c r="F5" s="177">
        <f>IFERROR(+VLOOKUP(B5,'COT. PITADO'!B:AG,21,0)+VLOOKUP(B5,'COT. PITADO'!B:AG,25,0),0)</f>
        <v>10.088975071225072</v>
      </c>
      <c r="G5" s="177">
        <f>IFERROR(+VLOOKUP(B5,'COT. PITADO'!B:AG,27,0)+VLOOKUP(B5,'COT. PITADO'!B:AG,30,0),0)</f>
        <v>50</v>
      </c>
      <c r="H5" s="177">
        <f>IFERROR(+VLOOKUP(B5,'COT. PITADO'!B:AG,22,0),0)</f>
        <v>7</v>
      </c>
      <c r="I5" s="386">
        <f t="shared" si="1"/>
        <v>98.266910165149383</v>
      </c>
      <c r="J5" s="386">
        <f>+I5/(1-Analisis!$E$9)</f>
        <v>122.83363770643672</v>
      </c>
      <c r="K5" s="177">
        <f t="shared" si="2"/>
        <v>2993.0817690167337</v>
      </c>
      <c r="L5" s="177">
        <f t="shared" si="3"/>
        <v>968.54160683760688</v>
      </c>
      <c r="M5" s="177">
        <f t="shared" si="4"/>
        <v>4800</v>
      </c>
      <c r="N5" s="177">
        <f t="shared" si="5"/>
        <v>672</v>
      </c>
      <c r="O5" s="178">
        <f t="shared" si="6"/>
        <v>9433.6233758543403</v>
      </c>
      <c r="P5" s="178">
        <f>+O5/(1-Analisis!$E$9)</f>
        <v>11792.029219817925</v>
      </c>
    </row>
    <row r="6" spans="1:20" x14ac:dyDescent="0.25">
      <c r="A6" s="129">
        <v>4</v>
      </c>
      <c r="B6" s="376" t="s">
        <v>2161</v>
      </c>
      <c r="C6" s="363">
        <v>48</v>
      </c>
      <c r="D6" s="375" t="str">
        <f>+VLOOKUP(B6,'COT. PITADO'!B:F,5,FALSE)</f>
        <v>16gacr</v>
      </c>
      <c r="E6" s="177">
        <f>IFERROR(+VLOOKUP(B6,'COT. PITADO'!B:AG,12,0),0)</f>
        <v>7.2210599890406257</v>
      </c>
      <c r="F6" s="177">
        <f>IFERROR(+VLOOKUP(B6,'COT. PITADO'!B:AG,21,0)+VLOOKUP(B6,'COT. PITADO'!B:AG,25,0),0)</f>
        <v>4.3371047008547006</v>
      </c>
      <c r="G6" s="177">
        <f>IFERROR(+VLOOKUP(B6,'COT. PITADO'!B:AG,27,0)+VLOOKUP(B6,'COT. PITADO'!B:AG,30,0),0)</f>
        <v>50</v>
      </c>
      <c r="H6" s="177">
        <f>IFERROR(+VLOOKUP(B6,'COT. PITADO'!B:AG,22,0),0)</f>
        <v>3</v>
      </c>
      <c r="I6" s="386">
        <f t="shared" si="1"/>
        <v>64.558164689895335</v>
      </c>
      <c r="J6" s="386">
        <f>+I6/(1-Analisis!$E$9)</f>
        <v>80.697705862369162</v>
      </c>
      <c r="K6" s="177">
        <f t="shared" si="2"/>
        <v>346.61087947395004</v>
      </c>
      <c r="L6" s="177">
        <f t="shared" si="3"/>
        <v>208.18102564102563</v>
      </c>
      <c r="M6" s="177">
        <f t="shared" si="4"/>
        <v>2400</v>
      </c>
      <c r="N6" s="177">
        <f t="shared" si="5"/>
        <v>144</v>
      </c>
      <c r="O6" s="178">
        <f t="shared" si="6"/>
        <v>3098.7919051149756</v>
      </c>
      <c r="P6" s="178">
        <f>+O6/(1-Analisis!$E$9)</f>
        <v>3873.4898813937193</v>
      </c>
    </row>
    <row r="7" spans="1:20" x14ac:dyDescent="0.25">
      <c r="A7" s="129">
        <v>5</v>
      </c>
      <c r="B7" s="376" t="s">
        <v>2162</v>
      </c>
      <c r="C7" s="363">
        <v>48</v>
      </c>
      <c r="D7" s="375" t="str">
        <f>+VLOOKUP(B7,'COT. PITADO'!B:F,5,FALSE)</f>
        <v>16gacr</v>
      </c>
      <c r="E7" s="177">
        <f>IFERROR(+VLOOKUP(B7,'COT. PITADO'!B:AG,12,0),0)</f>
        <v>63.544579959490846</v>
      </c>
      <c r="F7" s="177">
        <f>IFERROR(+VLOOKUP(B7,'COT. PITADO'!B:AG,21,0)+VLOOKUP(B7,'COT. PITADO'!B:AG,25,0),0)</f>
        <v>12.39274074074074</v>
      </c>
      <c r="G7" s="177">
        <f>IFERROR(+VLOOKUP(B7,'COT. PITADO'!B:AG,27,0)+VLOOKUP(B7,'COT. PITADO'!B:AG,30,0),0)</f>
        <v>75</v>
      </c>
      <c r="H7" s="177">
        <f>IFERROR(+VLOOKUP(B7,'COT. PITADO'!B:AG,22,0),0)</f>
        <v>8</v>
      </c>
      <c r="I7" s="386">
        <f t="shared" ref="I7:I14" si="7">SUM(E7:H7)</f>
        <v>158.93732070023157</v>
      </c>
      <c r="J7" s="386">
        <f>+I7/(1-Analisis!$E$9)</f>
        <v>198.67165087528946</v>
      </c>
      <c r="K7" s="177">
        <f t="shared" ref="K7:K14" si="8">+E7*$C7</f>
        <v>3050.1398380555606</v>
      </c>
      <c r="L7" s="177">
        <f t="shared" ref="L7:L14" si="9">+F7*$C7</f>
        <v>594.85155555555548</v>
      </c>
      <c r="M7" s="177">
        <f t="shared" ref="M7:M14" si="10">+G7*$C7</f>
        <v>3600</v>
      </c>
      <c r="N7" s="177">
        <f t="shared" ref="N7:N14" si="11">+H7*$C7</f>
        <v>384</v>
      </c>
      <c r="O7" s="178">
        <f t="shared" ref="O7:O14" si="12">SUM(K7:N7)</f>
        <v>7628.9913936111161</v>
      </c>
      <c r="P7" s="178">
        <f>+O7/(1-Analisis!$E$9)</f>
        <v>9536.2392420138949</v>
      </c>
    </row>
    <row r="8" spans="1:20" x14ac:dyDescent="0.25">
      <c r="A8" s="129">
        <v>6</v>
      </c>
      <c r="B8" s="376" t="s">
        <v>2163</v>
      </c>
      <c r="C8" s="363">
        <v>48</v>
      </c>
      <c r="D8" s="375" t="str">
        <f>+VLOOKUP(B8,'COT. PITADO'!B:F,5,FALSE)</f>
        <v>16gacr</v>
      </c>
      <c r="E8" s="177">
        <f>IFERROR(+VLOOKUP(B8,'COT. PITADO'!B:AG,12,0),0)</f>
        <v>43.711562461060261</v>
      </c>
      <c r="F8" s="177">
        <f>IFERROR(+VLOOKUP(B8,'COT. PITADO'!B:AG,21,0)+VLOOKUP(B8,'COT. PITADO'!B:AG,25,0),0)</f>
        <v>11.17036574074074</v>
      </c>
      <c r="G8" s="177">
        <f>IFERROR(+VLOOKUP(B8,'COT. PITADO'!B:AG,27,0)+VLOOKUP(B8,'COT. PITADO'!B:AG,30,0),0)</f>
        <v>75</v>
      </c>
      <c r="H8" s="177">
        <f>IFERROR(+VLOOKUP(B8,'COT. PITADO'!B:AG,22,0),0)</f>
        <v>8</v>
      </c>
      <c r="I8" s="386">
        <f t="shared" si="7"/>
        <v>137.881928201801</v>
      </c>
      <c r="J8" s="386">
        <f>+I8/(1-Analisis!$E$9)</f>
        <v>172.35241025225125</v>
      </c>
      <c r="K8" s="177">
        <f t="shared" si="8"/>
        <v>2098.1549981308926</v>
      </c>
      <c r="L8" s="177">
        <f t="shared" si="9"/>
        <v>536.1775555555555</v>
      </c>
      <c r="M8" s="177">
        <f t="shared" si="10"/>
        <v>3600</v>
      </c>
      <c r="N8" s="177">
        <f t="shared" si="11"/>
        <v>384</v>
      </c>
      <c r="O8" s="178">
        <f t="shared" si="12"/>
        <v>6618.3325536864486</v>
      </c>
      <c r="P8" s="178">
        <f>+O8/(1-Analisis!$E$9)</f>
        <v>8272.9156921080594</v>
      </c>
    </row>
    <row r="9" spans="1:20" x14ac:dyDescent="0.25">
      <c r="A9" s="129">
        <v>7</v>
      </c>
      <c r="B9" s="376" t="s">
        <v>2164</v>
      </c>
      <c r="C9" s="363">
        <v>48</v>
      </c>
      <c r="D9" s="375" t="str">
        <f>+VLOOKUP(B9,'COT. PITADO'!B:F,5,FALSE)</f>
        <v>16gacr</v>
      </c>
      <c r="E9" s="177">
        <f>IFERROR(+VLOOKUP(B9,'COT. PITADO'!B:AG,12,0),0)</f>
        <v>112.00802372831096</v>
      </c>
      <c r="F9" s="177">
        <f>IFERROR(+VLOOKUP(B9,'COT. PITADO'!B:AG,21,0)+VLOOKUP(B9,'COT. PITADO'!B:AG,25,0),0)</f>
        <v>15.72471794871795</v>
      </c>
      <c r="G9" s="177">
        <f>IFERROR(+VLOOKUP(B9,'COT. PITADO'!B:AG,27,0)+VLOOKUP(B9,'COT. PITADO'!B:AG,30,0),0)</f>
        <v>50</v>
      </c>
      <c r="H9" s="177">
        <f>IFERROR(+VLOOKUP(B9,'COT. PITADO'!B:AG,22,0),0)</f>
        <v>9</v>
      </c>
      <c r="I9" s="386">
        <f t="shared" si="7"/>
        <v>186.73274167702891</v>
      </c>
      <c r="J9" s="386">
        <f>+I9/(1-Analisis!$E$9)</f>
        <v>233.41592709628614</v>
      </c>
      <c r="K9" s="177">
        <f t="shared" si="8"/>
        <v>5376.3851389589263</v>
      </c>
      <c r="L9" s="177">
        <f t="shared" si="9"/>
        <v>754.78646153846159</v>
      </c>
      <c r="M9" s="177">
        <f t="shared" si="10"/>
        <v>2400</v>
      </c>
      <c r="N9" s="177">
        <f t="shared" si="11"/>
        <v>432</v>
      </c>
      <c r="O9" s="178">
        <f t="shared" si="12"/>
        <v>8963.1716004973878</v>
      </c>
      <c r="P9" s="178">
        <f>+O9/(1-Analisis!$E$9)</f>
        <v>11203.964500621734</v>
      </c>
    </row>
    <row r="10" spans="1:20" x14ac:dyDescent="0.25">
      <c r="A10" s="129">
        <v>8</v>
      </c>
      <c r="B10" s="376" t="s">
        <v>2165</v>
      </c>
      <c r="C10" s="363">
        <v>96</v>
      </c>
      <c r="D10" s="375" t="str">
        <f>+VLOOKUP(B10,'COT. PITADO'!B:F,5,FALSE)</f>
        <v>16gacr</v>
      </c>
      <c r="E10" s="177">
        <f>IFERROR(+VLOOKUP(B10,'COT. PITADO'!B:AG,12,0),0)</f>
        <v>1.1196496028204863</v>
      </c>
      <c r="F10" s="177">
        <f>IFERROR(+VLOOKUP(B10,'COT. PITADO'!B:AG,21,0)+VLOOKUP(B10,'COT. PITADO'!B:AG,25,0),0)</f>
        <v>2.1432428774928778</v>
      </c>
      <c r="G10" s="177">
        <f>IFERROR(+VLOOKUP(B10,'COT. PITADO'!B:AG,27,0)+VLOOKUP(B10,'COT. PITADO'!B:AG,30,0),0)</f>
        <v>50</v>
      </c>
      <c r="H10" s="177">
        <f>IFERROR(+VLOOKUP(B10,'COT. PITADO'!B:AG,22,0),0)</f>
        <v>2</v>
      </c>
      <c r="I10" s="386">
        <f t="shared" si="7"/>
        <v>55.262892480313361</v>
      </c>
      <c r="J10" s="386">
        <f>+I10/(1-Analisis!$E$9)</f>
        <v>69.0786156003917</v>
      </c>
      <c r="K10" s="177">
        <f t="shared" si="8"/>
        <v>107.48636187076669</v>
      </c>
      <c r="L10" s="177">
        <f t="shared" si="9"/>
        <v>205.75131623931628</v>
      </c>
      <c r="M10" s="177">
        <f t="shared" si="10"/>
        <v>4800</v>
      </c>
      <c r="N10" s="177">
        <f t="shared" si="11"/>
        <v>192</v>
      </c>
      <c r="O10" s="178">
        <f t="shared" si="12"/>
        <v>5305.2376781100829</v>
      </c>
      <c r="P10" s="178">
        <f>+O10/(1-Analisis!$E$9)</f>
        <v>6631.5470976376037</v>
      </c>
    </row>
    <row r="11" spans="1:20" x14ac:dyDescent="0.25">
      <c r="A11" s="129">
        <v>9</v>
      </c>
      <c r="B11" s="376" t="s">
        <v>2166</v>
      </c>
      <c r="C11" s="363">
        <v>48</v>
      </c>
      <c r="D11" s="375" t="str">
        <f>+VLOOKUP(B11,'COT. PITADO'!B:F,5,FALSE)</f>
        <v>16gacr</v>
      </c>
      <c r="E11" s="177">
        <f>IFERROR(+VLOOKUP(B11,'COT. PITADO'!B:AG,12,0),0)</f>
        <v>74.327508248775359</v>
      </c>
      <c r="F11" s="177">
        <f>IFERROR(+VLOOKUP(B11,'COT. PITADO'!B:AG,21,0)+VLOOKUP(B11,'COT. PITADO'!B:AG,25,0),0)</f>
        <v>17.793824074074074</v>
      </c>
      <c r="G11" s="177">
        <f>IFERROR(+VLOOKUP(B11,'COT. PITADO'!B:AG,27,0)+VLOOKUP(B11,'COT. PITADO'!B:AG,30,0),0)</f>
        <v>50</v>
      </c>
      <c r="H11" s="177">
        <f>IFERROR(+VLOOKUP(B11,'COT. PITADO'!B:AG,22,0),0)</f>
        <v>17</v>
      </c>
      <c r="I11" s="386">
        <f t="shared" si="7"/>
        <v>159.12133232284944</v>
      </c>
      <c r="J11" s="386">
        <f>+I11/(1-Analisis!$E$9)</f>
        <v>198.90166540356179</v>
      </c>
      <c r="K11" s="177">
        <f t="shared" si="8"/>
        <v>3567.7203959412172</v>
      </c>
      <c r="L11" s="177">
        <f t="shared" si="9"/>
        <v>854.10355555555554</v>
      </c>
      <c r="M11" s="177">
        <f t="shared" si="10"/>
        <v>2400</v>
      </c>
      <c r="N11" s="177">
        <f t="shared" si="11"/>
        <v>816</v>
      </c>
      <c r="O11" s="178">
        <f t="shared" si="12"/>
        <v>7637.8239514967727</v>
      </c>
      <c r="P11" s="178">
        <f>+O11/(1-Analisis!$E$9)</f>
        <v>9547.2799393709647</v>
      </c>
    </row>
    <row r="12" spans="1:20" x14ac:dyDescent="0.25">
      <c r="A12" s="129">
        <v>10</v>
      </c>
      <c r="B12" s="376" t="s">
        <v>2167</v>
      </c>
      <c r="C12" s="363">
        <v>48</v>
      </c>
      <c r="D12" s="375" t="str">
        <f>+VLOOKUP(B12,'COT. PITADO'!B:F,5,FALSE)</f>
        <v>16gacr</v>
      </c>
      <c r="E12" s="177">
        <f>IFERROR(+VLOOKUP(B12,'COT. PITADO'!B:AG,12,0),0)</f>
        <v>31.264061986448958</v>
      </c>
      <c r="F12" s="177">
        <f>IFERROR(+VLOOKUP(B12,'COT. PITADO'!B:AG,21,0)+VLOOKUP(B12,'COT. PITADO'!B:AG,25,0),0)</f>
        <v>7.9907970085470081</v>
      </c>
      <c r="G12" s="177">
        <f>IFERROR(+VLOOKUP(B12,'COT. PITADO'!B:AG,27,0)+VLOOKUP(B12,'COT. PITADO'!B:AG,30,0),0)</f>
        <v>50</v>
      </c>
      <c r="H12" s="177">
        <f>IFERROR(+VLOOKUP(B12,'COT. PITADO'!B:AG,22,0),0)</f>
        <v>3</v>
      </c>
      <c r="I12" s="386">
        <f t="shared" si="7"/>
        <v>92.254858994995971</v>
      </c>
      <c r="J12" s="386">
        <f>+I12/(1-Analisis!$E$9)</f>
        <v>115.31857374374496</v>
      </c>
      <c r="K12" s="177">
        <f t="shared" si="8"/>
        <v>1500.6749753495501</v>
      </c>
      <c r="L12" s="177">
        <f t="shared" si="9"/>
        <v>383.55825641025638</v>
      </c>
      <c r="M12" s="177">
        <f t="shared" si="10"/>
        <v>2400</v>
      </c>
      <c r="N12" s="177">
        <f t="shared" si="11"/>
        <v>144</v>
      </c>
      <c r="O12" s="178">
        <f t="shared" si="12"/>
        <v>4428.2332317598066</v>
      </c>
      <c r="P12" s="178">
        <f>+O12/(1-Analisis!$E$9)</f>
        <v>5535.2915396997578</v>
      </c>
    </row>
    <row r="13" spans="1:20" x14ac:dyDescent="0.25">
      <c r="A13" s="129">
        <v>11</v>
      </c>
      <c r="B13" s="376" t="s">
        <v>2168</v>
      </c>
      <c r="C13" s="363">
        <v>48</v>
      </c>
      <c r="D13" s="375" t="str">
        <f>+VLOOKUP(B13,'COT. PITADO'!B:F,5,FALSE)</f>
        <v>16gacr</v>
      </c>
      <c r="E13" s="177">
        <f>IFERROR(+VLOOKUP(B13,'COT. PITADO'!B:AG,12,0),0)</f>
        <v>93.248691270058742</v>
      </c>
      <c r="F13" s="177">
        <f>IFERROR(+VLOOKUP(B13,'COT. PITADO'!B:AG,21,0)+VLOOKUP(B13,'COT. PITADO'!B:AG,25,0),0)</f>
        <v>18.42937571225071</v>
      </c>
      <c r="G13" s="177">
        <f>IFERROR(+VLOOKUP(B13,'COT. PITADO'!B:AG,27,0)+VLOOKUP(B13,'COT. PITADO'!B:AG,30,0),0)</f>
        <v>75</v>
      </c>
      <c r="H13" s="177">
        <f>IFERROR(+VLOOKUP(B13,'COT. PITADO'!B:AG,22,0),0)</f>
        <v>16</v>
      </c>
      <c r="I13" s="386">
        <f t="shared" si="7"/>
        <v>202.67806698230945</v>
      </c>
      <c r="J13" s="386">
        <f>+I13/(1-Analisis!$E$9)</f>
        <v>253.34758372788679</v>
      </c>
      <c r="K13" s="177">
        <f t="shared" si="8"/>
        <v>4475.9371809628192</v>
      </c>
      <c r="L13" s="177">
        <f t="shared" si="9"/>
        <v>884.61003418803409</v>
      </c>
      <c r="M13" s="177">
        <f t="shared" si="10"/>
        <v>3600</v>
      </c>
      <c r="N13" s="177">
        <f t="shared" si="11"/>
        <v>768</v>
      </c>
      <c r="O13" s="178">
        <f t="shared" si="12"/>
        <v>9728.5472151508529</v>
      </c>
      <c r="P13" s="178">
        <f>+O13/(1-Analisis!$E$9)</f>
        <v>12160.684018938566</v>
      </c>
    </row>
    <row r="14" spans="1:20" x14ac:dyDescent="0.25">
      <c r="A14" s="129">
        <v>12</v>
      </c>
      <c r="B14" s="376" t="s">
        <v>2169</v>
      </c>
      <c r="C14" s="363">
        <v>144</v>
      </c>
      <c r="D14" s="375" t="str">
        <f>+VLOOKUP(B14,'COT. PITADO'!B:F,5,FALSE)</f>
        <v>12gacr</v>
      </c>
      <c r="E14" s="177">
        <f>IFERROR(+VLOOKUP(B14,'COT. PITADO'!B:AG,12,0),0)</f>
        <v>5.3547655461560693</v>
      </c>
      <c r="F14" s="177">
        <f>IFERROR(+VLOOKUP(B14,'COT. PITADO'!B:AG,21,0)+VLOOKUP(B14,'COT. PITADO'!B:AG,25,0),0)</f>
        <v>17.91008820662768</v>
      </c>
      <c r="G14" s="177">
        <f>IFERROR(+VLOOKUP(B14,'COT. PITADO'!B:AG,27,0)+VLOOKUP(B14,'COT. PITADO'!B:AG,30,0),0)</f>
        <v>75</v>
      </c>
      <c r="H14" s="177">
        <f>IFERROR(+VLOOKUP(B14,'COT. PITADO'!B:AG,22,0),0)</f>
        <v>5</v>
      </c>
      <c r="I14" s="386">
        <f t="shared" si="7"/>
        <v>103.26485375278375</v>
      </c>
      <c r="J14" s="386">
        <f>+I14/(1-Analisis!$E$9)</f>
        <v>129.08106719097967</v>
      </c>
      <c r="K14" s="177">
        <f t="shared" si="8"/>
        <v>771.08623864647393</v>
      </c>
      <c r="L14" s="177">
        <f t="shared" si="9"/>
        <v>2579.0527017543859</v>
      </c>
      <c r="M14" s="177">
        <f t="shared" si="10"/>
        <v>10800</v>
      </c>
      <c r="N14" s="177">
        <f t="shared" si="11"/>
        <v>720</v>
      </c>
      <c r="O14" s="178">
        <f t="shared" si="12"/>
        <v>14870.138940400859</v>
      </c>
      <c r="P14" s="178">
        <f>+O14/(1-Analisis!$E$9)</f>
        <v>18587.673675501072</v>
      </c>
    </row>
    <row r="15" spans="1:20" ht="18.75" x14ac:dyDescent="0.25">
      <c r="B15" s="129"/>
      <c r="C15" s="364">
        <f>SUM(C3:C14)</f>
        <v>768</v>
      </c>
      <c r="D15" s="364"/>
      <c r="E15" s="131"/>
      <c r="F15" s="131"/>
      <c r="G15" s="131"/>
      <c r="H15" s="131"/>
      <c r="I15" s="371"/>
      <c r="J15" s="371"/>
      <c r="K15" s="131">
        <f>SUM(K3:K14)</f>
        <v>26248.90388054838</v>
      </c>
      <c r="L15" s="131">
        <f>SUM(L3:L14)</f>
        <v>8930.1310265407101</v>
      </c>
      <c r="M15" s="131">
        <f>SUM(M3:M14)</f>
        <v>45600</v>
      </c>
      <c r="N15" s="131">
        <f>SUM(N3:N14)</f>
        <v>5424</v>
      </c>
      <c r="O15" s="131">
        <f>SUM(K15:N15)</f>
        <v>86203.034907089081</v>
      </c>
      <c r="P15" s="365">
        <f>SUM(P3:P14)</f>
        <v>107753.79363386135</v>
      </c>
      <c r="R15" s="365">
        <v>1021242.7161423003</v>
      </c>
      <c r="S15" s="394">
        <f>+R15-P15</f>
        <v>913488.92250843893</v>
      </c>
      <c r="T15" s="395" t="s">
        <v>1982</v>
      </c>
    </row>
    <row r="16" spans="1:20" ht="18.75" x14ac:dyDescent="0.25">
      <c r="K16" s="388">
        <f>+K15/$O$15</f>
        <v>0.30450092515698363</v>
      </c>
      <c r="L16" s="388">
        <f t="shared" ref="L16:O16" si="13">+L15/$O$15</f>
        <v>0.10359416041634426</v>
      </c>
      <c r="M16" s="388">
        <f t="shared" si="13"/>
        <v>0.52898369586579363</v>
      </c>
      <c r="N16" s="388">
        <f t="shared" si="13"/>
        <v>6.2921218560878608E-2</v>
      </c>
      <c r="O16" s="388">
        <f t="shared" si="13"/>
        <v>1</v>
      </c>
    </row>
    <row r="17" spans="3:19" x14ac:dyDescent="0.25">
      <c r="H17" s="373"/>
      <c r="I17" s="373"/>
      <c r="J17" s="373"/>
      <c r="K17" s="373"/>
      <c r="L17" s="374" t="s">
        <v>1973</v>
      </c>
      <c r="M17" s="374" t="s">
        <v>1971</v>
      </c>
      <c r="N17" s="378" t="s">
        <v>1975</v>
      </c>
      <c r="O17" s="387" t="s">
        <v>1976</v>
      </c>
      <c r="P17" s="384" t="s">
        <v>0</v>
      </c>
    </row>
    <row r="18" spans="3:19" x14ac:dyDescent="0.25">
      <c r="C18" s="103"/>
      <c r="H18" s="379" t="s">
        <v>166</v>
      </c>
      <c r="I18" s="379"/>
      <c r="J18" s="393">
        <f>+Material!K7</f>
        <v>981.58073000000002</v>
      </c>
      <c r="K18" s="398">
        <f>+SUMIF($D$3:$D$14,H18,$K$3:$K$14)</f>
        <v>25477.817641901907</v>
      </c>
      <c r="L18" s="380">
        <f>+VLOOKUP(H18,Material!H2:K12,4,FALSE)</f>
        <v>981.58073000000002</v>
      </c>
      <c r="M18" s="381">
        <f>+K18/L18</f>
        <v>25.955906491666667</v>
      </c>
      <c r="N18" s="382">
        <v>0</v>
      </c>
      <c r="O18" s="382">
        <v>1</v>
      </c>
      <c r="P18" s="383">
        <f>+N18+O18</f>
        <v>1</v>
      </c>
      <c r="Q18" s="390"/>
      <c r="R18" s="401"/>
      <c r="S18" s="401"/>
    </row>
    <row r="19" spans="3:19" x14ac:dyDescent="0.25">
      <c r="C19" s="103"/>
      <c r="H19" s="379" t="s">
        <v>165</v>
      </c>
      <c r="I19" s="379"/>
      <c r="J19" s="393">
        <v>0</v>
      </c>
      <c r="K19" s="398">
        <f>+SUMIF($D$3:$D$14,H19,$K$3:$K$14)</f>
        <v>0</v>
      </c>
      <c r="L19" s="380">
        <f>+VLOOKUP(H19,Material!H3:K13,4,FALSE)</f>
        <v>1800</v>
      </c>
      <c r="M19" s="381">
        <f>+K19/L19</f>
        <v>0</v>
      </c>
      <c r="N19" s="382">
        <v>0</v>
      </c>
      <c r="O19" s="382">
        <v>0</v>
      </c>
      <c r="P19" s="383">
        <f t="shared" ref="P19:P21" si="14">+N19+O19</f>
        <v>0</v>
      </c>
      <c r="Q19" s="390"/>
      <c r="R19" s="401"/>
      <c r="S19" s="401"/>
    </row>
    <row r="20" spans="3:19" x14ac:dyDescent="0.25">
      <c r="C20" s="103"/>
      <c r="H20" s="379" t="s">
        <v>163</v>
      </c>
      <c r="I20" s="379"/>
      <c r="J20" s="393">
        <f>+Material!K5</f>
        <v>1625.6397300000001</v>
      </c>
      <c r="K20" s="398">
        <f>+SUMIF($D$3:$D$14,H20,$K$3:$K$14)</f>
        <v>771.08623864647393</v>
      </c>
      <c r="L20" s="380">
        <f>+VLOOKUP(H20,Material!H4:K14,4,FALSE)</f>
        <v>1625.6397300000001</v>
      </c>
      <c r="M20" s="381">
        <f>+K20/L20</f>
        <v>0.47432787500000007</v>
      </c>
      <c r="N20" s="382">
        <v>0</v>
      </c>
      <c r="O20" s="382">
        <v>2</v>
      </c>
      <c r="P20" s="383">
        <f t="shared" si="14"/>
        <v>2</v>
      </c>
      <c r="Q20" s="390"/>
      <c r="R20" s="401"/>
      <c r="S20" s="401"/>
    </row>
    <row r="21" spans="3:19" x14ac:dyDescent="0.25">
      <c r="C21" s="103"/>
      <c r="H21" s="379" t="s">
        <v>164</v>
      </c>
      <c r="I21" s="379"/>
      <c r="J21" s="379"/>
      <c r="K21" s="398">
        <f>+SUMIF($D$3:$D$14,H21,$K$3:$K$14)</f>
        <v>0</v>
      </c>
      <c r="L21" s="380">
        <f>+VLOOKUP(H21,Material!H5:K15,4,FALSE)</f>
        <v>3000</v>
      </c>
      <c r="M21" s="381">
        <f>+K21/L21</f>
        <v>0</v>
      </c>
      <c r="N21" s="382"/>
      <c r="O21" s="382">
        <v>0</v>
      </c>
      <c r="P21" s="383">
        <f t="shared" si="14"/>
        <v>0</v>
      </c>
      <c r="Q21" s="390"/>
      <c r="R21" s="401"/>
      <c r="S21" s="401"/>
    </row>
    <row r="22" spans="3:19" x14ac:dyDescent="0.25">
      <c r="H22" s="88" t="s">
        <v>15</v>
      </c>
      <c r="I22" s="88"/>
      <c r="J22" s="88"/>
      <c r="K22" s="399">
        <f>SUM(K18:K21)</f>
        <v>26248.90388054838</v>
      </c>
      <c r="L22" s="88"/>
      <c r="M22" s="377">
        <f>SUM(M18:M21)</f>
        <v>26.430234366666667</v>
      </c>
      <c r="N22" s="377">
        <f t="shared" ref="N22:O22" si="15">SUM(N18:N21)</f>
        <v>0</v>
      </c>
      <c r="O22" s="377">
        <f t="shared" si="15"/>
        <v>3</v>
      </c>
      <c r="P22" s="377">
        <f t="shared" ref="P22" si="16">SUM(P18:P21)</f>
        <v>3</v>
      </c>
      <c r="Q22" s="389"/>
      <c r="R22" s="399"/>
      <c r="S22" s="400"/>
    </row>
    <row r="29" spans="3:19" x14ac:dyDescent="0.25">
      <c r="M29" s="88"/>
      <c r="N29" s="88"/>
    </row>
    <row r="30" spans="3:19" x14ac:dyDescent="0.25">
      <c r="M30" s="88" t="s">
        <v>1981</v>
      </c>
      <c r="N30" s="88" t="s">
        <v>1979</v>
      </c>
      <c r="O30" s="88" t="s">
        <v>1980</v>
      </c>
    </row>
    <row r="31" spans="3:19" x14ac:dyDescent="0.25">
      <c r="M31" s="134">
        <v>56.39</v>
      </c>
      <c r="N31" s="134">
        <f>+Material!R1</f>
        <v>17.407</v>
      </c>
      <c r="O31" s="88">
        <f>+N31*M31</f>
        <v>981.58073000000002</v>
      </c>
    </row>
    <row r="32" spans="3:19" x14ac:dyDescent="0.25">
      <c r="M32" s="134">
        <v>93.59</v>
      </c>
      <c r="N32" s="134">
        <f>+N31</f>
        <v>17.407</v>
      </c>
      <c r="O32" s="88">
        <f>+N32*M32</f>
        <v>1629.12113</v>
      </c>
    </row>
  </sheetData>
  <autoFilter ref="B1:P22" xr:uid="{33917E00-7707-4FBF-B6D4-DFD21AB7F0E1}">
    <filterColumn colId="3" showButton="0"/>
    <filterColumn colId="4" showButton="0"/>
    <filterColumn colId="5" showButton="0"/>
    <filterColumn colId="9" showButton="0"/>
    <filterColumn colId="10" showButton="0"/>
    <filterColumn colId="11" showButton="0"/>
  </autoFilter>
  <mergeCells count="7">
    <mergeCell ref="P1:P2"/>
    <mergeCell ref="B1:B2"/>
    <mergeCell ref="C1:C2"/>
    <mergeCell ref="E1:H1"/>
    <mergeCell ref="O1:O2"/>
    <mergeCell ref="D1:D2"/>
    <mergeCell ref="K1:N1"/>
  </mergeCells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628417C8-FA0D-4C19-B51A-6AFB3B635F1C}">
          <x14:formula1>
            <xm:f>Material!$H$2:$H$12</xm:f>
          </x14:formula1>
          <xm:sqref>C18:C21 H18:H21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006C5-EED5-4029-A1A7-A85A457C71AB}">
  <sheetPr>
    <tabColor rgb="FF00B0F0"/>
  </sheetPr>
  <dimension ref="A1:AN2019"/>
  <sheetViews>
    <sheetView zoomScale="85" zoomScaleNormal="85" workbookViewId="0">
      <pane xSplit="5" ySplit="1" topLeftCell="F1548" activePane="bottomRight" state="frozen"/>
      <selection activeCell="C16" sqref="C16"/>
      <selection pane="topRight" activeCell="C16" sqref="C16"/>
      <selection pane="bottomLeft" activeCell="C16" sqref="C16"/>
      <selection pane="bottomRight" activeCell="F1570" sqref="F1570:F1571"/>
    </sheetView>
  </sheetViews>
  <sheetFormatPr baseColWidth="10" defaultColWidth="9.140625" defaultRowHeight="15" outlineLevelCol="1" x14ac:dyDescent="0.25"/>
  <cols>
    <col min="1" max="1" width="4.85546875" style="29" customWidth="1"/>
    <col min="2" max="2" width="17" style="29" customWidth="1"/>
    <col min="3" max="3" width="14.7109375" style="30" customWidth="1"/>
    <col min="4" max="4" width="12.5703125" style="33" customWidth="1"/>
    <col min="5" max="5" width="15.5703125" style="344" customWidth="1"/>
    <col min="6" max="6" width="10.140625" style="335" customWidth="1"/>
    <col min="7" max="7" width="13.28515625" style="33" customWidth="1"/>
    <col min="8" max="8" width="12" style="92" customWidth="1"/>
    <col min="9" max="9" width="12" style="93" customWidth="1"/>
    <col min="10" max="10" width="12" style="38" customWidth="1"/>
    <col min="11" max="11" width="12" style="345" customWidth="1"/>
    <col min="12" max="12" width="17.140625" style="34" customWidth="1"/>
    <col min="13" max="13" width="15.140625" style="41" bestFit="1" customWidth="1"/>
    <col min="14" max="14" width="10.5703125" style="29" hidden="1" customWidth="1" outlineLevel="1"/>
    <col min="15" max="15" width="13.140625" style="29" hidden="1" customWidth="1" outlineLevel="1"/>
    <col min="16" max="16" width="11.42578125" style="29" hidden="1" customWidth="1" outlineLevel="1"/>
    <col min="17" max="17" width="8.28515625" style="29" hidden="1" customWidth="1" outlineLevel="1"/>
    <col min="18" max="18" width="22" style="29" hidden="1" customWidth="1" outlineLevel="1"/>
    <col min="19" max="19" width="10.28515625" style="35" hidden="1" customWidth="1" outlineLevel="1"/>
    <col min="20" max="20" width="8.28515625" style="36" hidden="1" customWidth="1" outlineLevel="1"/>
    <col min="21" max="21" width="14" style="338" bestFit="1" customWidth="1" collapsed="1"/>
    <col min="22" max="22" width="11.7109375" style="57" customWidth="1"/>
    <col min="23" max="23" width="12" style="99" customWidth="1"/>
    <col min="24" max="24" width="9.28515625" style="37" hidden="1" customWidth="1" outlineLevel="1"/>
    <col min="25" max="25" width="11.28515625" style="37" hidden="1" customWidth="1" outlineLevel="1"/>
    <col min="26" max="26" width="11.42578125" style="57" customWidth="1" collapsed="1"/>
    <col min="27" max="27" width="10.140625" style="101" customWidth="1"/>
    <col min="28" max="28" width="14.7109375" style="40" bestFit="1" customWidth="1"/>
    <col min="29" max="29" width="11.42578125" style="102" customWidth="1"/>
    <col min="30" max="30" width="11.7109375" style="29" hidden="1" customWidth="1" outlineLevel="1"/>
    <col min="31" max="31" width="13.42578125" style="30" bestFit="1" customWidth="1" collapsed="1"/>
    <col min="32" max="32" width="14.5703125" style="340" customWidth="1"/>
    <col min="33" max="33" width="13.28515625" style="40" customWidth="1"/>
    <col min="34" max="34" width="16.7109375" style="40" customWidth="1"/>
    <col min="35" max="35" width="13.7109375" style="40" customWidth="1"/>
    <col min="36" max="36" width="12.5703125" style="40" hidden="1" customWidth="1"/>
    <col min="37" max="37" width="15.7109375" style="40" hidden="1" customWidth="1"/>
    <col min="38" max="38" width="0" style="343" hidden="1" customWidth="1"/>
    <col min="39" max="39" width="0" style="30" hidden="1" customWidth="1"/>
    <col min="40" max="40" width="7.140625" style="30" hidden="1" customWidth="1"/>
    <col min="41" max="16384" width="9.140625" style="30"/>
  </cols>
  <sheetData>
    <row r="1" spans="1:40" s="72" customFormat="1" ht="54" customHeight="1" x14ac:dyDescent="0.25">
      <c r="A1" s="279" t="s">
        <v>12</v>
      </c>
      <c r="B1" s="279" t="s">
        <v>13</v>
      </c>
      <c r="C1" s="279" t="s">
        <v>840</v>
      </c>
      <c r="D1" s="280" t="s">
        <v>14</v>
      </c>
      <c r="E1" s="281" t="s">
        <v>40</v>
      </c>
      <c r="F1" s="280" t="s">
        <v>15</v>
      </c>
      <c r="G1" s="280" t="s">
        <v>16</v>
      </c>
      <c r="H1" s="282" t="s">
        <v>17</v>
      </c>
      <c r="I1" s="282" t="s">
        <v>18</v>
      </c>
      <c r="J1" s="282" t="s">
        <v>19</v>
      </c>
      <c r="K1" s="283" t="s">
        <v>20</v>
      </c>
      <c r="L1" s="46" t="s">
        <v>21</v>
      </c>
      <c r="M1" s="284" t="s">
        <v>22</v>
      </c>
      <c r="N1" s="285" t="s">
        <v>23</v>
      </c>
      <c r="O1" s="285" t="s">
        <v>24</v>
      </c>
      <c r="P1" s="285" t="s">
        <v>15</v>
      </c>
      <c r="Q1" s="285" t="s">
        <v>25</v>
      </c>
      <c r="R1" s="285" t="s">
        <v>26</v>
      </c>
      <c r="S1" s="286" t="s">
        <v>27</v>
      </c>
      <c r="T1" s="287" t="s">
        <v>28</v>
      </c>
      <c r="U1" s="288" t="s">
        <v>29</v>
      </c>
      <c r="V1" s="289" t="s">
        <v>30</v>
      </c>
      <c r="W1" s="290" t="s">
        <v>31</v>
      </c>
      <c r="X1" s="291" t="s">
        <v>32</v>
      </c>
      <c r="Y1" s="291" t="s">
        <v>33</v>
      </c>
      <c r="Z1" s="289" t="s">
        <v>34</v>
      </c>
      <c r="AA1" s="292" t="s">
        <v>35</v>
      </c>
      <c r="AB1" s="293" t="s">
        <v>36</v>
      </c>
      <c r="AC1" s="292" t="s">
        <v>37</v>
      </c>
      <c r="AD1" s="294" t="s">
        <v>131</v>
      </c>
      <c r="AE1" s="295" t="s">
        <v>38</v>
      </c>
      <c r="AF1" s="296" t="s">
        <v>841</v>
      </c>
      <c r="AG1" s="297" t="s">
        <v>842</v>
      </c>
      <c r="AH1" s="298" t="s">
        <v>132</v>
      </c>
      <c r="AI1" s="299" t="s">
        <v>39</v>
      </c>
      <c r="AJ1" s="300" t="s">
        <v>843</v>
      </c>
      <c r="AK1" s="301" t="s">
        <v>844</v>
      </c>
      <c r="AL1" s="302"/>
    </row>
    <row r="2" spans="1:40" s="73" customFormat="1" x14ac:dyDescent="0.25">
      <c r="A2" s="303">
        <v>1</v>
      </c>
      <c r="B2" s="304" t="s">
        <v>845</v>
      </c>
      <c r="D2" s="74">
        <f>IFERROR(VLOOKUP(B2,'REQ. PINTADO'!B:C,2,0),0)</f>
        <v>0</v>
      </c>
      <c r="E2" s="305">
        <f t="shared" ref="E2:E140" si="0">+AJ2</f>
        <v>451.51868305274246</v>
      </c>
      <c r="F2" s="103" t="s">
        <v>47</v>
      </c>
      <c r="G2" s="75" t="s">
        <v>147</v>
      </c>
      <c r="H2" s="90">
        <v>8.43</v>
      </c>
      <c r="I2" s="90">
        <v>26.14</v>
      </c>
      <c r="J2" s="76">
        <v>0.105</v>
      </c>
      <c r="K2" s="306">
        <v>6.72</v>
      </c>
      <c r="L2" s="78">
        <f t="shared" ref="L2:L140" si="1">+M2*2.2/K2</f>
        <v>37.479884277343757</v>
      </c>
      <c r="M2" s="58">
        <f>+VLOOKUP(F2,Material!$H$2:$M$17,6,FALSE)*H2*I2*(1+Material!$K$14)</f>
        <v>114.48401015625001</v>
      </c>
      <c r="N2" s="79" t="str">
        <f>+Analisis!J5</f>
        <v>T5.0</v>
      </c>
      <c r="O2" s="80">
        <f>+VLOOKUP(N2,[3]Material!$A$3:$B$58,2,FALSE)</f>
        <v>5000</v>
      </c>
      <c r="P2" s="79" t="s">
        <v>42</v>
      </c>
      <c r="Q2" s="79" t="str">
        <f>+VLOOKUP(F2,[3]Material!$C$2:$E$12,2,FALSE)</f>
        <v>Cal 14</v>
      </c>
      <c r="R2" s="81">
        <f>+IF(P2="ACERO A36",VLOOKUP(Q2,'[3]Velocidades Std 1500 w'!$B$2:$F$15,5,FALSE),IF(P2="INOXIDABLE",VLOOKUP(Q2,'[3]Velocidades Std 1500 w'!$B$17:$F$28,5,FALSE),IF(P2="ALUMINIO",VLOOKUP(Q2,'[3]Velocidades Std 1500 w'!$B$30:$F$38,5,FALSE))))</f>
        <v>2.0080321285140564E-6</v>
      </c>
      <c r="S2" s="82">
        <f t="shared" ref="S2:S140" si="2">+R2*O2</f>
        <v>1.0040160642570283E-2</v>
      </c>
      <c r="T2" s="83">
        <f t="shared" ref="T2:T140" si="3">+R2*U2*3600</f>
        <v>18.535328674698793</v>
      </c>
      <c r="U2" s="307">
        <f t="shared" ref="U2:U140" si="4">(+I2*2+H2*2+W2*1.5)*25.4*1.05</f>
        <v>2564.0537999999997</v>
      </c>
      <c r="V2" s="80">
        <f t="shared" ref="V2:V140" si="5">+U2*S2</f>
        <v>25.743512048192773</v>
      </c>
      <c r="W2" s="98">
        <v>18</v>
      </c>
      <c r="X2" s="84">
        <f>+IF(P2="ACERO A36",VLOOKUP(Q2,'[3]Tiempo Objeto'!$B$2:$C$12,2,FALSE),IF(P2="INOXIDABLE",VLOOKUP(Q2,'[3]Tiempo Objeto'!$B$14:$C$22,2,FALSE),IF(P2="ALUMINIO",VLOOKUP(Q2,'[3]Tiempo Objeto'!$B$24:$C$32,2,FALSE))))</f>
        <v>0.3133333333333333</v>
      </c>
      <c r="Y2" s="84">
        <f t="shared" ref="Y2:Y140" si="6">+X2*W2</f>
        <v>5.64</v>
      </c>
      <c r="Z2" s="80">
        <f t="shared" ref="Z2:Z140" si="7">+Y2*O2/3600</f>
        <v>7.833333333333333</v>
      </c>
      <c r="AA2" s="105">
        <v>6</v>
      </c>
      <c r="AB2" s="86">
        <f>+AA2*Analisis!$J$6</f>
        <v>150</v>
      </c>
      <c r="AC2" s="100">
        <v>0</v>
      </c>
      <c r="AD2" s="85">
        <f t="shared" ref="AD2:AD140" si="8">30*AC2+AC2*$D2*1.5</f>
        <v>0</v>
      </c>
      <c r="AE2" s="86">
        <f>+AC2*Analisis!$J$7</f>
        <v>0</v>
      </c>
      <c r="AF2" s="308">
        <f>+H2*0.0254*I2*0.0254*2*(1+[3]Analisis!$G$2)</f>
        <v>0.35541896658</v>
      </c>
      <c r="AG2" s="86">
        <f>+AF2*Analisis!$J$8</f>
        <v>37.869044653464293</v>
      </c>
      <c r="AH2" s="309">
        <f t="shared" ref="AH2:AH56" si="9">+AE2+AB2+Z2+V2+M2+AG2</f>
        <v>335.92990019124039</v>
      </c>
      <c r="AI2" s="86">
        <f>+AH2/(1-Analisis!G9)</f>
        <v>419.91237523905045</v>
      </c>
      <c r="AJ2" s="86">
        <f t="shared" ref="AJ2:AJ140" si="10">+AI2/(1-0.07)</f>
        <v>451.51868305274246</v>
      </c>
      <c r="AK2" s="86">
        <f t="shared" ref="AK2:AK56" si="11">+AJ2*D2</f>
        <v>0</v>
      </c>
      <c r="AL2" s="310" t="e">
        <f>+VLOOKUP(B2,#REF!,2,FALSE)</f>
        <v>#REF!</v>
      </c>
      <c r="AM2" s="311" t="e">
        <f>+AL2-E2</f>
        <v>#REF!</v>
      </c>
      <c r="AN2" s="312" t="e">
        <f t="shared" ref="AN2:AN65" si="12">+AM2/AL2</f>
        <v>#REF!</v>
      </c>
    </row>
    <row r="3" spans="1:40" s="73" customFormat="1" x14ac:dyDescent="0.25">
      <c r="A3" s="303">
        <v>2</v>
      </c>
      <c r="B3" s="304" t="s">
        <v>846</v>
      </c>
      <c r="D3" s="74">
        <f>IFERROR(VLOOKUP(B3,'REQ. PINTADO'!B:C,2,0),0)</f>
        <v>0</v>
      </c>
      <c r="E3" s="305">
        <f t="shared" si="0"/>
        <v>349.43516141155322</v>
      </c>
      <c r="F3" s="103" t="s">
        <v>163</v>
      </c>
      <c r="G3" s="75" t="s">
        <v>147</v>
      </c>
      <c r="H3" s="90">
        <v>8.43</v>
      </c>
      <c r="I3" s="90">
        <v>36.14</v>
      </c>
      <c r="J3" s="76">
        <v>0.105</v>
      </c>
      <c r="K3" s="306">
        <v>9.2899999999999991</v>
      </c>
      <c r="L3" s="78">
        <f t="shared" si="1"/>
        <v>27.081714286181324</v>
      </c>
      <c r="M3" s="58">
        <f>+VLOOKUP(F3,Material!$H$2:$M$17,6,FALSE)*H3*I3*(1+Material!$K$14)</f>
        <v>114.35869350846566</v>
      </c>
      <c r="N3" s="79" t="str">
        <f>+N2</f>
        <v>T5.0</v>
      </c>
      <c r="O3" s="80">
        <f>+VLOOKUP(N3,[3]Material!$A$3:$B$58,2,FALSE)</f>
        <v>5000</v>
      </c>
      <c r="P3" s="79" t="s">
        <v>42</v>
      </c>
      <c r="Q3" s="79" t="str">
        <f>+VLOOKUP(F3,[3]Material!$C$2:$E$12,2,FALSE)</f>
        <v>Cal 12</v>
      </c>
      <c r="R3" s="81">
        <f>+IF(P3="ACERO A36",VLOOKUP(Q3,'[3]Velocidades Std 1500 w'!$B$2:$F$15,5,FALSE),IF(P3="INOXIDABLE",VLOOKUP(Q3,'[3]Velocidades Std 1500 w'!$B$17:$F$28,5,FALSE),IF(P3="ALUMINIO",VLOOKUP(Q3,'[3]Velocidades Std 1500 w'!$B$30:$F$38,5,FALSE))))</f>
        <v>4.3859649122807014E-6</v>
      </c>
      <c r="S3" s="82">
        <f t="shared" si="2"/>
        <v>2.1929824561403508E-2</v>
      </c>
      <c r="T3" s="83">
        <f t="shared" si="3"/>
        <v>48.907165263157893</v>
      </c>
      <c r="U3" s="307">
        <f t="shared" si="4"/>
        <v>3097.4537999999998</v>
      </c>
      <c r="V3" s="80">
        <f t="shared" si="5"/>
        <v>67.926618421052623</v>
      </c>
      <c r="W3" s="98">
        <v>18</v>
      </c>
      <c r="X3" s="84">
        <f>+IF(P3="ACERO A36",VLOOKUP(Q3,'[3]Tiempo Objeto'!$B$2:$C$12,2,FALSE),IF(P3="INOXIDABLE",VLOOKUP(Q3,'[3]Tiempo Objeto'!$B$14:$C$22,2,FALSE),IF(P3="ALUMINIO",VLOOKUP(Q3,'[3]Tiempo Objeto'!$B$24:$C$32,2,FALSE))))</f>
        <v>0.6133333333333334</v>
      </c>
      <c r="Y3" s="84">
        <f t="shared" si="6"/>
        <v>11.040000000000001</v>
      </c>
      <c r="Z3" s="80">
        <f t="shared" si="7"/>
        <v>15.333333333333336</v>
      </c>
      <c r="AA3" s="105">
        <v>3</v>
      </c>
      <c r="AB3" s="86">
        <f>+AA3*Analisis!$J$6</f>
        <v>75</v>
      </c>
      <c r="AC3" s="100">
        <v>0</v>
      </c>
      <c r="AD3" s="85">
        <f t="shared" si="8"/>
        <v>0</v>
      </c>
      <c r="AE3" s="86">
        <f>+AC3*Analisis!$J$7</f>
        <v>0</v>
      </c>
      <c r="AF3" s="308">
        <f>+H3*0.0254*I3*0.0254*2*(1+[3]Analisis!$G$2)</f>
        <v>0.49138643657999992</v>
      </c>
      <c r="AG3" s="86">
        <f>+AF3*Analisis!$J$8</f>
        <v>52.356054849892864</v>
      </c>
      <c r="AH3" s="309">
        <f>+AE3+AB3+Z3+V3+M3+AG3</f>
        <v>324.97470011274447</v>
      </c>
      <c r="AI3" s="86">
        <f>+AH3/(1-Analisis!G10)</f>
        <v>324.97470011274447</v>
      </c>
      <c r="AJ3" s="86">
        <f t="shared" si="10"/>
        <v>349.43516141155322</v>
      </c>
      <c r="AK3" s="86">
        <f t="shared" si="11"/>
        <v>0</v>
      </c>
      <c r="AL3" s="310" t="e">
        <f>+VLOOKUP(B3,#REF!,2,FALSE)</f>
        <v>#REF!</v>
      </c>
      <c r="AM3" s="311" t="e">
        <f t="shared" ref="AM3:AM66" si="13">+AL3-E3</f>
        <v>#REF!</v>
      </c>
      <c r="AN3" s="312" t="e">
        <f t="shared" si="12"/>
        <v>#REF!</v>
      </c>
    </row>
    <row r="4" spans="1:40" s="73" customFormat="1" x14ac:dyDescent="0.25">
      <c r="A4" s="303">
        <v>3</v>
      </c>
      <c r="B4" s="304" t="s">
        <v>847</v>
      </c>
      <c r="D4" s="74">
        <f>IFERROR(VLOOKUP(B4,'REQ. PINTADO'!B:C,2,0),0)</f>
        <v>0</v>
      </c>
      <c r="E4" s="305">
        <f t="shared" si="0"/>
        <v>440.55659795592351</v>
      </c>
      <c r="F4" s="103" t="s">
        <v>163</v>
      </c>
      <c r="G4" s="75" t="s">
        <v>147</v>
      </c>
      <c r="H4" s="90">
        <v>12.9</v>
      </c>
      <c r="I4" s="90">
        <v>20.5</v>
      </c>
      <c r="J4" s="76">
        <v>0.105</v>
      </c>
      <c r="K4" s="306">
        <v>8.07</v>
      </c>
      <c r="L4" s="78">
        <f t="shared" si="1"/>
        <v>27.061145709142469</v>
      </c>
      <c r="M4" s="58">
        <f>+VLOOKUP(F4,Material!$H$2:$M$17,6,FALSE)*H4*I4*(1+Material!$K$14)</f>
        <v>99.26520266944533</v>
      </c>
      <c r="N4" s="79" t="str">
        <f t="shared" ref="N4:N67" si="14">+N3</f>
        <v>T5.0</v>
      </c>
      <c r="O4" s="80">
        <f>+VLOOKUP(N4,[3]Material!$A$3:$B$58,2,FALSE)</f>
        <v>5000</v>
      </c>
      <c r="P4" s="79" t="s">
        <v>42</v>
      </c>
      <c r="Q4" s="79" t="str">
        <f>+VLOOKUP(F4,[3]Material!$C$2:$E$12,2,FALSE)</f>
        <v>Cal 12</v>
      </c>
      <c r="R4" s="81">
        <f>+IF(P4="ACERO A36",VLOOKUP(Q4,'[3]Velocidades Std 1500 w'!$B$2:$F$15,5,FALSE),IF(P4="INOXIDABLE",VLOOKUP(Q4,'[3]Velocidades Std 1500 w'!$B$17:$F$28,5,FALSE),IF(P4="ALUMINIO",VLOOKUP(Q4,'[3]Velocidades Std 1500 w'!$B$30:$F$38,5,FALSE))))</f>
        <v>4.3859649122807014E-6</v>
      </c>
      <c r="S4" s="82">
        <f t="shared" si="2"/>
        <v>2.1929824561403508E-2</v>
      </c>
      <c r="T4" s="83">
        <f t="shared" si="3"/>
        <v>37.604699999999994</v>
      </c>
      <c r="U4" s="307">
        <f t="shared" si="4"/>
        <v>2381.6309999999999</v>
      </c>
      <c r="V4" s="80">
        <f t="shared" si="5"/>
        <v>52.228749999999991</v>
      </c>
      <c r="W4" s="98">
        <v>15</v>
      </c>
      <c r="X4" s="84">
        <f>+IF(P4="ACERO A36",VLOOKUP(Q4,'[3]Tiempo Objeto'!$B$2:$C$12,2,FALSE),IF(P4="INOXIDABLE",VLOOKUP(Q4,'[3]Tiempo Objeto'!$B$14:$C$22,2,FALSE),IF(P4="ALUMINIO",VLOOKUP(Q4,'[3]Tiempo Objeto'!$B$24:$C$32,2,FALSE))))</f>
        <v>0.6133333333333334</v>
      </c>
      <c r="Y4" s="84">
        <f t="shared" si="6"/>
        <v>9.2000000000000011</v>
      </c>
      <c r="Z4" s="80">
        <f t="shared" si="7"/>
        <v>12.77777777777778</v>
      </c>
      <c r="AA4" s="100">
        <v>8</v>
      </c>
      <c r="AB4" s="86">
        <f>+AA4*Analisis!$J$6</f>
        <v>200</v>
      </c>
      <c r="AC4" s="100">
        <v>0</v>
      </c>
      <c r="AD4" s="85">
        <f t="shared" si="8"/>
        <v>0</v>
      </c>
      <c r="AE4" s="86">
        <f>+AC4*Analisis!$J$7</f>
        <v>0</v>
      </c>
      <c r="AF4" s="308">
        <f>+H4*0.0254*I4*0.0254*2*(1+[3]Analisis!$G$2)</f>
        <v>0.42653140499999997</v>
      </c>
      <c r="AG4" s="86">
        <f>+AF4*Analisis!$J$8</f>
        <v>45.445905651785722</v>
      </c>
      <c r="AH4" s="309">
        <f t="shared" si="9"/>
        <v>409.71763609900881</v>
      </c>
      <c r="AI4" s="86">
        <f>+AH4/(1-Analisis!G11)</f>
        <v>409.71763609900881</v>
      </c>
      <c r="AJ4" s="86">
        <f t="shared" si="10"/>
        <v>440.55659795592351</v>
      </c>
      <c r="AK4" s="86">
        <f t="shared" si="11"/>
        <v>0</v>
      </c>
      <c r="AL4" s="310" t="e">
        <f>+VLOOKUP(B4,#REF!,2,FALSE)</f>
        <v>#REF!</v>
      </c>
      <c r="AM4" s="311" t="e">
        <f t="shared" si="13"/>
        <v>#REF!</v>
      </c>
      <c r="AN4" s="312" t="e">
        <f t="shared" si="12"/>
        <v>#REF!</v>
      </c>
    </row>
    <row r="5" spans="1:40" s="73" customFormat="1" x14ac:dyDescent="0.25">
      <c r="A5" s="303">
        <v>4</v>
      </c>
      <c r="B5" s="304" t="s">
        <v>848</v>
      </c>
      <c r="D5" s="74">
        <f>IFERROR(VLOOKUP(B5,'REQ. PINTADO'!B:C,2,0),0)</f>
        <v>0</v>
      </c>
      <c r="E5" s="305">
        <f t="shared" si="0"/>
        <v>367.74816028710052</v>
      </c>
      <c r="F5" s="103" t="s">
        <v>163</v>
      </c>
      <c r="G5" s="75" t="s">
        <v>147</v>
      </c>
      <c r="H5" s="90">
        <v>12.9</v>
      </c>
      <c r="I5" s="90">
        <v>30.5</v>
      </c>
      <c r="J5" s="76">
        <v>0.105</v>
      </c>
      <c r="K5" s="306">
        <v>12</v>
      </c>
      <c r="L5" s="78">
        <f t="shared" si="1"/>
        <v>27.0759963378853</v>
      </c>
      <c r="M5" s="58">
        <f>+VLOOKUP(F5,Material!$H$2:$M$17,6,FALSE)*H5*I5*(1+Material!$K$14)</f>
        <v>147.68725275210161</v>
      </c>
      <c r="N5" s="79" t="str">
        <f t="shared" si="14"/>
        <v>T5.0</v>
      </c>
      <c r="O5" s="80">
        <f>+VLOOKUP(N5,[3]Material!$A$3:$B$58,2,FALSE)</f>
        <v>5000</v>
      </c>
      <c r="P5" s="79" t="s">
        <v>42</v>
      </c>
      <c r="Q5" s="79" t="str">
        <f>+VLOOKUP(F5,[3]Material!$C$2:$E$12,2,FALSE)</f>
        <v>Cal 12</v>
      </c>
      <c r="R5" s="81">
        <f>+IF(P5="ACERO A36",VLOOKUP(Q5,'[3]Velocidades Std 1500 w'!$B$2:$F$15,5,FALSE),IF(P5="INOXIDABLE",VLOOKUP(Q5,'[3]Velocidades Std 1500 w'!$B$17:$F$28,5,FALSE),IF(P5="ALUMINIO",VLOOKUP(Q5,'[3]Velocidades Std 1500 w'!$B$30:$F$38,5,FALSE))))</f>
        <v>4.3859649122807014E-6</v>
      </c>
      <c r="S5" s="82">
        <f t="shared" si="2"/>
        <v>2.1929824561403508E-2</v>
      </c>
      <c r="T5" s="83">
        <f t="shared" si="3"/>
        <v>46.02680526315789</v>
      </c>
      <c r="U5" s="307">
        <f t="shared" si="4"/>
        <v>2915.0309999999999</v>
      </c>
      <c r="V5" s="80">
        <f t="shared" si="5"/>
        <v>63.926118421052628</v>
      </c>
      <c r="W5" s="98">
        <v>15</v>
      </c>
      <c r="X5" s="84">
        <f>+IF(P5="ACERO A36",VLOOKUP(Q5,'[3]Tiempo Objeto'!$B$2:$C$12,2,FALSE),IF(P5="INOXIDABLE",VLOOKUP(Q5,'[3]Tiempo Objeto'!$B$14:$C$22,2,FALSE),IF(P5="ALUMINIO",VLOOKUP(Q5,'[3]Tiempo Objeto'!$B$24:$C$32,2,FALSE))))</f>
        <v>0.6133333333333334</v>
      </c>
      <c r="Y5" s="84">
        <f t="shared" si="6"/>
        <v>9.2000000000000011</v>
      </c>
      <c r="Z5" s="80">
        <f t="shared" si="7"/>
        <v>12.77777777777778</v>
      </c>
      <c r="AA5" s="100">
        <v>2</v>
      </c>
      <c r="AB5" s="86">
        <f>+AA5*Analisis!$J$6</f>
        <v>50</v>
      </c>
      <c r="AC5" s="100">
        <v>0</v>
      </c>
      <c r="AD5" s="85">
        <f t="shared" si="8"/>
        <v>0</v>
      </c>
      <c r="AE5" s="86">
        <f>+AC5*Analisis!$J$7</f>
        <v>0</v>
      </c>
      <c r="AF5" s="308">
        <f>+H5*0.0254*I5*0.0254*2*(1+[3]Analisis!$G$2)</f>
        <v>0.63459550499999984</v>
      </c>
      <c r="AG5" s="86">
        <f>+AF5*Analisis!$J$8</f>
        <v>67.614640116071428</v>
      </c>
      <c r="AH5" s="309">
        <f t="shared" si="9"/>
        <v>342.00578906700343</v>
      </c>
      <c r="AI5" s="86">
        <f>+AH5/(1-Analisis!G12)</f>
        <v>342.00578906700343</v>
      </c>
      <c r="AJ5" s="86">
        <f t="shared" si="10"/>
        <v>367.74816028710052</v>
      </c>
      <c r="AK5" s="86">
        <f t="shared" si="11"/>
        <v>0</v>
      </c>
      <c r="AL5" s="310" t="e">
        <f>+VLOOKUP(B5,#REF!,2,FALSE)</f>
        <v>#REF!</v>
      </c>
      <c r="AM5" s="311" t="e">
        <f t="shared" si="13"/>
        <v>#REF!</v>
      </c>
      <c r="AN5" s="312" t="e">
        <f t="shared" si="12"/>
        <v>#REF!</v>
      </c>
    </row>
    <row r="6" spans="1:40" s="73" customFormat="1" x14ac:dyDescent="0.25">
      <c r="A6" s="303">
        <v>5</v>
      </c>
      <c r="B6" s="304" t="s">
        <v>849</v>
      </c>
      <c r="D6" s="74">
        <f>IFERROR(VLOOKUP(B6,'REQ. PINTADO'!B:C,2,0),0)</f>
        <v>0</v>
      </c>
      <c r="E6" s="305" t="e">
        <f t="shared" si="0"/>
        <v>#REF!</v>
      </c>
      <c r="F6" s="103" t="s">
        <v>165</v>
      </c>
      <c r="G6" s="75" t="s">
        <v>147</v>
      </c>
      <c r="H6" s="90">
        <v>1.75</v>
      </c>
      <c r="I6" s="90">
        <v>7.56</v>
      </c>
      <c r="J6" s="76">
        <v>7.4999999999999997E-2</v>
      </c>
      <c r="K6" s="306">
        <v>0.28999999999999998</v>
      </c>
      <c r="L6" s="78">
        <f t="shared" si="1"/>
        <v>41.714418103448274</v>
      </c>
      <c r="M6" s="58">
        <f>+VLOOKUP(F6,Material!$H$2:$M$17,6,FALSE)*H6*I6*(1+Material!$K$14)</f>
        <v>5.4987187499999992</v>
      </c>
      <c r="N6" s="79" t="str">
        <f t="shared" si="14"/>
        <v>T5.0</v>
      </c>
      <c r="O6" s="80">
        <f>+VLOOKUP(N6,[3]Material!$A$3:$B$58,2,FALSE)</f>
        <v>5000</v>
      </c>
      <c r="P6" s="79" t="s">
        <v>42</v>
      </c>
      <c r="Q6" s="79" t="str">
        <f>+VLOOKUP(F6,[3]Material!$C$2:$E$12,2,FALSE)</f>
        <v>Cal 14</v>
      </c>
      <c r="R6" s="81">
        <f>+IF(P6="ACERO A36",VLOOKUP(Q6,'[3]Velocidades Std 1500 w'!$B$2:$F$15,5,FALSE),IF(P6="INOXIDABLE",VLOOKUP(Q6,'[3]Velocidades Std 1500 w'!$B$17:$F$28,5,FALSE),IF(P6="ALUMINIO",VLOOKUP(Q6,'[3]Velocidades Std 1500 w'!$B$30:$F$38,5,FALSE))))</f>
        <v>2.0080321285140564E-6</v>
      </c>
      <c r="S6" s="82">
        <f t="shared" si="2"/>
        <v>1.0040160642570283E-2</v>
      </c>
      <c r="T6" s="83">
        <f t="shared" si="3"/>
        <v>4.4574245783132529</v>
      </c>
      <c r="U6" s="307">
        <f t="shared" si="4"/>
        <v>616.61039999999991</v>
      </c>
      <c r="V6" s="80">
        <f t="shared" si="5"/>
        <v>6.1908674698795183</v>
      </c>
      <c r="W6" s="98">
        <v>3</v>
      </c>
      <c r="X6" s="84">
        <f>+IF(P6="ACERO A36",VLOOKUP(Q6,'[3]Tiempo Objeto'!$B$2:$C$12,2,FALSE),IF(P6="INOXIDABLE",VLOOKUP(Q6,'[3]Tiempo Objeto'!$B$14:$C$22,2,FALSE),IF(P6="ALUMINIO",VLOOKUP(Q6,'[3]Tiempo Objeto'!$B$24:$C$32,2,FALSE))))</f>
        <v>0.3133333333333333</v>
      </c>
      <c r="Y6" s="84">
        <f t="shared" si="6"/>
        <v>0.94</v>
      </c>
      <c r="Z6" s="80">
        <f t="shared" si="7"/>
        <v>1.3055555555555556</v>
      </c>
      <c r="AA6" s="100">
        <v>18</v>
      </c>
      <c r="AB6" s="86">
        <f>+AA6*Analisis!$J$6</f>
        <v>450</v>
      </c>
      <c r="AC6" s="100">
        <v>0</v>
      </c>
      <c r="AD6" s="85">
        <f t="shared" si="8"/>
        <v>0</v>
      </c>
      <c r="AE6" s="86">
        <f>+AC6*Analisis!$J$7</f>
        <v>0</v>
      </c>
      <c r="AF6" s="308">
        <f>+H6*0.0254*I6*0.0254*2*(1+[3]Analisis!$G$2)</f>
        <v>2.1338666999999999E-2</v>
      </c>
      <c r="AG6" s="86">
        <f>+AF6*Analisis!$J$8</f>
        <v>2.2735841625000006</v>
      </c>
      <c r="AH6" s="309">
        <f t="shared" si="9"/>
        <v>465.26872593793507</v>
      </c>
      <c r="AI6" s="86" t="e">
        <f>+AH6/(1-Analisis!#REF!)</f>
        <v>#REF!</v>
      </c>
      <c r="AJ6" s="86" t="e">
        <f t="shared" si="10"/>
        <v>#REF!</v>
      </c>
      <c r="AK6" s="86" t="e">
        <f t="shared" si="11"/>
        <v>#REF!</v>
      </c>
      <c r="AL6" s="310" t="e">
        <f>+VLOOKUP(B6,#REF!,2,FALSE)</f>
        <v>#REF!</v>
      </c>
      <c r="AM6" s="311" t="e">
        <f t="shared" si="13"/>
        <v>#REF!</v>
      </c>
      <c r="AN6" s="312" t="e">
        <f t="shared" si="12"/>
        <v>#REF!</v>
      </c>
    </row>
    <row r="7" spans="1:40" s="73" customFormat="1" x14ac:dyDescent="0.25">
      <c r="A7" s="303">
        <v>6</v>
      </c>
      <c r="B7" s="304" t="s">
        <v>850</v>
      </c>
      <c r="D7" s="74">
        <f>IFERROR(VLOOKUP(B7,'REQ. PINTADO'!B:C,2,0),0)</f>
        <v>0</v>
      </c>
      <c r="E7" s="305" t="e">
        <f t="shared" si="0"/>
        <v>#REF!</v>
      </c>
      <c r="F7" s="103" t="s">
        <v>163</v>
      </c>
      <c r="G7" s="75" t="s">
        <v>147</v>
      </c>
      <c r="H7" s="90">
        <v>8.76</v>
      </c>
      <c r="I7" s="90">
        <v>16.41</v>
      </c>
      <c r="J7" s="76">
        <v>0.105</v>
      </c>
      <c r="K7" s="306">
        <v>4</v>
      </c>
      <c r="L7" s="78">
        <f t="shared" si="1"/>
        <v>29.677604233054911</v>
      </c>
      <c r="M7" s="58">
        <f>+VLOOKUP(F7,Material!$H$2:$M$17,6,FALSE)*H7*I7*(1+Material!$K$14)</f>
        <v>53.959280423736196</v>
      </c>
      <c r="N7" s="79" t="str">
        <f t="shared" si="14"/>
        <v>T5.0</v>
      </c>
      <c r="O7" s="80">
        <f>+VLOOKUP(N7,[3]Material!$A$3:$B$58,2,FALSE)</f>
        <v>5000</v>
      </c>
      <c r="P7" s="79" t="s">
        <v>42</v>
      </c>
      <c r="Q7" s="79" t="str">
        <f>+VLOOKUP(F7,[3]Material!$C$2:$E$12,2,FALSE)</f>
        <v>Cal 12</v>
      </c>
      <c r="R7" s="81">
        <f>+IF(P7="ACERO A36",VLOOKUP(Q7,'[3]Velocidades Std 1500 w'!$B$2:$F$15,5,FALSE),IF(P7="INOXIDABLE",VLOOKUP(Q7,'[3]Velocidades Std 1500 w'!$B$17:$F$28,5,FALSE),IF(P7="ALUMINIO",VLOOKUP(Q7,'[3]Velocidades Std 1500 w'!$B$30:$F$38,5,FALSE))))</f>
        <v>4.3859649122807014E-6</v>
      </c>
      <c r="S7" s="82">
        <f t="shared" si="2"/>
        <v>2.1929824561403508E-2</v>
      </c>
      <c r="T7" s="83">
        <f t="shared" si="3"/>
        <v>36.35822842105263</v>
      </c>
      <c r="U7" s="307">
        <f t="shared" si="4"/>
        <v>2302.6878000000002</v>
      </c>
      <c r="V7" s="80">
        <f t="shared" si="5"/>
        <v>50.497539473684213</v>
      </c>
      <c r="W7" s="98">
        <v>24</v>
      </c>
      <c r="X7" s="84">
        <f>+IF(P7="ACERO A36",VLOOKUP(Q7,'[3]Tiempo Objeto'!$B$2:$C$12,2,FALSE),IF(P7="INOXIDABLE",VLOOKUP(Q7,'[3]Tiempo Objeto'!$B$14:$C$22,2,FALSE),IF(P7="ALUMINIO",VLOOKUP(Q7,'[3]Tiempo Objeto'!$B$24:$C$32,2,FALSE))))</f>
        <v>0.6133333333333334</v>
      </c>
      <c r="Y7" s="84">
        <f t="shared" si="6"/>
        <v>14.720000000000002</v>
      </c>
      <c r="Z7" s="80">
        <f t="shared" si="7"/>
        <v>20.44444444444445</v>
      </c>
      <c r="AA7" s="100">
        <v>3</v>
      </c>
      <c r="AB7" s="86">
        <f>+AA7*Analisis!$J$6</f>
        <v>75</v>
      </c>
      <c r="AC7" s="100">
        <v>0</v>
      </c>
      <c r="AD7" s="85">
        <f t="shared" si="8"/>
        <v>0</v>
      </c>
      <c r="AE7" s="86">
        <f>+AC7*Analisis!$J$7</f>
        <v>0</v>
      </c>
      <c r="AF7" s="308">
        <f>+H7*0.0254*I7*0.0254*2*(1+[3]Analisis!$G$2)</f>
        <v>0.23185695563999995</v>
      </c>
      <c r="AG7" s="86">
        <f>+AF7*Analisis!$J$8</f>
        <v>24.70380658307143</v>
      </c>
      <c r="AH7" s="309">
        <f t="shared" si="9"/>
        <v>224.60507092493631</v>
      </c>
      <c r="AI7" s="86" t="e">
        <f>+AH7/(1-Analisis!#REF!)</f>
        <v>#REF!</v>
      </c>
      <c r="AJ7" s="86" t="e">
        <f t="shared" si="10"/>
        <v>#REF!</v>
      </c>
      <c r="AK7" s="86" t="e">
        <f t="shared" si="11"/>
        <v>#REF!</v>
      </c>
      <c r="AL7" s="310" t="e">
        <f>+VLOOKUP(B7,#REF!,2,FALSE)</f>
        <v>#REF!</v>
      </c>
      <c r="AM7" s="311" t="e">
        <f t="shared" si="13"/>
        <v>#REF!</v>
      </c>
      <c r="AN7" s="312" t="e">
        <f t="shared" si="12"/>
        <v>#REF!</v>
      </c>
    </row>
    <row r="8" spans="1:40" s="73" customFormat="1" x14ac:dyDescent="0.25">
      <c r="A8" s="303">
        <v>7</v>
      </c>
      <c r="B8" s="304" t="s">
        <v>851</v>
      </c>
      <c r="D8" s="74">
        <f>IFERROR(VLOOKUP(B8,'REQ. PINTADO'!B:C,2,0),0)</f>
        <v>0</v>
      </c>
      <c r="E8" s="305">
        <f t="shared" si="0"/>
        <v>224.98764192668739</v>
      </c>
      <c r="F8" s="103" t="s">
        <v>163</v>
      </c>
      <c r="G8" s="75" t="s">
        <v>147</v>
      </c>
      <c r="H8" s="90">
        <v>8.76</v>
      </c>
      <c r="I8" s="90">
        <v>26.41</v>
      </c>
      <c r="J8" s="76">
        <v>0.105</v>
      </c>
      <c r="K8" s="306">
        <v>6</v>
      </c>
      <c r="L8" s="78">
        <f t="shared" si="1"/>
        <v>31.84178459455536</v>
      </c>
      <c r="M8" s="58">
        <f>+VLOOKUP(F8,Material!$H$2:$M$17,6,FALSE)*H8*I8*(1+Material!$K$14)</f>
        <v>86.841230712423695</v>
      </c>
      <c r="N8" s="79" t="str">
        <f t="shared" si="14"/>
        <v>T5.0</v>
      </c>
      <c r="O8" s="80">
        <f>+VLOOKUP(N8,[3]Material!$A$3:$B$58,2,FALSE)</f>
        <v>5000</v>
      </c>
      <c r="P8" s="79" t="s">
        <v>42</v>
      </c>
      <c r="Q8" s="79" t="str">
        <f>+VLOOKUP(F8,[3]Material!$C$2:$E$12,2,FALSE)</f>
        <v>Cal 12</v>
      </c>
      <c r="R8" s="81">
        <f>+IF(P8="ACERO A36",VLOOKUP(Q8,'[3]Velocidades Std 1500 w'!$B$2:$F$15,5,FALSE),IF(P8="INOXIDABLE",VLOOKUP(Q8,'[3]Velocidades Std 1500 w'!$B$17:$F$28,5,FALSE),IF(P8="ALUMINIO",VLOOKUP(Q8,'[3]Velocidades Std 1500 w'!$B$30:$F$38,5,FALSE))))</f>
        <v>4.3859649122807014E-6</v>
      </c>
      <c r="S8" s="82">
        <f t="shared" si="2"/>
        <v>2.1929824561403508E-2</v>
      </c>
      <c r="T8" s="83">
        <f t="shared" si="3"/>
        <v>44.780333684210532</v>
      </c>
      <c r="U8" s="307">
        <f t="shared" si="4"/>
        <v>2836.0878000000002</v>
      </c>
      <c r="V8" s="80">
        <f t="shared" si="5"/>
        <v>62.194907894736843</v>
      </c>
      <c r="W8" s="98">
        <v>24</v>
      </c>
      <c r="X8" s="84">
        <f>+IF(P8="ACERO A36",VLOOKUP(Q8,'[3]Tiempo Objeto'!$B$2:$C$12,2,FALSE),IF(P8="INOXIDABLE",VLOOKUP(Q8,'[3]Tiempo Objeto'!$B$14:$C$22,2,FALSE),IF(P8="ALUMINIO",VLOOKUP(Q8,'[3]Tiempo Objeto'!$B$24:$C$32,2,FALSE))))</f>
        <v>0.6133333333333334</v>
      </c>
      <c r="Y8" s="84">
        <f t="shared" si="6"/>
        <v>14.720000000000002</v>
      </c>
      <c r="Z8" s="80">
        <f t="shared" si="7"/>
        <v>20.44444444444445</v>
      </c>
      <c r="AA8" s="100">
        <v>0</v>
      </c>
      <c r="AB8" s="86">
        <f>+AA8*Analisis!$J$6</f>
        <v>0</v>
      </c>
      <c r="AC8" s="100">
        <v>0</v>
      </c>
      <c r="AD8" s="85">
        <f t="shared" si="8"/>
        <v>0</v>
      </c>
      <c r="AE8" s="86">
        <f>+AC8*Analisis!$J$7</f>
        <v>0</v>
      </c>
      <c r="AF8" s="308">
        <f>+H8*0.0254*I8*0.0254*2*(1+[3]Analisis!$G$2)</f>
        <v>0.37314699563999992</v>
      </c>
      <c r="AG8" s="86">
        <f>+AF8*Analisis!$J$8</f>
        <v>39.75792394021429</v>
      </c>
      <c r="AH8" s="309">
        <f t="shared" si="9"/>
        <v>209.23850699181926</v>
      </c>
      <c r="AI8" s="86">
        <f>+AH8/(1-Analisis!G13)</f>
        <v>209.23850699181926</v>
      </c>
      <c r="AJ8" s="86">
        <f t="shared" si="10"/>
        <v>224.98764192668739</v>
      </c>
      <c r="AK8" s="86">
        <f t="shared" si="11"/>
        <v>0</v>
      </c>
      <c r="AL8" s="310" t="e">
        <f>+VLOOKUP(B8,#REF!,2,FALSE)</f>
        <v>#REF!</v>
      </c>
      <c r="AM8" s="311" t="e">
        <f t="shared" si="13"/>
        <v>#REF!</v>
      </c>
      <c r="AN8" s="312" t="e">
        <f t="shared" si="12"/>
        <v>#REF!</v>
      </c>
    </row>
    <row r="9" spans="1:40" s="73" customFormat="1" x14ac:dyDescent="0.25">
      <c r="A9" s="303">
        <v>8</v>
      </c>
      <c r="B9" s="304" t="s">
        <v>852</v>
      </c>
      <c r="D9" s="74">
        <f>IFERROR(VLOOKUP(B9,'REQ. PINTADO'!B:C,2,0),0)</f>
        <v>0</v>
      </c>
      <c r="E9" s="305">
        <f t="shared" si="0"/>
        <v>134.29850752867486</v>
      </c>
      <c r="F9" s="103" t="s">
        <v>163</v>
      </c>
      <c r="G9" s="75" t="s">
        <v>147</v>
      </c>
      <c r="H9" s="90">
        <v>1.75</v>
      </c>
      <c r="I9" s="90">
        <v>7.49</v>
      </c>
      <c r="J9" s="76">
        <v>0.105</v>
      </c>
      <c r="K9" s="306">
        <v>0.4</v>
      </c>
      <c r="L9" s="78">
        <f t="shared" si="1"/>
        <v>27.060512542800723</v>
      </c>
      <c r="M9" s="58">
        <f>+VLOOKUP(F9,Material!$H$2:$M$17,6,FALSE)*H9*I9*(1+Material!$K$14)</f>
        <v>4.9200931896001316</v>
      </c>
      <c r="N9" s="79" t="str">
        <f t="shared" si="14"/>
        <v>T5.0</v>
      </c>
      <c r="O9" s="80">
        <f>+VLOOKUP(N9,[3]Material!$A$3:$B$58,2,FALSE)</f>
        <v>5000</v>
      </c>
      <c r="P9" s="79" t="s">
        <v>42</v>
      </c>
      <c r="Q9" s="79" t="str">
        <f>+VLOOKUP(F9,[3]Material!$C$2:$E$12,2,FALSE)</f>
        <v>Cal 12</v>
      </c>
      <c r="R9" s="81">
        <f>+IF(P9="ACERO A36",VLOOKUP(Q9,'[3]Velocidades Std 1500 w'!$B$2:$F$15,5,FALSE),IF(P9="INOXIDABLE",VLOOKUP(Q9,'[3]Velocidades Std 1500 w'!$B$17:$F$28,5,FALSE),IF(P9="ALUMINIO",VLOOKUP(Q9,'[3]Velocidades Std 1500 w'!$B$30:$F$38,5,FALSE))))</f>
        <v>4.3859649122807014E-6</v>
      </c>
      <c r="S9" s="82">
        <f t="shared" si="2"/>
        <v>2.1929824561403508E-2</v>
      </c>
      <c r="T9" s="83">
        <f t="shared" si="3"/>
        <v>10.308656842105265</v>
      </c>
      <c r="U9" s="307">
        <f t="shared" si="4"/>
        <v>652.88160000000005</v>
      </c>
      <c r="V9" s="80">
        <f t="shared" si="5"/>
        <v>14.317578947368421</v>
      </c>
      <c r="W9" s="98">
        <v>4</v>
      </c>
      <c r="X9" s="84">
        <f>+IF(P9="ACERO A36",VLOOKUP(Q9,'[3]Tiempo Objeto'!$B$2:$C$12,2,FALSE),IF(P9="INOXIDABLE",VLOOKUP(Q9,'[3]Tiempo Objeto'!$B$14:$C$22,2,FALSE),IF(P9="ALUMINIO",VLOOKUP(Q9,'[3]Tiempo Objeto'!$B$24:$C$32,2,FALSE))))</f>
        <v>0.6133333333333334</v>
      </c>
      <c r="Y9" s="84">
        <f t="shared" si="6"/>
        <v>2.4533333333333336</v>
      </c>
      <c r="Z9" s="80">
        <f t="shared" si="7"/>
        <v>3.4074074074074079</v>
      </c>
      <c r="AA9" s="100">
        <v>4</v>
      </c>
      <c r="AB9" s="86">
        <f>+AA9*Analisis!$J$6</f>
        <v>100</v>
      </c>
      <c r="AC9" s="100">
        <v>0</v>
      </c>
      <c r="AD9" s="85">
        <f t="shared" si="8"/>
        <v>0</v>
      </c>
      <c r="AE9" s="86">
        <f>+AC9*Analisis!$J$7</f>
        <v>0</v>
      </c>
      <c r="AF9" s="308">
        <f>+H9*0.0254*I9*0.0254*2*(1+[3]Analisis!$G$2)</f>
        <v>2.114108675E-2</v>
      </c>
      <c r="AG9" s="86">
        <f>+AF9*Analisis!$J$8</f>
        <v>2.2525324572916672</v>
      </c>
      <c r="AH9" s="309">
        <f t="shared" si="9"/>
        <v>124.89761200166762</v>
      </c>
      <c r="AI9" s="86">
        <f>+AH9/(1-Analisis!G14)</f>
        <v>124.89761200166762</v>
      </c>
      <c r="AJ9" s="86">
        <f t="shared" si="10"/>
        <v>134.29850752867486</v>
      </c>
      <c r="AK9" s="86">
        <f t="shared" si="11"/>
        <v>0</v>
      </c>
      <c r="AL9" s="310" t="e">
        <f>+VLOOKUP(B9,#REF!,2,FALSE)</f>
        <v>#REF!</v>
      </c>
      <c r="AM9" s="311" t="e">
        <f t="shared" si="13"/>
        <v>#REF!</v>
      </c>
      <c r="AN9" s="312" t="e">
        <f t="shared" si="12"/>
        <v>#REF!</v>
      </c>
    </row>
    <row r="10" spans="1:40" s="73" customFormat="1" x14ac:dyDescent="0.25">
      <c r="A10" s="303">
        <v>9</v>
      </c>
      <c r="B10" s="304" t="s">
        <v>853</v>
      </c>
      <c r="D10" s="74">
        <f>IFERROR(VLOOKUP(B10,'REQ. PINTADO'!B:C,2,0),0)</f>
        <v>0</v>
      </c>
      <c r="E10" s="305">
        <f t="shared" si="0"/>
        <v>1202.9539842291369</v>
      </c>
      <c r="F10" s="103" t="s">
        <v>165</v>
      </c>
      <c r="G10" s="75" t="s">
        <v>147</v>
      </c>
      <c r="H10" s="90">
        <v>108.95</v>
      </c>
      <c r="I10" s="90">
        <v>12.31</v>
      </c>
      <c r="J10" s="76">
        <v>0.105</v>
      </c>
      <c r="K10" s="306">
        <v>45.122999999999998</v>
      </c>
      <c r="L10" s="78">
        <f t="shared" si="1"/>
        <v>27.177635206823581</v>
      </c>
      <c r="M10" s="58">
        <f>+VLOOKUP(F10,Material!$H$2:$M$17,6,FALSE)*H10*I10*(1+Material!$K$14)</f>
        <v>557.42565156250009</v>
      </c>
      <c r="N10" s="79" t="str">
        <f t="shared" si="14"/>
        <v>T5.0</v>
      </c>
      <c r="O10" s="80">
        <f>+VLOOKUP(N10,[3]Material!$A$3:$B$58,2,FALSE)</f>
        <v>5000</v>
      </c>
      <c r="P10" s="79" t="s">
        <v>42</v>
      </c>
      <c r="Q10" s="79" t="str">
        <f>+VLOOKUP(F10,[3]Material!$C$2:$E$12,2,FALSE)</f>
        <v>Cal 14</v>
      </c>
      <c r="R10" s="81">
        <f>+IF(P10="ACERO A36",VLOOKUP(Q10,'[3]Velocidades Std 1500 w'!$B$2:$F$15,5,FALSE),IF(P10="INOXIDABLE",VLOOKUP(Q10,'[3]Velocidades Std 1500 w'!$B$17:$F$28,5,FALSE),IF(P10="ALUMINIO",VLOOKUP(Q10,'[3]Velocidades Std 1500 w'!$B$30:$F$38,5,FALSE))))</f>
        <v>2.0080321285140564E-6</v>
      </c>
      <c r="S10" s="82">
        <f t="shared" si="2"/>
        <v>1.0040160642570283E-2</v>
      </c>
      <c r="T10" s="83">
        <f t="shared" si="3"/>
        <v>52.251349879518074</v>
      </c>
      <c r="U10" s="307">
        <f t="shared" si="4"/>
        <v>7228.1034</v>
      </c>
      <c r="V10" s="80">
        <f t="shared" si="5"/>
        <v>72.571319277108444</v>
      </c>
      <c r="W10" s="98">
        <v>19</v>
      </c>
      <c r="X10" s="84">
        <f>+IF(P10="ACERO A36",VLOOKUP(Q10,'[3]Tiempo Objeto'!$B$2:$C$12,2,FALSE),IF(P10="INOXIDABLE",VLOOKUP(Q10,'[3]Tiempo Objeto'!$B$14:$C$22,2,FALSE),IF(P10="ALUMINIO",VLOOKUP(Q10,'[3]Tiempo Objeto'!$B$24:$C$32,2,FALSE))))</f>
        <v>0.3133333333333333</v>
      </c>
      <c r="Y10" s="84">
        <f t="shared" si="6"/>
        <v>5.9533333333333323</v>
      </c>
      <c r="Z10" s="80">
        <f t="shared" si="7"/>
        <v>8.2685185185185173</v>
      </c>
      <c r="AA10" s="100">
        <v>10</v>
      </c>
      <c r="AB10" s="86">
        <f>+AA10*Analisis!$J$6</f>
        <v>250</v>
      </c>
      <c r="AC10" s="100">
        <v>0</v>
      </c>
      <c r="AD10" s="85">
        <f t="shared" si="8"/>
        <v>0</v>
      </c>
      <c r="AE10" s="86">
        <f>+AC10*Analisis!$J$7</f>
        <v>0</v>
      </c>
      <c r="AF10" s="308">
        <f>+H10*0.0254*I10*0.0254*2*(1+[3]Analisis!$G$2)</f>
        <v>2.1631803510499998</v>
      </c>
      <c r="AG10" s="86">
        <f>+AF10*Analisis!$J$8</f>
        <v>230.48171597497029</v>
      </c>
      <c r="AH10" s="309">
        <f t="shared" si="9"/>
        <v>1118.7472053330973</v>
      </c>
      <c r="AI10" s="86">
        <f>+AH10/(1-Analisis!G15)</f>
        <v>1118.7472053330973</v>
      </c>
      <c r="AJ10" s="86">
        <f t="shared" si="10"/>
        <v>1202.9539842291369</v>
      </c>
      <c r="AK10" s="86">
        <f t="shared" si="11"/>
        <v>0</v>
      </c>
      <c r="AL10" s="310" t="e">
        <f>+VLOOKUP(B10,#REF!,2,FALSE)</f>
        <v>#REF!</v>
      </c>
      <c r="AM10" s="311" t="e">
        <f t="shared" si="13"/>
        <v>#REF!</v>
      </c>
      <c r="AN10" s="312" t="e">
        <f t="shared" si="12"/>
        <v>#REF!</v>
      </c>
    </row>
    <row r="11" spans="1:40" s="73" customFormat="1" x14ac:dyDescent="0.25">
      <c r="A11" s="303">
        <v>10</v>
      </c>
      <c r="B11" s="304" t="s">
        <v>854</v>
      </c>
      <c r="D11" s="74">
        <f>IFERROR(VLOOKUP(B11,'REQ. PINTADO'!B:C,2,0),0)</f>
        <v>0</v>
      </c>
      <c r="E11" s="305">
        <f t="shared" si="0"/>
        <v>112.96297231734781</v>
      </c>
      <c r="F11" s="103" t="s">
        <v>163</v>
      </c>
      <c r="G11" s="75" t="s">
        <v>147</v>
      </c>
      <c r="H11" s="90">
        <v>2.94</v>
      </c>
      <c r="I11" s="90">
        <v>7.09</v>
      </c>
      <c r="J11" s="76">
        <v>0.105</v>
      </c>
      <c r="K11" s="306">
        <v>45.122999999999998</v>
      </c>
      <c r="L11" s="78">
        <f t="shared" si="1"/>
        <v>0.38147997254300109</v>
      </c>
      <c r="M11" s="58">
        <f>+VLOOKUP(F11,Material!$H$2:$M$17,6,FALSE)*H11*I11*(1+Material!$K$14)</f>
        <v>7.8243276368444699</v>
      </c>
      <c r="N11" s="79" t="str">
        <f t="shared" si="14"/>
        <v>T5.0</v>
      </c>
      <c r="O11" s="80">
        <f>+VLOOKUP(N11,[3]Material!$A$3:$B$58,2,FALSE)</f>
        <v>5000</v>
      </c>
      <c r="P11" s="79" t="s">
        <v>42</v>
      </c>
      <c r="Q11" s="79" t="str">
        <f>+VLOOKUP(F11,[3]Material!$C$2:$E$12,2,FALSE)</f>
        <v>Cal 12</v>
      </c>
      <c r="R11" s="81">
        <f>+IF(P11="ACERO A36",VLOOKUP(Q11,'[3]Velocidades Std 1500 w'!$B$2:$F$15,5,FALSE),IF(P11="INOXIDABLE",VLOOKUP(Q11,'[3]Velocidades Std 1500 w'!$B$17:$F$28,5,FALSE),IF(P11="ALUMINIO",VLOOKUP(Q11,'[3]Velocidades Std 1500 w'!$B$30:$F$38,5,FALSE))))</f>
        <v>4.3859649122807014E-6</v>
      </c>
      <c r="S11" s="82">
        <f t="shared" si="2"/>
        <v>2.1929824561403508E-2</v>
      </c>
      <c r="T11" s="83">
        <f t="shared" si="3"/>
        <v>10.974003157894737</v>
      </c>
      <c r="U11" s="307">
        <f t="shared" si="4"/>
        <v>695.02020000000005</v>
      </c>
      <c r="V11" s="80">
        <f t="shared" si="5"/>
        <v>15.241671052631579</v>
      </c>
      <c r="W11" s="98">
        <v>4</v>
      </c>
      <c r="X11" s="84">
        <f>+IF(P11="ACERO A36",VLOOKUP(Q11,'[3]Tiempo Objeto'!$B$2:$C$12,2,FALSE),IF(P11="INOXIDABLE",VLOOKUP(Q11,'[3]Tiempo Objeto'!$B$14:$C$22,2,FALSE),IF(P11="ALUMINIO",VLOOKUP(Q11,'[3]Tiempo Objeto'!$B$24:$C$32,2,FALSE))))</f>
        <v>0.6133333333333334</v>
      </c>
      <c r="Y11" s="84">
        <f t="shared" si="6"/>
        <v>2.4533333333333336</v>
      </c>
      <c r="Z11" s="80">
        <f t="shared" si="7"/>
        <v>3.4074074074074079</v>
      </c>
      <c r="AA11" s="100">
        <v>3</v>
      </c>
      <c r="AB11" s="86">
        <f>+AA11*Analisis!$J$6</f>
        <v>75</v>
      </c>
      <c r="AC11" s="100">
        <v>0</v>
      </c>
      <c r="AD11" s="85">
        <f t="shared" si="8"/>
        <v>0</v>
      </c>
      <c r="AE11" s="86">
        <f>+AC11*Analisis!$J$7</f>
        <v>0</v>
      </c>
      <c r="AF11" s="308">
        <f>+H11*0.0254*I11*0.0254*2*(1+[3]Analisis!$G$2)</f>
        <v>3.3620255339999995E-2</v>
      </c>
      <c r="AG11" s="86">
        <f>+AF11*Analisis!$J$8</f>
        <v>3.5821581582500004</v>
      </c>
      <c r="AH11" s="309">
        <f t="shared" si="9"/>
        <v>105.05556425513345</v>
      </c>
      <c r="AI11" s="86">
        <f>+AH11/(1-Analisis!G16)</f>
        <v>105.05556425513345</v>
      </c>
      <c r="AJ11" s="86">
        <f t="shared" si="10"/>
        <v>112.96297231734781</v>
      </c>
      <c r="AK11" s="86">
        <f t="shared" si="11"/>
        <v>0</v>
      </c>
      <c r="AL11" s="310" t="e">
        <f>+VLOOKUP(B11,#REF!,2,FALSE)</f>
        <v>#REF!</v>
      </c>
      <c r="AM11" s="311" t="e">
        <f t="shared" si="13"/>
        <v>#REF!</v>
      </c>
      <c r="AN11" s="312" t="e">
        <f t="shared" si="12"/>
        <v>#REF!</v>
      </c>
    </row>
    <row r="12" spans="1:40" s="73" customFormat="1" x14ac:dyDescent="0.25">
      <c r="A12" s="303">
        <v>11</v>
      </c>
      <c r="B12" s="304" t="s">
        <v>855</v>
      </c>
      <c r="D12" s="74">
        <f>IFERROR(VLOOKUP(B12,'REQ. PINTADO'!B:C,2,0),0)</f>
        <v>0</v>
      </c>
      <c r="E12" s="305">
        <f t="shared" si="0"/>
        <v>213.77401015658978</v>
      </c>
      <c r="F12" s="103" t="s">
        <v>165</v>
      </c>
      <c r="G12" s="75" t="s">
        <v>147</v>
      </c>
      <c r="H12" s="90">
        <v>21.94</v>
      </c>
      <c r="I12" s="90">
        <v>5.55</v>
      </c>
      <c r="J12" s="76">
        <v>0.105</v>
      </c>
      <c r="K12" s="306">
        <v>3.72</v>
      </c>
      <c r="L12" s="78">
        <f t="shared" si="1"/>
        <v>29.930295866935488</v>
      </c>
      <c r="M12" s="58">
        <f>+VLOOKUP(F12,Material!$H$2:$M$17,6,FALSE)*H12*I12*(1+Material!$K$14)</f>
        <v>50.609409375000006</v>
      </c>
      <c r="N12" s="79" t="str">
        <f t="shared" si="14"/>
        <v>T5.0</v>
      </c>
      <c r="O12" s="80">
        <f>+VLOOKUP(N12,[3]Material!$A$3:$B$58,2,FALSE)</f>
        <v>5000</v>
      </c>
      <c r="P12" s="79" t="s">
        <v>42</v>
      </c>
      <c r="Q12" s="79" t="str">
        <f>+VLOOKUP(F12,[3]Material!$C$2:$E$12,2,FALSE)</f>
        <v>Cal 14</v>
      </c>
      <c r="R12" s="81">
        <f>+IF(P12="ACERO A36",VLOOKUP(Q12,'[3]Velocidades Std 1500 w'!$B$2:$F$15,5,FALSE),IF(P12="INOXIDABLE",VLOOKUP(Q12,'[3]Velocidades Std 1500 w'!$B$17:$F$28,5,FALSE),IF(P12="ALUMINIO",VLOOKUP(Q12,'[3]Velocidades Std 1500 w'!$B$30:$F$38,5,FALSE))))</f>
        <v>2.0080321285140564E-6</v>
      </c>
      <c r="S12" s="82">
        <f t="shared" si="2"/>
        <v>1.0040160642570283E-2</v>
      </c>
      <c r="T12" s="83">
        <f t="shared" si="3"/>
        <v>14.937770602409639</v>
      </c>
      <c r="U12" s="307">
        <f t="shared" si="4"/>
        <v>2066.3915999999999</v>
      </c>
      <c r="V12" s="80">
        <f t="shared" si="5"/>
        <v>20.746903614457835</v>
      </c>
      <c r="W12" s="98">
        <v>15</v>
      </c>
      <c r="X12" s="84">
        <f>+IF(P12="ACERO A36",VLOOKUP(Q12,'[3]Tiempo Objeto'!$B$2:$C$12,2,FALSE),IF(P12="INOXIDABLE",VLOOKUP(Q12,'[3]Tiempo Objeto'!$B$14:$C$22,2,FALSE),IF(P12="ALUMINIO",VLOOKUP(Q12,'[3]Tiempo Objeto'!$B$24:$C$32,2,FALSE))))</f>
        <v>0.3133333333333333</v>
      </c>
      <c r="Y12" s="84">
        <f t="shared" si="6"/>
        <v>4.6999999999999993</v>
      </c>
      <c r="Z12" s="80">
        <f t="shared" si="7"/>
        <v>6.5277777777777768</v>
      </c>
      <c r="AA12" s="100">
        <v>4</v>
      </c>
      <c r="AB12" s="86">
        <f>+AA12*Analisis!$J$6</f>
        <v>100</v>
      </c>
      <c r="AC12" s="100">
        <v>0</v>
      </c>
      <c r="AD12" s="85">
        <f t="shared" si="8"/>
        <v>0</v>
      </c>
      <c r="AE12" s="86">
        <f>+AC12*Analisis!$J$7</f>
        <v>0</v>
      </c>
      <c r="AF12" s="308">
        <f>+H12*0.0254*I12*0.0254*2*(1+[3]Analisis!$G$2)</f>
        <v>0.19639799429999996</v>
      </c>
      <c r="AG12" s="86">
        <f>+AF12*Analisis!$J$8</f>
        <v>20.925738678392861</v>
      </c>
      <c r="AH12" s="309">
        <f t="shared" si="9"/>
        <v>198.80982944562848</v>
      </c>
      <c r="AI12" s="86">
        <f>+AH12/(1-Analisis!G17)</f>
        <v>198.80982944562848</v>
      </c>
      <c r="AJ12" s="86">
        <f t="shared" si="10"/>
        <v>213.77401015658978</v>
      </c>
      <c r="AK12" s="86">
        <f t="shared" si="11"/>
        <v>0</v>
      </c>
      <c r="AL12" s="310" t="e">
        <f>+VLOOKUP(B12,#REF!,2,FALSE)</f>
        <v>#REF!</v>
      </c>
      <c r="AM12" s="311" t="e">
        <f t="shared" si="13"/>
        <v>#REF!</v>
      </c>
      <c r="AN12" s="312" t="e">
        <f t="shared" si="12"/>
        <v>#REF!</v>
      </c>
    </row>
    <row r="13" spans="1:40" s="73" customFormat="1" x14ac:dyDescent="0.25">
      <c r="A13" s="303">
        <v>12</v>
      </c>
      <c r="B13" s="304" t="s">
        <v>856</v>
      </c>
      <c r="D13" s="74">
        <f>IFERROR(VLOOKUP(B13,'REQ. PINTADO'!B:C,2,0),0)</f>
        <v>0</v>
      </c>
      <c r="E13" s="305">
        <f t="shared" si="0"/>
        <v>308.35499996952814</v>
      </c>
      <c r="F13" s="103" t="s">
        <v>165</v>
      </c>
      <c r="G13" s="75" t="s">
        <v>147</v>
      </c>
      <c r="H13" s="90">
        <v>31.94</v>
      </c>
      <c r="I13" s="90">
        <v>5.55</v>
      </c>
      <c r="J13" s="76">
        <v>0.105</v>
      </c>
      <c r="K13" s="306">
        <v>5.41</v>
      </c>
      <c r="L13" s="78">
        <f t="shared" si="1"/>
        <v>29.960908156192239</v>
      </c>
      <c r="M13" s="58">
        <f>+VLOOKUP(F13,Material!$H$2:$M$17,6,FALSE)*H13*I13*(1+Material!$K$14)</f>
        <v>73.676596875000001</v>
      </c>
      <c r="N13" s="79" t="str">
        <f t="shared" si="14"/>
        <v>T5.0</v>
      </c>
      <c r="O13" s="80">
        <f>+VLOOKUP(N13,[3]Material!$A$3:$B$58,2,FALSE)</f>
        <v>5000</v>
      </c>
      <c r="P13" s="79" t="s">
        <v>42</v>
      </c>
      <c r="Q13" s="79" t="str">
        <f>+VLOOKUP(F13,[3]Material!$C$2:$E$12,2,FALSE)</f>
        <v>Cal 14</v>
      </c>
      <c r="R13" s="81">
        <f>+IF(P13="ACERO A36",VLOOKUP(Q13,'[3]Velocidades Std 1500 w'!$B$2:$F$15,5,FALSE),IF(P13="INOXIDABLE",VLOOKUP(Q13,'[3]Velocidades Std 1500 w'!$B$17:$F$28,5,FALSE),IF(P13="ALUMINIO",VLOOKUP(Q13,'[3]Velocidades Std 1500 w'!$B$30:$F$38,5,FALSE))))</f>
        <v>2.0080321285140564E-6</v>
      </c>
      <c r="S13" s="82">
        <f t="shared" si="2"/>
        <v>1.0040160642570283E-2</v>
      </c>
      <c r="T13" s="83">
        <f t="shared" si="3"/>
        <v>18.793674216867476</v>
      </c>
      <c r="U13" s="307">
        <f t="shared" si="4"/>
        <v>2599.7916000000005</v>
      </c>
      <c r="V13" s="80">
        <f t="shared" si="5"/>
        <v>26.102325301204829</v>
      </c>
      <c r="W13" s="98">
        <v>15</v>
      </c>
      <c r="X13" s="84">
        <f>+IF(P13="ACERO A36",VLOOKUP(Q13,'[3]Tiempo Objeto'!$B$2:$C$12,2,FALSE),IF(P13="INOXIDABLE",VLOOKUP(Q13,'[3]Tiempo Objeto'!$B$14:$C$22,2,FALSE),IF(P13="ALUMINIO",VLOOKUP(Q13,'[3]Tiempo Objeto'!$B$24:$C$32,2,FALSE))))</f>
        <v>0.3133333333333333</v>
      </c>
      <c r="Y13" s="84">
        <f t="shared" si="6"/>
        <v>4.6999999999999993</v>
      </c>
      <c r="Z13" s="80">
        <f t="shared" si="7"/>
        <v>6.5277777777777768</v>
      </c>
      <c r="AA13" s="100">
        <v>6</v>
      </c>
      <c r="AB13" s="86">
        <f>+AA13*Analisis!$J$6</f>
        <v>150</v>
      </c>
      <c r="AC13" s="100">
        <v>0</v>
      </c>
      <c r="AD13" s="85">
        <f t="shared" si="8"/>
        <v>0</v>
      </c>
      <c r="AE13" s="86">
        <f>+AC13*Analisis!$J$7</f>
        <v>0</v>
      </c>
      <c r="AF13" s="308">
        <f>+H13*0.0254*I13*0.0254*2*(1+[3]Analisis!$G$2)</f>
        <v>0.28591394429999994</v>
      </c>
      <c r="AG13" s="86">
        <f>+AF13*Analisis!$J$8</f>
        <v>30.463450017678575</v>
      </c>
      <c r="AH13" s="309">
        <f t="shared" si="9"/>
        <v>286.77014997166117</v>
      </c>
      <c r="AI13" s="86">
        <f>+AH13/(1-Analisis!G18)</f>
        <v>286.77014997166117</v>
      </c>
      <c r="AJ13" s="86">
        <f t="shared" si="10"/>
        <v>308.35499996952814</v>
      </c>
      <c r="AK13" s="86">
        <f t="shared" si="11"/>
        <v>0</v>
      </c>
      <c r="AL13" s="310" t="e">
        <f>+VLOOKUP(B13,#REF!,2,FALSE)</f>
        <v>#REF!</v>
      </c>
      <c r="AM13" s="311" t="e">
        <f t="shared" si="13"/>
        <v>#REF!</v>
      </c>
      <c r="AN13" s="312" t="e">
        <f t="shared" si="12"/>
        <v>#REF!</v>
      </c>
    </row>
    <row r="14" spans="1:40" s="73" customFormat="1" x14ac:dyDescent="0.25">
      <c r="A14" s="303">
        <v>12</v>
      </c>
      <c r="B14" s="304" t="s">
        <v>857</v>
      </c>
      <c r="D14" s="74">
        <f>IFERROR(VLOOKUP(B14,'REQ. PINTADO'!B:C,2,0),0)</f>
        <v>0</v>
      </c>
      <c r="E14" s="305">
        <f t="shared" si="0"/>
        <v>349.17254892225151</v>
      </c>
      <c r="F14" s="103" t="s">
        <v>165</v>
      </c>
      <c r="G14" s="75" t="s">
        <v>147</v>
      </c>
      <c r="H14" s="90">
        <v>41.94</v>
      </c>
      <c r="I14" s="90">
        <v>5.55</v>
      </c>
      <c r="J14" s="76">
        <v>0.105</v>
      </c>
      <c r="K14" s="306">
        <v>7.1</v>
      </c>
      <c r="L14" s="78">
        <f t="shared" si="1"/>
        <v>29.976947271126761</v>
      </c>
      <c r="M14" s="58">
        <f>+VLOOKUP(F14,Material!$H$2:$M$17,6,FALSE)*H14*I14*(1+Material!$K$14)</f>
        <v>96.74378437499999</v>
      </c>
      <c r="N14" s="79" t="str">
        <f t="shared" si="14"/>
        <v>T5.0</v>
      </c>
      <c r="O14" s="80">
        <f>+VLOOKUP(N14,[3]Material!$A$3:$B$58,2,FALSE)</f>
        <v>5000</v>
      </c>
      <c r="P14" s="79" t="s">
        <v>42</v>
      </c>
      <c r="Q14" s="79" t="str">
        <f>+VLOOKUP(F14,[3]Material!$C$2:$E$12,2,FALSE)</f>
        <v>Cal 14</v>
      </c>
      <c r="R14" s="81">
        <f>+IF(P14="ACERO A36",VLOOKUP(Q14,'[3]Velocidades Std 1500 w'!$B$2:$F$15,5,FALSE),IF(P14="INOXIDABLE",VLOOKUP(Q14,'[3]Velocidades Std 1500 w'!$B$17:$F$28,5,FALSE),IF(P14="ALUMINIO",VLOOKUP(Q14,'[3]Velocidades Std 1500 w'!$B$30:$F$38,5,FALSE))))</f>
        <v>2.0080321285140564E-6</v>
      </c>
      <c r="S14" s="82">
        <f t="shared" si="2"/>
        <v>1.0040160642570283E-2</v>
      </c>
      <c r="T14" s="83">
        <f t="shared" si="3"/>
        <v>22.649577831325299</v>
      </c>
      <c r="U14" s="307">
        <f t="shared" si="4"/>
        <v>3133.1915999999997</v>
      </c>
      <c r="V14" s="80">
        <f t="shared" si="5"/>
        <v>31.457746987951808</v>
      </c>
      <c r="W14" s="98">
        <v>15</v>
      </c>
      <c r="X14" s="84">
        <f>+IF(P14="ACERO A36",VLOOKUP(Q14,'[3]Tiempo Objeto'!$B$2:$C$12,2,FALSE),IF(P14="INOXIDABLE",VLOOKUP(Q14,'[3]Tiempo Objeto'!$B$14:$C$22,2,FALSE),IF(P14="ALUMINIO",VLOOKUP(Q14,'[3]Tiempo Objeto'!$B$24:$C$32,2,FALSE))))</f>
        <v>0.3133333333333333</v>
      </c>
      <c r="Y14" s="84">
        <f t="shared" si="6"/>
        <v>4.6999999999999993</v>
      </c>
      <c r="Z14" s="80">
        <f t="shared" si="7"/>
        <v>6.5277777777777768</v>
      </c>
      <c r="AA14" s="100">
        <v>6</v>
      </c>
      <c r="AB14" s="86">
        <f>+AA14*Analisis!$J$6</f>
        <v>150</v>
      </c>
      <c r="AC14" s="100">
        <v>0</v>
      </c>
      <c r="AD14" s="85">
        <f t="shared" si="8"/>
        <v>0</v>
      </c>
      <c r="AE14" s="86">
        <f>+AC14*Analisis!$J$7</f>
        <v>0</v>
      </c>
      <c r="AF14" s="308">
        <f>+H14*0.0254*I14*0.0254*2*(1+[3]Analisis!$G$2)</f>
        <v>0.37542989429999996</v>
      </c>
      <c r="AG14" s="86">
        <f>+AF14*Analisis!$J$8</f>
        <v>40.001161356964296</v>
      </c>
      <c r="AH14" s="309">
        <f t="shared" si="9"/>
        <v>324.73047049769389</v>
      </c>
      <c r="AI14" s="86">
        <f>+AH14/(1-Analisis!G19)</f>
        <v>324.73047049769389</v>
      </c>
      <c r="AJ14" s="86">
        <f t="shared" si="10"/>
        <v>349.17254892225151</v>
      </c>
      <c r="AK14" s="86">
        <f t="shared" si="11"/>
        <v>0</v>
      </c>
      <c r="AL14" s="310" t="e">
        <f>+VLOOKUP(B14,#REF!,2,FALSE)</f>
        <v>#REF!</v>
      </c>
      <c r="AM14" s="311" t="e">
        <f t="shared" si="13"/>
        <v>#REF!</v>
      </c>
      <c r="AN14" s="312" t="e">
        <f t="shared" si="12"/>
        <v>#REF!</v>
      </c>
    </row>
    <row r="15" spans="1:40" s="73" customFormat="1" x14ac:dyDescent="0.25">
      <c r="A15" s="303">
        <v>12</v>
      </c>
      <c r="B15" s="304" t="s">
        <v>858</v>
      </c>
      <c r="D15" s="74">
        <f>IFERROR(VLOOKUP(B15,'REQ. PINTADO'!B:C,2,0),0)</f>
        <v>0</v>
      </c>
      <c r="E15" s="305">
        <f t="shared" si="0"/>
        <v>332.96798198802037</v>
      </c>
      <c r="F15" s="103" t="s">
        <v>165</v>
      </c>
      <c r="G15" s="75" t="s">
        <v>147</v>
      </c>
      <c r="H15" s="90">
        <v>37.97</v>
      </c>
      <c r="I15" s="90">
        <v>5.55</v>
      </c>
      <c r="J15" s="76">
        <v>0.105</v>
      </c>
      <c r="K15" s="306">
        <v>6.43</v>
      </c>
      <c r="L15" s="78">
        <f t="shared" si="1"/>
        <v>29.967254131026444</v>
      </c>
      <c r="M15" s="58">
        <f>+VLOOKUP(F15,Material!$H$2:$M$17,6,FALSE)*H15*I15*(1+Material!$K$14)</f>
        <v>87.58611093750001</v>
      </c>
      <c r="N15" s="79" t="str">
        <f t="shared" si="14"/>
        <v>T5.0</v>
      </c>
      <c r="O15" s="80">
        <f>+VLOOKUP(N15,[3]Material!$A$3:$B$58,2,FALSE)</f>
        <v>5000</v>
      </c>
      <c r="P15" s="79" t="s">
        <v>42</v>
      </c>
      <c r="Q15" s="79" t="str">
        <f>+VLOOKUP(F15,[3]Material!$C$2:$E$12,2,FALSE)</f>
        <v>Cal 14</v>
      </c>
      <c r="R15" s="81">
        <f>+IF(P15="ACERO A36",VLOOKUP(Q15,'[3]Velocidades Std 1500 w'!$B$2:$F$15,5,FALSE),IF(P15="INOXIDABLE",VLOOKUP(Q15,'[3]Velocidades Std 1500 w'!$B$17:$F$28,5,FALSE),IF(P15="ALUMINIO",VLOOKUP(Q15,'[3]Velocidades Std 1500 w'!$B$30:$F$38,5,FALSE))))</f>
        <v>2.0080321285140564E-6</v>
      </c>
      <c r="S15" s="82">
        <f t="shared" si="2"/>
        <v>1.0040160642570283E-2</v>
      </c>
      <c r="T15" s="83">
        <f t="shared" si="3"/>
        <v>21.118784096385543</v>
      </c>
      <c r="U15" s="307">
        <f t="shared" si="4"/>
        <v>2921.4317999999998</v>
      </c>
      <c r="V15" s="80">
        <f t="shared" si="5"/>
        <v>29.331644578313256</v>
      </c>
      <c r="W15" s="98">
        <v>15</v>
      </c>
      <c r="X15" s="84">
        <f>+IF(P15="ACERO A36",VLOOKUP(Q15,'[3]Tiempo Objeto'!$B$2:$C$12,2,FALSE),IF(P15="INOXIDABLE",VLOOKUP(Q15,'[3]Tiempo Objeto'!$B$14:$C$22,2,FALSE),IF(P15="ALUMINIO",VLOOKUP(Q15,'[3]Tiempo Objeto'!$B$24:$C$32,2,FALSE))))</f>
        <v>0.3133333333333333</v>
      </c>
      <c r="Y15" s="84">
        <f t="shared" si="6"/>
        <v>4.6999999999999993</v>
      </c>
      <c r="Z15" s="80">
        <f t="shared" si="7"/>
        <v>6.5277777777777768</v>
      </c>
      <c r="AA15" s="100">
        <v>6</v>
      </c>
      <c r="AB15" s="86">
        <f>+AA15*Analisis!$J$6</f>
        <v>150</v>
      </c>
      <c r="AC15" s="100">
        <v>0</v>
      </c>
      <c r="AD15" s="85">
        <f t="shared" si="8"/>
        <v>0</v>
      </c>
      <c r="AE15" s="86">
        <f>+AC15*Analisis!$J$7</f>
        <v>0</v>
      </c>
      <c r="AF15" s="308">
        <f>+H15*0.0254*I15*0.0254*2*(1+[3]Analisis!$G$2)</f>
        <v>0.33989206215000001</v>
      </c>
      <c r="AG15" s="86">
        <f>+AF15*Analisis!$J$8</f>
        <v>36.214689955267872</v>
      </c>
      <c r="AH15" s="309">
        <f t="shared" si="9"/>
        <v>309.66022324885893</v>
      </c>
      <c r="AI15" s="86">
        <f>+AH15/(1-Analisis!G20)</f>
        <v>309.66022324885893</v>
      </c>
      <c r="AJ15" s="86">
        <f t="shared" si="10"/>
        <v>332.96798198802037</v>
      </c>
      <c r="AK15" s="86">
        <f t="shared" si="11"/>
        <v>0</v>
      </c>
      <c r="AL15" s="310" t="e">
        <f>+VLOOKUP(B15,#REF!,2,FALSE)</f>
        <v>#REF!</v>
      </c>
      <c r="AM15" s="311" t="e">
        <f t="shared" si="13"/>
        <v>#REF!</v>
      </c>
      <c r="AN15" s="312" t="e">
        <f t="shared" si="12"/>
        <v>#REF!</v>
      </c>
    </row>
    <row r="16" spans="1:40" s="73" customFormat="1" x14ac:dyDescent="0.25">
      <c r="A16" s="303">
        <v>12</v>
      </c>
      <c r="B16" s="304" t="s">
        <v>859</v>
      </c>
      <c r="D16" s="74">
        <f>IFERROR(VLOOKUP(B16,'REQ. PINTADO'!B:C,2,0),0)</f>
        <v>0</v>
      </c>
      <c r="E16" s="305">
        <f t="shared" si="0"/>
        <v>341.00903913170686</v>
      </c>
      <c r="F16" s="103" t="s">
        <v>165</v>
      </c>
      <c r="G16" s="75" t="s">
        <v>147</v>
      </c>
      <c r="H16" s="90">
        <v>39.94</v>
      </c>
      <c r="I16" s="90">
        <v>5.55</v>
      </c>
      <c r="J16" s="76">
        <v>0.105</v>
      </c>
      <c r="K16" s="306">
        <v>6.76</v>
      </c>
      <c r="L16" s="78">
        <f t="shared" si="1"/>
        <v>29.983248982988165</v>
      </c>
      <c r="M16" s="58">
        <f>+VLOOKUP(F16,Material!$H$2:$M$17,6,FALSE)*H16*I16*(1+Material!$K$14)</f>
        <v>92.130346874999987</v>
      </c>
      <c r="N16" s="79" t="str">
        <f t="shared" si="14"/>
        <v>T5.0</v>
      </c>
      <c r="O16" s="80">
        <f>+VLOOKUP(N16,[3]Material!$A$3:$B$58,2,FALSE)</f>
        <v>5000</v>
      </c>
      <c r="P16" s="79" t="s">
        <v>42</v>
      </c>
      <c r="Q16" s="79" t="str">
        <f>+VLOOKUP(F16,[3]Material!$C$2:$E$12,2,FALSE)</f>
        <v>Cal 14</v>
      </c>
      <c r="R16" s="81">
        <f>+IF(P16="ACERO A36",VLOOKUP(Q16,'[3]Velocidades Std 1500 w'!$B$2:$F$15,5,FALSE),IF(P16="INOXIDABLE",VLOOKUP(Q16,'[3]Velocidades Std 1500 w'!$B$17:$F$28,5,FALSE),IF(P16="ALUMINIO",VLOOKUP(Q16,'[3]Velocidades Std 1500 w'!$B$30:$F$38,5,FALSE))))</f>
        <v>2.0080321285140564E-6</v>
      </c>
      <c r="S16" s="82">
        <f t="shared" si="2"/>
        <v>1.0040160642570283E-2</v>
      </c>
      <c r="T16" s="83">
        <f t="shared" si="3"/>
        <v>21.878397108433731</v>
      </c>
      <c r="U16" s="307">
        <f t="shared" si="4"/>
        <v>3026.5115999999994</v>
      </c>
      <c r="V16" s="80">
        <f t="shared" si="5"/>
        <v>30.386662650602407</v>
      </c>
      <c r="W16" s="98">
        <v>15</v>
      </c>
      <c r="X16" s="84">
        <f>+IF(P16="ACERO A36",VLOOKUP(Q16,'[3]Tiempo Objeto'!$B$2:$C$12,2,FALSE),IF(P16="INOXIDABLE",VLOOKUP(Q16,'[3]Tiempo Objeto'!$B$14:$C$22,2,FALSE),IF(P16="ALUMINIO",VLOOKUP(Q16,'[3]Tiempo Objeto'!$B$24:$C$32,2,FALSE))))</f>
        <v>0.3133333333333333</v>
      </c>
      <c r="Y16" s="84">
        <f t="shared" si="6"/>
        <v>4.6999999999999993</v>
      </c>
      <c r="Z16" s="80">
        <f t="shared" si="7"/>
        <v>6.5277777777777768</v>
      </c>
      <c r="AA16" s="100">
        <v>6</v>
      </c>
      <c r="AB16" s="86">
        <f>+AA16*Analisis!$J$6</f>
        <v>150</v>
      </c>
      <c r="AC16" s="100">
        <v>0</v>
      </c>
      <c r="AD16" s="85">
        <f t="shared" si="8"/>
        <v>0</v>
      </c>
      <c r="AE16" s="86">
        <f>+AC16*Analisis!$J$7</f>
        <v>0</v>
      </c>
      <c r="AF16" s="308">
        <f>+H16*0.0254*I16*0.0254*2*(1+[3]Analisis!$G$2)</f>
        <v>0.35752670429999994</v>
      </c>
      <c r="AG16" s="86">
        <f>+AF16*Analisis!$J$8</f>
        <v>38.09361908910715</v>
      </c>
      <c r="AH16" s="309">
        <f t="shared" si="9"/>
        <v>317.13840639248735</v>
      </c>
      <c r="AI16" s="86">
        <f>+AH16/(1-Analisis!G21)</f>
        <v>317.13840639248735</v>
      </c>
      <c r="AJ16" s="86">
        <f t="shared" si="10"/>
        <v>341.00903913170686</v>
      </c>
      <c r="AK16" s="86">
        <f t="shared" si="11"/>
        <v>0</v>
      </c>
      <c r="AL16" s="310" t="e">
        <f>+VLOOKUP(B16,#REF!,2,FALSE)</f>
        <v>#REF!</v>
      </c>
      <c r="AM16" s="311" t="e">
        <f t="shared" si="13"/>
        <v>#REF!</v>
      </c>
      <c r="AN16" s="312" t="e">
        <f t="shared" si="12"/>
        <v>#REF!</v>
      </c>
    </row>
    <row r="17" spans="1:40" s="73" customFormat="1" x14ac:dyDescent="0.25">
      <c r="A17" s="303">
        <v>12</v>
      </c>
      <c r="B17" s="304" t="s">
        <v>860</v>
      </c>
      <c r="D17" s="74">
        <f>IFERROR(VLOOKUP(B17,'REQ. PINTADO'!B:C,2,0),0)</f>
        <v>0</v>
      </c>
      <c r="E17" s="305">
        <f t="shared" si="0"/>
        <v>365.49956850334081</v>
      </c>
      <c r="F17" s="103" t="s">
        <v>165</v>
      </c>
      <c r="G17" s="75" t="s">
        <v>147</v>
      </c>
      <c r="H17" s="90">
        <v>45.94</v>
      </c>
      <c r="I17" s="90">
        <v>5.55</v>
      </c>
      <c r="J17" s="76">
        <v>0.105</v>
      </c>
      <c r="K17" s="306">
        <v>7.78</v>
      </c>
      <c r="L17" s="78">
        <f t="shared" si="1"/>
        <v>29.965996224293058</v>
      </c>
      <c r="M17" s="58">
        <f>+VLOOKUP(F17,Material!$H$2:$M$17,6,FALSE)*H17*I17*(1+Material!$K$14)</f>
        <v>105.970659375</v>
      </c>
      <c r="N17" s="79" t="str">
        <f t="shared" si="14"/>
        <v>T5.0</v>
      </c>
      <c r="O17" s="80">
        <f>+VLOOKUP(N17,[3]Material!$A$3:$B$58,2,FALSE)</f>
        <v>5000</v>
      </c>
      <c r="P17" s="79" t="s">
        <v>42</v>
      </c>
      <c r="Q17" s="79" t="str">
        <f>+VLOOKUP(F17,[3]Material!$C$2:$E$12,2,FALSE)</f>
        <v>Cal 14</v>
      </c>
      <c r="R17" s="81">
        <f>+IF(P17="ACERO A36",VLOOKUP(Q17,'[3]Velocidades Std 1500 w'!$B$2:$F$15,5,FALSE),IF(P17="INOXIDABLE",VLOOKUP(Q17,'[3]Velocidades Std 1500 w'!$B$17:$F$28,5,FALSE),IF(P17="ALUMINIO",VLOOKUP(Q17,'[3]Velocidades Std 1500 w'!$B$30:$F$38,5,FALSE))))</f>
        <v>2.0080321285140564E-6</v>
      </c>
      <c r="S17" s="82">
        <f t="shared" si="2"/>
        <v>1.0040160642570283E-2</v>
      </c>
      <c r="T17" s="83">
        <f t="shared" si="3"/>
        <v>24.191939277108432</v>
      </c>
      <c r="U17" s="307">
        <f t="shared" si="4"/>
        <v>3346.5515999999998</v>
      </c>
      <c r="V17" s="80">
        <f t="shared" si="5"/>
        <v>33.599915662650609</v>
      </c>
      <c r="W17" s="98">
        <v>15</v>
      </c>
      <c r="X17" s="84">
        <f>+IF(P17="ACERO A36",VLOOKUP(Q17,'[3]Tiempo Objeto'!$B$2:$C$12,2,FALSE),IF(P17="INOXIDABLE",VLOOKUP(Q17,'[3]Tiempo Objeto'!$B$14:$C$22,2,FALSE),IF(P17="ALUMINIO",VLOOKUP(Q17,'[3]Tiempo Objeto'!$B$24:$C$32,2,FALSE))))</f>
        <v>0.3133333333333333</v>
      </c>
      <c r="Y17" s="84">
        <f t="shared" si="6"/>
        <v>4.6999999999999993</v>
      </c>
      <c r="Z17" s="80">
        <f t="shared" si="7"/>
        <v>6.5277777777777768</v>
      </c>
      <c r="AA17" s="100">
        <v>6</v>
      </c>
      <c r="AB17" s="86">
        <f>+AA17*Analisis!$J$6</f>
        <v>150</v>
      </c>
      <c r="AC17" s="100">
        <v>0</v>
      </c>
      <c r="AD17" s="85">
        <f t="shared" si="8"/>
        <v>0</v>
      </c>
      <c r="AE17" s="86">
        <f>+AC17*Analisis!$J$7</f>
        <v>0</v>
      </c>
      <c r="AF17" s="308">
        <f>+H17*0.0254*I17*0.0254*2*(1+[3]Analisis!$G$2)</f>
        <v>0.41123627429999987</v>
      </c>
      <c r="AG17" s="86">
        <f>+AF17*Analisis!$J$8</f>
        <v>43.816245892678573</v>
      </c>
      <c r="AH17" s="309">
        <f t="shared" si="9"/>
        <v>339.91459870810695</v>
      </c>
      <c r="AI17" s="86">
        <f>+AH17/(1-Analisis!G22)</f>
        <v>339.91459870810695</v>
      </c>
      <c r="AJ17" s="86">
        <f t="shared" si="10"/>
        <v>365.49956850334081</v>
      </c>
      <c r="AK17" s="86">
        <f t="shared" si="11"/>
        <v>0</v>
      </c>
      <c r="AL17" s="310" t="e">
        <f>+VLOOKUP(B17,#REF!,2,FALSE)</f>
        <v>#REF!</v>
      </c>
      <c r="AM17" s="311" t="e">
        <f t="shared" si="13"/>
        <v>#REF!</v>
      </c>
      <c r="AN17" s="312" t="e">
        <f t="shared" si="12"/>
        <v>#REF!</v>
      </c>
    </row>
    <row r="18" spans="1:40" s="73" customFormat="1" x14ac:dyDescent="0.25">
      <c r="A18" s="303">
        <v>13</v>
      </c>
      <c r="B18" s="304" t="s">
        <v>861</v>
      </c>
      <c r="D18" s="74">
        <f>IFERROR(VLOOKUP(B18,'REQ. PINTADO'!B:C,2,0),0)</f>
        <v>0</v>
      </c>
      <c r="E18" s="305">
        <f t="shared" si="0"/>
        <v>174.19953226731312</v>
      </c>
      <c r="F18" s="103" t="s">
        <v>163</v>
      </c>
      <c r="G18" s="75" t="s">
        <v>147</v>
      </c>
      <c r="H18" s="90">
        <v>20.25</v>
      </c>
      <c r="I18" s="90">
        <v>6.08</v>
      </c>
      <c r="J18" s="76">
        <v>0.105</v>
      </c>
      <c r="K18" s="306">
        <v>4</v>
      </c>
      <c r="L18" s="78">
        <f t="shared" si="1"/>
        <v>25.418198010830633</v>
      </c>
      <c r="M18" s="58">
        <f>+VLOOKUP(F18,Material!$H$2:$M$17,6,FALSE)*H18*I18*(1+Material!$K$14)</f>
        <v>46.214905474237511</v>
      </c>
      <c r="N18" s="79" t="str">
        <f t="shared" si="14"/>
        <v>T5.0</v>
      </c>
      <c r="O18" s="80">
        <f>+VLOOKUP(N18,[3]Material!$A$3:$B$58,2,FALSE)</f>
        <v>5000</v>
      </c>
      <c r="P18" s="79" t="s">
        <v>42</v>
      </c>
      <c r="Q18" s="79" t="str">
        <f>+VLOOKUP(F18,[3]Material!$C$2:$E$12,2,FALSE)</f>
        <v>Cal 12</v>
      </c>
      <c r="R18" s="81">
        <f>+IF(P18="ACERO A36",VLOOKUP(Q18,'[3]Velocidades Std 1500 w'!$B$2:$F$15,5,FALSE),IF(P18="INOXIDABLE",VLOOKUP(Q18,'[3]Velocidades Std 1500 w'!$B$17:$F$28,5,FALSE),IF(P18="ALUMINIO",VLOOKUP(Q18,'[3]Velocidades Std 1500 w'!$B$30:$F$38,5,FALSE))))</f>
        <v>4.3859649122807014E-6</v>
      </c>
      <c r="S18" s="82">
        <f t="shared" si="2"/>
        <v>2.1929824561403508E-2</v>
      </c>
      <c r="T18" s="83">
        <f t="shared" si="3"/>
        <v>27.228666315789468</v>
      </c>
      <c r="U18" s="307">
        <f t="shared" si="4"/>
        <v>1724.4821999999999</v>
      </c>
      <c r="V18" s="80">
        <f t="shared" si="5"/>
        <v>37.817592105263152</v>
      </c>
      <c r="W18" s="98">
        <v>8</v>
      </c>
      <c r="X18" s="84">
        <f>+IF(P18="ACERO A36",VLOOKUP(Q18,'[3]Tiempo Objeto'!$B$2:$C$12,2,FALSE),IF(P18="INOXIDABLE",VLOOKUP(Q18,'[3]Tiempo Objeto'!$B$14:$C$22,2,FALSE),IF(P18="ALUMINIO",VLOOKUP(Q18,'[3]Tiempo Objeto'!$B$24:$C$32,2,FALSE))))</f>
        <v>0.6133333333333334</v>
      </c>
      <c r="Y18" s="84">
        <f t="shared" si="6"/>
        <v>4.9066666666666672</v>
      </c>
      <c r="Z18" s="80">
        <f t="shared" si="7"/>
        <v>6.8148148148148158</v>
      </c>
      <c r="AA18" s="100">
        <v>2</v>
      </c>
      <c r="AB18" s="86">
        <f>+AA18*Analisis!$J$6</f>
        <v>50</v>
      </c>
      <c r="AC18" s="100">
        <v>0</v>
      </c>
      <c r="AD18" s="85">
        <f t="shared" si="8"/>
        <v>0</v>
      </c>
      <c r="AE18" s="86">
        <f>+AC18*Analisis!$J$7</f>
        <v>0</v>
      </c>
      <c r="AF18" s="308">
        <f>+H18*0.0254*I18*0.0254*2*(1+[3]Analisis!$G$2)</f>
        <v>0.19858024799999999</v>
      </c>
      <c r="AG18" s="86">
        <f>+AF18*Analisis!$J$8</f>
        <v>21.158252614285718</v>
      </c>
      <c r="AH18" s="309">
        <f t="shared" si="9"/>
        <v>162.0055650086012</v>
      </c>
      <c r="AI18" s="86">
        <f>+AH18/(1-Analisis!G23)</f>
        <v>162.0055650086012</v>
      </c>
      <c r="AJ18" s="86">
        <f t="shared" si="10"/>
        <v>174.19953226731312</v>
      </c>
      <c r="AK18" s="86">
        <f t="shared" si="11"/>
        <v>0</v>
      </c>
      <c r="AL18" s="310" t="e">
        <f>+VLOOKUP(B18,#REF!,2,FALSE)</f>
        <v>#REF!</v>
      </c>
      <c r="AM18" s="311" t="e">
        <f t="shared" si="13"/>
        <v>#REF!</v>
      </c>
      <c r="AN18" s="312" t="e">
        <f t="shared" si="12"/>
        <v>#REF!</v>
      </c>
    </row>
    <row r="19" spans="1:40" s="73" customFormat="1" x14ac:dyDescent="0.25">
      <c r="A19" s="303">
        <v>14</v>
      </c>
      <c r="B19" s="304" t="s">
        <v>156</v>
      </c>
      <c r="D19" s="74">
        <f>IFERROR(VLOOKUP(B19,'REQ. PINTADO'!B:C,2,0),0)</f>
        <v>0</v>
      </c>
      <c r="E19" s="305">
        <f t="shared" si="0"/>
        <v>337.26844320555131</v>
      </c>
      <c r="F19" s="103" t="s">
        <v>163</v>
      </c>
      <c r="G19" s="75" t="s">
        <v>147</v>
      </c>
      <c r="H19" s="90">
        <v>2.7</v>
      </c>
      <c r="I19" s="90">
        <v>85.94</v>
      </c>
      <c r="J19" s="76">
        <v>0.105</v>
      </c>
      <c r="K19" s="306">
        <v>7.07</v>
      </c>
      <c r="L19" s="78">
        <f t="shared" si="1"/>
        <v>27.102904998272717</v>
      </c>
      <c r="M19" s="58">
        <f>+VLOOKUP(F19,Material!$H$2:$M$17,6,FALSE)*H19*I19*(1+Material!$K$14)</f>
        <v>87.098881062630952</v>
      </c>
      <c r="N19" s="79" t="str">
        <f t="shared" si="14"/>
        <v>T5.0</v>
      </c>
      <c r="O19" s="80">
        <f>+VLOOKUP(N19,[3]Material!$A$3:$B$58,2,FALSE)</f>
        <v>5000</v>
      </c>
      <c r="P19" s="79" t="s">
        <v>42</v>
      </c>
      <c r="Q19" s="79" t="str">
        <f>+VLOOKUP(F19,[3]Material!$C$2:$E$12,2,FALSE)</f>
        <v>Cal 12</v>
      </c>
      <c r="R19" s="81">
        <f>+IF(P19="ACERO A36",VLOOKUP(Q19,'[3]Velocidades Std 1500 w'!$B$2:$F$15,5,FALSE),IF(P19="INOXIDABLE",VLOOKUP(Q19,'[3]Velocidades Std 1500 w'!$B$17:$F$28,5,FALSE),IF(P19="ALUMINIO",VLOOKUP(Q19,'[3]Velocidades Std 1500 w'!$B$30:$F$38,5,FALSE))))</f>
        <v>4.3859649122807014E-6</v>
      </c>
      <c r="S19" s="82">
        <f t="shared" si="2"/>
        <v>2.1929824561403508E-2</v>
      </c>
      <c r="T19" s="83">
        <f t="shared" si="3"/>
        <v>104.97311999999998</v>
      </c>
      <c r="U19" s="307">
        <f t="shared" si="4"/>
        <v>6648.2975999999999</v>
      </c>
      <c r="V19" s="80">
        <f t="shared" si="5"/>
        <v>145.79599999999999</v>
      </c>
      <c r="W19" s="98">
        <v>48</v>
      </c>
      <c r="X19" s="84">
        <f>+IF(P19="ACERO A36",VLOOKUP(Q19,'[3]Tiempo Objeto'!$B$2:$C$12,2,FALSE),IF(P19="INOXIDABLE",VLOOKUP(Q19,'[3]Tiempo Objeto'!$B$14:$C$22,2,FALSE),IF(P19="ALUMINIO",VLOOKUP(Q19,'[3]Tiempo Objeto'!$B$24:$C$32,2,FALSE))))</f>
        <v>0.6133333333333334</v>
      </c>
      <c r="Y19" s="84">
        <f t="shared" si="6"/>
        <v>29.440000000000005</v>
      </c>
      <c r="Z19" s="80">
        <f t="shared" si="7"/>
        <v>40.8888888888889</v>
      </c>
      <c r="AA19" s="100">
        <v>0</v>
      </c>
      <c r="AB19" s="86">
        <f>+AA19*Analisis!$J$6</f>
        <v>0</v>
      </c>
      <c r="AC19" s="100">
        <v>0</v>
      </c>
      <c r="AD19" s="85">
        <f t="shared" si="8"/>
        <v>0</v>
      </c>
      <c r="AE19" s="86">
        <f>+AC19*Analisis!$J$7</f>
        <v>0</v>
      </c>
      <c r="AF19" s="308">
        <f>+H19*0.0254*I19*0.0254*2*(1+[3]Analisis!$G$2)</f>
        <v>0.37425409019999994</v>
      </c>
      <c r="AG19" s="86">
        <f>+AF19*Analisis!$J$8</f>
        <v>39.875882229642862</v>
      </c>
      <c r="AH19" s="309">
        <f t="shared" si="9"/>
        <v>313.6596521811627</v>
      </c>
      <c r="AI19" s="86">
        <f>+AH19/(1-Analisis!G24)</f>
        <v>313.6596521811627</v>
      </c>
      <c r="AJ19" s="86">
        <f t="shared" si="10"/>
        <v>337.26844320555131</v>
      </c>
      <c r="AK19" s="86">
        <f t="shared" si="11"/>
        <v>0</v>
      </c>
      <c r="AL19" s="310" t="e">
        <f>+VLOOKUP(B19,#REF!,2,FALSE)</f>
        <v>#REF!</v>
      </c>
      <c r="AM19" s="311" t="e">
        <f t="shared" si="13"/>
        <v>#REF!</v>
      </c>
      <c r="AN19" s="312" t="e">
        <f t="shared" si="12"/>
        <v>#REF!</v>
      </c>
    </row>
    <row r="20" spans="1:40" s="73" customFormat="1" x14ac:dyDescent="0.25">
      <c r="A20" s="303">
        <v>15</v>
      </c>
      <c r="B20" s="304" t="s">
        <v>157</v>
      </c>
      <c r="D20" s="74">
        <f>IFERROR(VLOOKUP(B20,'REQ. PINTADO'!B:C,2,0),0)</f>
        <v>0</v>
      </c>
      <c r="E20" s="305">
        <f t="shared" si="0"/>
        <v>361.24366548135066</v>
      </c>
      <c r="F20" s="103" t="s">
        <v>163</v>
      </c>
      <c r="G20" s="75" t="s">
        <v>147</v>
      </c>
      <c r="H20" s="90">
        <v>2.7</v>
      </c>
      <c r="I20" s="90">
        <v>91.75</v>
      </c>
      <c r="J20" s="76">
        <v>0.105</v>
      </c>
      <c r="K20" s="306">
        <v>7.54</v>
      </c>
      <c r="L20" s="78">
        <f t="shared" si="1"/>
        <v>27.131551811318705</v>
      </c>
      <c r="M20" s="58">
        <f>+VLOOKUP(F20,Material!$H$2:$M$17,6,FALSE)*H20*I20*(1+Material!$K$14)</f>
        <v>92.987227571519554</v>
      </c>
      <c r="N20" s="79" t="str">
        <f t="shared" si="14"/>
        <v>T5.0</v>
      </c>
      <c r="O20" s="80">
        <f>+VLOOKUP(N20,[3]Material!$A$3:$B$58,2,FALSE)</f>
        <v>5000</v>
      </c>
      <c r="P20" s="79" t="s">
        <v>42</v>
      </c>
      <c r="Q20" s="79" t="str">
        <f>+VLOOKUP(F20,[3]Material!$C$2:$E$12,2,FALSE)</f>
        <v>Cal 12</v>
      </c>
      <c r="R20" s="81">
        <f>+IF(P20="ACERO A36",VLOOKUP(Q20,'[3]Velocidades Std 1500 w'!$B$2:$F$15,5,FALSE),IF(P20="INOXIDABLE",VLOOKUP(Q20,'[3]Velocidades Std 1500 w'!$B$17:$F$28,5,FALSE),IF(P20="ALUMINIO",VLOOKUP(Q20,'[3]Velocidades Std 1500 w'!$B$30:$F$38,5,FALSE))))</f>
        <v>4.3859649122807014E-6</v>
      </c>
      <c r="S20" s="82">
        <f t="shared" si="2"/>
        <v>2.1929824561403508E-2</v>
      </c>
      <c r="T20" s="83">
        <f t="shared" si="3"/>
        <v>112.3929947368421</v>
      </c>
      <c r="U20" s="307">
        <f t="shared" si="4"/>
        <v>7118.223</v>
      </c>
      <c r="V20" s="80">
        <f t="shared" si="5"/>
        <v>156.10138157894735</v>
      </c>
      <c r="W20" s="98">
        <v>52</v>
      </c>
      <c r="X20" s="84">
        <f>+IF(P20="ACERO A36",VLOOKUP(Q20,'[3]Tiempo Objeto'!$B$2:$C$12,2,FALSE),IF(P20="INOXIDABLE",VLOOKUP(Q20,'[3]Tiempo Objeto'!$B$14:$C$22,2,FALSE),IF(P20="ALUMINIO",VLOOKUP(Q20,'[3]Tiempo Objeto'!$B$24:$C$32,2,FALSE))))</f>
        <v>0.6133333333333334</v>
      </c>
      <c r="Y20" s="84">
        <f t="shared" si="6"/>
        <v>31.893333333333338</v>
      </c>
      <c r="Z20" s="80">
        <f t="shared" si="7"/>
        <v>44.296296296296305</v>
      </c>
      <c r="AA20" s="100">
        <v>0</v>
      </c>
      <c r="AB20" s="86">
        <f>+AA20*Analisis!$J$6</f>
        <v>0</v>
      </c>
      <c r="AC20" s="100">
        <v>0</v>
      </c>
      <c r="AD20" s="85">
        <f t="shared" si="8"/>
        <v>0</v>
      </c>
      <c r="AE20" s="86">
        <f>+AC20*Analisis!$J$7</f>
        <v>0</v>
      </c>
      <c r="AF20" s="308">
        <f>+H20*0.0254*I20*0.0254*2*(1+[3]Analisis!$G$2)</f>
        <v>0.39955565250000002</v>
      </c>
      <c r="AG20" s="86">
        <f>+AF20*Analisis!$J$8</f>
        <v>42.571703450892869</v>
      </c>
      <c r="AH20" s="309">
        <f t="shared" si="9"/>
        <v>335.95660889765611</v>
      </c>
      <c r="AI20" s="86">
        <f>+AH20/(1-Analisis!G25)</f>
        <v>335.95660889765611</v>
      </c>
      <c r="AJ20" s="86">
        <f t="shared" si="10"/>
        <v>361.24366548135066</v>
      </c>
      <c r="AK20" s="86">
        <f t="shared" si="11"/>
        <v>0</v>
      </c>
      <c r="AL20" s="310" t="e">
        <f>+VLOOKUP(B20,#REF!,2,FALSE)</f>
        <v>#REF!</v>
      </c>
      <c r="AM20" s="311" t="e">
        <f t="shared" si="13"/>
        <v>#REF!</v>
      </c>
      <c r="AN20" s="312" t="e">
        <f t="shared" si="12"/>
        <v>#REF!</v>
      </c>
    </row>
    <row r="21" spans="1:40" s="73" customFormat="1" x14ac:dyDescent="0.25">
      <c r="A21" s="303">
        <v>16</v>
      </c>
      <c r="B21" s="304" t="s">
        <v>862</v>
      </c>
      <c r="D21" s="74">
        <f>IFERROR(VLOOKUP(B21,'REQ. PINTADO'!B:C,2,0),0)</f>
        <v>0</v>
      </c>
      <c r="E21" s="305">
        <f t="shared" si="0"/>
        <v>235.5674302860501</v>
      </c>
      <c r="F21" s="103" t="s">
        <v>163</v>
      </c>
      <c r="G21" s="75" t="s">
        <v>147</v>
      </c>
      <c r="H21" s="90">
        <v>6.08</v>
      </c>
      <c r="I21" s="90">
        <v>30.25</v>
      </c>
      <c r="J21" s="76">
        <v>0.105</v>
      </c>
      <c r="K21" s="306">
        <v>7.54</v>
      </c>
      <c r="L21" s="78">
        <f t="shared" si="1"/>
        <v>20.14344538959627</v>
      </c>
      <c r="M21" s="58">
        <f>+VLOOKUP(F21,Material!$H$2:$M$17,6,FALSE)*H21*I21*(1+Material!$K$14)</f>
        <v>69.037081017070847</v>
      </c>
      <c r="N21" s="79" t="str">
        <f t="shared" si="14"/>
        <v>T5.0</v>
      </c>
      <c r="O21" s="80">
        <f>+VLOOKUP(N21,[3]Material!$A$3:$B$58,2,FALSE)</f>
        <v>5000</v>
      </c>
      <c r="P21" s="79" t="s">
        <v>42</v>
      </c>
      <c r="Q21" s="79" t="str">
        <f>+VLOOKUP(F21,[3]Material!$C$2:$E$12,2,FALSE)</f>
        <v>Cal 12</v>
      </c>
      <c r="R21" s="81">
        <f>+IF(P21="ACERO A36",VLOOKUP(Q21,'[3]Velocidades Std 1500 w'!$B$2:$F$15,5,FALSE),IF(P21="INOXIDABLE",VLOOKUP(Q21,'[3]Velocidades Std 1500 w'!$B$17:$F$28,5,FALSE),IF(P21="ALUMINIO",VLOOKUP(Q21,'[3]Velocidades Std 1500 w'!$B$30:$F$38,5,FALSE))))</f>
        <v>4.3859649122807014E-6</v>
      </c>
      <c r="S21" s="82">
        <f t="shared" si="2"/>
        <v>2.1929824561403508E-2</v>
      </c>
      <c r="T21" s="83">
        <f t="shared" si="3"/>
        <v>40.072376842105257</v>
      </c>
      <c r="U21" s="307">
        <f t="shared" si="4"/>
        <v>2537.9171999999999</v>
      </c>
      <c r="V21" s="80">
        <f t="shared" si="5"/>
        <v>55.656078947368414</v>
      </c>
      <c r="W21" s="98">
        <v>15</v>
      </c>
      <c r="X21" s="84">
        <f>+IF(P21="ACERO A36",VLOOKUP(Q21,'[3]Tiempo Objeto'!$B$2:$C$12,2,FALSE),IF(P21="INOXIDABLE",VLOOKUP(Q21,'[3]Tiempo Objeto'!$B$14:$C$22,2,FALSE),IF(P21="ALUMINIO",VLOOKUP(Q21,'[3]Tiempo Objeto'!$B$24:$C$32,2,FALSE))))</f>
        <v>0.6133333333333334</v>
      </c>
      <c r="Y21" s="84">
        <f t="shared" si="6"/>
        <v>9.2000000000000011</v>
      </c>
      <c r="Z21" s="80">
        <f t="shared" si="7"/>
        <v>12.77777777777778</v>
      </c>
      <c r="AA21" s="100">
        <v>2</v>
      </c>
      <c r="AB21" s="86">
        <f>+AA21*Analisis!$J$6</f>
        <v>50</v>
      </c>
      <c r="AC21" s="100">
        <v>0</v>
      </c>
      <c r="AD21" s="85">
        <f t="shared" si="8"/>
        <v>0</v>
      </c>
      <c r="AE21" s="86">
        <f>+AC21*Analisis!$J$7</f>
        <v>0</v>
      </c>
      <c r="AF21" s="308">
        <f>+H21*0.0254*I21*0.0254*2*(1+[3]Analisis!$G$2)</f>
        <v>0.29664456799999994</v>
      </c>
      <c r="AG21" s="86">
        <f>+AF21*Analisis!$J$8</f>
        <v>31.606772423809527</v>
      </c>
      <c r="AH21" s="309">
        <f t="shared" si="9"/>
        <v>219.07771016602658</v>
      </c>
      <c r="AI21" s="86">
        <f>+AH21/(1-Analisis!G26)</f>
        <v>219.07771016602658</v>
      </c>
      <c r="AJ21" s="86">
        <f t="shared" si="10"/>
        <v>235.5674302860501</v>
      </c>
      <c r="AK21" s="86">
        <f t="shared" si="11"/>
        <v>0</v>
      </c>
      <c r="AL21" s="310" t="e">
        <f>+VLOOKUP(B21,#REF!,2,FALSE)</f>
        <v>#REF!</v>
      </c>
      <c r="AM21" s="311" t="e">
        <f t="shared" si="13"/>
        <v>#REF!</v>
      </c>
      <c r="AN21" s="312" t="e">
        <f t="shared" si="12"/>
        <v>#REF!</v>
      </c>
    </row>
    <row r="22" spans="1:40" s="73" customFormat="1" x14ac:dyDescent="0.25">
      <c r="A22" s="303">
        <v>17</v>
      </c>
      <c r="B22" s="304" t="s">
        <v>863</v>
      </c>
      <c r="D22" s="74">
        <f>IFERROR(VLOOKUP(B22,'REQ. PINTADO'!B:C,2,0),0)</f>
        <v>0</v>
      </c>
      <c r="E22" s="305">
        <f t="shared" si="0"/>
        <v>82.721299485991679</v>
      </c>
      <c r="F22" s="103" t="s">
        <v>163</v>
      </c>
      <c r="G22" s="75" t="s">
        <v>147</v>
      </c>
      <c r="H22" s="90">
        <v>4.5999999999999996</v>
      </c>
      <c r="I22" s="90">
        <v>3.5</v>
      </c>
      <c r="J22" s="76">
        <v>0.105</v>
      </c>
      <c r="K22" s="306">
        <v>0.49</v>
      </c>
      <c r="L22" s="78">
        <f t="shared" si="1"/>
        <v>27.133507576770839</v>
      </c>
      <c r="M22" s="58">
        <f>+VLOOKUP(F22,Material!$H$2:$M$17,6,FALSE)*H22*I22*(1+Material!$K$14)</f>
        <v>6.043372142098959</v>
      </c>
      <c r="N22" s="79" t="str">
        <f t="shared" si="14"/>
        <v>T5.0</v>
      </c>
      <c r="O22" s="80">
        <f>+VLOOKUP(N22,[3]Material!$A$3:$B$58,2,FALSE)</f>
        <v>5000</v>
      </c>
      <c r="P22" s="79" t="s">
        <v>42</v>
      </c>
      <c r="Q22" s="79" t="str">
        <f>+VLOOKUP(F22,[3]Material!$C$2:$E$12,2,FALSE)</f>
        <v>Cal 12</v>
      </c>
      <c r="R22" s="81">
        <f>+IF(P22="ACERO A36",VLOOKUP(Q22,'[3]Velocidades Std 1500 w'!$B$2:$F$15,5,FALSE),IF(P22="INOXIDABLE",VLOOKUP(Q22,'[3]Velocidades Std 1500 w'!$B$17:$F$28,5,FALSE),IF(P22="ALUMINIO",VLOOKUP(Q22,'[3]Velocidades Std 1500 w'!$B$30:$F$38,5,FALSE))))</f>
        <v>4.3859649122807014E-6</v>
      </c>
      <c r="S22" s="82">
        <f t="shared" si="2"/>
        <v>2.1929824561403508E-2</v>
      </c>
      <c r="T22" s="83">
        <f t="shared" si="3"/>
        <v>9.9801947368421047</v>
      </c>
      <c r="U22" s="307">
        <f t="shared" si="4"/>
        <v>632.07899999999995</v>
      </c>
      <c r="V22" s="80">
        <f t="shared" si="5"/>
        <v>13.861381578947366</v>
      </c>
      <c r="W22" s="98">
        <v>5</v>
      </c>
      <c r="X22" s="84">
        <f>+IF(P22="ACERO A36",VLOOKUP(Q22,'[3]Tiempo Objeto'!$B$2:$C$12,2,FALSE),IF(P22="INOXIDABLE",VLOOKUP(Q22,'[3]Tiempo Objeto'!$B$14:$C$22,2,FALSE),IF(P22="ALUMINIO",VLOOKUP(Q22,'[3]Tiempo Objeto'!$B$24:$C$32,2,FALSE))))</f>
        <v>0.6133333333333334</v>
      </c>
      <c r="Y22" s="84">
        <f t="shared" si="6"/>
        <v>3.0666666666666669</v>
      </c>
      <c r="Z22" s="80">
        <f t="shared" si="7"/>
        <v>4.2592592592592595</v>
      </c>
      <c r="AA22" s="100">
        <v>2</v>
      </c>
      <c r="AB22" s="86">
        <f>+AA22*Analisis!$J$6</f>
        <v>50</v>
      </c>
      <c r="AC22" s="100">
        <v>0</v>
      </c>
      <c r="AD22" s="85">
        <f t="shared" si="8"/>
        <v>0</v>
      </c>
      <c r="AE22" s="86">
        <f>+AC22*Analisis!$J$7</f>
        <v>0</v>
      </c>
      <c r="AF22" s="308">
        <f>+H22*0.0254*I22*0.0254*2*(1+[3]Analisis!$G$2)</f>
        <v>2.5967689999999995E-2</v>
      </c>
      <c r="AG22" s="86">
        <f>+AF22*Analisis!$J$8</f>
        <v>2.7667955416666667</v>
      </c>
      <c r="AH22" s="309">
        <f t="shared" si="9"/>
        <v>76.930808521972253</v>
      </c>
      <c r="AI22" s="86">
        <f>+AH22/(1-Analisis!G27)</f>
        <v>76.930808521972253</v>
      </c>
      <c r="AJ22" s="86">
        <f t="shared" si="10"/>
        <v>82.721299485991679</v>
      </c>
      <c r="AK22" s="86">
        <f t="shared" si="11"/>
        <v>0</v>
      </c>
      <c r="AL22" s="310" t="e">
        <f>+VLOOKUP(B22,#REF!,2,FALSE)</f>
        <v>#REF!</v>
      </c>
      <c r="AM22" s="311" t="e">
        <f t="shared" si="13"/>
        <v>#REF!</v>
      </c>
      <c r="AN22" s="312" t="e">
        <f t="shared" si="12"/>
        <v>#REF!</v>
      </c>
    </row>
    <row r="23" spans="1:40" s="73" customFormat="1" x14ac:dyDescent="0.25">
      <c r="A23" s="303">
        <v>18</v>
      </c>
      <c r="B23" s="304" t="s">
        <v>864</v>
      </c>
      <c r="D23" s="74">
        <f>IFERROR(VLOOKUP(B23,'REQ. PINTADO'!B:C,2,0),0)</f>
        <v>0</v>
      </c>
      <c r="E23" s="305">
        <f t="shared" si="0"/>
        <v>34.710325130835898</v>
      </c>
      <c r="F23" s="103" t="s">
        <v>165</v>
      </c>
      <c r="G23" s="75" t="s">
        <v>147</v>
      </c>
      <c r="H23" s="90">
        <v>2.25</v>
      </c>
      <c r="I23" s="90">
        <v>2.37</v>
      </c>
      <c r="J23" s="76">
        <v>0.105</v>
      </c>
      <c r="K23" s="306">
        <v>0.16</v>
      </c>
      <c r="L23" s="78">
        <f t="shared" si="1"/>
        <v>30.474404296875008</v>
      </c>
      <c r="M23" s="58">
        <f>+VLOOKUP(F23,Material!$H$2:$M$17,6,FALSE)*H23*I23*(1+Material!$K$14)</f>
        <v>2.2163203125000002</v>
      </c>
      <c r="N23" s="79" t="str">
        <f t="shared" si="14"/>
        <v>T5.0</v>
      </c>
      <c r="O23" s="80">
        <f>+VLOOKUP(N23,[3]Material!$A$3:$B$58,2,FALSE)</f>
        <v>5000</v>
      </c>
      <c r="P23" s="79" t="s">
        <v>42</v>
      </c>
      <c r="Q23" s="79" t="str">
        <f>+VLOOKUP(F23,[3]Material!$C$2:$E$12,2,FALSE)</f>
        <v>Cal 14</v>
      </c>
      <c r="R23" s="81">
        <f>+IF(P23="ACERO A36",VLOOKUP(Q23,'[3]Velocidades Std 1500 w'!$B$2:$F$15,5,FALSE),IF(P23="INOXIDABLE",VLOOKUP(Q23,'[3]Velocidades Std 1500 w'!$B$17:$F$28,5,FALSE),IF(P23="ALUMINIO",VLOOKUP(Q23,'[3]Velocidades Std 1500 w'!$B$30:$F$38,5,FALSE))))</f>
        <v>2.0080321285140564E-6</v>
      </c>
      <c r="S23" s="82">
        <f t="shared" si="2"/>
        <v>1.0040160642570283E-2</v>
      </c>
      <c r="T23" s="83">
        <f t="shared" si="3"/>
        <v>2.359813012048193</v>
      </c>
      <c r="U23" s="307">
        <f t="shared" si="4"/>
        <v>326.44080000000002</v>
      </c>
      <c r="V23" s="80">
        <f t="shared" si="5"/>
        <v>3.2775180722891575</v>
      </c>
      <c r="W23" s="98">
        <v>2</v>
      </c>
      <c r="X23" s="84">
        <f>+IF(P23="ACERO A36",VLOOKUP(Q23,'[3]Tiempo Objeto'!$B$2:$C$12,2,FALSE),IF(P23="INOXIDABLE",VLOOKUP(Q23,'[3]Tiempo Objeto'!$B$14:$C$22,2,FALSE),IF(P23="ALUMINIO",VLOOKUP(Q23,'[3]Tiempo Objeto'!$B$24:$C$32,2,FALSE))))</f>
        <v>0.3133333333333333</v>
      </c>
      <c r="Y23" s="84">
        <f t="shared" si="6"/>
        <v>0.62666666666666659</v>
      </c>
      <c r="Z23" s="80">
        <f t="shared" si="7"/>
        <v>0.87037037037037024</v>
      </c>
      <c r="AA23" s="100">
        <v>1</v>
      </c>
      <c r="AB23" s="86">
        <f>+AA23*Analisis!$J$6</f>
        <v>25</v>
      </c>
      <c r="AC23" s="100">
        <v>0</v>
      </c>
      <c r="AD23" s="85">
        <f t="shared" si="8"/>
        <v>0</v>
      </c>
      <c r="AE23" s="86">
        <f>+AC23*Analisis!$J$7</f>
        <v>0</v>
      </c>
      <c r="AF23" s="308">
        <f>+H23*0.0254*I23*0.0254*2*(1+[3]Analisis!$G$2)</f>
        <v>8.6007892499999992E-3</v>
      </c>
      <c r="AG23" s="86">
        <f>+AF23*Analisis!$J$8</f>
        <v>0.91639361651785733</v>
      </c>
      <c r="AH23" s="309">
        <f t="shared" si="9"/>
        <v>32.280602371677382</v>
      </c>
      <c r="AI23" s="86">
        <f>+AH23/(1-Analisis!G28)</f>
        <v>32.280602371677382</v>
      </c>
      <c r="AJ23" s="86">
        <f t="shared" si="10"/>
        <v>34.710325130835898</v>
      </c>
      <c r="AK23" s="86">
        <f t="shared" si="11"/>
        <v>0</v>
      </c>
      <c r="AL23" s="310" t="e">
        <f>+VLOOKUP(B23,#REF!,2,FALSE)</f>
        <v>#REF!</v>
      </c>
      <c r="AM23" s="311" t="e">
        <f t="shared" si="13"/>
        <v>#REF!</v>
      </c>
      <c r="AN23" s="312" t="e">
        <f t="shared" si="12"/>
        <v>#REF!</v>
      </c>
    </row>
    <row r="24" spans="1:40" s="73" customFormat="1" x14ac:dyDescent="0.25">
      <c r="A24" s="303">
        <v>19</v>
      </c>
      <c r="B24" s="304" t="s">
        <v>865</v>
      </c>
      <c r="D24" s="74">
        <f>IFERROR(VLOOKUP(B24,'REQ. PINTADO'!B:C,2,0),0)</f>
        <v>0</v>
      </c>
      <c r="E24" s="305">
        <f t="shared" si="0"/>
        <v>541.53133836446034</v>
      </c>
      <c r="F24" s="103" t="s">
        <v>163</v>
      </c>
      <c r="G24" s="75" t="s">
        <v>147</v>
      </c>
      <c r="H24" s="90">
        <v>19.04</v>
      </c>
      <c r="I24" s="90">
        <v>31.39</v>
      </c>
      <c r="J24" s="76">
        <v>0.105</v>
      </c>
      <c r="K24" s="306">
        <v>18.23</v>
      </c>
      <c r="L24" s="78">
        <f t="shared" si="1"/>
        <v>27.073707601380196</v>
      </c>
      <c r="M24" s="58">
        <f>+VLOOKUP(F24,Material!$H$2:$M$17,6,FALSE)*H24*I24*(1+Material!$K$14)</f>
        <v>224.34258616961861</v>
      </c>
      <c r="N24" s="79" t="str">
        <f t="shared" si="14"/>
        <v>T5.0</v>
      </c>
      <c r="O24" s="80">
        <f>+VLOOKUP(N24,[3]Material!$A$3:$B$58,2,FALSE)</f>
        <v>5000</v>
      </c>
      <c r="P24" s="79" t="s">
        <v>42</v>
      </c>
      <c r="Q24" s="79" t="str">
        <f>+VLOOKUP(F24,[3]Material!$C$2:$E$12,2,FALSE)</f>
        <v>Cal 12</v>
      </c>
      <c r="R24" s="81">
        <f>+IF(P24="ACERO A36",VLOOKUP(Q24,'[3]Velocidades Std 1500 w'!$B$2:$F$15,5,FALSE),IF(P24="INOXIDABLE",VLOOKUP(Q24,'[3]Velocidades Std 1500 w'!$B$17:$F$28,5,FALSE),IF(P24="ALUMINIO",VLOOKUP(Q24,'[3]Velocidades Std 1500 w'!$B$30:$F$38,5,FALSE))))</f>
        <v>4.3859649122807014E-6</v>
      </c>
      <c r="S24" s="82">
        <f t="shared" si="2"/>
        <v>2.1929824561403508E-2</v>
      </c>
      <c r="T24" s="83">
        <f t="shared" si="3"/>
        <v>85.425413684210525</v>
      </c>
      <c r="U24" s="307">
        <f t="shared" si="4"/>
        <v>5410.2762000000002</v>
      </c>
      <c r="V24" s="80">
        <f t="shared" si="5"/>
        <v>118.64640789473684</v>
      </c>
      <c r="W24" s="98">
        <v>68</v>
      </c>
      <c r="X24" s="84">
        <f>+IF(P24="ACERO A36",VLOOKUP(Q24,'[3]Tiempo Objeto'!$B$2:$C$12,2,FALSE),IF(P24="INOXIDABLE",VLOOKUP(Q24,'[3]Tiempo Objeto'!$B$14:$C$22,2,FALSE),IF(P24="ALUMINIO",VLOOKUP(Q24,'[3]Tiempo Objeto'!$B$24:$C$32,2,FALSE))))</f>
        <v>0.6133333333333334</v>
      </c>
      <c r="Y24" s="84">
        <f t="shared" si="6"/>
        <v>41.706666666666671</v>
      </c>
      <c r="Z24" s="80">
        <f t="shared" si="7"/>
        <v>57.925925925925931</v>
      </c>
      <c r="AA24" s="100">
        <v>0</v>
      </c>
      <c r="AB24" s="86">
        <f>+AA24*Analisis!$J$6</f>
        <v>0</v>
      </c>
      <c r="AC24" s="100">
        <v>0</v>
      </c>
      <c r="AD24" s="85">
        <f t="shared" si="8"/>
        <v>0</v>
      </c>
      <c r="AE24" s="86">
        <f>+AC24*Analisis!$J$7</f>
        <v>0</v>
      </c>
      <c r="AF24" s="308">
        <f>+H24*0.0254*I24*0.0254*2*(1+[3]Analisis!$G$2)</f>
        <v>0.96397484623999985</v>
      </c>
      <c r="AG24" s="86">
        <f>+AF24*Analisis!$J$8</f>
        <v>102.70922468866668</v>
      </c>
      <c r="AH24" s="309">
        <f t="shared" si="9"/>
        <v>503.62414467894808</v>
      </c>
      <c r="AI24" s="86">
        <f>+AH24/(1-Analisis!G29)</f>
        <v>503.62414467894808</v>
      </c>
      <c r="AJ24" s="86">
        <f t="shared" si="10"/>
        <v>541.53133836446034</v>
      </c>
      <c r="AK24" s="86">
        <f t="shared" si="11"/>
        <v>0</v>
      </c>
      <c r="AL24" s="310" t="e">
        <f>+VLOOKUP(B24,#REF!,2,FALSE)</f>
        <v>#REF!</v>
      </c>
      <c r="AM24" s="311" t="e">
        <f t="shared" si="13"/>
        <v>#REF!</v>
      </c>
      <c r="AN24" s="312" t="e">
        <f t="shared" si="12"/>
        <v>#REF!</v>
      </c>
    </row>
    <row r="25" spans="1:40" s="73" customFormat="1" x14ac:dyDescent="0.25">
      <c r="A25" s="303"/>
      <c r="B25" s="304" t="s">
        <v>866</v>
      </c>
      <c r="D25" s="74">
        <f>IFERROR(VLOOKUP(B25,'REQ. PINTADO'!B:C,2,0),0)</f>
        <v>0</v>
      </c>
      <c r="E25" s="305">
        <f t="shared" si="0"/>
        <v>643.88880901983737</v>
      </c>
      <c r="F25" s="103" t="s">
        <v>163</v>
      </c>
      <c r="G25" s="75" t="s">
        <v>147</v>
      </c>
      <c r="H25" s="90">
        <v>24.04</v>
      </c>
      <c r="I25" s="90">
        <v>31.39</v>
      </c>
      <c r="J25" s="76">
        <v>0.105</v>
      </c>
      <c r="K25" s="306">
        <v>23.02</v>
      </c>
      <c r="L25" s="78">
        <f t="shared" si="1"/>
        <v>27.070520285016116</v>
      </c>
      <c r="M25" s="58">
        <f>+VLOOKUP(F25,Material!$H$2:$M$17,6,FALSE)*H25*I25*(1+Material!$K$14)</f>
        <v>283.25608043685043</v>
      </c>
      <c r="N25" s="79" t="str">
        <f t="shared" si="14"/>
        <v>T5.0</v>
      </c>
      <c r="O25" s="80">
        <f>+VLOOKUP(N25,[3]Material!$A$3:$B$58,2,FALSE)</f>
        <v>5000</v>
      </c>
      <c r="P25" s="79" t="s">
        <v>42</v>
      </c>
      <c r="Q25" s="79" t="str">
        <f>+VLOOKUP(F25,[3]Material!$C$2:$E$12,2,FALSE)</f>
        <v>Cal 12</v>
      </c>
      <c r="R25" s="81">
        <f>+IF(P25="ACERO A36",VLOOKUP(Q25,'[3]Velocidades Std 1500 w'!$B$2:$F$15,5,FALSE),IF(P25="INOXIDABLE",VLOOKUP(Q25,'[3]Velocidades Std 1500 w'!$B$17:$F$28,5,FALSE),IF(P25="ALUMINIO",VLOOKUP(Q25,'[3]Velocidades Std 1500 w'!$B$30:$F$38,5,FALSE))))</f>
        <v>4.3859649122807014E-6</v>
      </c>
      <c r="S25" s="82">
        <f t="shared" si="2"/>
        <v>2.1929824561403508E-2</v>
      </c>
      <c r="T25" s="83">
        <f t="shared" si="3"/>
        <v>90.899782105263156</v>
      </c>
      <c r="U25" s="307">
        <f t="shared" si="4"/>
        <v>5756.9862000000003</v>
      </c>
      <c r="V25" s="80">
        <f t="shared" si="5"/>
        <v>126.24969736842105</v>
      </c>
      <c r="W25" s="98">
        <v>70</v>
      </c>
      <c r="X25" s="84">
        <f>+IF(P25="ACERO A36",VLOOKUP(Q25,'[3]Tiempo Objeto'!$B$2:$C$12,2,FALSE),IF(P25="INOXIDABLE",VLOOKUP(Q25,'[3]Tiempo Objeto'!$B$14:$C$22,2,FALSE),IF(P25="ALUMINIO",VLOOKUP(Q25,'[3]Tiempo Objeto'!$B$24:$C$32,2,FALSE))))</f>
        <v>0.6133333333333334</v>
      </c>
      <c r="Y25" s="84">
        <f t="shared" si="6"/>
        <v>42.933333333333337</v>
      </c>
      <c r="Z25" s="80">
        <f t="shared" si="7"/>
        <v>59.629629629629633</v>
      </c>
      <c r="AA25" s="100">
        <v>0</v>
      </c>
      <c r="AB25" s="86">
        <f>+AA25*Analisis!$J$6</f>
        <v>0</v>
      </c>
      <c r="AC25" s="100">
        <v>0</v>
      </c>
      <c r="AD25" s="85">
        <f t="shared" si="8"/>
        <v>0</v>
      </c>
      <c r="AE25" s="86">
        <f>+AC25*Analisis!$J$7</f>
        <v>0</v>
      </c>
      <c r="AF25" s="308">
        <f>+H25*0.0254*I25*0.0254*2*(1+[3]Analisis!$G$2)</f>
        <v>1.2171195012399998</v>
      </c>
      <c r="AG25" s="86">
        <f>+AF25*Analisis!$J$8</f>
        <v>129.68118495354764</v>
      </c>
      <c r="AH25" s="309">
        <f t="shared" si="9"/>
        <v>598.81659238844873</v>
      </c>
      <c r="AI25" s="86">
        <f>+AH25/(1-Analisis!G30)</f>
        <v>598.81659238844873</v>
      </c>
      <c r="AJ25" s="86">
        <f t="shared" si="10"/>
        <v>643.88880901983737</v>
      </c>
      <c r="AK25" s="86">
        <f t="shared" si="11"/>
        <v>0</v>
      </c>
      <c r="AL25" s="310" t="e">
        <f>+VLOOKUP(B25,#REF!,2,FALSE)</f>
        <v>#REF!</v>
      </c>
      <c r="AM25" s="311" t="e">
        <f t="shared" si="13"/>
        <v>#REF!</v>
      </c>
      <c r="AN25" s="312" t="e">
        <f t="shared" si="12"/>
        <v>#REF!</v>
      </c>
    </row>
    <row r="26" spans="1:40" s="73" customFormat="1" x14ac:dyDescent="0.25">
      <c r="A26" s="303">
        <v>20</v>
      </c>
      <c r="B26" s="304" t="s">
        <v>867</v>
      </c>
      <c r="D26" s="74">
        <f>IFERROR(VLOOKUP(B26,'REQ. PINTADO'!B:C,2,0),0)</f>
        <v>0</v>
      </c>
      <c r="E26" s="305">
        <f t="shared" si="0"/>
        <v>420.64008182258817</v>
      </c>
      <c r="F26" s="103" t="s">
        <v>163</v>
      </c>
      <c r="G26" s="75" t="s">
        <v>147</v>
      </c>
      <c r="H26" s="90">
        <v>19.04</v>
      </c>
      <c r="I26" s="90">
        <v>21.39</v>
      </c>
      <c r="J26" s="76">
        <v>0.105</v>
      </c>
      <c r="K26" s="306">
        <v>45.122999999999998</v>
      </c>
      <c r="L26" s="78">
        <f t="shared" si="1"/>
        <v>7.4534253430485027</v>
      </c>
      <c r="M26" s="58">
        <f>+VLOOKUP(F26,Material!$H$2:$M$17,6,FALSE)*H26*I26*(1+Material!$K$14)</f>
        <v>152.87314170653525</v>
      </c>
      <c r="N26" s="79" t="str">
        <f t="shared" si="14"/>
        <v>T5.0</v>
      </c>
      <c r="O26" s="80">
        <f>+VLOOKUP(N26,[3]Material!$A$3:$B$58,2,FALSE)</f>
        <v>5000</v>
      </c>
      <c r="P26" s="79" t="s">
        <v>42</v>
      </c>
      <c r="Q26" s="79" t="str">
        <f>+VLOOKUP(F26,[3]Material!$C$2:$E$12,2,FALSE)</f>
        <v>Cal 12</v>
      </c>
      <c r="R26" s="81">
        <f>+IF(P26="ACERO A36",VLOOKUP(Q26,'[3]Velocidades Std 1500 w'!$B$2:$F$15,5,FALSE),IF(P26="INOXIDABLE",VLOOKUP(Q26,'[3]Velocidades Std 1500 w'!$B$17:$F$28,5,FALSE),IF(P26="ALUMINIO",VLOOKUP(Q26,'[3]Velocidades Std 1500 w'!$B$30:$F$38,5,FALSE))))</f>
        <v>4.3859649122807014E-6</v>
      </c>
      <c r="S26" s="82">
        <f t="shared" si="2"/>
        <v>2.1929824561403508E-2</v>
      </c>
      <c r="T26" s="83">
        <f t="shared" si="3"/>
        <v>78.266624210526317</v>
      </c>
      <c r="U26" s="307">
        <f t="shared" si="4"/>
        <v>4956.8861999999999</v>
      </c>
      <c r="V26" s="80">
        <f t="shared" si="5"/>
        <v>108.70364473684209</v>
      </c>
      <c r="W26" s="98">
        <v>70</v>
      </c>
      <c r="X26" s="84">
        <f>+IF(P26="ACERO A36",VLOOKUP(Q26,'[3]Tiempo Objeto'!$B$2:$C$12,2,FALSE),IF(P26="INOXIDABLE",VLOOKUP(Q26,'[3]Tiempo Objeto'!$B$14:$C$22,2,FALSE),IF(P26="ALUMINIO",VLOOKUP(Q26,'[3]Tiempo Objeto'!$B$24:$C$32,2,FALSE))))</f>
        <v>0.6133333333333334</v>
      </c>
      <c r="Y26" s="84">
        <f t="shared" si="6"/>
        <v>42.933333333333337</v>
      </c>
      <c r="Z26" s="80">
        <f t="shared" si="7"/>
        <v>59.629629629629633</v>
      </c>
      <c r="AA26" s="100">
        <v>0</v>
      </c>
      <c r="AB26" s="86">
        <f>+AA26*Analisis!$J$6</f>
        <v>0</v>
      </c>
      <c r="AC26" s="100">
        <v>0</v>
      </c>
      <c r="AD26" s="85">
        <f t="shared" si="8"/>
        <v>0</v>
      </c>
      <c r="AE26" s="86">
        <f>+AC26*Analisis!$J$7</f>
        <v>0</v>
      </c>
      <c r="AF26" s="308">
        <f>+H26*0.0254*I26*0.0254*2*(1+[3]Analisis!$G$2)</f>
        <v>0.65687868624000001</v>
      </c>
      <c r="AG26" s="86">
        <f>+AF26*Analisis!$J$8</f>
        <v>69.988860022000026</v>
      </c>
      <c r="AH26" s="309">
        <f t="shared" si="9"/>
        <v>391.19527609500699</v>
      </c>
      <c r="AI26" s="86">
        <f>+AH26/(1-Analisis!G31)</f>
        <v>391.19527609500699</v>
      </c>
      <c r="AJ26" s="86">
        <f t="shared" si="10"/>
        <v>420.64008182258817</v>
      </c>
      <c r="AK26" s="86">
        <f t="shared" si="11"/>
        <v>0</v>
      </c>
      <c r="AL26" s="310" t="e">
        <f>+VLOOKUP(B26,#REF!,2,FALSE)</f>
        <v>#REF!</v>
      </c>
      <c r="AM26" s="311" t="e">
        <f t="shared" si="13"/>
        <v>#REF!</v>
      </c>
      <c r="AN26" s="312" t="e">
        <f t="shared" si="12"/>
        <v>#REF!</v>
      </c>
    </row>
    <row r="27" spans="1:40" s="73" customFormat="1" x14ac:dyDescent="0.25">
      <c r="A27" s="303"/>
      <c r="B27" s="304" t="s">
        <v>868</v>
      </c>
      <c r="D27" s="74">
        <f>IFERROR(VLOOKUP(B27,'REQ. PINTADO'!B:C,2,0),0)</f>
        <v>0</v>
      </c>
      <c r="E27" s="305">
        <f t="shared" si="0"/>
        <v>489.8587587455969</v>
      </c>
      <c r="F27" s="103" t="s">
        <v>163</v>
      </c>
      <c r="G27" s="75" t="s">
        <v>147</v>
      </c>
      <c r="H27" s="90">
        <v>24.04</v>
      </c>
      <c r="I27" s="90">
        <v>21.39</v>
      </c>
      <c r="J27" s="76">
        <v>0.105</v>
      </c>
      <c r="K27" s="306">
        <v>45.122999999999998</v>
      </c>
      <c r="L27" s="78">
        <f t="shared" si="1"/>
        <v>9.4107324184288892</v>
      </c>
      <c r="M27" s="58">
        <f>+VLOOKUP(F27,Material!$H$2:$M$17,6,FALSE)*H27*I27*(1+Material!$K$14)</f>
        <v>193.01839950762124</v>
      </c>
      <c r="N27" s="79" t="str">
        <f t="shared" si="14"/>
        <v>T5.0</v>
      </c>
      <c r="O27" s="80">
        <f>+VLOOKUP(N27,[3]Material!$A$3:$B$58,2,FALSE)</f>
        <v>5000</v>
      </c>
      <c r="P27" s="79" t="s">
        <v>42</v>
      </c>
      <c r="Q27" s="79" t="str">
        <f>+VLOOKUP(F27,[3]Material!$C$2:$E$12,2,FALSE)</f>
        <v>Cal 12</v>
      </c>
      <c r="R27" s="81">
        <f>+IF(P27="ACERO A36",VLOOKUP(Q27,'[3]Velocidades Std 1500 w'!$B$2:$F$15,5,FALSE),IF(P27="INOXIDABLE",VLOOKUP(Q27,'[3]Velocidades Std 1500 w'!$B$17:$F$28,5,FALSE),IF(P27="ALUMINIO",VLOOKUP(Q27,'[3]Velocidades Std 1500 w'!$B$30:$F$38,5,FALSE))))</f>
        <v>4.3859649122807014E-6</v>
      </c>
      <c r="S27" s="82">
        <f t="shared" si="2"/>
        <v>2.1929824561403508E-2</v>
      </c>
      <c r="T27" s="83">
        <f t="shared" si="3"/>
        <v>82.477676842105268</v>
      </c>
      <c r="U27" s="307">
        <f t="shared" si="4"/>
        <v>5223.5862000000006</v>
      </c>
      <c r="V27" s="80">
        <f t="shared" si="5"/>
        <v>114.55232894736842</v>
      </c>
      <c r="W27" s="98">
        <v>70</v>
      </c>
      <c r="X27" s="84">
        <f>+IF(P27="ACERO A36",VLOOKUP(Q27,'[3]Tiempo Objeto'!$B$2:$C$12,2,FALSE),IF(P27="INOXIDABLE",VLOOKUP(Q27,'[3]Tiempo Objeto'!$B$14:$C$22,2,FALSE),IF(P27="ALUMINIO",VLOOKUP(Q27,'[3]Tiempo Objeto'!$B$24:$C$32,2,FALSE))))</f>
        <v>0.6133333333333334</v>
      </c>
      <c r="Y27" s="84">
        <f t="shared" si="6"/>
        <v>42.933333333333337</v>
      </c>
      <c r="Z27" s="80">
        <f t="shared" si="7"/>
        <v>59.629629629629633</v>
      </c>
      <c r="AA27" s="100">
        <v>0</v>
      </c>
      <c r="AB27" s="86">
        <f>+AA27*Analisis!$J$6</f>
        <v>0</v>
      </c>
      <c r="AC27" s="100">
        <v>0</v>
      </c>
      <c r="AD27" s="85">
        <f t="shared" si="8"/>
        <v>0</v>
      </c>
      <c r="AE27" s="86">
        <f>+AC27*Analisis!$J$7</f>
        <v>0</v>
      </c>
      <c r="AF27" s="308">
        <f>+H27*0.0254*I27*0.0254*2*(1+[3]Analisis!$G$2)</f>
        <v>0.82937834123999998</v>
      </c>
      <c r="AG27" s="86">
        <f>+AF27*Analisis!$J$8</f>
        <v>88.368287548785744</v>
      </c>
      <c r="AH27" s="309">
        <f t="shared" si="9"/>
        <v>455.56864563340508</v>
      </c>
      <c r="AI27" s="86">
        <f>+AH27/(1-Analisis!G32)</f>
        <v>455.56864563340508</v>
      </c>
      <c r="AJ27" s="86">
        <f t="shared" si="10"/>
        <v>489.8587587455969</v>
      </c>
      <c r="AK27" s="86">
        <f t="shared" si="11"/>
        <v>0</v>
      </c>
      <c r="AL27" s="310" t="e">
        <f>+VLOOKUP(B27,#REF!,2,FALSE)</f>
        <v>#REF!</v>
      </c>
      <c r="AM27" s="311" t="e">
        <f t="shared" si="13"/>
        <v>#REF!</v>
      </c>
      <c r="AN27" s="312" t="e">
        <f t="shared" si="12"/>
        <v>#REF!</v>
      </c>
    </row>
    <row r="28" spans="1:40" s="73" customFormat="1" x14ac:dyDescent="0.25">
      <c r="A28" s="303">
        <v>21</v>
      </c>
      <c r="B28" s="304" t="s">
        <v>869</v>
      </c>
      <c r="D28" s="74">
        <f>IFERROR(VLOOKUP(B28,'REQ. PINTADO'!B:C,2,0),0)</f>
        <v>0</v>
      </c>
      <c r="E28" s="305">
        <f t="shared" si="0"/>
        <v>213.9631580343418</v>
      </c>
      <c r="F28" s="103" t="s">
        <v>164</v>
      </c>
      <c r="G28" s="75" t="s">
        <v>147</v>
      </c>
      <c r="H28" s="90">
        <v>8.3000000000000007</v>
      </c>
      <c r="I28" s="90">
        <v>8.41</v>
      </c>
      <c r="J28" s="76">
        <v>0.105</v>
      </c>
      <c r="K28" s="306">
        <v>45.122999999999998</v>
      </c>
      <c r="L28" s="78">
        <f t="shared" si="1"/>
        <v>2.3574865044803466</v>
      </c>
      <c r="M28" s="58">
        <f>+VLOOKUP(F28,Material!$H$2:$M$17,6,FALSE)*H28*I28*(1+Material!$K$14)</f>
        <v>48.353119791666671</v>
      </c>
      <c r="N28" s="79" t="str">
        <f t="shared" si="14"/>
        <v>T5.0</v>
      </c>
      <c r="O28" s="80">
        <f>+VLOOKUP(N28,[3]Material!$A$3:$B$58,2,FALSE)</f>
        <v>5000</v>
      </c>
      <c r="P28" s="79" t="s">
        <v>42</v>
      </c>
      <c r="Q28" s="79" t="str">
        <f>+VLOOKUP(F28,[3]Material!$C$2:$E$12,2,FALSE)</f>
        <v>Cal 10</v>
      </c>
      <c r="R28" s="81">
        <f>+IF(P28="ACERO A36",VLOOKUP(Q28,'[3]Velocidades Std 1500 w'!$B$2:$F$15,5,FALSE),IF(P28="INOXIDABLE",VLOOKUP(Q28,'[3]Velocidades Std 1500 w'!$B$17:$F$28,5,FALSE),IF(P28="ALUMINIO",VLOOKUP(Q28,'[3]Velocidades Std 1500 w'!$B$30:$F$38,5,FALSE))))</f>
        <v>6.1728395061728391E-6</v>
      </c>
      <c r="S28" s="82">
        <f t="shared" si="2"/>
        <v>3.0864197530864196E-2</v>
      </c>
      <c r="T28" s="83">
        <f t="shared" si="3"/>
        <v>24.251919999999998</v>
      </c>
      <c r="U28" s="307">
        <f t="shared" si="4"/>
        <v>1091.3363999999999</v>
      </c>
      <c r="V28" s="80">
        <f t="shared" si="5"/>
        <v>33.68322222222222</v>
      </c>
      <c r="W28" s="98">
        <v>5</v>
      </c>
      <c r="X28" s="84">
        <f>+IF(P28="ACERO A36",VLOOKUP(Q28,'[3]Tiempo Objeto'!$B$2:$C$12,2,FALSE),IF(P28="INOXIDABLE",VLOOKUP(Q28,'[3]Tiempo Objeto'!$B$14:$C$22,2,FALSE),IF(P28="ALUMINIO",VLOOKUP(Q28,'[3]Tiempo Objeto'!$B$24:$C$32,2,FALSE))))</f>
        <v>0.71333333333333337</v>
      </c>
      <c r="Y28" s="84">
        <f t="shared" si="6"/>
        <v>3.5666666666666669</v>
      </c>
      <c r="Z28" s="80">
        <f t="shared" si="7"/>
        <v>4.9537037037037042</v>
      </c>
      <c r="AA28" s="100">
        <v>4</v>
      </c>
      <c r="AB28" s="86">
        <f>+AA28*Analisis!$J$6</f>
        <v>100</v>
      </c>
      <c r="AC28" s="100">
        <v>0</v>
      </c>
      <c r="AD28" s="85">
        <f t="shared" si="8"/>
        <v>0</v>
      </c>
      <c r="AE28" s="86">
        <f>+AC28*Analisis!$J$7</f>
        <v>0</v>
      </c>
      <c r="AF28" s="308">
        <f>+H28*0.0254*I28*0.0254*2*(1+[3]Analisis!$G$2)</f>
        <v>0.11258525870000001</v>
      </c>
      <c r="AG28" s="86">
        <f>+AF28*Analisis!$J$8</f>
        <v>11.995691254345243</v>
      </c>
      <c r="AH28" s="309">
        <f t="shared" si="9"/>
        <v>198.98573697193785</v>
      </c>
      <c r="AI28" s="86">
        <f>+AH28/(1-Analisis!G33)</f>
        <v>198.98573697193785</v>
      </c>
      <c r="AJ28" s="86">
        <f t="shared" si="10"/>
        <v>213.9631580343418</v>
      </c>
      <c r="AK28" s="86">
        <f t="shared" si="11"/>
        <v>0</v>
      </c>
      <c r="AL28" s="310" t="e">
        <f>+VLOOKUP(B28,#REF!,2,FALSE)</f>
        <v>#REF!</v>
      </c>
      <c r="AM28" s="311" t="e">
        <f t="shared" si="13"/>
        <v>#REF!</v>
      </c>
      <c r="AN28" s="312" t="e">
        <f t="shared" si="12"/>
        <v>#REF!</v>
      </c>
    </row>
    <row r="29" spans="1:40" s="73" customFormat="1" x14ac:dyDescent="0.25">
      <c r="A29" s="303">
        <v>22</v>
      </c>
      <c r="B29" s="304" t="s">
        <v>870</v>
      </c>
      <c r="D29" s="74">
        <f>IFERROR(VLOOKUP(B29,'REQ. PINTADO'!B:C,2,0),0)</f>
        <v>0</v>
      </c>
      <c r="E29" s="305">
        <f t="shared" si="0"/>
        <v>1201.1543244190484</v>
      </c>
      <c r="F29" s="103" t="s">
        <v>165</v>
      </c>
      <c r="G29" s="75" t="s">
        <v>147</v>
      </c>
      <c r="H29" s="90">
        <v>12.31</v>
      </c>
      <c r="I29" s="90">
        <v>108.95</v>
      </c>
      <c r="J29" s="76">
        <v>0.105</v>
      </c>
      <c r="K29" s="306">
        <v>40.909999999999997</v>
      </c>
      <c r="L29" s="78">
        <f t="shared" si="1"/>
        <v>29.976446674101698</v>
      </c>
      <c r="M29" s="58">
        <f>+VLOOKUP(F29,Material!$H$2:$M$17,6,FALSE)*H29*I29*(1+Material!$K$14)</f>
        <v>557.42565156250009</v>
      </c>
      <c r="N29" s="79" t="str">
        <f t="shared" si="14"/>
        <v>T5.0</v>
      </c>
      <c r="O29" s="80">
        <f>+VLOOKUP(N29,[3]Material!$A$3:$B$58,2,FALSE)</f>
        <v>5000</v>
      </c>
      <c r="P29" s="79" t="s">
        <v>42</v>
      </c>
      <c r="Q29" s="79" t="str">
        <f>+VLOOKUP(F29,[3]Material!$C$2:$E$12,2,FALSE)</f>
        <v>Cal 14</v>
      </c>
      <c r="R29" s="81">
        <f>+IF(P29="ACERO A36",VLOOKUP(Q29,'[3]Velocidades Std 1500 w'!$B$2:$F$15,5,FALSE),IF(P29="INOXIDABLE",VLOOKUP(Q29,'[3]Velocidades Std 1500 w'!$B$17:$F$28,5,FALSE),IF(P29="ALUMINIO",VLOOKUP(Q29,'[3]Velocidades Std 1500 w'!$B$30:$F$38,5,FALSE))))</f>
        <v>2.0080321285140564E-6</v>
      </c>
      <c r="S29" s="82">
        <f t="shared" si="2"/>
        <v>1.0040160642570283E-2</v>
      </c>
      <c r="T29" s="83">
        <f t="shared" si="3"/>
        <v>51.672964337349399</v>
      </c>
      <c r="U29" s="307">
        <f t="shared" si="4"/>
        <v>7148.0933999999988</v>
      </c>
      <c r="V29" s="80">
        <f t="shared" si="5"/>
        <v>71.76800602409638</v>
      </c>
      <c r="W29" s="98">
        <v>17</v>
      </c>
      <c r="X29" s="84">
        <f>+IF(P29="ACERO A36",VLOOKUP(Q29,'[3]Tiempo Objeto'!$B$2:$C$12,2,FALSE),IF(P29="INOXIDABLE",VLOOKUP(Q29,'[3]Tiempo Objeto'!$B$14:$C$22,2,FALSE),IF(P29="ALUMINIO",VLOOKUP(Q29,'[3]Tiempo Objeto'!$B$24:$C$32,2,FALSE))))</f>
        <v>0.3133333333333333</v>
      </c>
      <c r="Y29" s="84">
        <f t="shared" si="6"/>
        <v>5.3266666666666662</v>
      </c>
      <c r="Z29" s="80">
        <f t="shared" si="7"/>
        <v>7.3981481481481479</v>
      </c>
      <c r="AA29" s="100">
        <v>10</v>
      </c>
      <c r="AB29" s="86">
        <f>+AA29*Analisis!$J$6</f>
        <v>250</v>
      </c>
      <c r="AC29" s="100">
        <v>0</v>
      </c>
      <c r="AD29" s="85">
        <f t="shared" si="8"/>
        <v>0</v>
      </c>
      <c r="AE29" s="86">
        <f>+AC29*Analisis!$J$7</f>
        <v>0</v>
      </c>
      <c r="AF29" s="308">
        <f>+H29*0.0254*I29*0.0254*2*(1+[3]Analisis!$G$2)</f>
        <v>2.1631803510500003</v>
      </c>
      <c r="AG29" s="86">
        <f>+AF29*Analisis!$J$8</f>
        <v>230.48171597497034</v>
      </c>
      <c r="AH29" s="309">
        <f t="shared" si="9"/>
        <v>1117.0735217097149</v>
      </c>
      <c r="AI29" s="86">
        <f>+AH29/(1-Analisis!G34)</f>
        <v>1117.0735217097149</v>
      </c>
      <c r="AJ29" s="86">
        <f t="shared" si="10"/>
        <v>1201.1543244190484</v>
      </c>
      <c r="AK29" s="86">
        <f t="shared" si="11"/>
        <v>0</v>
      </c>
      <c r="AL29" s="310" t="e">
        <f>+VLOOKUP(B29,#REF!,2,FALSE)</f>
        <v>#REF!</v>
      </c>
      <c r="AM29" s="311" t="e">
        <f t="shared" si="13"/>
        <v>#REF!</v>
      </c>
      <c r="AN29" s="312" t="e">
        <f t="shared" si="12"/>
        <v>#REF!</v>
      </c>
    </row>
    <row r="30" spans="1:40" s="73" customFormat="1" x14ac:dyDescent="0.25">
      <c r="A30" s="303">
        <v>23</v>
      </c>
      <c r="B30" s="304" t="s">
        <v>871</v>
      </c>
      <c r="D30" s="74">
        <f>IFERROR(VLOOKUP(B30,'REQ. PINTADO'!B:C,2,0),0)</f>
        <v>0</v>
      </c>
      <c r="E30" s="305">
        <f t="shared" si="0"/>
        <v>2130.8849906029618</v>
      </c>
      <c r="F30" s="103" t="s">
        <v>163</v>
      </c>
      <c r="G30" s="75" t="s">
        <v>147</v>
      </c>
      <c r="H30" s="90">
        <v>20.85</v>
      </c>
      <c r="I30" s="90">
        <v>91.58</v>
      </c>
      <c r="J30" s="76">
        <v>0.105</v>
      </c>
      <c r="K30" s="306">
        <v>58.24</v>
      </c>
      <c r="L30" s="78">
        <f t="shared" si="1"/>
        <v>27.074564228632966</v>
      </c>
      <c r="M30" s="58">
        <f>+VLOOKUP(F30,Material!$H$2:$M$17,6,FALSE)*H30*I30*(1+Material!$K$14)</f>
        <v>716.7375548525381</v>
      </c>
      <c r="N30" s="79" t="str">
        <f t="shared" si="14"/>
        <v>T5.0</v>
      </c>
      <c r="O30" s="80">
        <f>+VLOOKUP(N30,[3]Material!$A$3:$B$58,2,FALSE)</f>
        <v>5000</v>
      </c>
      <c r="P30" s="79" t="s">
        <v>42</v>
      </c>
      <c r="Q30" s="79" t="str">
        <f>+VLOOKUP(F30,[3]Material!$C$2:$E$12,2,FALSE)</f>
        <v>Cal 12</v>
      </c>
      <c r="R30" s="81">
        <f>+IF(P30="ACERO A36",VLOOKUP(Q30,'[3]Velocidades Std 1500 w'!$B$2:$F$15,5,FALSE),IF(P30="INOXIDABLE",VLOOKUP(Q30,'[3]Velocidades Std 1500 w'!$B$17:$F$28,5,FALSE),IF(P30="ALUMINIO",VLOOKUP(Q30,'[3]Velocidades Std 1500 w'!$B$30:$F$38,5,FALSE))))</f>
        <v>4.3859649122807014E-6</v>
      </c>
      <c r="S30" s="82">
        <f t="shared" si="2"/>
        <v>2.1929824561403508E-2</v>
      </c>
      <c r="T30" s="83">
        <f t="shared" si="3"/>
        <v>114.90278210526316</v>
      </c>
      <c r="U30" s="307">
        <f t="shared" si="4"/>
        <v>7277.1762000000008</v>
      </c>
      <c r="V30" s="80">
        <f t="shared" si="5"/>
        <v>159.58719736842107</v>
      </c>
      <c r="W30" s="98">
        <v>32</v>
      </c>
      <c r="X30" s="84">
        <f>+IF(P30="ACERO A36",VLOOKUP(Q30,'[3]Tiempo Objeto'!$B$2:$C$12,2,FALSE),IF(P30="INOXIDABLE",VLOOKUP(Q30,'[3]Tiempo Objeto'!$B$14:$C$22,2,FALSE),IF(P30="ALUMINIO",VLOOKUP(Q30,'[3]Tiempo Objeto'!$B$24:$C$32,2,FALSE))))</f>
        <v>0.6133333333333334</v>
      </c>
      <c r="Y30" s="84">
        <f t="shared" si="6"/>
        <v>19.626666666666669</v>
      </c>
      <c r="Z30" s="80">
        <f t="shared" si="7"/>
        <v>27.259259259259263</v>
      </c>
      <c r="AA30" s="100">
        <v>10</v>
      </c>
      <c r="AB30" s="86">
        <f>+AA30*Analisis!$J$6</f>
        <v>250</v>
      </c>
      <c r="AC30" s="100">
        <v>20</v>
      </c>
      <c r="AD30" s="85">
        <f t="shared" si="8"/>
        <v>600</v>
      </c>
      <c r="AE30" s="86">
        <f>+AC30*Analisis!$J$7</f>
        <v>500</v>
      </c>
      <c r="AF30" s="308">
        <f>+H30*0.0254*I30*0.0254*2*(1+[3]Analisis!$G$2)</f>
        <v>3.0797406146999999</v>
      </c>
      <c r="AG30" s="86">
        <f>+AF30*Analisis!$J$8</f>
        <v>328.13902978053579</v>
      </c>
      <c r="AH30" s="309">
        <f t="shared" si="9"/>
        <v>1981.7230412607541</v>
      </c>
      <c r="AI30" s="86">
        <f>+AH30/(1-Analisis!G35)</f>
        <v>1981.7230412607541</v>
      </c>
      <c r="AJ30" s="86">
        <f t="shared" si="10"/>
        <v>2130.8849906029618</v>
      </c>
      <c r="AK30" s="86">
        <f t="shared" si="11"/>
        <v>0</v>
      </c>
      <c r="AL30" s="310" t="e">
        <f>+VLOOKUP(B30,#REF!,2,FALSE)</f>
        <v>#REF!</v>
      </c>
      <c r="AM30" s="311" t="e">
        <f t="shared" si="13"/>
        <v>#REF!</v>
      </c>
      <c r="AN30" s="312" t="e">
        <f t="shared" si="12"/>
        <v>#REF!</v>
      </c>
    </row>
    <row r="31" spans="1:40" s="73" customFormat="1" x14ac:dyDescent="0.25">
      <c r="A31" s="303">
        <v>24</v>
      </c>
      <c r="B31" s="304" t="s">
        <v>872</v>
      </c>
      <c r="D31" s="74">
        <f>IFERROR(VLOOKUP(B31,'REQ. PINTADO'!B:C,2,0),0)</f>
        <v>0</v>
      </c>
      <c r="E31" s="305">
        <f t="shared" si="0"/>
        <v>1952.797795118091</v>
      </c>
      <c r="F31" s="103" t="s">
        <v>163</v>
      </c>
      <c r="G31" s="75" t="s">
        <v>147</v>
      </c>
      <c r="H31" s="90">
        <v>30.85</v>
      </c>
      <c r="I31" s="90">
        <v>91.58</v>
      </c>
      <c r="J31" s="76">
        <v>0.105</v>
      </c>
      <c r="K31" s="306">
        <v>86.17</v>
      </c>
      <c r="L31" s="78">
        <f t="shared" si="1"/>
        <v>27.075460864874358</v>
      </c>
      <c r="M31" s="58">
        <f>+VLOOKUP(F31,Material!$H$2:$M$17,6,FALSE)*H31*I31*(1+Material!$K$14)</f>
        <v>1060.4965739664651</v>
      </c>
      <c r="N31" s="79" t="str">
        <f t="shared" si="14"/>
        <v>T5.0</v>
      </c>
      <c r="O31" s="80">
        <f>+VLOOKUP(N31,[3]Material!$A$3:$B$58,2,FALSE)</f>
        <v>5000</v>
      </c>
      <c r="P31" s="79" t="s">
        <v>42</v>
      </c>
      <c r="Q31" s="79" t="str">
        <f>+VLOOKUP(F31,[3]Material!$C$2:$E$12,2,FALSE)</f>
        <v>Cal 12</v>
      </c>
      <c r="R31" s="81">
        <f>+IF(P31="ACERO A36",VLOOKUP(Q31,'[3]Velocidades Std 1500 w'!$B$2:$F$15,5,FALSE),IF(P31="INOXIDABLE",VLOOKUP(Q31,'[3]Velocidades Std 1500 w'!$B$17:$F$28,5,FALSE),IF(P31="ALUMINIO",VLOOKUP(Q31,'[3]Velocidades Std 1500 w'!$B$30:$F$38,5,FALSE))))</f>
        <v>4.3859649122807014E-6</v>
      </c>
      <c r="S31" s="82">
        <f t="shared" si="2"/>
        <v>2.1929824561403508E-2</v>
      </c>
      <c r="T31" s="83">
        <f t="shared" si="3"/>
        <v>122.06157157894737</v>
      </c>
      <c r="U31" s="307">
        <f t="shared" si="4"/>
        <v>7730.5662000000002</v>
      </c>
      <c r="V31" s="80">
        <f t="shared" si="5"/>
        <v>169.52996052631579</v>
      </c>
      <c r="W31" s="98">
        <v>30</v>
      </c>
      <c r="X31" s="84">
        <f>+IF(P31="ACERO A36",VLOOKUP(Q31,'[3]Tiempo Objeto'!$B$2:$C$12,2,FALSE),IF(P31="INOXIDABLE",VLOOKUP(Q31,'[3]Tiempo Objeto'!$B$14:$C$22,2,FALSE),IF(P31="ALUMINIO",VLOOKUP(Q31,'[3]Tiempo Objeto'!$B$24:$C$32,2,FALSE))))</f>
        <v>0.6133333333333334</v>
      </c>
      <c r="Y31" s="84">
        <f t="shared" si="6"/>
        <v>18.400000000000002</v>
      </c>
      <c r="Z31" s="80">
        <f t="shared" si="7"/>
        <v>25.555555555555561</v>
      </c>
      <c r="AA31" s="100">
        <v>3</v>
      </c>
      <c r="AB31" s="86">
        <f>+AA31*Analisis!$J$6</f>
        <v>75</v>
      </c>
      <c r="AC31" s="100">
        <v>0</v>
      </c>
      <c r="AD31" s="85">
        <f t="shared" si="8"/>
        <v>0</v>
      </c>
      <c r="AE31" s="86">
        <f>+AC31*Analisis!$J$7</f>
        <v>0</v>
      </c>
      <c r="AF31" s="308">
        <f>+H31*0.0254*I31*0.0254*2*(1+[3]Analisis!$G$2)</f>
        <v>4.5568344346999998</v>
      </c>
      <c r="AG31" s="86">
        <f>+AF31*Analisis!$J$8</f>
        <v>485.5198594114882</v>
      </c>
      <c r="AH31" s="309">
        <f t="shared" si="9"/>
        <v>1816.1019494598245</v>
      </c>
      <c r="AI31" s="86">
        <f>+AH31/(1-Analisis!G36)</f>
        <v>1816.1019494598245</v>
      </c>
      <c r="AJ31" s="86">
        <f t="shared" si="10"/>
        <v>1952.797795118091</v>
      </c>
      <c r="AK31" s="86">
        <f t="shared" si="11"/>
        <v>0</v>
      </c>
      <c r="AL31" s="310" t="e">
        <f>+VLOOKUP(B31,#REF!,2,FALSE)</f>
        <v>#REF!</v>
      </c>
      <c r="AM31" s="311" t="e">
        <f t="shared" si="13"/>
        <v>#REF!</v>
      </c>
      <c r="AN31" s="312" t="e">
        <f t="shared" si="12"/>
        <v>#REF!</v>
      </c>
    </row>
    <row r="32" spans="1:40" s="73" customFormat="1" x14ac:dyDescent="0.25">
      <c r="A32" s="303">
        <v>25</v>
      </c>
      <c r="B32" s="304" t="s">
        <v>873</v>
      </c>
      <c r="D32" s="74">
        <f>IFERROR(VLOOKUP(B32,'REQ. PINTADO'!B:C,2,0),0)</f>
        <v>0</v>
      </c>
      <c r="E32" s="305">
        <f t="shared" si="0"/>
        <v>175.18449226138833</v>
      </c>
      <c r="F32" s="103" t="s">
        <v>165</v>
      </c>
      <c r="G32" s="75" t="s">
        <v>147</v>
      </c>
      <c r="H32" s="90">
        <v>2.64</v>
      </c>
      <c r="I32" s="90">
        <v>3.51</v>
      </c>
      <c r="J32" s="76">
        <v>0.105</v>
      </c>
      <c r="K32" s="306">
        <v>0.28000000000000003</v>
      </c>
      <c r="L32" s="78">
        <f t="shared" si="1"/>
        <v>30.260587500000003</v>
      </c>
      <c r="M32" s="58">
        <f>+VLOOKUP(F32,Material!$H$2:$M$17,6,FALSE)*H32*I32*(1+Material!$K$14)</f>
        <v>3.8513475000000001</v>
      </c>
      <c r="N32" s="79" t="str">
        <f t="shared" si="14"/>
        <v>T5.0</v>
      </c>
      <c r="O32" s="80">
        <f>+VLOOKUP(N32,[3]Material!$A$3:$B$58,2,FALSE)</f>
        <v>5000</v>
      </c>
      <c r="P32" s="79" t="s">
        <v>42</v>
      </c>
      <c r="Q32" s="79" t="str">
        <f>+VLOOKUP(F32,[3]Material!$C$2:$E$12,2,FALSE)</f>
        <v>Cal 14</v>
      </c>
      <c r="R32" s="81">
        <f>+IF(P32="ACERO A36",VLOOKUP(Q32,'[3]Velocidades Std 1500 w'!$B$2:$F$15,5,FALSE),IF(P32="INOXIDABLE",VLOOKUP(Q32,'[3]Velocidades Std 1500 w'!$B$17:$F$28,5,FALSE),IF(P32="ALUMINIO",VLOOKUP(Q32,'[3]Velocidades Std 1500 w'!$B$30:$F$38,5,FALSE))))</f>
        <v>2.0080321285140564E-6</v>
      </c>
      <c r="S32" s="82">
        <f t="shared" si="2"/>
        <v>1.0040160642570283E-2</v>
      </c>
      <c r="T32" s="83">
        <f t="shared" si="3"/>
        <v>3.8173445783132531</v>
      </c>
      <c r="U32" s="307">
        <f t="shared" si="4"/>
        <v>528.06600000000003</v>
      </c>
      <c r="V32" s="80">
        <f t="shared" si="5"/>
        <v>5.301867469879519</v>
      </c>
      <c r="W32" s="98">
        <v>5</v>
      </c>
      <c r="X32" s="84">
        <f>+IF(P32="ACERO A36",VLOOKUP(Q32,'[3]Tiempo Objeto'!$B$2:$C$12,2,FALSE),IF(P32="INOXIDABLE",VLOOKUP(Q32,'[3]Tiempo Objeto'!$B$14:$C$22,2,FALSE),IF(P32="ALUMINIO",VLOOKUP(Q32,'[3]Tiempo Objeto'!$B$24:$C$32,2,FALSE))))</f>
        <v>0.3133333333333333</v>
      </c>
      <c r="Y32" s="84">
        <f t="shared" si="6"/>
        <v>1.5666666666666664</v>
      </c>
      <c r="Z32" s="80">
        <f t="shared" si="7"/>
        <v>2.1759259259259256</v>
      </c>
      <c r="AA32" s="100">
        <v>3</v>
      </c>
      <c r="AB32" s="86">
        <f>+AA32*Analisis!$J$6</f>
        <v>75</v>
      </c>
      <c r="AC32" s="100">
        <v>3</v>
      </c>
      <c r="AD32" s="85">
        <f t="shared" si="8"/>
        <v>90</v>
      </c>
      <c r="AE32" s="86">
        <f>+AC32*Analisis!$J$7</f>
        <v>75</v>
      </c>
      <c r="AF32" s="308">
        <f>+H32*0.0254*I32*0.0254*2*(1+[3]Analisis!$G$2)</f>
        <v>1.4945776559999999E-2</v>
      </c>
      <c r="AG32" s="86">
        <f>+AF32*Analisis!$J$8</f>
        <v>1.5924369072857145</v>
      </c>
      <c r="AH32" s="309">
        <f t="shared" si="9"/>
        <v>162.92157780309114</v>
      </c>
      <c r="AI32" s="86">
        <f>+AH32/(1-Analisis!G37)</f>
        <v>162.92157780309114</v>
      </c>
      <c r="AJ32" s="86">
        <f t="shared" si="10"/>
        <v>175.18449226138833</v>
      </c>
      <c r="AK32" s="86">
        <f t="shared" si="11"/>
        <v>0</v>
      </c>
      <c r="AL32" s="310" t="e">
        <f>+VLOOKUP(B32,#REF!,2,FALSE)</f>
        <v>#REF!</v>
      </c>
      <c r="AM32" s="311" t="e">
        <f t="shared" si="13"/>
        <v>#REF!</v>
      </c>
      <c r="AN32" s="312" t="e">
        <f t="shared" si="12"/>
        <v>#REF!</v>
      </c>
    </row>
    <row r="33" spans="1:40" s="73" customFormat="1" x14ac:dyDescent="0.25">
      <c r="A33" s="303">
        <v>26</v>
      </c>
      <c r="B33" s="304" t="s">
        <v>874</v>
      </c>
      <c r="D33" s="74">
        <f>IFERROR(VLOOKUP(B33,'REQ. PINTADO'!B:C,2,0),0)</f>
        <v>0</v>
      </c>
      <c r="E33" s="305">
        <f t="shared" si="0"/>
        <v>178.98859448835387</v>
      </c>
      <c r="F33" s="103" t="s">
        <v>165</v>
      </c>
      <c r="G33" s="75" t="s">
        <v>147</v>
      </c>
      <c r="H33" s="90">
        <v>2.11</v>
      </c>
      <c r="I33" s="90">
        <v>6.75</v>
      </c>
      <c r="J33" s="76">
        <v>7.4999999999999997E-2</v>
      </c>
      <c r="K33" s="306">
        <v>0.31</v>
      </c>
      <c r="L33" s="78">
        <f t="shared" si="1"/>
        <v>42.009632056451615</v>
      </c>
      <c r="M33" s="58">
        <f>+VLOOKUP(F33,Material!$H$2:$M$17,6,FALSE)*H33*I33*(1+Material!$K$14)</f>
        <v>5.9195390624999993</v>
      </c>
      <c r="N33" s="79" t="str">
        <f t="shared" si="14"/>
        <v>T5.0</v>
      </c>
      <c r="O33" s="80">
        <f>+VLOOKUP(N33,[3]Material!$A$3:$B$58,2,FALSE)</f>
        <v>5000</v>
      </c>
      <c r="P33" s="79" t="s">
        <v>42</v>
      </c>
      <c r="Q33" s="79" t="str">
        <f>+VLOOKUP(F33,[3]Material!$C$2:$E$12,2,FALSE)</f>
        <v>Cal 14</v>
      </c>
      <c r="R33" s="81">
        <f>+IF(P33="ACERO A36",VLOOKUP(Q33,'[3]Velocidades Std 1500 w'!$B$2:$F$15,5,FALSE),IF(P33="INOXIDABLE",VLOOKUP(Q33,'[3]Velocidades Std 1500 w'!$B$17:$F$28,5,FALSE),IF(P33="ALUMINIO",VLOOKUP(Q33,'[3]Velocidades Std 1500 w'!$B$30:$F$38,5,FALSE))))</f>
        <v>2.0080321285140564E-6</v>
      </c>
      <c r="S33" s="82">
        <f t="shared" si="2"/>
        <v>1.0040160642570283E-2</v>
      </c>
      <c r="T33" s="83">
        <f t="shared" si="3"/>
        <v>4.5731016867469885</v>
      </c>
      <c r="U33" s="307">
        <f t="shared" si="4"/>
        <v>632.61239999999998</v>
      </c>
      <c r="V33" s="80">
        <f t="shared" si="5"/>
        <v>6.3515301204819288</v>
      </c>
      <c r="W33" s="98">
        <v>4</v>
      </c>
      <c r="X33" s="84">
        <f>+IF(P33="ACERO A36",VLOOKUP(Q33,'[3]Tiempo Objeto'!$B$2:$C$12,2,FALSE),IF(P33="INOXIDABLE",VLOOKUP(Q33,'[3]Tiempo Objeto'!$B$14:$C$22,2,FALSE),IF(P33="ALUMINIO",VLOOKUP(Q33,'[3]Tiempo Objeto'!$B$24:$C$32,2,FALSE))))</f>
        <v>0.3133333333333333</v>
      </c>
      <c r="Y33" s="84">
        <f t="shared" si="6"/>
        <v>1.2533333333333332</v>
      </c>
      <c r="Z33" s="80">
        <f t="shared" si="7"/>
        <v>1.7407407407407405</v>
      </c>
      <c r="AA33" s="100">
        <v>1</v>
      </c>
      <c r="AB33" s="86">
        <f>+AA33*Analisis!$J$6</f>
        <v>25</v>
      </c>
      <c r="AC33" s="100">
        <v>5</v>
      </c>
      <c r="AD33" s="85">
        <f t="shared" si="8"/>
        <v>150</v>
      </c>
      <c r="AE33" s="86">
        <f>+AC33*Analisis!$J$7</f>
        <v>125</v>
      </c>
      <c r="AF33" s="308">
        <f>+H33*0.0254*I33*0.0254*2*(1+[3]Analisis!$G$2)</f>
        <v>2.2971728249999997E-2</v>
      </c>
      <c r="AG33" s="86">
        <f>+AF33*Analisis!$J$8</f>
        <v>2.4475829504464288</v>
      </c>
      <c r="AH33" s="309">
        <f t="shared" si="9"/>
        <v>166.45939287416908</v>
      </c>
      <c r="AI33" s="86">
        <f>+AH33/(1-Analisis!G38)</f>
        <v>166.45939287416908</v>
      </c>
      <c r="AJ33" s="86">
        <f t="shared" si="10"/>
        <v>178.98859448835387</v>
      </c>
      <c r="AK33" s="86">
        <f t="shared" si="11"/>
        <v>0</v>
      </c>
      <c r="AL33" s="310" t="e">
        <f>+VLOOKUP(B33,#REF!,2,FALSE)</f>
        <v>#REF!</v>
      </c>
      <c r="AM33" s="311" t="e">
        <f t="shared" si="13"/>
        <v>#REF!</v>
      </c>
      <c r="AN33" s="312" t="e">
        <f t="shared" si="12"/>
        <v>#REF!</v>
      </c>
    </row>
    <row r="34" spans="1:40" s="73" customFormat="1" x14ac:dyDescent="0.25">
      <c r="A34" s="303">
        <v>27</v>
      </c>
      <c r="B34" s="304" t="s">
        <v>875</v>
      </c>
      <c r="D34" s="74">
        <f>IFERROR(VLOOKUP(B34,'REQ. PINTADO'!B:C,2,0),0)</f>
        <v>0</v>
      </c>
      <c r="E34" s="305">
        <f t="shared" si="0"/>
        <v>178.03423115490102</v>
      </c>
      <c r="F34" s="103" t="s">
        <v>165</v>
      </c>
      <c r="G34" s="75" t="s">
        <v>147</v>
      </c>
      <c r="H34" s="90">
        <v>6.25</v>
      </c>
      <c r="I34" s="90">
        <v>2.11</v>
      </c>
      <c r="J34" s="76">
        <v>0.105</v>
      </c>
      <c r="K34" s="306">
        <v>0.28999999999999998</v>
      </c>
      <c r="L34" s="78">
        <f t="shared" si="1"/>
        <v>41.580414870689665</v>
      </c>
      <c r="M34" s="58">
        <f>+VLOOKUP(F34,Material!$H$2:$M$17,6,FALSE)*H34*I34*(1+Material!$K$14)</f>
        <v>5.4810546875000004</v>
      </c>
      <c r="N34" s="79" t="str">
        <f t="shared" si="14"/>
        <v>T5.0</v>
      </c>
      <c r="O34" s="80">
        <f>+VLOOKUP(N34,[3]Material!$A$3:$B$58,2,FALSE)</f>
        <v>5000</v>
      </c>
      <c r="P34" s="79" t="s">
        <v>42</v>
      </c>
      <c r="Q34" s="79" t="str">
        <f>+VLOOKUP(F34,[3]Material!$C$2:$E$12,2,FALSE)</f>
        <v>Cal 14</v>
      </c>
      <c r="R34" s="81">
        <f>+IF(P34="ACERO A36",VLOOKUP(Q34,'[3]Velocidades Std 1500 w'!$B$2:$F$15,5,FALSE),IF(P34="INOXIDABLE",VLOOKUP(Q34,'[3]Velocidades Std 1500 w'!$B$17:$F$28,5,FALSE),IF(P34="ALUMINIO",VLOOKUP(Q34,'[3]Velocidades Std 1500 w'!$B$30:$F$38,5,FALSE))))</f>
        <v>2.0080321285140564E-6</v>
      </c>
      <c r="S34" s="82">
        <f t="shared" si="2"/>
        <v>1.0040160642570283E-2</v>
      </c>
      <c r="T34" s="83">
        <f t="shared" si="3"/>
        <v>4.3803065060240964</v>
      </c>
      <c r="U34" s="307">
        <f t="shared" si="4"/>
        <v>605.94240000000002</v>
      </c>
      <c r="V34" s="80">
        <f t="shared" si="5"/>
        <v>6.0837590361445795</v>
      </c>
      <c r="W34" s="98">
        <v>4</v>
      </c>
      <c r="X34" s="84">
        <f>+IF(P34="ACERO A36",VLOOKUP(Q34,'[3]Tiempo Objeto'!$B$2:$C$12,2,FALSE),IF(P34="INOXIDABLE",VLOOKUP(Q34,'[3]Tiempo Objeto'!$B$14:$C$22,2,FALSE),IF(P34="ALUMINIO",VLOOKUP(Q34,'[3]Tiempo Objeto'!$B$24:$C$32,2,FALSE))))</f>
        <v>0.3133333333333333</v>
      </c>
      <c r="Y34" s="84">
        <f t="shared" si="6"/>
        <v>1.2533333333333332</v>
      </c>
      <c r="Z34" s="80">
        <f t="shared" si="7"/>
        <v>1.7407407407407405</v>
      </c>
      <c r="AA34" s="100">
        <v>1</v>
      </c>
      <c r="AB34" s="86">
        <f>+AA34*Analisis!$J$6</f>
        <v>25</v>
      </c>
      <c r="AC34" s="100">
        <v>5</v>
      </c>
      <c r="AD34" s="85">
        <f t="shared" si="8"/>
        <v>150</v>
      </c>
      <c r="AE34" s="86">
        <f>+AC34*Analisis!$J$7</f>
        <v>125</v>
      </c>
      <c r="AF34" s="308">
        <f>+H34*0.0254*I34*0.0254*2*(1+[3]Analisis!$G$2)</f>
        <v>2.1270118749999997E-2</v>
      </c>
      <c r="AG34" s="86">
        <f>+AF34*Analisis!$J$8</f>
        <v>2.2662805096726193</v>
      </c>
      <c r="AH34" s="309">
        <f t="shared" si="9"/>
        <v>165.57183497405794</v>
      </c>
      <c r="AI34" s="86">
        <f>+AH34/(1-Analisis!G39)</f>
        <v>165.57183497405794</v>
      </c>
      <c r="AJ34" s="86">
        <f t="shared" si="10"/>
        <v>178.03423115490102</v>
      </c>
      <c r="AK34" s="86">
        <f t="shared" si="11"/>
        <v>0</v>
      </c>
      <c r="AL34" s="310" t="e">
        <f>+VLOOKUP(B34,#REF!,2,FALSE)</f>
        <v>#REF!</v>
      </c>
      <c r="AM34" s="311" t="e">
        <f t="shared" si="13"/>
        <v>#REF!</v>
      </c>
      <c r="AN34" s="312" t="e">
        <f t="shared" si="12"/>
        <v>#REF!</v>
      </c>
    </row>
    <row r="35" spans="1:40" s="73" customFormat="1" x14ac:dyDescent="0.25">
      <c r="A35" s="303">
        <v>28</v>
      </c>
      <c r="B35" s="304" t="s">
        <v>876</v>
      </c>
      <c r="D35" s="74">
        <f>IFERROR(VLOOKUP(B35,'REQ. PINTADO'!B:C,2,0),0)</f>
        <v>0</v>
      </c>
      <c r="E35" s="305">
        <f t="shared" si="0"/>
        <v>139.70116636021945</v>
      </c>
      <c r="F35" s="103" t="s">
        <v>163</v>
      </c>
      <c r="G35" s="75" t="s">
        <v>147</v>
      </c>
      <c r="H35" s="90">
        <v>4.07</v>
      </c>
      <c r="I35" s="90">
        <v>5.88</v>
      </c>
      <c r="J35" s="76">
        <v>0.105</v>
      </c>
      <c r="K35" s="306">
        <v>0.73</v>
      </c>
      <c r="L35" s="78">
        <f t="shared" si="1"/>
        <v>27.072291539426708</v>
      </c>
      <c r="M35" s="58">
        <f>+VLOOKUP(F35,Material!$H$2:$M$17,6,FALSE)*H35*I35*(1+Material!$K$14)</f>
        <v>8.9830785562643154</v>
      </c>
      <c r="N35" s="79" t="str">
        <f t="shared" si="14"/>
        <v>T5.0</v>
      </c>
      <c r="O35" s="80">
        <f>+VLOOKUP(N35,[3]Material!$A$3:$B$58,2,FALSE)</f>
        <v>5000</v>
      </c>
      <c r="P35" s="79" t="s">
        <v>42</v>
      </c>
      <c r="Q35" s="79" t="str">
        <f>+VLOOKUP(F35,[3]Material!$C$2:$E$12,2,FALSE)</f>
        <v>Cal 12</v>
      </c>
      <c r="R35" s="81">
        <f>+IF(P35="ACERO A36",VLOOKUP(Q35,'[3]Velocidades Std 1500 w'!$B$2:$F$15,5,FALSE),IF(P35="INOXIDABLE",VLOOKUP(Q35,'[3]Velocidades Std 1500 w'!$B$17:$F$28,5,FALSE),IF(P35="ALUMINIO",VLOOKUP(Q35,'[3]Velocidades Std 1500 w'!$B$30:$F$38,5,FALSE))))</f>
        <v>4.3859649122807014E-6</v>
      </c>
      <c r="S35" s="82">
        <f t="shared" si="2"/>
        <v>2.1929824561403508E-2</v>
      </c>
      <c r="T35" s="83">
        <f t="shared" si="3"/>
        <v>10.274968421052629</v>
      </c>
      <c r="U35" s="307">
        <f t="shared" si="4"/>
        <v>650.74799999999993</v>
      </c>
      <c r="V35" s="80">
        <f t="shared" si="5"/>
        <v>14.270789473684209</v>
      </c>
      <c r="W35" s="98">
        <v>3</v>
      </c>
      <c r="X35" s="84">
        <f>+IF(P35="ACERO A36",VLOOKUP(Q35,'[3]Tiempo Objeto'!$B$2:$C$12,2,FALSE),IF(P35="INOXIDABLE",VLOOKUP(Q35,'[3]Tiempo Objeto'!$B$14:$C$22,2,FALSE),IF(P35="ALUMINIO",VLOOKUP(Q35,'[3]Tiempo Objeto'!$B$24:$C$32,2,FALSE))))</f>
        <v>0.6133333333333334</v>
      </c>
      <c r="Y35" s="84">
        <f t="shared" si="6"/>
        <v>1.8400000000000003</v>
      </c>
      <c r="Z35" s="80">
        <f t="shared" si="7"/>
        <v>2.5555555555555562</v>
      </c>
      <c r="AA35" s="100">
        <v>2</v>
      </c>
      <c r="AB35" s="86">
        <f>+AA35*Analisis!$J$6</f>
        <v>50</v>
      </c>
      <c r="AC35" s="100">
        <v>2</v>
      </c>
      <c r="AD35" s="85">
        <f t="shared" si="8"/>
        <v>60</v>
      </c>
      <c r="AE35" s="86">
        <f>+AC35*Analisis!$J$7</f>
        <v>50</v>
      </c>
      <c r="AF35" s="308">
        <f>+H35*0.0254*I35*0.0254*2*(1+[3]Analisis!$G$2)</f>
        <v>3.8599277639999999E-2</v>
      </c>
      <c r="AG35" s="86">
        <f>+AF35*Analisis!$J$8</f>
        <v>4.1126611295000011</v>
      </c>
      <c r="AH35" s="309">
        <f t="shared" si="9"/>
        <v>129.92208471500408</v>
      </c>
      <c r="AI35" s="86">
        <f>+AH35/(1-Analisis!G40)</f>
        <v>129.92208471500408</v>
      </c>
      <c r="AJ35" s="86">
        <f t="shared" si="10"/>
        <v>139.70116636021945</v>
      </c>
      <c r="AK35" s="86">
        <f t="shared" si="11"/>
        <v>0</v>
      </c>
      <c r="AL35" s="310" t="e">
        <f>+VLOOKUP(B35,#REF!,2,FALSE)</f>
        <v>#REF!</v>
      </c>
      <c r="AM35" s="311" t="e">
        <f t="shared" si="13"/>
        <v>#REF!</v>
      </c>
      <c r="AN35" s="312" t="e">
        <f t="shared" si="12"/>
        <v>#REF!</v>
      </c>
    </row>
    <row r="36" spans="1:40" s="73" customFormat="1" x14ac:dyDescent="0.25">
      <c r="A36" s="303">
        <v>29</v>
      </c>
      <c r="B36" s="304" t="s">
        <v>877</v>
      </c>
      <c r="D36" s="74">
        <f>IFERROR(VLOOKUP(B36,'REQ. PINTADO'!B:C,2,0),0)</f>
        <v>0</v>
      </c>
      <c r="E36" s="305">
        <f t="shared" si="0"/>
        <v>560.22830515300654</v>
      </c>
      <c r="F36" s="103" t="s">
        <v>163</v>
      </c>
      <c r="G36" s="75" t="s">
        <v>147</v>
      </c>
      <c r="H36" s="90">
        <v>21.91</v>
      </c>
      <c r="I36" s="90">
        <v>24.79</v>
      </c>
      <c r="J36" s="76">
        <v>0.105</v>
      </c>
      <c r="K36" s="306">
        <v>16.559999999999999</v>
      </c>
      <c r="L36" s="78">
        <f t="shared" si="1"/>
        <v>27.085366402607971</v>
      </c>
      <c r="M36" s="58">
        <f>+VLOOKUP(F36,Material!$H$2:$M$17,6,FALSE)*H36*I36*(1+Material!$K$14)</f>
        <v>203.87893983053996</v>
      </c>
      <c r="N36" s="79" t="str">
        <f t="shared" si="14"/>
        <v>T5.0</v>
      </c>
      <c r="O36" s="80">
        <f>+VLOOKUP(N36,[3]Material!$A$3:$B$58,2,FALSE)</f>
        <v>5000</v>
      </c>
      <c r="P36" s="79" t="s">
        <v>42</v>
      </c>
      <c r="Q36" s="79" t="str">
        <f>+VLOOKUP(F36,[3]Material!$C$2:$E$12,2,FALSE)</f>
        <v>Cal 12</v>
      </c>
      <c r="R36" s="81">
        <f>+IF(P36="ACERO A36",VLOOKUP(Q36,'[3]Velocidades Std 1500 w'!$B$2:$F$15,5,FALSE),IF(P36="INOXIDABLE",VLOOKUP(Q36,'[3]Velocidades Std 1500 w'!$B$17:$F$28,5,FALSE),IF(P36="ALUMINIO",VLOOKUP(Q36,'[3]Velocidades Std 1500 w'!$B$30:$F$38,5,FALSE))))</f>
        <v>4.3859649122807014E-6</v>
      </c>
      <c r="S36" s="82">
        <f t="shared" si="2"/>
        <v>2.1929824561403508E-2</v>
      </c>
      <c r="T36" s="83">
        <f t="shared" si="3"/>
        <v>64.597547368421047</v>
      </c>
      <c r="U36" s="307">
        <f t="shared" si="4"/>
        <v>4091.1780000000003</v>
      </c>
      <c r="V36" s="80">
        <f t="shared" si="5"/>
        <v>89.71881578947368</v>
      </c>
      <c r="W36" s="98">
        <v>40</v>
      </c>
      <c r="X36" s="84">
        <f>+IF(P36="ACERO A36",VLOOKUP(Q36,'[3]Tiempo Objeto'!$B$2:$C$12,2,FALSE),IF(P36="INOXIDABLE",VLOOKUP(Q36,'[3]Tiempo Objeto'!$B$14:$C$22,2,FALSE),IF(P36="ALUMINIO",VLOOKUP(Q36,'[3]Tiempo Objeto'!$B$24:$C$32,2,FALSE))))</f>
        <v>0.6133333333333334</v>
      </c>
      <c r="Y36" s="84">
        <f t="shared" si="6"/>
        <v>24.533333333333335</v>
      </c>
      <c r="Z36" s="80">
        <f t="shared" si="7"/>
        <v>34.074074074074076</v>
      </c>
      <c r="AA36" s="100">
        <v>2</v>
      </c>
      <c r="AB36" s="86">
        <f>+AA36*Analisis!$J$6</f>
        <v>50</v>
      </c>
      <c r="AC36" s="100">
        <v>2</v>
      </c>
      <c r="AD36" s="85">
        <f t="shared" si="8"/>
        <v>60</v>
      </c>
      <c r="AE36" s="86">
        <f>+AC36*Analisis!$J$7</f>
        <v>50</v>
      </c>
      <c r="AF36" s="308">
        <f>+H36*0.0254*I36*0.0254*2*(1+[3]Analisis!$G$2)</f>
        <v>0.87604486080999977</v>
      </c>
      <c r="AG36" s="86">
        <f>+AF36*Analisis!$J$8</f>
        <v>93.340494098208339</v>
      </c>
      <c r="AH36" s="309">
        <f t="shared" si="9"/>
        <v>521.012323792296</v>
      </c>
      <c r="AI36" s="86">
        <f>+AH36/(1-Analisis!G41)</f>
        <v>521.012323792296</v>
      </c>
      <c r="AJ36" s="86">
        <f t="shared" si="10"/>
        <v>560.22830515300654</v>
      </c>
      <c r="AK36" s="86">
        <f t="shared" si="11"/>
        <v>0</v>
      </c>
      <c r="AL36" s="310" t="e">
        <f>+VLOOKUP(B36,#REF!,2,FALSE)</f>
        <v>#REF!</v>
      </c>
      <c r="AM36" s="311" t="e">
        <f t="shared" si="13"/>
        <v>#REF!</v>
      </c>
      <c r="AN36" s="312" t="e">
        <f t="shared" si="12"/>
        <v>#REF!</v>
      </c>
    </row>
    <row r="37" spans="1:40" s="73" customFormat="1" x14ac:dyDescent="0.25">
      <c r="A37" s="303"/>
      <c r="B37" s="304" t="s">
        <v>878</v>
      </c>
      <c r="D37" s="74">
        <f>IFERROR(VLOOKUP(B37,'REQ. PINTADO'!B:C,2,0),0)</f>
        <v>0</v>
      </c>
      <c r="E37" s="305">
        <f t="shared" si="0"/>
        <v>577.21339067668237</v>
      </c>
      <c r="F37" s="103" t="s">
        <v>163</v>
      </c>
      <c r="G37" s="75" t="s">
        <v>147</v>
      </c>
      <c r="H37" s="90">
        <v>21.91</v>
      </c>
      <c r="I37" s="90">
        <v>29.79</v>
      </c>
      <c r="J37" s="76">
        <v>0.105</v>
      </c>
      <c r="K37" s="306">
        <v>19.899999999999999</v>
      </c>
      <c r="L37" s="78">
        <f t="shared" si="1"/>
        <v>27.085443268407243</v>
      </c>
      <c r="M37" s="58">
        <f>+VLOOKUP(F37,Material!$H$2:$M$17,6,FALSE)*H37*I37*(1+Material!$K$14)</f>
        <v>245.0001459278655</v>
      </c>
      <c r="N37" s="79" t="str">
        <f t="shared" si="14"/>
        <v>T5.0</v>
      </c>
      <c r="O37" s="80">
        <f>+VLOOKUP(N37,[3]Material!$A$3:$B$58,2,FALSE)</f>
        <v>5000</v>
      </c>
      <c r="P37" s="79" t="s">
        <v>42</v>
      </c>
      <c r="Q37" s="79" t="str">
        <f>+VLOOKUP(F37,[3]Material!$C$2:$E$12,2,FALSE)</f>
        <v>Cal 12</v>
      </c>
      <c r="R37" s="81">
        <f>+IF(P37="ACERO A36",VLOOKUP(Q37,'[3]Velocidades Std 1500 w'!$B$2:$F$15,5,FALSE),IF(P37="INOXIDABLE",VLOOKUP(Q37,'[3]Velocidades Std 1500 w'!$B$17:$F$28,5,FALSE),IF(P37="ALUMINIO",VLOOKUP(Q37,'[3]Velocidades Std 1500 w'!$B$30:$F$38,5,FALSE))))</f>
        <v>4.3859649122807014E-6</v>
      </c>
      <c r="S37" s="82">
        <f t="shared" si="2"/>
        <v>2.1929824561403508E-2</v>
      </c>
      <c r="T37" s="83">
        <f t="shared" si="3"/>
        <v>68.808599999999998</v>
      </c>
      <c r="U37" s="307">
        <f t="shared" si="4"/>
        <v>4357.8779999999997</v>
      </c>
      <c r="V37" s="80">
        <f t="shared" si="5"/>
        <v>95.567499999999981</v>
      </c>
      <c r="W37" s="98">
        <v>40</v>
      </c>
      <c r="X37" s="84">
        <f>+IF(P37="ACERO A36",VLOOKUP(Q37,'[3]Tiempo Objeto'!$B$2:$C$12,2,FALSE),IF(P37="INOXIDABLE",VLOOKUP(Q37,'[3]Tiempo Objeto'!$B$14:$C$22,2,FALSE),IF(P37="ALUMINIO",VLOOKUP(Q37,'[3]Tiempo Objeto'!$B$24:$C$32,2,FALSE))))</f>
        <v>0.6133333333333334</v>
      </c>
      <c r="Y37" s="84">
        <f t="shared" si="6"/>
        <v>24.533333333333335</v>
      </c>
      <c r="Z37" s="80">
        <f t="shared" si="7"/>
        <v>34.074074074074076</v>
      </c>
      <c r="AA37" s="100">
        <v>2</v>
      </c>
      <c r="AB37" s="86">
        <f>+AA37*Analisis!$J$6</f>
        <v>50</v>
      </c>
      <c r="AC37" s="100">
        <v>0</v>
      </c>
      <c r="AD37" s="85">
        <f t="shared" si="8"/>
        <v>0</v>
      </c>
      <c r="AE37" s="86">
        <f>+AC37*Analisis!$J$7</f>
        <v>0</v>
      </c>
      <c r="AF37" s="308">
        <f>+H37*0.0254*I37*0.0254*2*(1+[3]Analisis!$G$2)</f>
        <v>1.0527380558099999</v>
      </c>
      <c r="AG37" s="86">
        <f>+AF37*Analisis!$J$8</f>
        <v>112.16673332737503</v>
      </c>
      <c r="AH37" s="309">
        <f t="shared" si="9"/>
        <v>536.8084533293146</v>
      </c>
      <c r="AI37" s="86">
        <f>+AH37/(1-Analisis!G42)</f>
        <v>536.8084533293146</v>
      </c>
      <c r="AJ37" s="86">
        <f t="shared" si="10"/>
        <v>577.21339067668237</v>
      </c>
      <c r="AK37" s="86">
        <f t="shared" si="11"/>
        <v>0</v>
      </c>
      <c r="AL37" s="310" t="e">
        <f>+VLOOKUP(B37,#REF!,2,FALSE)</f>
        <v>#REF!</v>
      </c>
      <c r="AM37" s="311" t="e">
        <f t="shared" si="13"/>
        <v>#REF!</v>
      </c>
      <c r="AN37" s="312" t="e">
        <f t="shared" si="12"/>
        <v>#REF!</v>
      </c>
    </row>
    <row r="38" spans="1:40" s="73" customFormat="1" x14ac:dyDescent="0.25">
      <c r="A38" s="303">
        <v>30</v>
      </c>
      <c r="B38" s="304" t="s">
        <v>879</v>
      </c>
      <c r="D38" s="74">
        <f>IFERROR(VLOOKUP(B38,'REQ. PINTADO'!B:C,2,0),0)</f>
        <v>0</v>
      </c>
      <c r="E38" s="305">
        <f t="shared" si="0"/>
        <v>592.55144203620216</v>
      </c>
      <c r="F38" s="103" t="s">
        <v>163</v>
      </c>
      <c r="G38" s="75" t="s">
        <v>147</v>
      </c>
      <c r="H38" s="90">
        <v>31.91</v>
      </c>
      <c r="I38" s="90">
        <v>24.79</v>
      </c>
      <c r="J38" s="76">
        <v>0.105</v>
      </c>
      <c r="K38" s="306">
        <v>23.58</v>
      </c>
      <c r="L38" s="78">
        <f t="shared" si="1"/>
        <v>27.703565890810872</v>
      </c>
      <c r="M38" s="58">
        <f>+VLOOKUP(F38,Material!$H$2:$M$17,6,FALSE)*H38*I38*(1+Material!$K$14)</f>
        <v>296.93185622969105</v>
      </c>
      <c r="N38" s="79" t="str">
        <f t="shared" si="14"/>
        <v>T5.0</v>
      </c>
      <c r="O38" s="80">
        <f>+VLOOKUP(N38,[3]Material!$A$3:$B$58,2,FALSE)</f>
        <v>5000</v>
      </c>
      <c r="P38" s="79" t="s">
        <v>42</v>
      </c>
      <c r="Q38" s="79" t="str">
        <f>+VLOOKUP(F38,[3]Material!$C$2:$E$12,2,FALSE)</f>
        <v>Cal 12</v>
      </c>
      <c r="R38" s="81">
        <f>+IF(P38="ACERO A36",VLOOKUP(Q38,'[3]Velocidades Std 1500 w'!$B$2:$F$15,5,FALSE),IF(P38="INOXIDABLE",VLOOKUP(Q38,'[3]Velocidades Std 1500 w'!$B$17:$F$28,5,FALSE),IF(P38="ALUMINIO",VLOOKUP(Q38,'[3]Velocidades Std 1500 w'!$B$30:$F$38,5,FALSE))))</f>
        <v>4.3859649122807014E-6</v>
      </c>
      <c r="S38" s="82">
        <f t="shared" si="2"/>
        <v>2.1929824561403508E-2</v>
      </c>
      <c r="T38" s="83">
        <f t="shared" si="3"/>
        <v>66.703073684210537</v>
      </c>
      <c r="U38" s="307">
        <f t="shared" si="4"/>
        <v>4224.5280000000002</v>
      </c>
      <c r="V38" s="80">
        <f t="shared" si="5"/>
        <v>92.643157894736845</v>
      </c>
      <c r="W38" s="98">
        <v>30</v>
      </c>
      <c r="X38" s="84">
        <f>+IF(P38="ACERO A36",VLOOKUP(Q38,'[3]Tiempo Objeto'!$B$2:$C$12,2,FALSE),IF(P38="INOXIDABLE",VLOOKUP(Q38,'[3]Tiempo Objeto'!$B$14:$C$22,2,FALSE),IF(P38="ALUMINIO",VLOOKUP(Q38,'[3]Tiempo Objeto'!$B$24:$C$32,2,FALSE))))</f>
        <v>0.6133333333333334</v>
      </c>
      <c r="Y38" s="84">
        <f t="shared" si="6"/>
        <v>18.400000000000002</v>
      </c>
      <c r="Z38" s="80">
        <f t="shared" si="7"/>
        <v>25.555555555555561</v>
      </c>
      <c r="AA38" s="100">
        <v>0</v>
      </c>
      <c r="AB38" s="86">
        <f>+AA38*Analisis!$J$6</f>
        <v>0</v>
      </c>
      <c r="AC38" s="100">
        <v>0</v>
      </c>
      <c r="AD38" s="85">
        <f t="shared" si="8"/>
        <v>0</v>
      </c>
      <c r="AE38" s="86">
        <f>+AC38*Analisis!$J$7</f>
        <v>0</v>
      </c>
      <c r="AF38" s="308">
        <f>+H38*0.0254*I38*0.0254*2*(1+[3]Analisis!$G$2)</f>
        <v>1.2758827708099998</v>
      </c>
      <c r="AG38" s="86">
        <f>+AF38*Analisis!$J$8</f>
        <v>135.94227141368455</v>
      </c>
      <c r="AH38" s="309">
        <f t="shared" si="9"/>
        <v>551.07284109366799</v>
      </c>
      <c r="AI38" s="86">
        <f>+AH38/(1-Analisis!G43)</f>
        <v>551.07284109366799</v>
      </c>
      <c r="AJ38" s="86">
        <f t="shared" si="10"/>
        <v>592.55144203620216</v>
      </c>
      <c r="AK38" s="86">
        <f t="shared" si="11"/>
        <v>0</v>
      </c>
      <c r="AL38" s="310" t="e">
        <f>+VLOOKUP(B38,#REF!,2,FALSE)</f>
        <v>#REF!</v>
      </c>
      <c r="AM38" s="311" t="e">
        <f t="shared" si="13"/>
        <v>#REF!</v>
      </c>
      <c r="AN38" s="312" t="e">
        <f t="shared" si="12"/>
        <v>#REF!</v>
      </c>
    </row>
    <row r="39" spans="1:40" s="73" customFormat="1" x14ac:dyDescent="0.25">
      <c r="A39" s="303"/>
      <c r="B39" s="304" t="s">
        <v>880</v>
      </c>
      <c r="D39" s="74">
        <f>IFERROR(VLOOKUP(B39,'REQ. PINTADO'!B:C,2,0),0)</f>
        <v>0</v>
      </c>
      <c r="E39" s="305">
        <f t="shared" si="0"/>
        <v>765.07665018197383</v>
      </c>
      <c r="F39" s="103" t="s">
        <v>163</v>
      </c>
      <c r="G39" s="75" t="s">
        <v>147</v>
      </c>
      <c r="H39" s="90">
        <v>31.91</v>
      </c>
      <c r="I39" s="90">
        <v>29.79</v>
      </c>
      <c r="J39" s="76">
        <v>0.105</v>
      </c>
      <c r="K39" s="306">
        <v>28.34</v>
      </c>
      <c r="L39" s="78">
        <f t="shared" si="1"/>
        <v>27.699606822334417</v>
      </c>
      <c r="M39" s="58">
        <f>+VLOOKUP(F39,Material!$H$2:$M$17,6,FALSE)*H39*I39*(1+Material!$K$14)</f>
        <v>356.82129879316238</v>
      </c>
      <c r="N39" s="79" t="str">
        <f t="shared" si="14"/>
        <v>T5.0</v>
      </c>
      <c r="O39" s="80">
        <f>+VLOOKUP(N39,[3]Material!$A$3:$B$58,2,FALSE)</f>
        <v>5000</v>
      </c>
      <c r="P39" s="79" t="s">
        <v>42</v>
      </c>
      <c r="Q39" s="79" t="str">
        <f>+VLOOKUP(F39,[3]Material!$C$2:$E$12,2,FALSE)</f>
        <v>Cal 12</v>
      </c>
      <c r="R39" s="81">
        <f>+IF(P39="ACERO A36",VLOOKUP(Q39,'[3]Velocidades Std 1500 w'!$B$2:$F$15,5,FALSE),IF(P39="INOXIDABLE",VLOOKUP(Q39,'[3]Velocidades Std 1500 w'!$B$17:$F$28,5,FALSE),IF(P39="ALUMINIO",VLOOKUP(Q39,'[3]Velocidades Std 1500 w'!$B$30:$F$38,5,FALSE))))</f>
        <v>4.3859649122807014E-6</v>
      </c>
      <c r="S39" s="82">
        <f t="shared" si="2"/>
        <v>2.1929824561403508E-2</v>
      </c>
      <c r="T39" s="83">
        <f t="shared" si="3"/>
        <v>77.230705263157887</v>
      </c>
      <c r="U39" s="307">
        <f t="shared" si="4"/>
        <v>4891.2780000000002</v>
      </c>
      <c r="V39" s="80">
        <f t="shared" si="5"/>
        <v>107.26486842105263</v>
      </c>
      <c r="W39" s="98">
        <v>40</v>
      </c>
      <c r="X39" s="84">
        <f>+IF(P39="ACERO A36",VLOOKUP(Q39,'[3]Tiempo Objeto'!$B$2:$C$12,2,FALSE),IF(P39="INOXIDABLE",VLOOKUP(Q39,'[3]Tiempo Objeto'!$B$14:$C$22,2,FALSE),IF(P39="ALUMINIO",VLOOKUP(Q39,'[3]Tiempo Objeto'!$B$24:$C$32,2,FALSE))))</f>
        <v>0.6133333333333334</v>
      </c>
      <c r="Y39" s="84">
        <f t="shared" si="6"/>
        <v>24.533333333333335</v>
      </c>
      <c r="Z39" s="80">
        <f t="shared" si="7"/>
        <v>34.074074074074076</v>
      </c>
      <c r="AA39" s="100">
        <v>2</v>
      </c>
      <c r="AB39" s="86">
        <f>+AA39*Analisis!$J$6</f>
        <v>50</v>
      </c>
      <c r="AC39" s="100">
        <v>0</v>
      </c>
      <c r="AD39" s="85">
        <f t="shared" si="8"/>
        <v>0</v>
      </c>
      <c r="AE39" s="86">
        <f>+AC39*Analisis!$J$7</f>
        <v>0</v>
      </c>
      <c r="AF39" s="308">
        <f>+H39*0.0254*I39*0.0254*2*(1+[3]Analisis!$G$2)</f>
        <v>1.53322096581</v>
      </c>
      <c r="AG39" s="86">
        <f>+AF39*Analisis!$J$8</f>
        <v>163.36104338094648</v>
      </c>
      <c r="AH39" s="309">
        <f t="shared" si="9"/>
        <v>711.52128466923557</v>
      </c>
      <c r="AI39" s="86">
        <f>+AH39/(1-Analisis!G44)</f>
        <v>711.52128466923557</v>
      </c>
      <c r="AJ39" s="86">
        <f t="shared" si="10"/>
        <v>765.07665018197383</v>
      </c>
      <c r="AK39" s="86">
        <f t="shared" si="11"/>
        <v>0</v>
      </c>
      <c r="AL39" s="310" t="e">
        <f>+VLOOKUP(B39,#REF!,2,FALSE)</f>
        <v>#REF!</v>
      </c>
      <c r="AM39" s="311" t="e">
        <f t="shared" si="13"/>
        <v>#REF!</v>
      </c>
      <c r="AN39" s="312" t="e">
        <f t="shared" si="12"/>
        <v>#REF!</v>
      </c>
    </row>
    <row r="40" spans="1:40" s="73" customFormat="1" x14ac:dyDescent="0.25">
      <c r="A40" s="303">
        <v>31</v>
      </c>
      <c r="B40" s="304" t="s">
        <v>881</v>
      </c>
      <c r="D40" s="74">
        <f>IFERROR(VLOOKUP(B40,'REQ. PINTADO'!B:C,2,0),0)</f>
        <v>0</v>
      </c>
      <c r="E40" s="305">
        <f t="shared" si="0"/>
        <v>319.1931316972109</v>
      </c>
      <c r="F40" s="103" t="s">
        <v>164</v>
      </c>
      <c r="G40" s="75" t="s">
        <v>147</v>
      </c>
      <c r="H40" s="90">
        <v>21.94</v>
      </c>
      <c r="I40" s="90">
        <v>7.25</v>
      </c>
      <c r="J40" s="76">
        <v>0.105</v>
      </c>
      <c r="K40" s="306">
        <v>6.22</v>
      </c>
      <c r="L40" s="78">
        <f t="shared" si="1"/>
        <v>38.972416767148992</v>
      </c>
      <c r="M40" s="58">
        <f>+VLOOKUP(F40,Material!$H$2:$M$17,6,FALSE)*H40*I40*(1+Material!$K$14)</f>
        <v>110.18565104166667</v>
      </c>
      <c r="N40" s="79" t="str">
        <f t="shared" si="14"/>
        <v>T5.0</v>
      </c>
      <c r="O40" s="80">
        <f>+VLOOKUP(N40,[3]Material!$A$3:$B$58,2,FALSE)</f>
        <v>5000</v>
      </c>
      <c r="P40" s="79" t="s">
        <v>42</v>
      </c>
      <c r="Q40" s="79" t="str">
        <f>+VLOOKUP(F40,[3]Material!$C$2:$E$12,2,FALSE)</f>
        <v>Cal 10</v>
      </c>
      <c r="R40" s="81">
        <f>+IF(P40="ACERO A36",VLOOKUP(Q40,'[3]Velocidades Std 1500 w'!$B$2:$F$15,5,FALSE),IF(P40="INOXIDABLE",VLOOKUP(Q40,'[3]Velocidades Std 1500 w'!$B$17:$F$28,5,FALSE),IF(P40="ALUMINIO",VLOOKUP(Q40,'[3]Velocidades Std 1500 w'!$B$30:$F$38,5,FALSE))))</f>
        <v>6.1728395061728391E-6</v>
      </c>
      <c r="S40" s="82">
        <f t="shared" si="2"/>
        <v>3.0864197530864196E-2</v>
      </c>
      <c r="T40" s="83">
        <f t="shared" si="3"/>
        <v>79.049880000000002</v>
      </c>
      <c r="U40" s="307">
        <f t="shared" si="4"/>
        <v>3557.2446</v>
      </c>
      <c r="V40" s="80">
        <f t="shared" si="5"/>
        <v>109.7915</v>
      </c>
      <c r="W40" s="98">
        <v>50</v>
      </c>
      <c r="X40" s="84">
        <f>+IF(P40="ACERO A36",VLOOKUP(Q40,'[3]Tiempo Objeto'!$B$2:$C$12,2,FALSE),IF(P40="INOXIDABLE",VLOOKUP(Q40,'[3]Tiempo Objeto'!$B$14:$C$22,2,FALSE),IF(P40="ALUMINIO",VLOOKUP(Q40,'[3]Tiempo Objeto'!$B$24:$C$32,2,FALSE))))</f>
        <v>0.71333333333333337</v>
      </c>
      <c r="Y40" s="84">
        <f t="shared" si="6"/>
        <v>35.666666666666671</v>
      </c>
      <c r="Z40" s="80">
        <f t="shared" si="7"/>
        <v>49.537037037037038</v>
      </c>
      <c r="AA40" s="100">
        <v>0</v>
      </c>
      <c r="AB40" s="86">
        <f>+AA40*Analisis!$J$6</f>
        <v>0</v>
      </c>
      <c r="AC40" s="100">
        <v>0</v>
      </c>
      <c r="AD40" s="85">
        <f t="shared" si="8"/>
        <v>0</v>
      </c>
      <c r="AE40" s="86">
        <f>+AC40*Analisis!$J$7</f>
        <v>0</v>
      </c>
      <c r="AF40" s="308">
        <f>+H40*0.0254*I40*0.0254*2*(1+[3]Analisis!$G$2)</f>
        <v>0.25655593849999997</v>
      </c>
      <c r="AG40" s="86">
        <f>+AF40*Analisis!$J$8</f>
        <v>27.335424399702386</v>
      </c>
      <c r="AH40" s="309">
        <f t="shared" si="9"/>
        <v>296.84961247840613</v>
      </c>
      <c r="AI40" s="86">
        <f>+AH40/(1-Analisis!G45)</f>
        <v>296.84961247840613</v>
      </c>
      <c r="AJ40" s="86">
        <f t="shared" si="10"/>
        <v>319.1931316972109</v>
      </c>
      <c r="AK40" s="86">
        <f t="shared" si="11"/>
        <v>0</v>
      </c>
      <c r="AL40" s="310" t="e">
        <f>+VLOOKUP(B40,#REF!,2,FALSE)</f>
        <v>#REF!</v>
      </c>
      <c r="AM40" s="311" t="e">
        <f t="shared" si="13"/>
        <v>#REF!</v>
      </c>
      <c r="AN40" s="312" t="e">
        <f t="shared" si="12"/>
        <v>#REF!</v>
      </c>
    </row>
    <row r="41" spans="1:40" s="73" customFormat="1" x14ac:dyDescent="0.25">
      <c r="A41" s="303">
        <v>32</v>
      </c>
      <c r="B41" s="304" t="s">
        <v>882</v>
      </c>
      <c r="D41" s="74">
        <f>IFERROR(VLOOKUP(B41,'REQ. PINTADO'!B:C,2,0),0)</f>
        <v>0</v>
      </c>
      <c r="E41" s="305">
        <f t="shared" si="0"/>
        <v>456.03785337717625</v>
      </c>
      <c r="F41" s="103" t="s">
        <v>44</v>
      </c>
      <c r="G41" s="75" t="s">
        <v>147</v>
      </c>
      <c r="H41" s="90">
        <v>31.94</v>
      </c>
      <c r="I41" s="90">
        <v>7.25</v>
      </c>
      <c r="J41" s="76">
        <v>0.105</v>
      </c>
      <c r="K41" s="306">
        <v>9.0500000000000007</v>
      </c>
      <c r="L41" s="78">
        <f t="shared" si="1"/>
        <v>50.692158552025788</v>
      </c>
      <c r="M41" s="58">
        <f>+VLOOKUP(F41,Material!$H$2:$M$17,6,FALSE)*H41*I41*(1+Material!$K$14)</f>
        <v>208.52910677083338</v>
      </c>
      <c r="N41" s="79" t="str">
        <f t="shared" si="14"/>
        <v>T5.0</v>
      </c>
      <c r="O41" s="80">
        <f>+VLOOKUP(N41,[3]Material!$A$3:$B$58,2,FALSE)</f>
        <v>5000</v>
      </c>
      <c r="P41" s="79" t="s">
        <v>42</v>
      </c>
      <c r="Q41" s="79" t="str">
        <f>+VLOOKUP(F41,[3]Material!$C$2:$E$12,2,FALSE)</f>
        <v>Cal 10</v>
      </c>
      <c r="R41" s="81">
        <f>+IF(P41="ACERO A36",VLOOKUP(Q41,'[3]Velocidades Std 1500 w'!$B$2:$F$15,5,FALSE),IF(P41="INOXIDABLE",VLOOKUP(Q41,'[3]Velocidades Std 1500 w'!$B$17:$F$28,5,FALSE),IF(P41="ALUMINIO",VLOOKUP(Q41,'[3]Velocidades Std 1500 w'!$B$30:$F$38,5,FALSE))))</f>
        <v>6.1728395061728391E-6</v>
      </c>
      <c r="S41" s="82">
        <f t="shared" si="2"/>
        <v>3.0864197530864196E-2</v>
      </c>
      <c r="T41" s="83">
        <f t="shared" si="3"/>
        <v>90.903213333333326</v>
      </c>
      <c r="U41" s="307">
        <f t="shared" si="4"/>
        <v>4090.6446000000001</v>
      </c>
      <c r="V41" s="80">
        <f t="shared" si="5"/>
        <v>126.25446296296296</v>
      </c>
      <c r="W41" s="98">
        <v>50</v>
      </c>
      <c r="X41" s="84">
        <f>+IF(P41="ACERO A36",VLOOKUP(Q41,'[3]Tiempo Objeto'!$B$2:$C$12,2,FALSE),IF(P41="INOXIDABLE",VLOOKUP(Q41,'[3]Tiempo Objeto'!$B$14:$C$22,2,FALSE),IF(P41="ALUMINIO",VLOOKUP(Q41,'[3]Tiempo Objeto'!$B$24:$C$32,2,FALSE))))</f>
        <v>0.71333333333333337</v>
      </c>
      <c r="Y41" s="84">
        <f t="shared" si="6"/>
        <v>35.666666666666671</v>
      </c>
      <c r="Z41" s="80">
        <f t="shared" si="7"/>
        <v>49.537037037037038</v>
      </c>
      <c r="AA41" s="100">
        <v>0</v>
      </c>
      <c r="AB41" s="86">
        <f>+AA41*Analisis!$J$6</f>
        <v>0</v>
      </c>
      <c r="AC41" s="100">
        <v>0</v>
      </c>
      <c r="AD41" s="85">
        <f t="shared" si="8"/>
        <v>0</v>
      </c>
      <c r="AE41" s="86">
        <f>+AC41*Analisis!$J$7</f>
        <v>0</v>
      </c>
      <c r="AF41" s="308">
        <f>+H41*0.0254*I41*0.0254*2*(1+[3]Analisis!$G$2)</f>
        <v>0.37349118850000002</v>
      </c>
      <c r="AG41" s="86">
        <f>+AF41*Analisis!$J$8</f>
        <v>39.794596869940492</v>
      </c>
      <c r="AH41" s="309">
        <f t="shared" si="9"/>
        <v>424.11520364077387</v>
      </c>
      <c r="AI41" s="86">
        <f>+AH41/(1-Analisis!G46)</f>
        <v>424.11520364077387</v>
      </c>
      <c r="AJ41" s="86">
        <f t="shared" si="10"/>
        <v>456.03785337717625</v>
      </c>
      <c r="AK41" s="86">
        <f t="shared" si="11"/>
        <v>0</v>
      </c>
      <c r="AL41" s="310" t="e">
        <f>+VLOOKUP(B41,#REF!,2,FALSE)</f>
        <v>#REF!</v>
      </c>
      <c r="AM41" s="311" t="e">
        <f t="shared" si="13"/>
        <v>#REF!</v>
      </c>
      <c r="AN41" s="312" t="e">
        <f t="shared" si="12"/>
        <v>#REF!</v>
      </c>
    </row>
    <row r="42" spans="1:40" s="73" customFormat="1" x14ac:dyDescent="0.25">
      <c r="A42" s="303">
        <v>33</v>
      </c>
      <c r="B42" s="304" t="s">
        <v>883</v>
      </c>
      <c r="D42" s="74">
        <f>IFERROR(VLOOKUP(B42,'REQ. PINTADO'!B:C,2,0),0)</f>
        <v>0</v>
      </c>
      <c r="E42" s="305">
        <f t="shared" si="0"/>
        <v>144.22989922555047</v>
      </c>
      <c r="F42" s="103" t="s">
        <v>44</v>
      </c>
      <c r="G42" s="75" t="s">
        <v>147</v>
      </c>
      <c r="H42" s="90">
        <v>2.5499999999999998</v>
      </c>
      <c r="I42" s="90">
        <v>10</v>
      </c>
      <c r="J42" s="76">
        <v>0.105</v>
      </c>
      <c r="K42" s="306">
        <v>1</v>
      </c>
      <c r="L42" s="78">
        <f t="shared" si="1"/>
        <v>50.519218750000007</v>
      </c>
      <c r="M42" s="58">
        <f>+VLOOKUP(F42,Material!$H$2:$M$17,6,FALSE)*H42*I42*(1+Material!$K$14)</f>
        <v>22.963281250000001</v>
      </c>
      <c r="N42" s="79" t="str">
        <f t="shared" si="14"/>
        <v>T5.0</v>
      </c>
      <c r="O42" s="80">
        <f>+VLOOKUP(N42,[3]Material!$A$3:$B$58,2,FALSE)</f>
        <v>5000</v>
      </c>
      <c r="P42" s="79" t="s">
        <v>42</v>
      </c>
      <c r="Q42" s="79" t="str">
        <f>+VLOOKUP(F42,[3]Material!$C$2:$E$12,2,FALSE)</f>
        <v>Cal 10</v>
      </c>
      <c r="R42" s="81">
        <f>+IF(P42="ACERO A36",VLOOKUP(Q42,'[3]Velocidades Std 1500 w'!$B$2:$F$15,5,FALSE),IF(P42="INOXIDABLE",VLOOKUP(Q42,'[3]Velocidades Std 1500 w'!$B$17:$F$28,5,FALSE),IF(P42="ALUMINIO",VLOOKUP(Q42,'[3]Velocidades Std 1500 w'!$B$30:$F$38,5,FALSE))))</f>
        <v>6.1728395061728391E-6</v>
      </c>
      <c r="S42" s="82">
        <f t="shared" si="2"/>
        <v>3.0864197530864196E-2</v>
      </c>
      <c r="T42" s="83">
        <f t="shared" si="3"/>
        <v>19.320933333333333</v>
      </c>
      <c r="U42" s="307">
        <f t="shared" si="4"/>
        <v>869.44200000000001</v>
      </c>
      <c r="V42" s="80">
        <f t="shared" si="5"/>
        <v>26.834629629629628</v>
      </c>
      <c r="W42" s="98">
        <v>5</v>
      </c>
      <c r="X42" s="84">
        <f>+IF(P42="ACERO A36",VLOOKUP(Q42,'[3]Tiempo Objeto'!$B$2:$C$12,2,FALSE),IF(P42="INOXIDABLE",VLOOKUP(Q42,'[3]Tiempo Objeto'!$B$14:$C$22,2,FALSE),IF(P42="ALUMINIO",VLOOKUP(Q42,'[3]Tiempo Objeto'!$B$24:$C$32,2,FALSE))))</f>
        <v>0.71333333333333337</v>
      </c>
      <c r="Y42" s="84">
        <f t="shared" si="6"/>
        <v>3.5666666666666669</v>
      </c>
      <c r="Z42" s="80">
        <f t="shared" si="7"/>
        <v>4.9537037037037042</v>
      </c>
      <c r="AA42" s="100">
        <v>3</v>
      </c>
      <c r="AB42" s="86">
        <f>+AA42*Analisis!$J$6</f>
        <v>75</v>
      </c>
      <c r="AC42" s="100">
        <v>0</v>
      </c>
      <c r="AD42" s="85">
        <f t="shared" si="8"/>
        <v>0</v>
      </c>
      <c r="AE42" s="86">
        <f>+AC42*Analisis!$J$7</f>
        <v>0</v>
      </c>
      <c r="AF42" s="308">
        <f>+H42*0.0254*I42*0.0254*2*(1+[3]Analisis!$G$2)</f>
        <v>4.1128949999999991E-2</v>
      </c>
      <c r="AG42" s="86">
        <f>+AF42*Analisis!$J$8</f>
        <v>4.3821916964285714</v>
      </c>
      <c r="AH42" s="309">
        <f t="shared" si="9"/>
        <v>134.13380627976193</v>
      </c>
      <c r="AI42" s="86">
        <f>+AH42/(1-Analisis!G47)</f>
        <v>134.13380627976193</v>
      </c>
      <c r="AJ42" s="86">
        <f t="shared" si="10"/>
        <v>144.22989922555047</v>
      </c>
      <c r="AK42" s="86">
        <f t="shared" si="11"/>
        <v>0</v>
      </c>
      <c r="AL42" s="310" t="e">
        <f>+VLOOKUP(B42,#REF!,2,FALSE)</f>
        <v>#REF!</v>
      </c>
      <c r="AM42" s="311" t="e">
        <f t="shared" si="13"/>
        <v>#REF!</v>
      </c>
      <c r="AN42" s="312" t="e">
        <f t="shared" si="12"/>
        <v>#REF!</v>
      </c>
    </row>
    <row r="43" spans="1:40" s="73" customFormat="1" x14ac:dyDescent="0.25">
      <c r="A43" s="303">
        <v>34</v>
      </c>
      <c r="B43" s="304" t="s">
        <v>884</v>
      </c>
      <c r="D43" s="74">
        <f>IFERROR(VLOOKUP(B43,'REQ. PINTADO'!B:C,2,0),0)</f>
        <v>0</v>
      </c>
      <c r="E43" s="305">
        <f t="shared" si="0"/>
        <v>187.87662386543479</v>
      </c>
      <c r="F43" s="103" t="s">
        <v>166</v>
      </c>
      <c r="G43" s="75" t="s">
        <v>147</v>
      </c>
      <c r="H43" s="90">
        <v>21.94</v>
      </c>
      <c r="I43" s="90">
        <v>13.58</v>
      </c>
      <c r="J43" s="76">
        <v>0.105</v>
      </c>
      <c r="K43" s="306">
        <v>5.18</v>
      </c>
      <c r="L43" s="78">
        <f t="shared" si="1"/>
        <v>28.68035322139789</v>
      </c>
      <c r="M43" s="58">
        <f>+VLOOKUP(F43,Material!$H$2:$M$17,6,FALSE)*H43*I43*(1+Material!$K$14)</f>
        <v>67.529195312200471</v>
      </c>
      <c r="N43" s="79" t="str">
        <f t="shared" si="14"/>
        <v>T5.0</v>
      </c>
      <c r="O43" s="80">
        <f>+VLOOKUP(N43,[3]Material!$A$3:$B$58,2,FALSE)</f>
        <v>5000</v>
      </c>
      <c r="P43" s="79" t="s">
        <v>42</v>
      </c>
      <c r="Q43" s="79" t="str">
        <f>+VLOOKUP(F43,[3]Material!$C$2:$E$12,2,FALSE)</f>
        <v>Cal 16</v>
      </c>
      <c r="R43" s="81">
        <f>+IF(P43="ACERO A36",VLOOKUP(Q43,'[3]Velocidades Std 1500 w'!$B$2:$F$15,5,FALSE),IF(P43="INOXIDABLE",VLOOKUP(Q43,'[3]Velocidades Std 1500 w'!$B$17:$F$28,5,FALSE),IF(P43="ALUMINIO",VLOOKUP(Q43,'[3]Velocidades Std 1500 w'!$B$30:$F$38,5,FALSE))))</f>
        <v>9.1575091575091579E-7</v>
      </c>
      <c r="S43" s="82">
        <f t="shared" si="2"/>
        <v>4.578754578754579E-3</v>
      </c>
      <c r="T43" s="83">
        <f t="shared" si="3"/>
        <v>18.115670769230771</v>
      </c>
      <c r="U43" s="307">
        <f t="shared" si="4"/>
        <v>5495.0868</v>
      </c>
      <c r="V43" s="80">
        <f t="shared" si="5"/>
        <v>25.160653846153849</v>
      </c>
      <c r="W43" s="98">
        <v>90</v>
      </c>
      <c r="X43" s="84">
        <f>+IF(P43="ACERO A36",VLOOKUP(Q43,'[3]Tiempo Objeto'!$B$2:$C$12,2,FALSE),IF(P43="INOXIDABLE",VLOOKUP(Q43,'[3]Tiempo Objeto'!$B$14:$C$22,2,FALSE),IF(P43="ALUMINIO",VLOOKUP(Q43,'[3]Tiempo Objeto'!$B$24:$C$32,2,FALSE))))</f>
        <v>0.24666666666666667</v>
      </c>
      <c r="Y43" s="84">
        <f t="shared" si="6"/>
        <v>22.2</v>
      </c>
      <c r="Z43" s="80">
        <f t="shared" si="7"/>
        <v>30.833333333333332</v>
      </c>
      <c r="AA43" s="100">
        <v>0</v>
      </c>
      <c r="AB43" s="86">
        <f>+AA43*Analisis!$J$6</f>
        <v>0</v>
      </c>
      <c r="AC43" s="100">
        <v>0</v>
      </c>
      <c r="AD43" s="85">
        <f t="shared" si="8"/>
        <v>0</v>
      </c>
      <c r="AE43" s="86">
        <f>+AC43*Analisis!$J$7</f>
        <v>0</v>
      </c>
      <c r="AF43" s="308">
        <f>+H43*0.0254*I43*0.0254*2*(1+[3]Analisis!$G$2)</f>
        <v>0.48055581307999995</v>
      </c>
      <c r="AG43" s="86">
        <f>+AF43*Analisis!$J$8</f>
        <v>51.20207770316668</v>
      </c>
      <c r="AH43" s="309">
        <f t="shared" si="9"/>
        <v>174.72526019485434</v>
      </c>
      <c r="AI43" s="86">
        <f>+AH43/(1-Analisis!G48)</f>
        <v>174.72526019485434</v>
      </c>
      <c r="AJ43" s="86">
        <f t="shared" si="10"/>
        <v>187.87662386543479</v>
      </c>
      <c r="AK43" s="86">
        <f t="shared" si="11"/>
        <v>0</v>
      </c>
      <c r="AL43" s="310" t="e">
        <f>+VLOOKUP(B43,#REF!,2,FALSE)</f>
        <v>#REF!</v>
      </c>
      <c r="AM43" s="311" t="e">
        <f t="shared" si="13"/>
        <v>#REF!</v>
      </c>
      <c r="AN43" s="312" t="e">
        <f t="shared" si="12"/>
        <v>#REF!</v>
      </c>
    </row>
    <row r="44" spans="1:40" s="73" customFormat="1" x14ac:dyDescent="0.25">
      <c r="A44" s="303">
        <v>35</v>
      </c>
      <c r="B44" s="304" t="s">
        <v>885</v>
      </c>
      <c r="D44" s="74">
        <f>IFERROR(VLOOKUP(B44,'REQ. PINTADO'!B:C,2,0),0)</f>
        <v>0</v>
      </c>
      <c r="E44" s="305">
        <f t="shared" si="0"/>
        <v>243.03899107567406</v>
      </c>
      <c r="F44" s="103" t="s">
        <v>166</v>
      </c>
      <c r="G44" s="75" t="s">
        <v>147</v>
      </c>
      <c r="H44" s="90">
        <v>31.94</v>
      </c>
      <c r="I44" s="90">
        <v>13.58</v>
      </c>
      <c r="J44" s="76">
        <v>0.06</v>
      </c>
      <c r="K44" s="306">
        <v>7.55</v>
      </c>
      <c r="L44" s="78">
        <f t="shared" si="1"/>
        <v>28.646105852793607</v>
      </c>
      <c r="M44" s="58">
        <f>+VLOOKUP(F44,Material!$H$2:$M$17,6,FALSE)*H44*I44*(1+Material!$K$14)</f>
        <v>98.308226903905322</v>
      </c>
      <c r="N44" s="79" t="str">
        <f t="shared" si="14"/>
        <v>T5.0</v>
      </c>
      <c r="O44" s="80">
        <f>+VLOOKUP(N44,[3]Material!$A$3:$B$58,2,FALSE)</f>
        <v>5000</v>
      </c>
      <c r="P44" s="79" t="s">
        <v>42</v>
      </c>
      <c r="Q44" s="79" t="str">
        <f>+VLOOKUP(F44,[3]Material!$C$2:$E$12,2,FALSE)</f>
        <v>Cal 16</v>
      </c>
      <c r="R44" s="81">
        <f>+IF(P44="ACERO A36",VLOOKUP(Q44,'[3]Velocidades Std 1500 w'!$B$2:$F$15,5,FALSE),IF(P44="INOXIDABLE",VLOOKUP(Q44,'[3]Velocidades Std 1500 w'!$B$17:$F$28,5,FALSE),IF(P44="ALUMINIO",VLOOKUP(Q44,'[3]Velocidades Std 1500 w'!$B$30:$F$38,5,FALSE))))</f>
        <v>9.1575091575091579E-7</v>
      </c>
      <c r="S44" s="82">
        <f t="shared" si="2"/>
        <v>4.578754578754579E-3</v>
      </c>
      <c r="T44" s="83">
        <f t="shared" si="3"/>
        <v>18.555286153846154</v>
      </c>
      <c r="U44" s="307">
        <f t="shared" si="4"/>
        <v>5628.4368000000004</v>
      </c>
      <c r="V44" s="80">
        <f t="shared" si="5"/>
        <v>25.771230769230772</v>
      </c>
      <c r="W44" s="98">
        <v>80</v>
      </c>
      <c r="X44" s="84">
        <f>+IF(P44="ACERO A36",VLOOKUP(Q44,'[3]Tiempo Objeto'!$B$2:$C$12,2,FALSE),IF(P44="INOXIDABLE",VLOOKUP(Q44,'[3]Tiempo Objeto'!$B$14:$C$22,2,FALSE),IF(P44="ALUMINIO",VLOOKUP(Q44,'[3]Tiempo Objeto'!$B$24:$C$32,2,FALSE))))</f>
        <v>0.24666666666666667</v>
      </c>
      <c r="Y44" s="84">
        <f t="shared" si="6"/>
        <v>19.733333333333334</v>
      </c>
      <c r="Z44" s="80">
        <f t="shared" si="7"/>
        <v>27.407407407407408</v>
      </c>
      <c r="AA44" s="100">
        <v>0</v>
      </c>
      <c r="AB44" s="86">
        <f>+AA44*Analisis!$J$6</f>
        <v>0</v>
      </c>
      <c r="AC44" s="100">
        <v>0</v>
      </c>
      <c r="AD44" s="85">
        <f t="shared" si="8"/>
        <v>0</v>
      </c>
      <c r="AE44" s="86">
        <f>+AC44*Analisis!$J$7</f>
        <v>0</v>
      </c>
      <c r="AF44" s="308">
        <f>+H44*0.0254*I44*0.0254*2*(1+[3]Analisis!$G$2)</f>
        <v>0.69958763308000005</v>
      </c>
      <c r="AG44" s="86">
        <f>+AF44*Analisis!$J$8</f>
        <v>74.539396619833354</v>
      </c>
      <c r="AH44" s="309">
        <f t="shared" si="9"/>
        <v>226.02626170037686</v>
      </c>
      <c r="AI44" s="86">
        <f>+AH44/(1-Analisis!G49)</f>
        <v>226.02626170037686</v>
      </c>
      <c r="AJ44" s="86">
        <f t="shared" si="10"/>
        <v>243.03899107567406</v>
      </c>
      <c r="AK44" s="86">
        <f t="shared" si="11"/>
        <v>0</v>
      </c>
      <c r="AL44" s="310" t="e">
        <f>+VLOOKUP(B44,#REF!,2,FALSE)</f>
        <v>#REF!</v>
      </c>
      <c r="AM44" s="311" t="e">
        <f t="shared" si="13"/>
        <v>#REF!</v>
      </c>
      <c r="AN44" s="312" t="e">
        <f t="shared" si="12"/>
        <v>#REF!</v>
      </c>
    </row>
    <row r="45" spans="1:40" s="73" customFormat="1" x14ac:dyDescent="0.25">
      <c r="A45" s="303">
        <v>36</v>
      </c>
      <c r="B45" s="304" t="s">
        <v>886</v>
      </c>
      <c r="D45" s="74">
        <f>IFERROR(VLOOKUP(B45,'REQ. PINTADO'!B:C,2,0),0)</f>
        <v>0</v>
      </c>
      <c r="E45" s="305">
        <f t="shared" si="0"/>
        <v>910.45798283529655</v>
      </c>
      <c r="F45" s="103" t="s">
        <v>165</v>
      </c>
      <c r="G45" s="75" t="s">
        <v>147</v>
      </c>
      <c r="H45" s="90">
        <v>45.83</v>
      </c>
      <c r="I45" s="90">
        <v>23.02</v>
      </c>
      <c r="J45" s="76">
        <v>0.105</v>
      </c>
      <c r="K45" s="306">
        <v>31.46</v>
      </c>
      <c r="L45" s="78">
        <f t="shared" si="1"/>
        <v>30.663434833916085</v>
      </c>
      <c r="M45" s="58">
        <f>+VLOOKUP(F45,Material!$H$2:$M$17,6,FALSE)*H45*I45*(1+Material!$K$14)</f>
        <v>438.48711812499999</v>
      </c>
      <c r="N45" s="79" t="str">
        <f t="shared" si="14"/>
        <v>T5.0</v>
      </c>
      <c r="O45" s="80">
        <f>+VLOOKUP(N45,[3]Material!$A$3:$B$58,2,FALSE)</f>
        <v>5000</v>
      </c>
      <c r="P45" s="79" t="s">
        <v>42</v>
      </c>
      <c r="Q45" s="79" t="str">
        <f>+VLOOKUP(F45,[3]Material!$C$2:$E$12,2,FALSE)</f>
        <v>Cal 14</v>
      </c>
      <c r="R45" s="81">
        <f>+IF(P45="ACERO A36",VLOOKUP(Q45,'[3]Velocidades Std 1500 w'!$B$2:$F$15,5,FALSE),IF(P45="INOXIDABLE",VLOOKUP(Q45,'[3]Velocidades Std 1500 w'!$B$17:$F$28,5,FALSE),IF(P45="ALUMINIO",VLOOKUP(Q45,'[3]Velocidades Std 1500 w'!$B$30:$F$38,5,FALSE))))</f>
        <v>2.0080321285140564E-6</v>
      </c>
      <c r="S45" s="82">
        <f t="shared" si="2"/>
        <v>1.0040160642570283E-2</v>
      </c>
      <c r="T45" s="83">
        <f t="shared" si="3"/>
        <v>31.753366265060237</v>
      </c>
      <c r="U45" s="307">
        <f t="shared" si="4"/>
        <v>4392.5489999999991</v>
      </c>
      <c r="V45" s="80">
        <f t="shared" si="5"/>
        <v>44.101897590361446</v>
      </c>
      <c r="W45" s="98">
        <v>18</v>
      </c>
      <c r="X45" s="84">
        <f>+IF(P45="ACERO A36",VLOOKUP(Q45,'[3]Tiempo Objeto'!$B$2:$C$12,2,FALSE),IF(P45="INOXIDABLE",VLOOKUP(Q45,'[3]Tiempo Objeto'!$B$14:$C$22,2,FALSE),IF(P45="ALUMINIO",VLOOKUP(Q45,'[3]Tiempo Objeto'!$B$24:$C$32,2,FALSE))))</f>
        <v>0.3133333333333333</v>
      </c>
      <c r="Y45" s="84">
        <f t="shared" si="6"/>
        <v>5.64</v>
      </c>
      <c r="Z45" s="80">
        <f t="shared" si="7"/>
        <v>7.833333333333333</v>
      </c>
      <c r="AA45" s="100">
        <v>7</v>
      </c>
      <c r="AB45" s="86">
        <f>+AA45*Analisis!$J$6</f>
        <v>175</v>
      </c>
      <c r="AC45" s="100">
        <v>0</v>
      </c>
      <c r="AD45" s="85">
        <f t="shared" si="8"/>
        <v>0</v>
      </c>
      <c r="AE45" s="86">
        <f>+AC45*Analisis!$J$7</f>
        <v>0</v>
      </c>
      <c r="AF45" s="308">
        <f>+H45*0.0254*I45*0.0254*2*(1+[3]Analisis!$G$2)</f>
        <v>1.7016201451399995</v>
      </c>
      <c r="AG45" s="86">
        <f>+AF45*Analisis!$J$8</f>
        <v>181.30357498813095</v>
      </c>
      <c r="AH45" s="309">
        <f t="shared" si="9"/>
        <v>846.72592403682575</v>
      </c>
      <c r="AI45" s="86">
        <f>+AH45/(1-Analisis!G50)</f>
        <v>846.72592403682575</v>
      </c>
      <c r="AJ45" s="86">
        <f t="shared" si="10"/>
        <v>910.45798283529655</v>
      </c>
      <c r="AK45" s="86">
        <f t="shared" si="11"/>
        <v>0</v>
      </c>
      <c r="AL45" s="310" t="e">
        <f>+VLOOKUP(B45,#REF!,2,FALSE)</f>
        <v>#REF!</v>
      </c>
      <c r="AM45" s="311" t="e">
        <f t="shared" si="13"/>
        <v>#REF!</v>
      </c>
      <c r="AN45" s="312" t="e">
        <f t="shared" si="12"/>
        <v>#REF!</v>
      </c>
    </row>
    <row r="46" spans="1:40" s="73" customFormat="1" x14ac:dyDescent="0.25">
      <c r="A46" s="303">
        <v>37</v>
      </c>
      <c r="B46" s="304" t="s">
        <v>887</v>
      </c>
      <c r="D46" s="74">
        <f>IFERROR(VLOOKUP(B46,'REQ. PINTADO'!B:C,2,0),0)</f>
        <v>0</v>
      </c>
      <c r="E46" s="305">
        <f t="shared" si="0"/>
        <v>1205.7219766676924</v>
      </c>
      <c r="F46" s="103" t="s">
        <v>165</v>
      </c>
      <c r="G46" s="75" t="s">
        <v>147</v>
      </c>
      <c r="H46" s="90">
        <v>45.83</v>
      </c>
      <c r="I46" s="90">
        <v>33.020000000000003</v>
      </c>
      <c r="J46" s="76">
        <v>0.105</v>
      </c>
      <c r="K46" s="306">
        <v>31.46</v>
      </c>
      <c r="L46" s="78">
        <f t="shared" si="1"/>
        <v>43.983780113636371</v>
      </c>
      <c r="M46" s="58">
        <f>+VLOOKUP(F46,Material!$H$2:$M$17,6,FALSE)*H46*I46*(1+Material!$K$14)</f>
        <v>628.96805562500003</v>
      </c>
      <c r="N46" s="79" t="str">
        <f t="shared" si="14"/>
        <v>T5.0</v>
      </c>
      <c r="O46" s="80">
        <f>+VLOOKUP(N46,[3]Material!$A$3:$B$58,2,FALSE)</f>
        <v>5000</v>
      </c>
      <c r="P46" s="79" t="s">
        <v>42</v>
      </c>
      <c r="Q46" s="79" t="str">
        <f>+VLOOKUP(F46,[3]Material!$C$2:$E$12,2,FALSE)</f>
        <v>Cal 14</v>
      </c>
      <c r="R46" s="81">
        <f>+IF(P46="ACERO A36",VLOOKUP(Q46,'[3]Velocidades Std 1500 w'!$B$2:$F$15,5,FALSE),IF(P46="INOXIDABLE",VLOOKUP(Q46,'[3]Velocidades Std 1500 w'!$B$17:$F$28,5,FALSE),IF(P46="ALUMINIO",VLOOKUP(Q46,'[3]Velocidades Std 1500 w'!$B$30:$F$38,5,FALSE))))</f>
        <v>2.0080321285140564E-6</v>
      </c>
      <c r="S46" s="82">
        <f t="shared" si="2"/>
        <v>1.0040160642570283E-2</v>
      </c>
      <c r="T46" s="83">
        <f t="shared" si="3"/>
        <v>35.609269879518074</v>
      </c>
      <c r="U46" s="307">
        <f t="shared" si="4"/>
        <v>4925.9489999999996</v>
      </c>
      <c r="V46" s="80">
        <f t="shared" si="5"/>
        <v>49.457319277108439</v>
      </c>
      <c r="W46" s="98">
        <v>18</v>
      </c>
      <c r="X46" s="84">
        <f>+IF(P46="ACERO A36",VLOOKUP(Q46,'[3]Tiempo Objeto'!$B$2:$C$12,2,FALSE),IF(P46="INOXIDABLE",VLOOKUP(Q46,'[3]Tiempo Objeto'!$B$14:$C$22,2,FALSE),IF(P46="ALUMINIO",VLOOKUP(Q46,'[3]Tiempo Objeto'!$B$24:$C$32,2,FALSE))))</f>
        <v>0.3133333333333333</v>
      </c>
      <c r="Y46" s="84">
        <f t="shared" si="6"/>
        <v>5.64</v>
      </c>
      <c r="Z46" s="80">
        <f t="shared" si="7"/>
        <v>7.833333333333333</v>
      </c>
      <c r="AA46" s="100">
        <v>7</v>
      </c>
      <c r="AB46" s="86">
        <f>+AA46*Analisis!$J$6</f>
        <v>175</v>
      </c>
      <c r="AC46" s="100">
        <v>0</v>
      </c>
      <c r="AD46" s="85">
        <f t="shared" si="8"/>
        <v>0</v>
      </c>
      <c r="AE46" s="86">
        <f>+AC46*Analisis!$J$7</f>
        <v>0</v>
      </c>
      <c r="AF46" s="308">
        <f>+H46*0.0254*I46*0.0254*2*(1+[3]Analisis!$G$2)</f>
        <v>2.4408122151399998</v>
      </c>
      <c r="AG46" s="86">
        <f>+AF46*Analisis!$J$8</f>
        <v>260.06273006551197</v>
      </c>
      <c r="AH46" s="309">
        <f t="shared" si="9"/>
        <v>1121.3214383009538</v>
      </c>
      <c r="AI46" s="86">
        <f>+AH46/(1-Analisis!G51)</f>
        <v>1121.3214383009538</v>
      </c>
      <c r="AJ46" s="86">
        <f t="shared" si="10"/>
        <v>1205.7219766676924</v>
      </c>
      <c r="AK46" s="86">
        <f t="shared" si="11"/>
        <v>0</v>
      </c>
      <c r="AL46" s="310" t="e">
        <f>+VLOOKUP(B46,#REF!,2,FALSE)</f>
        <v>#REF!</v>
      </c>
      <c r="AM46" s="311" t="e">
        <f t="shared" si="13"/>
        <v>#REF!</v>
      </c>
      <c r="AN46" s="312" t="e">
        <f t="shared" si="12"/>
        <v>#REF!</v>
      </c>
    </row>
    <row r="47" spans="1:40" s="73" customFormat="1" x14ac:dyDescent="0.25">
      <c r="A47" s="303">
        <v>38</v>
      </c>
      <c r="B47" s="304" t="s">
        <v>152</v>
      </c>
      <c r="D47" s="74">
        <f>IFERROR(VLOOKUP(B47,'REQ. PINTADO'!B:C,2,0),0)</f>
        <v>0</v>
      </c>
      <c r="E47" s="305">
        <f t="shared" si="0"/>
        <v>265.24801980027416</v>
      </c>
      <c r="F47" s="103" t="s">
        <v>163</v>
      </c>
      <c r="G47" s="75" t="s">
        <v>147</v>
      </c>
      <c r="H47" s="90">
        <v>10.52</v>
      </c>
      <c r="I47" s="90">
        <v>18.88</v>
      </c>
      <c r="J47" s="76">
        <v>0.105</v>
      </c>
      <c r="K47" s="306">
        <v>5.92</v>
      </c>
      <c r="L47" s="78">
        <f t="shared" si="1"/>
        <v>27.705893861163542</v>
      </c>
      <c r="M47" s="58">
        <f>+VLOOKUP(F47,Material!$H$2:$M$17,6,FALSE)*H47*I47*(1+Material!$K$14)</f>
        <v>74.554041662767347</v>
      </c>
      <c r="N47" s="79" t="str">
        <f t="shared" si="14"/>
        <v>T5.0</v>
      </c>
      <c r="O47" s="80">
        <f>+VLOOKUP(N47,[3]Material!$A$3:$B$58,2,FALSE)</f>
        <v>5000</v>
      </c>
      <c r="P47" s="79" t="s">
        <v>42</v>
      </c>
      <c r="Q47" s="79" t="str">
        <f>+VLOOKUP(F47,[3]Material!$C$2:$E$12,2,FALSE)</f>
        <v>Cal 12</v>
      </c>
      <c r="R47" s="81">
        <f>+IF(P47="ACERO A36",VLOOKUP(Q47,'[3]Velocidades Std 1500 w'!$B$2:$F$15,5,FALSE),IF(P47="INOXIDABLE",VLOOKUP(Q47,'[3]Velocidades Std 1500 w'!$B$17:$F$28,5,FALSE),IF(P47="ALUMINIO",VLOOKUP(Q47,'[3]Velocidades Std 1500 w'!$B$30:$F$38,5,FALSE))))</f>
        <v>4.3859649122807014E-6</v>
      </c>
      <c r="S47" s="82">
        <f t="shared" si="2"/>
        <v>2.1929824561403508E-2</v>
      </c>
      <c r="T47" s="83">
        <f t="shared" si="3"/>
        <v>44.342384210526312</v>
      </c>
      <c r="U47" s="307">
        <f t="shared" si="4"/>
        <v>2808.3510000000001</v>
      </c>
      <c r="V47" s="80">
        <f t="shared" si="5"/>
        <v>61.586644736842103</v>
      </c>
      <c r="W47" s="98">
        <v>31</v>
      </c>
      <c r="X47" s="84">
        <f>+IF(P47="ACERO A36",VLOOKUP(Q47,'[3]Tiempo Objeto'!$B$2:$C$12,2,FALSE),IF(P47="INOXIDABLE",VLOOKUP(Q47,'[3]Tiempo Objeto'!$B$14:$C$22,2,FALSE),IF(P47="ALUMINIO",VLOOKUP(Q47,'[3]Tiempo Objeto'!$B$24:$C$32,2,FALSE))))</f>
        <v>0.6133333333333334</v>
      </c>
      <c r="Y47" s="84">
        <f t="shared" si="6"/>
        <v>19.013333333333335</v>
      </c>
      <c r="Z47" s="80">
        <f t="shared" si="7"/>
        <v>26.407407407407408</v>
      </c>
      <c r="AA47" s="100">
        <v>2</v>
      </c>
      <c r="AB47" s="86">
        <f>+AA47*Analisis!$J$6</f>
        <v>50</v>
      </c>
      <c r="AC47" s="100">
        <v>0</v>
      </c>
      <c r="AD47" s="85">
        <f t="shared" si="8"/>
        <v>0</v>
      </c>
      <c r="AE47" s="86">
        <f>+AC47*Analisis!$J$7</f>
        <v>0</v>
      </c>
      <c r="AF47" s="308">
        <f>+H47*0.0254*I47*0.0254*2*(1+[3]Analisis!$G$2)</f>
        <v>0.32035032703999994</v>
      </c>
      <c r="AG47" s="86">
        <f>+AF47*Analisis!$J$8</f>
        <v>34.132564607238102</v>
      </c>
      <c r="AH47" s="309">
        <f t="shared" si="9"/>
        <v>246.68065841425496</v>
      </c>
      <c r="AI47" s="86">
        <f>+AH47/(1-Analisis!G52)</f>
        <v>246.68065841425496</v>
      </c>
      <c r="AJ47" s="86">
        <f t="shared" si="10"/>
        <v>265.24801980027416</v>
      </c>
      <c r="AK47" s="86">
        <f t="shared" si="11"/>
        <v>0</v>
      </c>
      <c r="AL47" s="310" t="e">
        <f>+VLOOKUP(B47,#REF!,2,FALSE)</f>
        <v>#REF!</v>
      </c>
      <c r="AM47" s="311" t="e">
        <f t="shared" si="13"/>
        <v>#REF!</v>
      </c>
      <c r="AN47" s="312" t="e">
        <f t="shared" si="12"/>
        <v>#REF!</v>
      </c>
    </row>
    <row r="48" spans="1:40" s="73" customFormat="1" x14ac:dyDescent="0.25">
      <c r="A48" s="303"/>
      <c r="B48" s="304" t="s">
        <v>153</v>
      </c>
      <c r="D48" s="74">
        <f>IFERROR(VLOOKUP(B48,'REQ. PINTADO'!B:C,2,0),0)</f>
        <v>0</v>
      </c>
      <c r="E48" s="305">
        <f t="shared" si="0"/>
        <v>302.48695895445474</v>
      </c>
      <c r="F48" s="103" t="s">
        <v>163</v>
      </c>
      <c r="G48" s="75" t="s">
        <v>147</v>
      </c>
      <c r="H48" s="90">
        <v>10.52</v>
      </c>
      <c r="I48" s="90">
        <v>23.88</v>
      </c>
      <c r="J48" s="76">
        <v>0.105</v>
      </c>
      <c r="K48" s="306">
        <v>7.49</v>
      </c>
      <c r="L48" s="78">
        <f t="shared" si="1"/>
        <v>27.697743409257161</v>
      </c>
      <c r="M48" s="58">
        <f>+VLOOKUP(F48,Material!$H$2:$M$17,6,FALSE)*H48*I48*(1+Material!$K$14)</f>
        <v>94.298226425152777</v>
      </c>
      <c r="N48" s="79" t="str">
        <f t="shared" si="14"/>
        <v>T5.0</v>
      </c>
      <c r="O48" s="80">
        <f>+VLOOKUP(N48,[3]Material!$A$3:$B$58,2,FALSE)</f>
        <v>5000</v>
      </c>
      <c r="P48" s="79" t="s">
        <v>42</v>
      </c>
      <c r="Q48" s="79" t="str">
        <f>+VLOOKUP(F48,[3]Material!$C$2:$E$12,2,FALSE)</f>
        <v>Cal 12</v>
      </c>
      <c r="R48" s="81">
        <f>+IF(P48="ACERO A36",VLOOKUP(Q48,'[3]Velocidades Std 1500 w'!$B$2:$F$15,5,FALSE),IF(P48="INOXIDABLE",VLOOKUP(Q48,'[3]Velocidades Std 1500 w'!$B$17:$F$28,5,FALSE),IF(P48="ALUMINIO",VLOOKUP(Q48,'[3]Velocidades Std 1500 w'!$B$30:$F$38,5,FALSE))))</f>
        <v>4.3859649122807014E-6</v>
      </c>
      <c r="S48" s="82">
        <f t="shared" si="2"/>
        <v>2.1929824561403508E-2</v>
      </c>
      <c r="T48" s="83">
        <f t="shared" si="3"/>
        <v>48.553436842105256</v>
      </c>
      <c r="U48" s="307">
        <f t="shared" si="4"/>
        <v>3075.0509999999999</v>
      </c>
      <c r="V48" s="80">
        <f t="shared" si="5"/>
        <v>67.435328947368419</v>
      </c>
      <c r="W48" s="98">
        <v>31</v>
      </c>
      <c r="X48" s="84">
        <f>+IF(P48="ACERO A36",VLOOKUP(Q48,'[3]Tiempo Objeto'!$B$2:$C$12,2,FALSE),IF(P48="INOXIDABLE",VLOOKUP(Q48,'[3]Tiempo Objeto'!$B$14:$C$22,2,FALSE),IF(P48="ALUMINIO",VLOOKUP(Q48,'[3]Tiempo Objeto'!$B$24:$C$32,2,FALSE))))</f>
        <v>0.6133333333333334</v>
      </c>
      <c r="Y48" s="84">
        <f t="shared" si="6"/>
        <v>19.013333333333335</v>
      </c>
      <c r="Z48" s="80">
        <f t="shared" si="7"/>
        <v>26.407407407407408</v>
      </c>
      <c r="AA48" s="100">
        <v>2</v>
      </c>
      <c r="AB48" s="86">
        <f>+AA48*Analisis!$J$6</f>
        <v>50</v>
      </c>
      <c r="AC48" s="100">
        <v>0</v>
      </c>
      <c r="AD48" s="85">
        <f t="shared" si="8"/>
        <v>0</v>
      </c>
      <c r="AE48" s="86">
        <f>+AC48*Analisis!$J$7</f>
        <v>0</v>
      </c>
      <c r="AF48" s="308">
        <f>+H48*0.0254*I48*0.0254*2*(1+[3]Analisis!$G$2)</f>
        <v>0.40518886703999996</v>
      </c>
      <c r="AG48" s="86">
        <f>+AF48*Analisis!$J$8</f>
        <v>43.171909047714294</v>
      </c>
      <c r="AH48" s="309">
        <f t="shared" si="9"/>
        <v>281.31287182764288</v>
      </c>
      <c r="AI48" s="86">
        <f>+AH48/(1-Analisis!G53)</f>
        <v>281.31287182764288</v>
      </c>
      <c r="AJ48" s="86">
        <f t="shared" si="10"/>
        <v>302.48695895445474</v>
      </c>
      <c r="AK48" s="86">
        <f t="shared" si="11"/>
        <v>0</v>
      </c>
      <c r="AL48" s="310" t="e">
        <f>+VLOOKUP(B48,#REF!,2,FALSE)</f>
        <v>#REF!</v>
      </c>
      <c r="AM48" s="311" t="e">
        <f t="shared" si="13"/>
        <v>#REF!</v>
      </c>
      <c r="AN48" s="312" t="e">
        <f t="shared" si="12"/>
        <v>#REF!</v>
      </c>
    </row>
    <row r="49" spans="1:40" s="73" customFormat="1" x14ac:dyDescent="0.25">
      <c r="A49" s="303">
        <v>39</v>
      </c>
      <c r="B49" s="304" t="s">
        <v>888</v>
      </c>
      <c r="D49" s="74">
        <f>IFERROR(VLOOKUP(B49,'REQ. PINTADO'!B:C,2,0),0)</f>
        <v>0</v>
      </c>
      <c r="E49" s="305">
        <f t="shared" si="0"/>
        <v>191.93212950770365</v>
      </c>
      <c r="F49" s="103" t="s">
        <v>163</v>
      </c>
      <c r="G49" s="75" t="s">
        <v>147</v>
      </c>
      <c r="H49" s="90">
        <v>9.39</v>
      </c>
      <c r="I49" s="90">
        <v>18.88</v>
      </c>
      <c r="J49" s="76">
        <v>0.105</v>
      </c>
      <c r="K49" s="306">
        <v>1</v>
      </c>
      <c r="L49" s="78">
        <f t="shared" si="1"/>
        <v>146.40089283930112</v>
      </c>
      <c r="M49" s="58">
        <f>+VLOOKUP(F49,Material!$H$2:$M$17,6,FALSE)*H49*I49*(1+Material!$K$14)</f>
        <v>66.545860381500503</v>
      </c>
      <c r="N49" s="79" t="str">
        <f t="shared" si="14"/>
        <v>T5.0</v>
      </c>
      <c r="O49" s="80">
        <f>+VLOOKUP(N49,[3]Material!$A$3:$B$58,2,FALSE)</f>
        <v>5000</v>
      </c>
      <c r="P49" s="79" t="s">
        <v>42</v>
      </c>
      <c r="Q49" s="79" t="str">
        <f>+VLOOKUP(F49,[3]Material!$C$2:$E$12,2,FALSE)</f>
        <v>Cal 12</v>
      </c>
      <c r="R49" s="81">
        <f>+IF(P49="ACERO A36",VLOOKUP(Q49,'[3]Velocidades Std 1500 w'!$B$2:$F$15,5,FALSE),IF(P49="INOXIDABLE",VLOOKUP(Q49,'[3]Velocidades Std 1500 w'!$B$17:$F$28,5,FALSE),IF(P49="ALUMINIO",VLOOKUP(Q49,'[3]Velocidades Std 1500 w'!$B$30:$F$38,5,FALSE))))</f>
        <v>4.3859649122807014E-6</v>
      </c>
      <c r="S49" s="82">
        <f t="shared" si="2"/>
        <v>2.1929824561403508E-2</v>
      </c>
      <c r="T49" s="83">
        <f t="shared" si="3"/>
        <v>41.495712631578947</v>
      </c>
      <c r="U49" s="307">
        <f t="shared" si="4"/>
        <v>2628.0617999999999</v>
      </c>
      <c r="V49" s="80">
        <f t="shared" si="5"/>
        <v>57.632934210526308</v>
      </c>
      <c r="W49" s="98">
        <v>28</v>
      </c>
      <c r="X49" s="84">
        <f>+IF(P49="ACERO A36",VLOOKUP(Q49,'[3]Tiempo Objeto'!$B$2:$C$12,2,FALSE),IF(P49="INOXIDABLE",VLOOKUP(Q49,'[3]Tiempo Objeto'!$B$14:$C$22,2,FALSE),IF(P49="ALUMINIO",VLOOKUP(Q49,'[3]Tiempo Objeto'!$B$24:$C$32,2,FALSE))))</f>
        <v>0.6133333333333334</v>
      </c>
      <c r="Y49" s="84">
        <f t="shared" si="6"/>
        <v>17.173333333333336</v>
      </c>
      <c r="Z49" s="80">
        <f t="shared" si="7"/>
        <v>23.851851851851855</v>
      </c>
      <c r="AA49" s="100">
        <v>0</v>
      </c>
      <c r="AB49" s="86">
        <f>+AA49*Analisis!$J$6</f>
        <v>0</v>
      </c>
      <c r="AC49" s="100">
        <v>0</v>
      </c>
      <c r="AD49" s="85">
        <f t="shared" si="8"/>
        <v>0</v>
      </c>
      <c r="AE49" s="86">
        <f>+AC49*Analisis!$J$7</f>
        <v>0</v>
      </c>
      <c r="AF49" s="308">
        <f>+H49*0.0254*I49*0.0254*2*(1+[3]Analisis!$G$2)</f>
        <v>0.28594007327999998</v>
      </c>
      <c r="AG49" s="86">
        <f>+AF49*Analisis!$J$8</f>
        <v>30.466233998285723</v>
      </c>
      <c r="AH49" s="309">
        <f t="shared" si="9"/>
        <v>178.49688044216438</v>
      </c>
      <c r="AI49" s="86">
        <f>+AH49/(1-Analisis!G54)</f>
        <v>178.49688044216438</v>
      </c>
      <c r="AJ49" s="86">
        <f t="shared" si="10"/>
        <v>191.93212950770365</v>
      </c>
      <c r="AK49" s="86">
        <f t="shared" si="11"/>
        <v>0</v>
      </c>
      <c r="AL49" s="310" t="e">
        <f>+VLOOKUP(B49,#REF!,2,FALSE)</f>
        <v>#REF!</v>
      </c>
      <c r="AM49" s="311" t="e">
        <f t="shared" si="13"/>
        <v>#REF!</v>
      </c>
      <c r="AN49" s="312" t="e">
        <f t="shared" si="12"/>
        <v>#REF!</v>
      </c>
    </row>
    <row r="50" spans="1:40" s="73" customFormat="1" x14ac:dyDescent="0.25">
      <c r="A50" s="303"/>
      <c r="B50" s="304" t="s">
        <v>154</v>
      </c>
      <c r="D50" s="74">
        <f>IFERROR(VLOOKUP(B50,'REQ. PINTADO'!B:C,2,0),0)</f>
        <v>0</v>
      </c>
      <c r="E50" s="305">
        <f t="shared" si="0"/>
        <v>279.61002896287425</v>
      </c>
      <c r="F50" s="103" t="s">
        <v>163</v>
      </c>
      <c r="G50" s="75" t="s">
        <v>147</v>
      </c>
      <c r="H50" s="90">
        <v>9.39</v>
      </c>
      <c r="I50" s="90">
        <v>23.88</v>
      </c>
      <c r="J50" s="76">
        <v>0.105</v>
      </c>
      <c r="K50" s="306">
        <v>1</v>
      </c>
      <c r="L50" s="78">
        <f t="shared" si="1"/>
        <v>185.1723157310652</v>
      </c>
      <c r="M50" s="58">
        <f>+VLOOKUP(F50,Material!$H$2:$M$17,6,FALSE)*H50*I50*(1+Material!$K$14)</f>
        <v>84.169234423211449</v>
      </c>
      <c r="N50" s="79" t="str">
        <f t="shared" si="14"/>
        <v>T5.0</v>
      </c>
      <c r="O50" s="80">
        <f>+VLOOKUP(N50,[3]Material!$A$3:$B$58,2,FALSE)</f>
        <v>5000</v>
      </c>
      <c r="P50" s="79" t="s">
        <v>42</v>
      </c>
      <c r="Q50" s="79" t="str">
        <f>+VLOOKUP(F50,[3]Material!$C$2:$E$12,2,FALSE)</f>
        <v>Cal 12</v>
      </c>
      <c r="R50" s="81">
        <f>+IF(P50="ACERO A36",VLOOKUP(Q50,'[3]Velocidades Std 1500 w'!$B$2:$F$15,5,FALSE),IF(P50="INOXIDABLE",VLOOKUP(Q50,'[3]Velocidades Std 1500 w'!$B$17:$F$28,5,FALSE),IF(P50="ALUMINIO",VLOOKUP(Q50,'[3]Velocidades Std 1500 w'!$B$30:$F$38,5,FALSE))))</f>
        <v>4.3859649122807014E-6</v>
      </c>
      <c r="S50" s="82">
        <f t="shared" si="2"/>
        <v>2.1929824561403508E-2</v>
      </c>
      <c r="T50" s="83">
        <f t="shared" si="3"/>
        <v>45.706765263157884</v>
      </c>
      <c r="U50" s="307">
        <f t="shared" si="4"/>
        <v>2894.7617999999998</v>
      </c>
      <c r="V50" s="80">
        <f t="shared" si="5"/>
        <v>63.481618421052623</v>
      </c>
      <c r="W50" s="98">
        <v>28</v>
      </c>
      <c r="X50" s="84">
        <f>+IF(P50="ACERO A36",VLOOKUP(Q50,'[3]Tiempo Objeto'!$B$2:$C$12,2,FALSE),IF(P50="INOXIDABLE",VLOOKUP(Q50,'[3]Tiempo Objeto'!$B$14:$C$22,2,FALSE),IF(P50="ALUMINIO",VLOOKUP(Q50,'[3]Tiempo Objeto'!$B$24:$C$32,2,FALSE))))</f>
        <v>0.6133333333333334</v>
      </c>
      <c r="Y50" s="84">
        <f t="shared" si="6"/>
        <v>17.173333333333336</v>
      </c>
      <c r="Z50" s="80">
        <f t="shared" si="7"/>
        <v>23.851851851851855</v>
      </c>
      <c r="AA50" s="100">
        <v>2</v>
      </c>
      <c r="AB50" s="86">
        <f>+AA50*Analisis!$J$6</f>
        <v>50</v>
      </c>
      <c r="AC50" s="100">
        <v>0</v>
      </c>
      <c r="AD50" s="85">
        <f t="shared" si="8"/>
        <v>0</v>
      </c>
      <c r="AE50" s="86">
        <f>+AC50*Analisis!$J$7</f>
        <v>0</v>
      </c>
      <c r="AF50" s="308">
        <f>+H50*0.0254*I50*0.0254*2*(1+[3]Analisis!$G$2)</f>
        <v>0.36166572827999999</v>
      </c>
      <c r="AG50" s="86">
        <f>+AF50*Analisis!$J$8</f>
        <v>38.534622239357155</v>
      </c>
      <c r="AH50" s="309">
        <f t="shared" si="9"/>
        <v>260.03732693547306</v>
      </c>
      <c r="AI50" s="86">
        <f>+AH50/(1-Analisis!G55)</f>
        <v>260.03732693547306</v>
      </c>
      <c r="AJ50" s="86">
        <f t="shared" si="10"/>
        <v>279.61002896287425</v>
      </c>
      <c r="AK50" s="86">
        <f t="shared" si="11"/>
        <v>0</v>
      </c>
      <c r="AL50" s="310" t="e">
        <f>+VLOOKUP(B50,#REF!,2,FALSE)</f>
        <v>#REF!</v>
      </c>
      <c r="AM50" s="311" t="e">
        <f t="shared" si="13"/>
        <v>#REF!</v>
      </c>
      <c r="AN50" s="312" t="e">
        <f t="shared" si="12"/>
        <v>#REF!</v>
      </c>
    </row>
    <row r="51" spans="1:40" s="73" customFormat="1" x14ac:dyDescent="0.25">
      <c r="A51" s="303">
        <v>40</v>
      </c>
      <c r="B51" s="304" t="s">
        <v>159</v>
      </c>
      <c r="D51" s="74">
        <f>IFERROR(VLOOKUP(B51,'REQ. PINTADO'!B:C,2,0),0)</f>
        <v>0</v>
      </c>
      <c r="E51" s="305">
        <f t="shared" si="0"/>
        <v>507.00995893755879</v>
      </c>
      <c r="F51" s="103" t="s">
        <v>163</v>
      </c>
      <c r="G51" s="75" t="s">
        <v>147</v>
      </c>
      <c r="H51" s="90">
        <v>23.33</v>
      </c>
      <c r="I51" s="90">
        <v>23.02</v>
      </c>
      <c r="J51" s="76">
        <v>0.105</v>
      </c>
      <c r="K51" s="306">
        <v>16.39</v>
      </c>
      <c r="L51" s="78">
        <f t="shared" si="1"/>
        <v>27.059342991957848</v>
      </c>
      <c r="M51" s="58">
        <f>+VLOOKUP(F51,Material!$H$2:$M$17,6,FALSE)*H51*I51*(1+Material!$K$14)</f>
        <v>201.59210529008595</v>
      </c>
      <c r="N51" s="79" t="str">
        <f t="shared" si="14"/>
        <v>T5.0</v>
      </c>
      <c r="O51" s="80">
        <f>+VLOOKUP(N51,[3]Material!$A$3:$B$58,2,FALSE)</f>
        <v>5000</v>
      </c>
      <c r="P51" s="79" t="s">
        <v>42</v>
      </c>
      <c r="Q51" s="79" t="str">
        <f>+VLOOKUP(F51,[3]Material!$C$2:$E$12,2,FALSE)</f>
        <v>Cal 12</v>
      </c>
      <c r="R51" s="81">
        <f>+IF(P51="ACERO A36",VLOOKUP(Q51,'[3]Velocidades Std 1500 w'!$B$2:$F$15,5,FALSE),IF(P51="INOXIDABLE",VLOOKUP(Q51,'[3]Velocidades Std 1500 w'!$B$17:$F$28,5,FALSE),IF(P51="ALUMINIO",VLOOKUP(Q51,'[3]Velocidades Std 1500 w'!$B$30:$F$38,5,FALSE))))</f>
        <v>4.3859649122807014E-6</v>
      </c>
      <c r="S51" s="82">
        <f t="shared" si="2"/>
        <v>2.1929824561403508E-2</v>
      </c>
      <c r="T51" s="83">
        <f t="shared" si="3"/>
        <v>56.722878947368407</v>
      </c>
      <c r="U51" s="307">
        <f t="shared" si="4"/>
        <v>3592.4489999999996</v>
      </c>
      <c r="V51" s="80">
        <f t="shared" si="5"/>
        <v>78.781776315789457</v>
      </c>
      <c r="W51" s="98">
        <v>28</v>
      </c>
      <c r="X51" s="84">
        <f>+IF(P51="ACERO A36",VLOOKUP(Q51,'[3]Tiempo Objeto'!$B$2:$C$12,2,FALSE),IF(P51="INOXIDABLE",VLOOKUP(Q51,'[3]Tiempo Objeto'!$B$14:$C$22,2,FALSE),IF(P51="ALUMINIO",VLOOKUP(Q51,'[3]Tiempo Objeto'!$B$24:$C$32,2,FALSE))))</f>
        <v>0.6133333333333334</v>
      </c>
      <c r="Y51" s="84">
        <f t="shared" si="6"/>
        <v>17.173333333333336</v>
      </c>
      <c r="Z51" s="80">
        <f t="shared" si="7"/>
        <v>23.851851851851855</v>
      </c>
      <c r="AA51" s="100">
        <v>3</v>
      </c>
      <c r="AB51" s="86">
        <f>+AA51*Analisis!$J$6</f>
        <v>75</v>
      </c>
      <c r="AC51" s="100">
        <v>0</v>
      </c>
      <c r="AD51" s="85">
        <f t="shared" si="8"/>
        <v>0</v>
      </c>
      <c r="AE51" s="86">
        <f>+AC51*Analisis!$J$7</f>
        <v>0</v>
      </c>
      <c r="AF51" s="308">
        <f>+H51*0.0254*I51*0.0254*2*(1+[3]Analisis!$G$2)</f>
        <v>0.86621859013999991</v>
      </c>
      <c r="AG51" s="86">
        <f>+AF51*Analisis!$J$8</f>
        <v>92.293528354202394</v>
      </c>
      <c r="AH51" s="309">
        <f t="shared" si="9"/>
        <v>471.51926181192965</v>
      </c>
      <c r="AI51" s="86">
        <f>+AH51/(1-Analisis!G56)</f>
        <v>471.51926181192965</v>
      </c>
      <c r="AJ51" s="86">
        <f t="shared" si="10"/>
        <v>507.00995893755879</v>
      </c>
      <c r="AK51" s="86">
        <f t="shared" si="11"/>
        <v>0</v>
      </c>
      <c r="AL51" s="310" t="e">
        <f>+VLOOKUP(B51,#REF!,2,FALSE)</f>
        <v>#REF!</v>
      </c>
      <c r="AM51" s="311" t="e">
        <f t="shared" si="13"/>
        <v>#REF!</v>
      </c>
      <c r="AN51" s="312" t="e">
        <f t="shared" si="12"/>
        <v>#REF!</v>
      </c>
    </row>
    <row r="52" spans="1:40" s="73" customFormat="1" x14ac:dyDescent="0.25">
      <c r="A52" s="303"/>
      <c r="B52" s="304" t="s">
        <v>167</v>
      </c>
      <c r="D52" s="74">
        <f>IFERROR(VLOOKUP(B52,'REQ. PINTADO'!B:C,2,0),0)</f>
        <v>0</v>
      </c>
      <c r="E52" s="305">
        <f t="shared" si="0"/>
        <v>507.00995893755879</v>
      </c>
      <c r="F52" s="103" t="s">
        <v>163</v>
      </c>
      <c r="G52" s="75" t="s">
        <v>147</v>
      </c>
      <c r="H52" s="90">
        <v>23.33</v>
      </c>
      <c r="I52" s="90">
        <v>23.02</v>
      </c>
      <c r="J52" s="76">
        <v>0.105</v>
      </c>
      <c r="K52" s="306">
        <v>16.39</v>
      </c>
      <c r="L52" s="78">
        <f t="shared" si="1"/>
        <v>27.059342991957848</v>
      </c>
      <c r="M52" s="58">
        <f>+VLOOKUP(F52,Material!$H$2:$M$17,6,FALSE)*H52*I52*(1+Material!$K$14)</f>
        <v>201.59210529008595</v>
      </c>
      <c r="N52" s="79" t="str">
        <f t="shared" si="14"/>
        <v>T5.0</v>
      </c>
      <c r="O52" s="80">
        <f>+VLOOKUP(N52,[3]Material!$A$3:$B$58,2,FALSE)</f>
        <v>5000</v>
      </c>
      <c r="P52" s="79" t="s">
        <v>42</v>
      </c>
      <c r="Q52" s="79" t="str">
        <f>+VLOOKUP(F52,[3]Material!$C$2:$E$12,2,FALSE)</f>
        <v>Cal 12</v>
      </c>
      <c r="R52" s="81">
        <f>+IF(P52="ACERO A36",VLOOKUP(Q52,'[3]Velocidades Std 1500 w'!$B$2:$F$15,5,FALSE),IF(P52="INOXIDABLE",VLOOKUP(Q52,'[3]Velocidades Std 1500 w'!$B$17:$F$28,5,FALSE),IF(P52="ALUMINIO",VLOOKUP(Q52,'[3]Velocidades Std 1500 w'!$B$30:$F$38,5,FALSE))))</f>
        <v>4.3859649122807014E-6</v>
      </c>
      <c r="S52" s="82">
        <f t="shared" si="2"/>
        <v>2.1929824561403508E-2</v>
      </c>
      <c r="T52" s="83">
        <f t="shared" si="3"/>
        <v>56.722878947368407</v>
      </c>
      <c r="U52" s="307">
        <f t="shared" si="4"/>
        <v>3592.4489999999996</v>
      </c>
      <c r="V52" s="80">
        <f t="shared" si="5"/>
        <v>78.781776315789457</v>
      </c>
      <c r="W52" s="98">
        <v>28</v>
      </c>
      <c r="X52" s="84">
        <f>+IF(P52="ACERO A36",VLOOKUP(Q52,'[3]Tiempo Objeto'!$B$2:$C$12,2,FALSE),IF(P52="INOXIDABLE",VLOOKUP(Q52,'[3]Tiempo Objeto'!$B$14:$C$22,2,FALSE),IF(P52="ALUMINIO",VLOOKUP(Q52,'[3]Tiempo Objeto'!$B$24:$C$32,2,FALSE))))</f>
        <v>0.6133333333333334</v>
      </c>
      <c r="Y52" s="84">
        <f t="shared" si="6"/>
        <v>17.173333333333336</v>
      </c>
      <c r="Z52" s="80">
        <f t="shared" si="7"/>
        <v>23.851851851851855</v>
      </c>
      <c r="AA52" s="100">
        <v>3</v>
      </c>
      <c r="AB52" s="86">
        <f>+AA52*Analisis!$J$6</f>
        <v>75</v>
      </c>
      <c r="AC52" s="100">
        <v>0</v>
      </c>
      <c r="AD52" s="85">
        <f t="shared" si="8"/>
        <v>0</v>
      </c>
      <c r="AE52" s="86">
        <f>+AC52*Analisis!$J$7</f>
        <v>0</v>
      </c>
      <c r="AF52" s="308">
        <f>+H52*0.0254*I52*0.0254*2*(1+[3]Analisis!$G$2)</f>
        <v>0.86621859013999991</v>
      </c>
      <c r="AG52" s="86">
        <f>+AF52*Analisis!$J$8</f>
        <v>92.293528354202394</v>
      </c>
      <c r="AH52" s="309">
        <f t="shared" si="9"/>
        <v>471.51926181192965</v>
      </c>
      <c r="AI52" s="86">
        <f>+AH52/(1-Analisis!G57)</f>
        <v>471.51926181192965</v>
      </c>
      <c r="AJ52" s="86">
        <f t="shared" si="10"/>
        <v>507.00995893755879</v>
      </c>
      <c r="AK52" s="86">
        <f t="shared" si="11"/>
        <v>0</v>
      </c>
      <c r="AL52" s="310" t="e">
        <f>+VLOOKUP(B52,#REF!,2,FALSE)</f>
        <v>#REF!</v>
      </c>
      <c r="AM52" s="311" t="e">
        <f t="shared" si="13"/>
        <v>#REF!</v>
      </c>
      <c r="AN52" s="312" t="e">
        <f t="shared" si="12"/>
        <v>#REF!</v>
      </c>
    </row>
    <row r="53" spans="1:40" s="73" customFormat="1" x14ac:dyDescent="0.25">
      <c r="A53" s="303"/>
      <c r="B53" s="304" t="s">
        <v>168</v>
      </c>
      <c r="D53" s="74">
        <f>IFERROR(VLOOKUP(B53,'REQ. PINTADO'!B:C,2,0),0)</f>
        <v>0</v>
      </c>
      <c r="E53" s="305">
        <f t="shared" si="0"/>
        <v>507.00995893755879</v>
      </c>
      <c r="F53" s="103" t="s">
        <v>163</v>
      </c>
      <c r="G53" s="75" t="s">
        <v>147</v>
      </c>
      <c r="H53" s="90">
        <v>23.33</v>
      </c>
      <c r="I53" s="90">
        <v>23.02</v>
      </c>
      <c r="J53" s="76">
        <v>0.105</v>
      </c>
      <c r="K53" s="306">
        <v>16.39</v>
      </c>
      <c r="L53" s="78">
        <f t="shared" si="1"/>
        <v>27.059342991957848</v>
      </c>
      <c r="M53" s="58">
        <f>+VLOOKUP(F53,Material!$H$2:$M$17,6,FALSE)*H53*I53*(1+Material!$K$14)</f>
        <v>201.59210529008595</v>
      </c>
      <c r="N53" s="79" t="str">
        <f t="shared" si="14"/>
        <v>T5.0</v>
      </c>
      <c r="O53" s="80">
        <f>+VLOOKUP(N53,[3]Material!$A$3:$B$58,2,FALSE)</f>
        <v>5000</v>
      </c>
      <c r="P53" s="79" t="s">
        <v>42</v>
      </c>
      <c r="Q53" s="79" t="str">
        <f>+VLOOKUP(F53,[3]Material!$C$2:$E$12,2,FALSE)</f>
        <v>Cal 12</v>
      </c>
      <c r="R53" s="81">
        <f>+IF(P53="ACERO A36",VLOOKUP(Q53,'[3]Velocidades Std 1500 w'!$B$2:$F$15,5,FALSE),IF(P53="INOXIDABLE",VLOOKUP(Q53,'[3]Velocidades Std 1500 w'!$B$17:$F$28,5,FALSE),IF(P53="ALUMINIO",VLOOKUP(Q53,'[3]Velocidades Std 1500 w'!$B$30:$F$38,5,FALSE))))</f>
        <v>4.3859649122807014E-6</v>
      </c>
      <c r="S53" s="82">
        <f t="shared" si="2"/>
        <v>2.1929824561403508E-2</v>
      </c>
      <c r="T53" s="83">
        <f t="shared" si="3"/>
        <v>56.722878947368407</v>
      </c>
      <c r="U53" s="307">
        <f t="shared" si="4"/>
        <v>3592.4489999999996</v>
      </c>
      <c r="V53" s="80">
        <f t="shared" si="5"/>
        <v>78.781776315789457</v>
      </c>
      <c r="W53" s="98">
        <v>28</v>
      </c>
      <c r="X53" s="84">
        <f>+IF(P53="ACERO A36",VLOOKUP(Q53,'[3]Tiempo Objeto'!$B$2:$C$12,2,FALSE),IF(P53="INOXIDABLE",VLOOKUP(Q53,'[3]Tiempo Objeto'!$B$14:$C$22,2,FALSE),IF(P53="ALUMINIO",VLOOKUP(Q53,'[3]Tiempo Objeto'!$B$24:$C$32,2,FALSE))))</f>
        <v>0.6133333333333334</v>
      </c>
      <c r="Y53" s="84">
        <f t="shared" si="6"/>
        <v>17.173333333333336</v>
      </c>
      <c r="Z53" s="80">
        <f t="shared" si="7"/>
        <v>23.851851851851855</v>
      </c>
      <c r="AA53" s="100">
        <v>3</v>
      </c>
      <c r="AB53" s="86">
        <f>+AA53*Analisis!$J$6</f>
        <v>75</v>
      </c>
      <c r="AC53" s="100">
        <v>0</v>
      </c>
      <c r="AD53" s="85">
        <f t="shared" si="8"/>
        <v>0</v>
      </c>
      <c r="AE53" s="86">
        <f>+AC53*Analisis!$J$7</f>
        <v>0</v>
      </c>
      <c r="AF53" s="308">
        <f>+H53*0.0254*I53*0.0254*2*(1+[3]Analisis!$G$2)</f>
        <v>0.86621859013999991</v>
      </c>
      <c r="AG53" s="86">
        <f>+AF53*Analisis!$J$8</f>
        <v>92.293528354202394</v>
      </c>
      <c r="AH53" s="309">
        <f t="shared" si="9"/>
        <v>471.51926181192965</v>
      </c>
      <c r="AI53" s="86">
        <f>+AH53/(1-Analisis!G58)</f>
        <v>471.51926181192965</v>
      </c>
      <c r="AJ53" s="86">
        <f t="shared" si="10"/>
        <v>507.00995893755879</v>
      </c>
      <c r="AK53" s="86">
        <f t="shared" si="11"/>
        <v>0</v>
      </c>
      <c r="AL53" s="310" t="e">
        <f>+VLOOKUP(B53,#REF!,2,FALSE)</f>
        <v>#REF!</v>
      </c>
      <c r="AM53" s="311" t="e">
        <f t="shared" si="13"/>
        <v>#REF!</v>
      </c>
      <c r="AN53" s="312" t="e">
        <f t="shared" si="12"/>
        <v>#REF!</v>
      </c>
    </row>
    <row r="54" spans="1:40" s="73" customFormat="1" x14ac:dyDescent="0.25">
      <c r="A54" s="303"/>
      <c r="B54" s="304" t="s">
        <v>169</v>
      </c>
      <c r="D54" s="74">
        <f>IFERROR(VLOOKUP(B54,'REQ. PINTADO'!B:C,2,0),0)</f>
        <v>0</v>
      </c>
      <c r="E54" s="305">
        <f t="shared" si="0"/>
        <v>507.00995893755879</v>
      </c>
      <c r="F54" s="103" t="s">
        <v>163</v>
      </c>
      <c r="G54" s="75" t="s">
        <v>147</v>
      </c>
      <c r="H54" s="90">
        <v>23.33</v>
      </c>
      <c r="I54" s="90">
        <v>23.02</v>
      </c>
      <c r="J54" s="76">
        <v>0.105</v>
      </c>
      <c r="K54" s="306">
        <v>16.39</v>
      </c>
      <c r="L54" s="78">
        <f t="shared" si="1"/>
        <v>27.059342991957848</v>
      </c>
      <c r="M54" s="58">
        <f>+VLOOKUP(F54,Material!$H$2:$M$17,6,FALSE)*H54*I54*(1+Material!$K$14)</f>
        <v>201.59210529008595</v>
      </c>
      <c r="N54" s="79" t="str">
        <f t="shared" si="14"/>
        <v>T5.0</v>
      </c>
      <c r="O54" s="80">
        <f>+VLOOKUP(N54,[3]Material!$A$3:$B$58,2,FALSE)</f>
        <v>5000</v>
      </c>
      <c r="P54" s="79" t="s">
        <v>42</v>
      </c>
      <c r="Q54" s="79" t="str">
        <f>+VLOOKUP(F54,[3]Material!$C$2:$E$12,2,FALSE)</f>
        <v>Cal 12</v>
      </c>
      <c r="R54" s="81">
        <f>+IF(P54="ACERO A36",VLOOKUP(Q54,'[3]Velocidades Std 1500 w'!$B$2:$F$15,5,FALSE),IF(P54="INOXIDABLE",VLOOKUP(Q54,'[3]Velocidades Std 1500 w'!$B$17:$F$28,5,FALSE),IF(P54="ALUMINIO",VLOOKUP(Q54,'[3]Velocidades Std 1500 w'!$B$30:$F$38,5,FALSE))))</f>
        <v>4.3859649122807014E-6</v>
      </c>
      <c r="S54" s="82">
        <f t="shared" si="2"/>
        <v>2.1929824561403508E-2</v>
      </c>
      <c r="T54" s="83">
        <f t="shared" si="3"/>
        <v>56.722878947368407</v>
      </c>
      <c r="U54" s="307">
        <f t="shared" si="4"/>
        <v>3592.4489999999996</v>
      </c>
      <c r="V54" s="80">
        <f t="shared" si="5"/>
        <v>78.781776315789457</v>
      </c>
      <c r="W54" s="98">
        <v>28</v>
      </c>
      <c r="X54" s="84">
        <f>+IF(P54="ACERO A36",VLOOKUP(Q54,'[3]Tiempo Objeto'!$B$2:$C$12,2,FALSE),IF(P54="INOXIDABLE",VLOOKUP(Q54,'[3]Tiempo Objeto'!$B$14:$C$22,2,FALSE),IF(P54="ALUMINIO",VLOOKUP(Q54,'[3]Tiempo Objeto'!$B$24:$C$32,2,FALSE))))</f>
        <v>0.6133333333333334</v>
      </c>
      <c r="Y54" s="84">
        <f t="shared" si="6"/>
        <v>17.173333333333336</v>
      </c>
      <c r="Z54" s="80">
        <f t="shared" si="7"/>
        <v>23.851851851851855</v>
      </c>
      <c r="AA54" s="100">
        <v>3</v>
      </c>
      <c r="AB54" s="86">
        <f>+AA54*Analisis!$J$6</f>
        <v>75</v>
      </c>
      <c r="AC54" s="100">
        <v>0</v>
      </c>
      <c r="AD54" s="85">
        <f t="shared" si="8"/>
        <v>0</v>
      </c>
      <c r="AE54" s="86">
        <f>+AC54*Analisis!$J$7</f>
        <v>0</v>
      </c>
      <c r="AF54" s="308">
        <f>+H54*0.0254*I54*0.0254*2*(1+[3]Analisis!$G$2)</f>
        <v>0.86621859013999991</v>
      </c>
      <c r="AG54" s="86">
        <f>+AF54*Analisis!$J$8</f>
        <v>92.293528354202394</v>
      </c>
      <c r="AH54" s="309">
        <f t="shared" si="9"/>
        <v>471.51926181192965</v>
      </c>
      <c r="AI54" s="86">
        <f>+AH54/(1-Analisis!G59)</f>
        <v>471.51926181192965</v>
      </c>
      <c r="AJ54" s="86">
        <f t="shared" si="10"/>
        <v>507.00995893755879</v>
      </c>
      <c r="AK54" s="86">
        <f t="shared" si="11"/>
        <v>0</v>
      </c>
      <c r="AL54" s="310" t="e">
        <f>+VLOOKUP(B54,#REF!,2,FALSE)</f>
        <v>#REF!</v>
      </c>
      <c r="AM54" s="311" t="e">
        <f t="shared" si="13"/>
        <v>#REF!</v>
      </c>
      <c r="AN54" s="312" t="e">
        <f t="shared" si="12"/>
        <v>#REF!</v>
      </c>
    </row>
    <row r="55" spans="1:40" s="73" customFormat="1" x14ac:dyDescent="0.25">
      <c r="A55" s="303"/>
      <c r="B55" s="304" t="s">
        <v>170</v>
      </c>
      <c r="D55" s="74">
        <f>IFERROR(VLOOKUP(B55,'REQ. PINTADO'!B:C,2,0),0)</f>
        <v>0</v>
      </c>
      <c r="E55" s="305">
        <f t="shared" si="0"/>
        <v>507.00995893755879</v>
      </c>
      <c r="F55" s="103" t="s">
        <v>163</v>
      </c>
      <c r="G55" s="75" t="s">
        <v>147</v>
      </c>
      <c r="H55" s="90">
        <v>23.33</v>
      </c>
      <c r="I55" s="90">
        <v>23.02</v>
      </c>
      <c r="J55" s="76">
        <v>0.105</v>
      </c>
      <c r="K55" s="306">
        <v>16.39</v>
      </c>
      <c r="L55" s="78">
        <f t="shared" si="1"/>
        <v>27.059342991957848</v>
      </c>
      <c r="M55" s="58">
        <f>+VLOOKUP(F55,Material!$H$2:$M$17,6,FALSE)*H55*I55*(1+Material!$K$14)</f>
        <v>201.59210529008595</v>
      </c>
      <c r="N55" s="79" t="str">
        <f t="shared" si="14"/>
        <v>T5.0</v>
      </c>
      <c r="O55" s="80">
        <f>+VLOOKUP(N55,[3]Material!$A$3:$B$58,2,FALSE)</f>
        <v>5000</v>
      </c>
      <c r="P55" s="79" t="s">
        <v>42</v>
      </c>
      <c r="Q55" s="79" t="str">
        <f>+VLOOKUP(F55,[3]Material!$C$2:$E$12,2,FALSE)</f>
        <v>Cal 12</v>
      </c>
      <c r="R55" s="81">
        <f>+IF(P55="ACERO A36",VLOOKUP(Q55,'[3]Velocidades Std 1500 w'!$B$2:$F$15,5,FALSE),IF(P55="INOXIDABLE",VLOOKUP(Q55,'[3]Velocidades Std 1500 w'!$B$17:$F$28,5,FALSE),IF(P55="ALUMINIO",VLOOKUP(Q55,'[3]Velocidades Std 1500 w'!$B$30:$F$38,5,FALSE))))</f>
        <v>4.3859649122807014E-6</v>
      </c>
      <c r="S55" s="82">
        <f t="shared" si="2"/>
        <v>2.1929824561403508E-2</v>
      </c>
      <c r="T55" s="83">
        <f t="shared" si="3"/>
        <v>56.722878947368407</v>
      </c>
      <c r="U55" s="307">
        <f t="shared" si="4"/>
        <v>3592.4489999999996</v>
      </c>
      <c r="V55" s="80">
        <f t="shared" si="5"/>
        <v>78.781776315789457</v>
      </c>
      <c r="W55" s="98">
        <v>28</v>
      </c>
      <c r="X55" s="84">
        <f>+IF(P55="ACERO A36",VLOOKUP(Q55,'[3]Tiempo Objeto'!$B$2:$C$12,2,FALSE),IF(P55="INOXIDABLE",VLOOKUP(Q55,'[3]Tiempo Objeto'!$B$14:$C$22,2,FALSE),IF(P55="ALUMINIO",VLOOKUP(Q55,'[3]Tiempo Objeto'!$B$24:$C$32,2,FALSE))))</f>
        <v>0.6133333333333334</v>
      </c>
      <c r="Y55" s="84">
        <f t="shared" si="6"/>
        <v>17.173333333333336</v>
      </c>
      <c r="Z55" s="80">
        <f t="shared" si="7"/>
        <v>23.851851851851855</v>
      </c>
      <c r="AA55" s="100">
        <v>3</v>
      </c>
      <c r="AB55" s="86">
        <f>+AA55*Analisis!$J$6</f>
        <v>75</v>
      </c>
      <c r="AC55" s="100">
        <v>0</v>
      </c>
      <c r="AD55" s="85">
        <f t="shared" si="8"/>
        <v>0</v>
      </c>
      <c r="AE55" s="86">
        <f>+AC55*Analisis!$J$7</f>
        <v>0</v>
      </c>
      <c r="AF55" s="308">
        <f>+H55*0.0254*I55*0.0254*2*(1+[3]Analisis!$G$2)</f>
        <v>0.86621859013999991</v>
      </c>
      <c r="AG55" s="86">
        <f>+AF55*Analisis!$J$8</f>
        <v>92.293528354202394</v>
      </c>
      <c r="AH55" s="309">
        <f t="shared" si="9"/>
        <v>471.51926181192965</v>
      </c>
      <c r="AI55" s="86">
        <f>+AH55/(1-Analisis!G60)</f>
        <v>471.51926181192965</v>
      </c>
      <c r="AJ55" s="86">
        <f t="shared" si="10"/>
        <v>507.00995893755879</v>
      </c>
      <c r="AK55" s="86">
        <f t="shared" si="11"/>
        <v>0</v>
      </c>
      <c r="AL55" s="310" t="e">
        <f>+VLOOKUP(B55,#REF!,2,FALSE)</f>
        <v>#REF!</v>
      </c>
      <c r="AM55" s="311" t="e">
        <f t="shared" si="13"/>
        <v>#REF!</v>
      </c>
      <c r="AN55" s="312" t="e">
        <f t="shared" si="12"/>
        <v>#REF!</v>
      </c>
    </row>
    <row r="56" spans="1:40" s="73" customFormat="1" x14ac:dyDescent="0.25">
      <c r="A56" s="303"/>
      <c r="B56" s="304" t="s">
        <v>171</v>
      </c>
      <c r="D56" s="74">
        <f>IFERROR(VLOOKUP(B56,'REQ. PINTADO'!B:C,2,0),0)</f>
        <v>0</v>
      </c>
      <c r="E56" s="305">
        <f t="shared" si="0"/>
        <v>507.00995893755879</v>
      </c>
      <c r="F56" s="103" t="s">
        <v>163</v>
      </c>
      <c r="G56" s="75" t="s">
        <v>147</v>
      </c>
      <c r="H56" s="90">
        <v>23.33</v>
      </c>
      <c r="I56" s="90">
        <v>23.02</v>
      </c>
      <c r="J56" s="76">
        <v>0.105</v>
      </c>
      <c r="K56" s="306">
        <v>16.39</v>
      </c>
      <c r="L56" s="78">
        <f t="shared" si="1"/>
        <v>27.059342991957848</v>
      </c>
      <c r="M56" s="58">
        <f>+VLOOKUP(F56,Material!$H$2:$M$17,6,FALSE)*H56*I56*(1+Material!$K$14)</f>
        <v>201.59210529008595</v>
      </c>
      <c r="N56" s="79" t="str">
        <f t="shared" si="14"/>
        <v>T5.0</v>
      </c>
      <c r="O56" s="80">
        <f>+VLOOKUP(N56,[3]Material!$A$3:$B$58,2,FALSE)</f>
        <v>5000</v>
      </c>
      <c r="P56" s="79" t="s">
        <v>42</v>
      </c>
      <c r="Q56" s="79" t="str">
        <f>+VLOOKUP(F56,[3]Material!$C$2:$E$12,2,FALSE)</f>
        <v>Cal 12</v>
      </c>
      <c r="R56" s="81">
        <f>+IF(P56="ACERO A36",VLOOKUP(Q56,'[3]Velocidades Std 1500 w'!$B$2:$F$15,5,FALSE),IF(P56="INOXIDABLE",VLOOKUP(Q56,'[3]Velocidades Std 1500 w'!$B$17:$F$28,5,FALSE),IF(P56="ALUMINIO",VLOOKUP(Q56,'[3]Velocidades Std 1500 w'!$B$30:$F$38,5,FALSE))))</f>
        <v>4.3859649122807014E-6</v>
      </c>
      <c r="S56" s="82">
        <f t="shared" si="2"/>
        <v>2.1929824561403508E-2</v>
      </c>
      <c r="T56" s="83">
        <f t="shared" si="3"/>
        <v>56.722878947368407</v>
      </c>
      <c r="U56" s="307">
        <f t="shared" si="4"/>
        <v>3592.4489999999996</v>
      </c>
      <c r="V56" s="80">
        <f t="shared" si="5"/>
        <v>78.781776315789457</v>
      </c>
      <c r="W56" s="98">
        <v>28</v>
      </c>
      <c r="X56" s="84">
        <f>+IF(P56="ACERO A36",VLOOKUP(Q56,'[3]Tiempo Objeto'!$B$2:$C$12,2,FALSE),IF(P56="INOXIDABLE",VLOOKUP(Q56,'[3]Tiempo Objeto'!$B$14:$C$22,2,FALSE),IF(P56="ALUMINIO",VLOOKUP(Q56,'[3]Tiempo Objeto'!$B$24:$C$32,2,FALSE))))</f>
        <v>0.6133333333333334</v>
      </c>
      <c r="Y56" s="84">
        <f t="shared" si="6"/>
        <v>17.173333333333336</v>
      </c>
      <c r="Z56" s="80">
        <f t="shared" si="7"/>
        <v>23.851851851851855</v>
      </c>
      <c r="AA56" s="100">
        <v>3</v>
      </c>
      <c r="AB56" s="86">
        <f>+AA56*Analisis!$J$6</f>
        <v>75</v>
      </c>
      <c r="AC56" s="100">
        <v>0</v>
      </c>
      <c r="AD56" s="85">
        <f t="shared" si="8"/>
        <v>0</v>
      </c>
      <c r="AE56" s="86">
        <f>+AC56*Analisis!$J$7</f>
        <v>0</v>
      </c>
      <c r="AF56" s="308">
        <f>+H56*0.0254*I56*0.0254*2*(1+[3]Analisis!$G$2)</f>
        <v>0.86621859013999991</v>
      </c>
      <c r="AG56" s="86">
        <f>+AF56*Analisis!$J$8</f>
        <v>92.293528354202394</v>
      </c>
      <c r="AH56" s="309">
        <f t="shared" si="9"/>
        <v>471.51926181192965</v>
      </c>
      <c r="AI56" s="86">
        <f>+AH56/(1-Analisis!G61)</f>
        <v>471.51926181192965</v>
      </c>
      <c r="AJ56" s="86">
        <f t="shared" si="10"/>
        <v>507.00995893755879</v>
      </c>
      <c r="AK56" s="86">
        <f t="shared" si="11"/>
        <v>0</v>
      </c>
      <c r="AL56" s="310" t="e">
        <f>+VLOOKUP(B56,#REF!,2,FALSE)</f>
        <v>#REF!</v>
      </c>
      <c r="AM56" s="311" t="e">
        <f t="shared" si="13"/>
        <v>#REF!</v>
      </c>
      <c r="AN56" s="312" t="e">
        <f t="shared" si="12"/>
        <v>#REF!</v>
      </c>
    </row>
    <row r="57" spans="1:40" s="73" customFormat="1" x14ac:dyDescent="0.25">
      <c r="A57" s="303">
        <v>41</v>
      </c>
      <c r="B57" s="304" t="s">
        <v>160</v>
      </c>
      <c r="D57" s="74">
        <f>IFERROR(VLOOKUP(B57,'REQ. PINTADO'!B:C,2,0),0)</f>
        <v>0</v>
      </c>
      <c r="E57" s="305">
        <f t="shared" si="0"/>
        <v>663.48214168154709</v>
      </c>
      <c r="F57" s="103" t="s">
        <v>163</v>
      </c>
      <c r="G57" s="75" t="s">
        <v>147</v>
      </c>
      <c r="H57" s="90">
        <v>23.65</v>
      </c>
      <c r="I57" s="90">
        <v>33.020000000000003</v>
      </c>
      <c r="J57" s="76">
        <v>0.105</v>
      </c>
      <c r="K57" s="306">
        <v>23.82</v>
      </c>
      <c r="L57" s="78">
        <f t="shared" si="1"/>
        <v>27.07338753725811</v>
      </c>
      <c r="M57" s="58">
        <f>+VLOOKUP(F57,Material!$H$2:$M$17,6,FALSE)*H57*I57*(1+Material!$K$14)</f>
        <v>293.13095051704011</v>
      </c>
      <c r="N57" s="79" t="str">
        <f t="shared" si="14"/>
        <v>T5.0</v>
      </c>
      <c r="O57" s="80">
        <f>+VLOOKUP(N57,[3]Material!$A$3:$B$58,2,FALSE)</f>
        <v>5000</v>
      </c>
      <c r="P57" s="79" t="s">
        <v>42</v>
      </c>
      <c r="Q57" s="79" t="str">
        <f>+VLOOKUP(F57,[3]Material!$C$2:$E$12,2,FALSE)</f>
        <v>Cal 12</v>
      </c>
      <c r="R57" s="81">
        <f>+IF(P57="ACERO A36",VLOOKUP(Q57,'[3]Velocidades Std 1500 w'!$B$2:$F$15,5,FALSE),IF(P57="INOXIDABLE",VLOOKUP(Q57,'[3]Velocidades Std 1500 w'!$B$17:$F$28,5,FALSE),IF(P57="ALUMINIO",VLOOKUP(Q57,'[3]Velocidades Std 1500 w'!$B$30:$F$38,5,FALSE))))</f>
        <v>4.3859649122807014E-6</v>
      </c>
      <c r="S57" s="82">
        <f t="shared" si="2"/>
        <v>2.1929824561403508E-2</v>
      </c>
      <c r="T57" s="83">
        <f t="shared" si="3"/>
        <v>65.414491578947363</v>
      </c>
      <c r="U57" s="307">
        <f t="shared" si="4"/>
        <v>4142.9178000000002</v>
      </c>
      <c r="V57" s="80">
        <f t="shared" si="5"/>
        <v>90.853460526315786</v>
      </c>
      <c r="W57" s="98">
        <v>28</v>
      </c>
      <c r="X57" s="84">
        <f>+IF(P57="ACERO A36",VLOOKUP(Q57,'[3]Tiempo Objeto'!$B$2:$C$12,2,FALSE),IF(P57="INOXIDABLE",VLOOKUP(Q57,'[3]Tiempo Objeto'!$B$14:$C$22,2,FALSE),IF(P57="ALUMINIO",VLOOKUP(Q57,'[3]Tiempo Objeto'!$B$24:$C$32,2,FALSE))))</f>
        <v>0.6133333333333334</v>
      </c>
      <c r="Y57" s="84">
        <f t="shared" si="6"/>
        <v>17.173333333333336</v>
      </c>
      <c r="Z57" s="80">
        <f t="shared" si="7"/>
        <v>23.851851851851855</v>
      </c>
      <c r="AA57" s="100">
        <v>3</v>
      </c>
      <c r="AB57" s="86">
        <f>+AA57*Analisis!$J$6</f>
        <v>75</v>
      </c>
      <c r="AC57" s="100">
        <v>0</v>
      </c>
      <c r="AD57" s="85">
        <f t="shared" si="8"/>
        <v>0</v>
      </c>
      <c r="AE57" s="86">
        <f>+AC57*Analisis!$J$7</f>
        <v>0</v>
      </c>
      <c r="AF57" s="308">
        <f>+H57*0.0254*I57*0.0254*2*(1+[3]Analisis!$G$2)</f>
        <v>1.2595507067</v>
      </c>
      <c r="AG57" s="86">
        <f>+AF57*Analisis!$J$8</f>
        <v>134.20212886863101</v>
      </c>
      <c r="AH57" s="309">
        <f>+AE57+AB57+Z57+V57+M57+AG57</f>
        <v>617.03839176383872</v>
      </c>
      <c r="AI57" s="86">
        <f>+AH57/(1-Analisis!G62)</f>
        <v>617.03839176383872</v>
      </c>
      <c r="AJ57" s="86">
        <f t="shared" si="10"/>
        <v>663.48214168154709</v>
      </c>
      <c r="AK57" s="86">
        <f>+AJ57*D57</f>
        <v>0</v>
      </c>
      <c r="AL57" s="310" t="e">
        <f>+VLOOKUP(B57,#REF!,2,FALSE)</f>
        <v>#REF!</v>
      </c>
      <c r="AM57" s="311" t="e">
        <f t="shared" si="13"/>
        <v>#REF!</v>
      </c>
      <c r="AN57" s="312" t="e">
        <f t="shared" si="12"/>
        <v>#REF!</v>
      </c>
    </row>
    <row r="58" spans="1:40" s="73" customFormat="1" x14ac:dyDescent="0.25">
      <c r="A58" s="303"/>
      <c r="B58" s="304" t="s">
        <v>173</v>
      </c>
      <c r="D58" s="74">
        <f>IFERROR(VLOOKUP(B58,'REQ. PINTADO'!B:C,2,0),0)</f>
        <v>0</v>
      </c>
      <c r="E58" s="305">
        <f t="shared" si="0"/>
        <v>663.48214168154709</v>
      </c>
      <c r="F58" s="103" t="s">
        <v>163</v>
      </c>
      <c r="G58" s="75" t="s">
        <v>147</v>
      </c>
      <c r="H58" s="90">
        <v>23.65</v>
      </c>
      <c r="I58" s="90">
        <v>33.020000000000003</v>
      </c>
      <c r="J58" s="76">
        <v>0.105</v>
      </c>
      <c r="K58" s="306">
        <v>23.82</v>
      </c>
      <c r="L58" s="78">
        <f t="shared" si="1"/>
        <v>27.07338753725811</v>
      </c>
      <c r="M58" s="58">
        <f>+VLOOKUP(F58,Material!$H$2:$M$17,6,FALSE)*H58*I58*(1+Material!$K$14)</f>
        <v>293.13095051704011</v>
      </c>
      <c r="N58" s="79" t="str">
        <f t="shared" si="14"/>
        <v>T5.0</v>
      </c>
      <c r="O58" s="80">
        <f>+VLOOKUP(N58,[3]Material!$A$3:$B$58,2,FALSE)</f>
        <v>5000</v>
      </c>
      <c r="P58" s="79" t="s">
        <v>42</v>
      </c>
      <c r="Q58" s="79" t="str">
        <f>+VLOOKUP(F58,[3]Material!$C$2:$E$12,2,FALSE)</f>
        <v>Cal 12</v>
      </c>
      <c r="R58" s="81">
        <f>+IF(P58="ACERO A36",VLOOKUP(Q58,'[3]Velocidades Std 1500 w'!$B$2:$F$15,5,FALSE),IF(P58="INOXIDABLE",VLOOKUP(Q58,'[3]Velocidades Std 1500 w'!$B$17:$F$28,5,FALSE),IF(P58="ALUMINIO",VLOOKUP(Q58,'[3]Velocidades Std 1500 w'!$B$30:$F$38,5,FALSE))))</f>
        <v>4.3859649122807014E-6</v>
      </c>
      <c r="S58" s="82">
        <f t="shared" si="2"/>
        <v>2.1929824561403508E-2</v>
      </c>
      <c r="T58" s="83">
        <f t="shared" si="3"/>
        <v>65.414491578947363</v>
      </c>
      <c r="U58" s="307">
        <f t="shared" si="4"/>
        <v>4142.9178000000002</v>
      </c>
      <c r="V58" s="80">
        <f t="shared" si="5"/>
        <v>90.853460526315786</v>
      </c>
      <c r="W58" s="98">
        <v>28</v>
      </c>
      <c r="X58" s="84">
        <f>+IF(P58="ACERO A36",VLOOKUP(Q58,'[3]Tiempo Objeto'!$B$2:$C$12,2,FALSE),IF(P58="INOXIDABLE",VLOOKUP(Q58,'[3]Tiempo Objeto'!$B$14:$C$22,2,FALSE),IF(P58="ALUMINIO",VLOOKUP(Q58,'[3]Tiempo Objeto'!$B$24:$C$32,2,FALSE))))</f>
        <v>0.6133333333333334</v>
      </c>
      <c r="Y58" s="84">
        <f t="shared" si="6"/>
        <v>17.173333333333336</v>
      </c>
      <c r="Z58" s="80">
        <f t="shared" si="7"/>
        <v>23.851851851851855</v>
      </c>
      <c r="AA58" s="100">
        <v>3</v>
      </c>
      <c r="AB58" s="86">
        <f>+AA58*Analisis!$J$6</f>
        <v>75</v>
      </c>
      <c r="AC58" s="100">
        <v>0</v>
      </c>
      <c r="AD58" s="85">
        <f t="shared" si="8"/>
        <v>0</v>
      </c>
      <c r="AE58" s="86">
        <f>+AC58*Analisis!$J$7</f>
        <v>0</v>
      </c>
      <c r="AF58" s="308">
        <f>+H58*0.0254*I58*0.0254*2*(1+[3]Analisis!$G$2)</f>
        <v>1.2595507067</v>
      </c>
      <c r="AG58" s="86">
        <f>+AF58*Analisis!$J$8</f>
        <v>134.20212886863101</v>
      </c>
      <c r="AH58" s="309">
        <f t="shared" ref="AH58:AH62" si="15">+AE58+AB58+Z58+V58+M58+AG58</f>
        <v>617.03839176383872</v>
      </c>
      <c r="AI58" s="86">
        <f>+AH58/(1-Analisis!G63)</f>
        <v>617.03839176383872</v>
      </c>
      <c r="AJ58" s="86">
        <f t="shared" si="10"/>
        <v>663.48214168154709</v>
      </c>
      <c r="AK58" s="86">
        <f t="shared" ref="AK58:AK62" si="16">+AJ58*D58</f>
        <v>0</v>
      </c>
      <c r="AL58" s="310" t="e">
        <f>+VLOOKUP(B58,#REF!,2,FALSE)</f>
        <v>#REF!</v>
      </c>
      <c r="AM58" s="311" t="e">
        <f t="shared" si="13"/>
        <v>#REF!</v>
      </c>
      <c r="AN58" s="312" t="e">
        <f t="shared" si="12"/>
        <v>#REF!</v>
      </c>
    </row>
    <row r="59" spans="1:40" s="73" customFormat="1" x14ac:dyDescent="0.25">
      <c r="A59" s="303"/>
      <c r="B59" s="304" t="s">
        <v>174</v>
      </c>
      <c r="D59" s="74">
        <f>IFERROR(VLOOKUP(B59,'REQ. PINTADO'!B:C,2,0),0)</f>
        <v>0</v>
      </c>
      <c r="E59" s="305">
        <f t="shared" si="0"/>
        <v>663.48214168154709</v>
      </c>
      <c r="F59" s="103" t="s">
        <v>163</v>
      </c>
      <c r="G59" s="75" t="s">
        <v>147</v>
      </c>
      <c r="H59" s="90">
        <v>23.65</v>
      </c>
      <c r="I59" s="90">
        <v>33.020000000000003</v>
      </c>
      <c r="J59" s="76">
        <v>0.105</v>
      </c>
      <c r="K59" s="306">
        <v>23.82</v>
      </c>
      <c r="L59" s="78">
        <f t="shared" si="1"/>
        <v>27.07338753725811</v>
      </c>
      <c r="M59" s="58">
        <f>+VLOOKUP(F59,Material!$H$2:$M$17,6,FALSE)*H59*I59*(1+Material!$K$14)</f>
        <v>293.13095051704011</v>
      </c>
      <c r="N59" s="79" t="str">
        <f t="shared" si="14"/>
        <v>T5.0</v>
      </c>
      <c r="O59" s="80">
        <f>+VLOOKUP(N59,[3]Material!$A$3:$B$58,2,FALSE)</f>
        <v>5000</v>
      </c>
      <c r="P59" s="79" t="s">
        <v>42</v>
      </c>
      <c r="Q59" s="79" t="str">
        <f>+VLOOKUP(F59,[3]Material!$C$2:$E$12,2,FALSE)</f>
        <v>Cal 12</v>
      </c>
      <c r="R59" s="81">
        <f>+IF(P59="ACERO A36",VLOOKUP(Q59,'[3]Velocidades Std 1500 w'!$B$2:$F$15,5,FALSE),IF(P59="INOXIDABLE",VLOOKUP(Q59,'[3]Velocidades Std 1500 w'!$B$17:$F$28,5,FALSE),IF(P59="ALUMINIO",VLOOKUP(Q59,'[3]Velocidades Std 1500 w'!$B$30:$F$38,5,FALSE))))</f>
        <v>4.3859649122807014E-6</v>
      </c>
      <c r="S59" s="82">
        <f t="shared" si="2"/>
        <v>2.1929824561403508E-2</v>
      </c>
      <c r="T59" s="83">
        <f t="shared" si="3"/>
        <v>65.414491578947363</v>
      </c>
      <c r="U59" s="307">
        <f t="shared" si="4"/>
        <v>4142.9178000000002</v>
      </c>
      <c r="V59" s="80">
        <f t="shared" si="5"/>
        <v>90.853460526315786</v>
      </c>
      <c r="W59" s="98">
        <v>28</v>
      </c>
      <c r="X59" s="84">
        <f>+IF(P59="ACERO A36",VLOOKUP(Q59,'[3]Tiempo Objeto'!$B$2:$C$12,2,FALSE),IF(P59="INOXIDABLE",VLOOKUP(Q59,'[3]Tiempo Objeto'!$B$14:$C$22,2,FALSE),IF(P59="ALUMINIO",VLOOKUP(Q59,'[3]Tiempo Objeto'!$B$24:$C$32,2,FALSE))))</f>
        <v>0.6133333333333334</v>
      </c>
      <c r="Y59" s="84">
        <f t="shared" si="6"/>
        <v>17.173333333333336</v>
      </c>
      <c r="Z59" s="80">
        <f t="shared" si="7"/>
        <v>23.851851851851855</v>
      </c>
      <c r="AA59" s="100">
        <v>3</v>
      </c>
      <c r="AB59" s="86">
        <f>+AA59*Analisis!$J$6</f>
        <v>75</v>
      </c>
      <c r="AC59" s="100">
        <v>0</v>
      </c>
      <c r="AD59" s="85">
        <f t="shared" si="8"/>
        <v>0</v>
      </c>
      <c r="AE59" s="86">
        <f>+AC59*Analisis!$J$7</f>
        <v>0</v>
      </c>
      <c r="AF59" s="308">
        <f>+H59*0.0254*I59*0.0254*2*(1+[3]Analisis!$G$2)</f>
        <v>1.2595507067</v>
      </c>
      <c r="AG59" s="86">
        <f>+AF59*Analisis!$J$8</f>
        <v>134.20212886863101</v>
      </c>
      <c r="AH59" s="309">
        <f t="shared" si="15"/>
        <v>617.03839176383872</v>
      </c>
      <c r="AI59" s="86">
        <f>+AH59/(1-Analisis!G64)</f>
        <v>617.03839176383872</v>
      </c>
      <c r="AJ59" s="86">
        <f t="shared" si="10"/>
        <v>663.48214168154709</v>
      </c>
      <c r="AK59" s="86">
        <f t="shared" si="16"/>
        <v>0</v>
      </c>
      <c r="AL59" s="310" t="e">
        <f>+VLOOKUP(B59,#REF!,2,FALSE)</f>
        <v>#REF!</v>
      </c>
      <c r="AM59" s="311" t="e">
        <f t="shared" si="13"/>
        <v>#REF!</v>
      </c>
      <c r="AN59" s="312" t="e">
        <f t="shared" si="12"/>
        <v>#REF!</v>
      </c>
    </row>
    <row r="60" spans="1:40" s="73" customFormat="1" x14ac:dyDescent="0.25">
      <c r="A60" s="303"/>
      <c r="B60" s="304" t="s">
        <v>175</v>
      </c>
      <c r="D60" s="74">
        <f>IFERROR(VLOOKUP(B60,'REQ. PINTADO'!B:C,2,0),0)</f>
        <v>0</v>
      </c>
      <c r="E60" s="305">
        <f t="shared" si="0"/>
        <v>663.48214168154709</v>
      </c>
      <c r="F60" s="103" t="s">
        <v>163</v>
      </c>
      <c r="G60" s="75" t="s">
        <v>147</v>
      </c>
      <c r="H60" s="90">
        <v>23.65</v>
      </c>
      <c r="I60" s="90">
        <v>33.020000000000003</v>
      </c>
      <c r="J60" s="76">
        <v>0.105</v>
      </c>
      <c r="K60" s="306">
        <v>23.82</v>
      </c>
      <c r="L60" s="78">
        <f t="shared" si="1"/>
        <v>27.07338753725811</v>
      </c>
      <c r="M60" s="58">
        <f>+VLOOKUP(F60,Material!$H$2:$M$17,6,FALSE)*H60*I60*(1+Material!$K$14)</f>
        <v>293.13095051704011</v>
      </c>
      <c r="N60" s="79" t="str">
        <f t="shared" si="14"/>
        <v>T5.0</v>
      </c>
      <c r="O60" s="80">
        <f>+VLOOKUP(N60,[3]Material!$A$3:$B$58,2,FALSE)</f>
        <v>5000</v>
      </c>
      <c r="P60" s="79" t="s">
        <v>42</v>
      </c>
      <c r="Q60" s="79" t="str">
        <f>+VLOOKUP(F60,[3]Material!$C$2:$E$12,2,FALSE)</f>
        <v>Cal 12</v>
      </c>
      <c r="R60" s="81">
        <f>+IF(P60="ACERO A36",VLOOKUP(Q60,'[3]Velocidades Std 1500 w'!$B$2:$F$15,5,FALSE),IF(P60="INOXIDABLE",VLOOKUP(Q60,'[3]Velocidades Std 1500 w'!$B$17:$F$28,5,FALSE),IF(P60="ALUMINIO",VLOOKUP(Q60,'[3]Velocidades Std 1500 w'!$B$30:$F$38,5,FALSE))))</f>
        <v>4.3859649122807014E-6</v>
      </c>
      <c r="S60" s="82">
        <f t="shared" si="2"/>
        <v>2.1929824561403508E-2</v>
      </c>
      <c r="T60" s="83">
        <f t="shared" si="3"/>
        <v>65.414491578947363</v>
      </c>
      <c r="U60" s="307">
        <f t="shared" si="4"/>
        <v>4142.9178000000002</v>
      </c>
      <c r="V60" s="80">
        <f t="shared" si="5"/>
        <v>90.853460526315786</v>
      </c>
      <c r="W60" s="98">
        <v>28</v>
      </c>
      <c r="X60" s="84">
        <f>+IF(P60="ACERO A36",VLOOKUP(Q60,'[3]Tiempo Objeto'!$B$2:$C$12,2,FALSE),IF(P60="INOXIDABLE",VLOOKUP(Q60,'[3]Tiempo Objeto'!$B$14:$C$22,2,FALSE),IF(P60="ALUMINIO",VLOOKUP(Q60,'[3]Tiempo Objeto'!$B$24:$C$32,2,FALSE))))</f>
        <v>0.6133333333333334</v>
      </c>
      <c r="Y60" s="84">
        <f t="shared" si="6"/>
        <v>17.173333333333336</v>
      </c>
      <c r="Z60" s="80">
        <f t="shared" si="7"/>
        <v>23.851851851851855</v>
      </c>
      <c r="AA60" s="100">
        <v>3</v>
      </c>
      <c r="AB60" s="86">
        <f>+AA60*Analisis!$J$6</f>
        <v>75</v>
      </c>
      <c r="AC60" s="100">
        <v>0</v>
      </c>
      <c r="AD60" s="85">
        <f t="shared" si="8"/>
        <v>0</v>
      </c>
      <c r="AE60" s="86">
        <f>+AC60*Analisis!$J$7</f>
        <v>0</v>
      </c>
      <c r="AF60" s="308">
        <f>+H60*0.0254*I60*0.0254*2*(1+[3]Analisis!$G$2)</f>
        <v>1.2595507067</v>
      </c>
      <c r="AG60" s="86">
        <f>+AF60*Analisis!$J$8</f>
        <v>134.20212886863101</v>
      </c>
      <c r="AH60" s="309">
        <f t="shared" si="15"/>
        <v>617.03839176383872</v>
      </c>
      <c r="AI60" s="86">
        <f>+AH60/(1-Analisis!G65)</f>
        <v>617.03839176383872</v>
      </c>
      <c r="AJ60" s="86">
        <f t="shared" si="10"/>
        <v>663.48214168154709</v>
      </c>
      <c r="AK60" s="86">
        <f t="shared" si="16"/>
        <v>0</v>
      </c>
      <c r="AL60" s="310" t="e">
        <f>+VLOOKUP(B60,#REF!,2,FALSE)</f>
        <v>#REF!</v>
      </c>
      <c r="AM60" s="311" t="e">
        <f t="shared" si="13"/>
        <v>#REF!</v>
      </c>
      <c r="AN60" s="312" t="e">
        <f t="shared" si="12"/>
        <v>#REF!</v>
      </c>
    </row>
    <row r="61" spans="1:40" s="73" customFormat="1" x14ac:dyDescent="0.25">
      <c r="A61" s="303"/>
      <c r="B61" s="304" t="s">
        <v>176</v>
      </c>
      <c r="D61" s="74">
        <f>IFERROR(VLOOKUP(B61,'REQ. PINTADO'!B:C,2,0),0)</f>
        <v>0</v>
      </c>
      <c r="E61" s="305">
        <f t="shared" si="0"/>
        <v>663.48214168154709</v>
      </c>
      <c r="F61" s="103" t="s">
        <v>163</v>
      </c>
      <c r="G61" s="75" t="s">
        <v>147</v>
      </c>
      <c r="H61" s="90">
        <v>23.65</v>
      </c>
      <c r="I61" s="90">
        <v>33.020000000000003</v>
      </c>
      <c r="J61" s="76">
        <v>0.105</v>
      </c>
      <c r="K61" s="306">
        <v>23.82</v>
      </c>
      <c r="L61" s="78">
        <f t="shared" si="1"/>
        <v>27.07338753725811</v>
      </c>
      <c r="M61" s="58">
        <f>+VLOOKUP(F61,Material!$H$2:$M$17,6,FALSE)*H61*I61*(1+Material!$K$14)</f>
        <v>293.13095051704011</v>
      </c>
      <c r="N61" s="79" t="str">
        <f t="shared" si="14"/>
        <v>T5.0</v>
      </c>
      <c r="O61" s="80">
        <f>+VLOOKUP(N61,[3]Material!$A$3:$B$58,2,FALSE)</f>
        <v>5000</v>
      </c>
      <c r="P61" s="79" t="s">
        <v>42</v>
      </c>
      <c r="Q61" s="79" t="str">
        <f>+VLOOKUP(F61,[3]Material!$C$2:$E$12,2,FALSE)</f>
        <v>Cal 12</v>
      </c>
      <c r="R61" s="81">
        <f>+IF(P61="ACERO A36",VLOOKUP(Q61,'[3]Velocidades Std 1500 w'!$B$2:$F$15,5,FALSE),IF(P61="INOXIDABLE",VLOOKUP(Q61,'[3]Velocidades Std 1500 w'!$B$17:$F$28,5,FALSE),IF(P61="ALUMINIO",VLOOKUP(Q61,'[3]Velocidades Std 1500 w'!$B$30:$F$38,5,FALSE))))</f>
        <v>4.3859649122807014E-6</v>
      </c>
      <c r="S61" s="82">
        <f t="shared" si="2"/>
        <v>2.1929824561403508E-2</v>
      </c>
      <c r="T61" s="83">
        <f t="shared" si="3"/>
        <v>65.414491578947363</v>
      </c>
      <c r="U61" s="307">
        <f t="shared" si="4"/>
        <v>4142.9178000000002</v>
      </c>
      <c r="V61" s="80">
        <f t="shared" si="5"/>
        <v>90.853460526315786</v>
      </c>
      <c r="W61" s="98">
        <v>28</v>
      </c>
      <c r="X61" s="84">
        <f>+IF(P61="ACERO A36",VLOOKUP(Q61,'[3]Tiempo Objeto'!$B$2:$C$12,2,FALSE),IF(P61="INOXIDABLE",VLOOKUP(Q61,'[3]Tiempo Objeto'!$B$14:$C$22,2,FALSE),IF(P61="ALUMINIO",VLOOKUP(Q61,'[3]Tiempo Objeto'!$B$24:$C$32,2,FALSE))))</f>
        <v>0.6133333333333334</v>
      </c>
      <c r="Y61" s="84">
        <f t="shared" si="6"/>
        <v>17.173333333333336</v>
      </c>
      <c r="Z61" s="80">
        <f t="shared" si="7"/>
        <v>23.851851851851855</v>
      </c>
      <c r="AA61" s="100">
        <v>3</v>
      </c>
      <c r="AB61" s="86">
        <f>+AA61*Analisis!$J$6</f>
        <v>75</v>
      </c>
      <c r="AC61" s="100">
        <v>0</v>
      </c>
      <c r="AD61" s="85">
        <f t="shared" si="8"/>
        <v>0</v>
      </c>
      <c r="AE61" s="86">
        <f>+AC61*Analisis!$J$7</f>
        <v>0</v>
      </c>
      <c r="AF61" s="308">
        <f>+H61*0.0254*I61*0.0254*2*(1+[3]Analisis!$G$2)</f>
        <v>1.2595507067</v>
      </c>
      <c r="AG61" s="86">
        <f>+AF61*Analisis!$J$8</f>
        <v>134.20212886863101</v>
      </c>
      <c r="AH61" s="309">
        <f t="shared" si="15"/>
        <v>617.03839176383872</v>
      </c>
      <c r="AI61" s="86">
        <f>+AH61/(1-Analisis!G66)</f>
        <v>617.03839176383872</v>
      </c>
      <c r="AJ61" s="86">
        <f t="shared" si="10"/>
        <v>663.48214168154709</v>
      </c>
      <c r="AK61" s="86">
        <f t="shared" si="16"/>
        <v>0</v>
      </c>
      <c r="AL61" s="310" t="e">
        <f>+VLOOKUP(B61,#REF!,2,FALSE)</f>
        <v>#REF!</v>
      </c>
      <c r="AM61" s="311" t="e">
        <f t="shared" si="13"/>
        <v>#REF!</v>
      </c>
      <c r="AN61" s="312" t="e">
        <f t="shared" si="12"/>
        <v>#REF!</v>
      </c>
    </row>
    <row r="62" spans="1:40" s="73" customFormat="1" x14ac:dyDescent="0.25">
      <c r="A62" s="303"/>
      <c r="B62" s="304" t="s">
        <v>177</v>
      </c>
      <c r="D62" s="74">
        <f>IFERROR(VLOOKUP(B62,'REQ. PINTADO'!B:C,2,0),0)</f>
        <v>0</v>
      </c>
      <c r="E62" s="305">
        <f t="shared" si="0"/>
        <v>663.48214168154709</v>
      </c>
      <c r="F62" s="103" t="s">
        <v>163</v>
      </c>
      <c r="G62" s="75" t="s">
        <v>147</v>
      </c>
      <c r="H62" s="90">
        <v>23.65</v>
      </c>
      <c r="I62" s="90">
        <v>33.020000000000003</v>
      </c>
      <c r="J62" s="76">
        <v>0.105</v>
      </c>
      <c r="K62" s="306">
        <v>23.82</v>
      </c>
      <c r="L62" s="78">
        <f t="shared" si="1"/>
        <v>27.07338753725811</v>
      </c>
      <c r="M62" s="58">
        <f>+VLOOKUP(F62,Material!$H$2:$M$17,6,FALSE)*H62*I62*(1+Material!$K$14)</f>
        <v>293.13095051704011</v>
      </c>
      <c r="N62" s="79" t="str">
        <f t="shared" si="14"/>
        <v>T5.0</v>
      </c>
      <c r="O62" s="80">
        <f>+VLOOKUP(N62,[3]Material!$A$3:$B$58,2,FALSE)</f>
        <v>5000</v>
      </c>
      <c r="P62" s="79" t="s">
        <v>42</v>
      </c>
      <c r="Q62" s="79" t="str">
        <f>+VLOOKUP(F62,[3]Material!$C$2:$E$12,2,FALSE)</f>
        <v>Cal 12</v>
      </c>
      <c r="R62" s="81">
        <f>+IF(P62="ACERO A36",VLOOKUP(Q62,'[3]Velocidades Std 1500 w'!$B$2:$F$15,5,FALSE),IF(P62="INOXIDABLE",VLOOKUP(Q62,'[3]Velocidades Std 1500 w'!$B$17:$F$28,5,FALSE),IF(P62="ALUMINIO",VLOOKUP(Q62,'[3]Velocidades Std 1500 w'!$B$30:$F$38,5,FALSE))))</f>
        <v>4.3859649122807014E-6</v>
      </c>
      <c r="S62" s="82">
        <f t="shared" si="2"/>
        <v>2.1929824561403508E-2</v>
      </c>
      <c r="T62" s="83">
        <f t="shared" si="3"/>
        <v>65.414491578947363</v>
      </c>
      <c r="U62" s="307">
        <f t="shared" si="4"/>
        <v>4142.9178000000002</v>
      </c>
      <c r="V62" s="80">
        <f t="shared" si="5"/>
        <v>90.853460526315786</v>
      </c>
      <c r="W62" s="98">
        <v>28</v>
      </c>
      <c r="X62" s="84">
        <f>+IF(P62="ACERO A36",VLOOKUP(Q62,'[3]Tiempo Objeto'!$B$2:$C$12,2,FALSE),IF(P62="INOXIDABLE",VLOOKUP(Q62,'[3]Tiempo Objeto'!$B$14:$C$22,2,FALSE),IF(P62="ALUMINIO",VLOOKUP(Q62,'[3]Tiempo Objeto'!$B$24:$C$32,2,FALSE))))</f>
        <v>0.6133333333333334</v>
      </c>
      <c r="Y62" s="84">
        <f t="shared" si="6"/>
        <v>17.173333333333336</v>
      </c>
      <c r="Z62" s="80">
        <f t="shared" si="7"/>
        <v>23.851851851851855</v>
      </c>
      <c r="AA62" s="100">
        <v>3</v>
      </c>
      <c r="AB62" s="86">
        <f>+AA62*Analisis!$J$6</f>
        <v>75</v>
      </c>
      <c r="AC62" s="100">
        <v>0</v>
      </c>
      <c r="AD62" s="85">
        <f t="shared" si="8"/>
        <v>0</v>
      </c>
      <c r="AE62" s="86">
        <f>+AC62*Analisis!$J$7</f>
        <v>0</v>
      </c>
      <c r="AF62" s="308">
        <f>+H62*0.0254*I62*0.0254*2*(1+[3]Analisis!$G$2)</f>
        <v>1.2595507067</v>
      </c>
      <c r="AG62" s="86">
        <f>+AF62*Analisis!$J$8</f>
        <v>134.20212886863101</v>
      </c>
      <c r="AH62" s="309">
        <f t="shared" si="15"/>
        <v>617.03839176383872</v>
      </c>
      <c r="AI62" s="86">
        <f>+AH62/(1-Analisis!G67)</f>
        <v>617.03839176383872</v>
      </c>
      <c r="AJ62" s="86">
        <f t="shared" si="10"/>
        <v>663.48214168154709</v>
      </c>
      <c r="AK62" s="86">
        <f t="shared" si="16"/>
        <v>0</v>
      </c>
      <c r="AL62" s="310" t="e">
        <f>+VLOOKUP(B62,#REF!,2,FALSE)</f>
        <v>#REF!</v>
      </c>
      <c r="AM62" s="311" t="e">
        <f t="shared" si="13"/>
        <v>#REF!</v>
      </c>
      <c r="AN62" s="312" t="e">
        <f t="shared" si="12"/>
        <v>#REF!</v>
      </c>
    </row>
    <row r="63" spans="1:40" s="73" customFormat="1" x14ac:dyDescent="0.25">
      <c r="A63" s="303">
        <v>42</v>
      </c>
      <c r="B63" s="304" t="s">
        <v>889</v>
      </c>
      <c r="D63" s="74">
        <f>IFERROR(VLOOKUP(B63,'REQ. PINTADO'!B:C,2,0),0)</f>
        <v>0</v>
      </c>
      <c r="E63" s="305">
        <f t="shared" si="0"/>
        <v>103.34921666049112</v>
      </c>
      <c r="F63" s="103" t="s">
        <v>163</v>
      </c>
      <c r="G63" s="75" t="s">
        <v>147</v>
      </c>
      <c r="H63" s="90">
        <v>3.5</v>
      </c>
      <c r="I63" s="90">
        <v>12.5</v>
      </c>
      <c r="J63" s="76">
        <v>0.105</v>
      </c>
      <c r="K63" s="306">
        <v>1.01</v>
      </c>
      <c r="L63" s="78">
        <f t="shared" si="1"/>
        <v>35.771143759733413</v>
      </c>
      <c r="M63" s="58">
        <f>+VLOOKUP(F63,Material!$H$2:$M$17,6,FALSE)*H63*I63*(1+Material!$K$14)</f>
        <v>16.422206907877609</v>
      </c>
      <c r="N63" s="79" t="str">
        <f t="shared" si="14"/>
        <v>T5.0</v>
      </c>
      <c r="O63" s="80">
        <f>+VLOOKUP(N63,[3]Material!$A$3:$B$58,2,FALSE)</f>
        <v>5000</v>
      </c>
      <c r="P63" s="79" t="s">
        <v>42</v>
      </c>
      <c r="Q63" s="79" t="str">
        <f>+VLOOKUP(F63,[3]Material!$C$2:$E$12,2,FALSE)</f>
        <v>Cal 12</v>
      </c>
      <c r="R63" s="81">
        <f>+IF(P63="ACERO A36",VLOOKUP(Q63,'[3]Velocidades Std 1500 w'!$B$2:$F$15,5,FALSE),IF(P63="INOXIDABLE",VLOOKUP(Q63,'[3]Velocidades Std 1500 w'!$B$17:$F$28,5,FALSE),IF(P63="ALUMINIO",VLOOKUP(Q63,'[3]Velocidades Std 1500 w'!$B$30:$F$38,5,FALSE))))</f>
        <v>4.3859649122807014E-6</v>
      </c>
      <c r="S63" s="82">
        <f t="shared" si="2"/>
        <v>2.1929824561403508E-2</v>
      </c>
      <c r="T63" s="83">
        <f t="shared" si="3"/>
        <v>14.738684210526316</v>
      </c>
      <c r="U63" s="307">
        <f t="shared" si="4"/>
        <v>933.45</v>
      </c>
      <c r="V63" s="80">
        <f t="shared" si="5"/>
        <v>20.470394736842106</v>
      </c>
      <c r="W63" s="98">
        <v>2</v>
      </c>
      <c r="X63" s="84">
        <f>+IF(P63="ACERO A36",VLOOKUP(Q63,'[3]Tiempo Objeto'!$B$2:$C$12,2,FALSE),IF(P63="INOXIDABLE",VLOOKUP(Q63,'[3]Tiempo Objeto'!$B$14:$C$22,2,FALSE),IF(P63="ALUMINIO",VLOOKUP(Q63,'[3]Tiempo Objeto'!$B$24:$C$32,2,FALSE))))</f>
        <v>0.6133333333333334</v>
      </c>
      <c r="Y63" s="84">
        <f t="shared" si="6"/>
        <v>1.2266666666666668</v>
      </c>
      <c r="Z63" s="80">
        <f t="shared" si="7"/>
        <v>1.7037037037037039</v>
      </c>
      <c r="AA63" s="100">
        <v>2</v>
      </c>
      <c r="AB63" s="86">
        <f>+AA63*Analisis!$J$6</f>
        <v>50</v>
      </c>
      <c r="AC63" s="100">
        <v>0</v>
      </c>
      <c r="AD63" s="85">
        <f t="shared" si="8"/>
        <v>0</v>
      </c>
      <c r="AE63" s="86">
        <f>+AC63*Analisis!$J$7</f>
        <v>0</v>
      </c>
      <c r="AF63" s="308">
        <f>+H63*0.0254*I63*0.0254*2*(1+[3]Analisis!$G$2)</f>
        <v>7.0564374999999985E-2</v>
      </c>
      <c r="AG63" s="86">
        <f>+AF63*Analisis!$J$8</f>
        <v>7.5184661458333339</v>
      </c>
      <c r="AH63" s="309">
        <f>+AE63+AB63+Z63+V63+M63+AG63</f>
        <v>96.114771494256743</v>
      </c>
      <c r="AI63" s="86">
        <f>+AH63/(1-Analisis!G68)</f>
        <v>96.114771494256743</v>
      </c>
      <c r="AJ63" s="86">
        <f t="shared" si="10"/>
        <v>103.34921666049112</v>
      </c>
      <c r="AK63" s="86">
        <f>+AJ63*D63</f>
        <v>0</v>
      </c>
      <c r="AL63" s="310" t="e">
        <f>+VLOOKUP(B63,#REF!,2,FALSE)</f>
        <v>#REF!</v>
      </c>
      <c r="AM63" s="311" t="e">
        <f t="shared" si="13"/>
        <v>#REF!</v>
      </c>
      <c r="AN63" s="312" t="e">
        <f t="shared" si="12"/>
        <v>#REF!</v>
      </c>
    </row>
    <row r="64" spans="1:40" s="73" customFormat="1" x14ac:dyDescent="0.25">
      <c r="A64" s="303">
        <v>43</v>
      </c>
      <c r="B64" s="304" t="s">
        <v>890</v>
      </c>
      <c r="D64" s="74">
        <f>IFERROR(VLOOKUP(B64,'REQ. PINTADO'!B:C,2,0),0)</f>
        <v>0</v>
      </c>
      <c r="E64" s="305">
        <f t="shared" si="0"/>
        <v>103.34921666049112</v>
      </c>
      <c r="F64" s="103" t="s">
        <v>163</v>
      </c>
      <c r="G64" s="75" t="s">
        <v>147</v>
      </c>
      <c r="H64" s="90">
        <v>3.5</v>
      </c>
      <c r="I64" s="90">
        <v>12.5</v>
      </c>
      <c r="J64" s="76">
        <v>0.105</v>
      </c>
      <c r="K64" s="306">
        <v>1.01</v>
      </c>
      <c r="L64" s="78">
        <f t="shared" si="1"/>
        <v>35.771143759733413</v>
      </c>
      <c r="M64" s="58">
        <f>+VLOOKUP(F64,Material!$H$2:$M$17,6,FALSE)*H64*I64*(1+Material!$K$14)</f>
        <v>16.422206907877609</v>
      </c>
      <c r="N64" s="79" t="str">
        <f t="shared" si="14"/>
        <v>T5.0</v>
      </c>
      <c r="O64" s="80">
        <f>+VLOOKUP(N64,[3]Material!$A$3:$B$58,2,FALSE)</f>
        <v>5000</v>
      </c>
      <c r="P64" s="79" t="s">
        <v>42</v>
      </c>
      <c r="Q64" s="79" t="str">
        <f>+VLOOKUP(F64,[3]Material!$C$2:$E$12,2,FALSE)</f>
        <v>Cal 12</v>
      </c>
      <c r="R64" s="81">
        <f>+IF(P64="ACERO A36",VLOOKUP(Q64,'[3]Velocidades Std 1500 w'!$B$2:$F$15,5,FALSE),IF(P64="INOXIDABLE",VLOOKUP(Q64,'[3]Velocidades Std 1500 w'!$B$17:$F$28,5,FALSE),IF(P64="ALUMINIO",VLOOKUP(Q64,'[3]Velocidades Std 1500 w'!$B$30:$F$38,5,FALSE))))</f>
        <v>4.3859649122807014E-6</v>
      </c>
      <c r="S64" s="82">
        <f t="shared" si="2"/>
        <v>2.1929824561403508E-2</v>
      </c>
      <c r="T64" s="83">
        <f t="shared" si="3"/>
        <v>14.738684210526316</v>
      </c>
      <c r="U64" s="307">
        <f t="shared" si="4"/>
        <v>933.45</v>
      </c>
      <c r="V64" s="80">
        <f t="shared" si="5"/>
        <v>20.470394736842106</v>
      </c>
      <c r="W64" s="98">
        <v>2</v>
      </c>
      <c r="X64" s="84">
        <f>+IF(P64="ACERO A36",VLOOKUP(Q64,'[3]Tiempo Objeto'!$B$2:$C$12,2,FALSE),IF(P64="INOXIDABLE",VLOOKUP(Q64,'[3]Tiempo Objeto'!$B$14:$C$22,2,FALSE),IF(P64="ALUMINIO",VLOOKUP(Q64,'[3]Tiempo Objeto'!$B$24:$C$32,2,FALSE))))</f>
        <v>0.6133333333333334</v>
      </c>
      <c r="Y64" s="84">
        <f t="shared" si="6"/>
        <v>1.2266666666666668</v>
      </c>
      <c r="Z64" s="80">
        <f t="shared" si="7"/>
        <v>1.7037037037037039</v>
      </c>
      <c r="AA64" s="100">
        <v>2</v>
      </c>
      <c r="AB64" s="86">
        <f>+AA64*Analisis!$J$6</f>
        <v>50</v>
      </c>
      <c r="AC64" s="100">
        <v>0</v>
      </c>
      <c r="AD64" s="85">
        <f t="shared" si="8"/>
        <v>0</v>
      </c>
      <c r="AE64" s="86">
        <f>+AC64*Analisis!$J$7</f>
        <v>0</v>
      </c>
      <c r="AF64" s="308">
        <f>+H64*0.0254*I64*0.0254*2*(1+[3]Analisis!$G$2)</f>
        <v>7.0564374999999985E-2</v>
      </c>
      <c r="AG64" s="86">
        <f>+AF64*Analisis!$J$8</f>
        <v>7.5184661458333339</v>
      </c>
      <c r="AH64" s="309">
        <f>+AE64+AB64+Z64+V64+M64+AG64</f>
        <v>96.114771494256743</v>
      </c>
      <c r="AI64" s="86">
        <f>+AH64/(1-Analisis!G69)</f>
        <v>96.114771494256743</v>
      </c>
      <c r="AJ64" s="86">
        <f t="shared" si="10"/>
        <v>103.34921666049112</v>
      </c>
      <c r="AK64" s="86">
        <f>+AJ64*D64</f>
        <v>0</v>
      </c>
      <c r="AL64" s="310" t="e">
        <f>+VLOOKUP(B64,#REF!,2,FALSE)</f>
        <v>#REF!</v>
      </c>
      <c r="AM64" s="311" t="e">
        <f t="shared" si="13"/>
        <v>#REF!</v>
      </c>
      <c r="AN64" s="312" t="e">
        <f t="shared" si="12"/>
        <v>#REF!</v>
      </c>
    </row>
    <row r="65" spans="1:40" s="73" customFormat="1" x14ac:dyDescent="0.25">
      <c r="A65" s="303">
        <v>44</v>
      </c>
      <c r="B65" s="304" t="s">
        <v>891</v>
      </c>
      <c r="D65" s="74">
        <f>IFERROR(VLOOKUP(B65,'REQ. PINTADO'!B:C,2,0),0)</f>
        <v>0</v>
      </c>
      <c r="E65" s="305">
        <f t="shared" si="0"/>
        <v>411.46346525357433</v>
      </c>
      <c r="F65" s="103" t="s">
        <v>44</v>
      </c>
      <c r="G65" s="75" t="s">
        <v>147</v>
      </c>
      <c r="H65" s="90">
        <v>10.029999999999999</v>
      </c>
      <c r="I65" s="90">
        <v>23.38</v>
      </c>
      <c r="J65" s="76">
        <v>0.13500000000000001</v>
      </c>
      <c r="K65" s="306">
        <v>9.17</v>
      </c>
      <c r="L65" s="78">
        <f t="shared" si="1"/>
        <v>50.66319209605598</v>
      </c>
      <c r="M65" s="58">
        <f>+VLOOKUP(F65,Material!$H$2:$M$17,6,FALSE)*H65*I65*(1+Material!$K$14)</f>
        <v>211.17339614583332</v>
      </c>
      <c r="N65" s="79" t="str">
        <f t="shared" si="14"/>
        <v>T5.0</v>
      </c>
      <c r="O65" s="80">
        <f>+VLOOKUP(N65,[3]Material!$A$3:$B$58,2,FALSE)</f>
        <v>5000</v>
      </c>
      <c r="P65" s="79" t="s">
        <v>42</v>
      </c>
      <c r="Q65" s="79" t="str">
        <f>+VLOOKUP(F65,[3]Material!$C$2:$E$12,2,FALSE)</f>
        <v>Cal 10</v>
      </c>
      <c r="R65" s="81">
        <f>+IF(P65="ACERO A36",VLOOKUP(Q65,'[3]Velocidades Std 1500 w'!$B$2:$F$15,5,FALSE),IF(P65="INOXIDABLE",VLOOKUP(Q65,'[3]Velocidades Std 1500 w'!$B$17:$F$28,5,FALSE),IF(P65="ALUMINIO",VLOOKUP(Q65,'[3]Velocidades Std 1500 w'!$B$30:$F$38,5,FALSE))))</f>
        <v>6.1728395061728391E-6</v>
      </c>
      <c r="S65" s="82">
        <f t="shared" si="2"/>
        <v>3.0864197530864196E-2</v>
      </c>
      <c r="T65" s="83">
        <f t="shared" si="3"/>
        <v>60.048986666666671</v>
      </c>
      <c r="U65" s="307">
        <f t="shared" si="4"/>
        <v>2702.2044000000001</v>
      </c>
      <c r="V65" s="80">
        <f t="shared" si="5"/>
        <v>83.401370370370373</v>
      </c>
      <c r="W65" s="98">
        <v>23</v>
      </c>
      <c r="X65" s="84">
        <f>+IF(P65="ACERO A36",VLOOKUP(Q65,'[3]Tiempo Objeto'!$B$2:$C$12,2,FALSE),IF(P65="INOXIDABLE",VLOOKUP(Q65,'[3]Tiempo Objeto'!$B$14:$C$22,2,FALSE),IF(P65="ALUMINIO",VLOOKUP(Q65,'[3]Tiempo Objeto'!$B$24:$C$32,2,FALSE))))</f>
        <v>0.71333333333333337</v>
      </c>
      <c r="Y65" s="84">
        <f t="shared" si="6"/>
        <v>16.406666666666666</v>
      </c>
      <c r="Z65" s="80">
        <f t="shared" si="7"/>
        <v>22.787037037037035</v>
      </c>
      <c r="AA65" s="100">
        <v>1</v>
      </c>
      <c r="AB65" s="86">
        <f>+AA65*Analisis!$J$6</f>
        <v>25</v>
      </c>
      <c r="AC65" s="100">
        <v>0</v>
      </c>
      <c r="AD65" s="85">
        <f t="shared" si="8"/>
        <v>0</v>
      </c>
      <c r="AE65" s="86">
        <f>+AC65*Analisis!$J$7</f>
        <v>0</v>
      </c>
      <c r="AF65" s="308">
        <f>+H65*0.0254*I65*0.0254*2*(1+[3]Analisis!$G$2)</f>
        <v>0.37822730805999993</v>
      </c>
      <c r="AG65" s="86">
        <f>+AF65*Analisis!$J$8</f>
        <v>40.299219132583339</v>
      </c>
      <c r="AH65" s="309">
        <f>+AE65+AB65+Z65+V65+M65+AG65</f>
        <v>382.66102268582409</v>
      </c>
      <c r="AI65" s="86">
        <f>+AH65/(1-Analisis!G70)</f>
        <v>382.66102268582409</v>
      </c>
      <c r="AJ65" s="86">
        <f t="shared" si="10"/>
        <v>411.46346525357433</v>
      </c>
      <c r="AK65" s="86">
        <f>+AJ65*D65</f>
        <v>0</v>
      </c>
      <c r="AL65" s="310" t="e">
        <f>+VLOOKUP(B65,#REF!,2,FALSE)</f>
        <v>#REF!</v>
      </c>
      <c r="AM65" s="311" t="e">
        <f t="shared" si="13"/>
        <v>#REF!</v>
      </c>
      <c r="AN65" s="312" t="e">
        <f t="shared" si="12"/>
        <v>#REF!</v>
      </c>
    </row>
    <row r="66" spans="1:40" s="73" customFormat="1" x14ac:dyDescent="0.25">
      <c r="A66" s="303">
        <v>45</v>
      </c>
      <c r="B66" s="304" t="s">
        <v>892</v>
      </c>
      <c r="D66" s="74">
        <f>IFERROR(VLOOKUP(B66,'REQ. PINTADO'!B:C,2,0),0)</f>
        <v>0</v>
      </c>
      <c r="E66" s="305">
        <f t="shared" si="0"/>
        <v>411.46346525357433</v>
      </c>
      <c r="F66" s="103" t="s">
        <v>44</v>
      </c>
      <c r="G66" s="75" t="s">
        <v>147</v>
      </c>
      <c r="H66" s="90">
        <v>10.029999999999999</v>
      </c>
      <c r="I66" s="90">
        <v>23.38</v>
      </c>
      <c r="J66" s="76">
        <v>0.13500000000000001</v>
      </c>
      <c r="K66" s="306">
        <v>9.17</v>
      </c>
      <c r="L66" s="78">
        <f t="shared" si="1"/>
        <v>50.66319209605598</v>
      </c>
      <c r="M66" s="58">
        <f>+VLOOKUP(F66,Material!$H$2:$M$17,6,FALSE)*H66*I66*(1+Material!$K$14)</f>
        <v>211.17339614583332</v>
      </c>
      <c r="N66" s="79" t="str">
        <f t="shared" si="14"/>
        <v>T5.0</v>
      </c>
      <c r="O66" s="80">
        <f>+VLOOKUP(N66,[3]Material!$A$3:$B$58,2,FALSE)</f>
        <v>5000</v>
      </c>
      <c r="P66" s="79" t="s">
        <v>42</v>
      </c>
      <c r="Q66" s="79" t="str">
        <f>+VLOOKUP(F66,[3]Material!$C$2:$E$12,2,FALSE)</f>
        <v>Cal 10</v>
      </c>
      <c r="R66" s="81">
        <f>+IF(P66="ACERO A36",VLOOKUP(Q66,'[3]Velocidades Std 1500 w'!$B$2:$F$15,5,FALSE),IF(P66="INOXIDABLE",VLOOKUP(Q66,'[3]Velocidades Std 1500 w'!$B$17:$F$28,5,FALSE),IF(P66="ALUMINIO",VLOOKUP(Q66,'[3]Velocidades Std 1500 w'!$B$30:$F$38,5,FALSE))))</f>
        <v>6.1728395061728391E-6</v>
      </c>
      <c r="S66" s="82">
        <f t="shared" si="2"/>
        <v>3.0864197530864196E-2</v>
      </c>
      <c r="T66" s="83">
        <f t="shared" si="3"/>
        <v>60.048986666666671</v>
      </c>
      <c r="U66" s="307">
        <f t="shared" si="4"/>
        <v>2702.2044000000001</v>
      </c>
      <c r="V66" s="80">
        <f t="shared" si="5"/>
        <v>83.401370370370373</v>
      </c>
      <c r="W66" s="98">
        <v>23</v>
      </c>
      <c r="X66" s="84">
        <f>+IF(P66="ACERO A36",VLOOKUP(Q66,'[3]Tiempo Objeto'!$B$2:$C$12,2,FALSE),IF(P66="INOXIDABLE",VLOOKUP(Q66,'[3]Tiempo Objeto'!$B$14:$C$22,2,FALSE),IF(P66="ALUMINIO",VLOOKUP(Q66,'[3]Tiempo Objeto'!$B$24:$C$32,2,FALSE))))</f>
        <v>0.71333333333333337</v>
      </c>
      <c r="Y66" s="84">
        <f t="shared" si="6"/>
        <v>16.406666666666666</v>
      </c>
      <c r="Z66" s="80">
        <f t="shared" si="7"/>
        <v>22.787037037037035</v>
      </c>
      <c r="AA66" s="100">
        <v>1</v>
      </c>
      <c r="AB66" s="86">
        <f>+AA66*Analisis!$J$6</f>
        <v>25</v>
      </c>
      <c r="AC66" s="100">
        <v>0</v>
      </c>
      <c r="AD66" s="85">
        <f t="shared" si="8"/>
        <v>0</v>
      </c>
      <c r="AE66" s="86">
        <f>+AC66*Analisis!$J$7</f>
        <v>0</v>
      </c>
      <c r="AF66" s="308">
        <f>+H66*0.0254*I66*0.0254*2*(1+[3]Analisis!$G$2)</f>
        <v>0.37822730805999993</v>
      </c>
      <c r="AG66" s="86">
        <f>+AF66*Analisis!$J$8</f>
        <v>40.299219132583339</v>
      </c>
      <c r="AH66" s="309">
        <f>+AE66+AB66+Z66+V66+M66+AG66</f>
        <v>382.66102268582409</v>
      </c>
      <c r="AI66" s="86">
        <f>+AH66/(1-Analisis!G71)</f>
        <v>382.66102268582409</v>
      </c>
      <c r="AJ66" s="86">
        <f t="shared" si="10"/>
        <v>411.46346525357433</v>
      </c>
      <c r="AK66" s="86">
        <f>+AJ66*D66</f>
        <v>0</v>
      </c>
      <c r="AL66" s="310" t="e">
        <f>+VLOOKUP(B66,#REF!,2,FALSE)</f>
        <v>#REF!</v>
      </c>
      <c r="AM66" s="311" t="e">
        <f t="shared" si="13"/>
        <v>#REF!</v>
      </c>
      <c r="AN66" s="312" t="e">
        <f t="shared" ref="AN66:AN129" si="17">+AM66/AL66</f>
        <v>#REF!</v>
      </c>
    </row>
    <row r="67" spans="1:40" s="73" customFormat="1" x14ac:dyDescent="0.25">
      <c r="A67" s="303">
        <v>46</v>
      </c>
      <c r="B67" s="304" t="s">
        <v>893</v>
      </c>
      <c r="D67" s="74">
        <f>IFERROR(VLOOKUP(B67,'REQ. PINTADO'!B:C,2,0),0)</f>
        <v>0</v>
      </c>
      <c r="E67" s="305">
        <f t="shared" si="0"/>
        <v>480.3526094551745</v>
      </c>
      <c r="F67" s="103" t="s">
        <v>44</v>
      </c>
      <c r="G67" s="75" t="s">
        <v>147</v>
      </c>
      <c r="H67" s="90">
        <v>21.94</v>
      </c>
      <c r="I67" s="90">
        <v>14.08</v>
      </c>
      <c r="J67" s="76">
        <v>0.105</v>
      </c>
      <c r="K67" s="306">
        <v>15</v>
      </c>
      <c r="L67" s="78">
        <f t="shared" si="1"/>
        <v>40.800404088888897</v>
      </c>
      <c r="M67" s="58">
        <f>+VLOOKUP(F67,Material!$H$2:$M$17,6,FALSE)*H67*I67*(1+Material!$K$14)</f>
        <v>278.18457333333339</v>
      </c>
      <c r="N67" s="79" t="str">
        <f t="shared" si="14"/>
        <v>T5.0</v>
      </c>
      <c r="O67" s="80">
        <f>+VLOOKUP(N67,[3]Material!$A$3:$B$58,2,FALSE)</f>
        <v>5000</v>
      </c>
      <c r="P67" s="79" t="s">
        <v>42</v>
      </c>
      <c r="Q67" s="79" t="str">
        <f>+VLOOKUP(F67,[3]Material!$C$2:$E$12,2,FALSE)</f>
        <v>Cal 10</v>
      </c>
      <c r="R67" s="81">
        <f>+IF(P67="ACERO A36",VLOOKUP(Q67,'[3]Velocidades Std 1500 w'!$B$2:$F$15,5,FALSE),IF(P67="INOXIDABLE",VLOOKUP(Q67,'[3]Velocidades Std 1500 w'!$B$17:$F$28,5,FALSE),IF(P67="ALUMINIO",VLOOKUP(Q67,'[3]Velocidades Std 1500 w'!$B$30:$F$38,5,FALSE))))</f>
        <v>6.1728395061728391E-6</v>
      </c>
      <c r="S67" s="82">
        <f t="shared" si="2"/>
        <v>3.0864197530864196E-2</v>
      </c>
      <c r="T67" s="83">
        <f t="shared" si="3"/>
        <v>55.141706666666664</v>
      </c>
      <c r="U67" s="307">
        <f t="shared" si="4"/>
        <v>2481.3768</v>
      </c>
      <c r="V67" s="80">
        <f t="shared" si="5"/>
        <v>76.5857037037037</v>
      </c>
      <c r="W67" s="98">
        <v>14</v>
      </c>
      <c r="X67" s="84">
        <f>+IF(P67="ACERO A36",VLOOKUP(Q67,'[3]Tiempo Objeto'!$B$2:$C$12,2,FALSE),IF(P67="INOXIDABLE",VLOOKUP(Q67,'[3]Tiempo Objeto'!$B$14:$C$22,2,FALSE),IF(P67="ALUMINIO",VLOOKUP(Q67,'[3]Tiempo Objeto'!$B$24:$C$32,2,FALSE))))</f>
        <v>0.71333333333333337</v>
      </c>
      <c r="Y67" s="84">
        <f t="shared" si="6"/>
        <v>9.9866666666666681</v>
      </c>
      <c r="Z67" s="80">
        <f t="shared" si="7"/>
        <v>13.870370370370374</v>
      </c>
      <c r="AA67" s="100">
        <v>1</v>
      </c>
      <c r="AB67" s="86">
        <f>+AA67*Analisis!$J$6</f>
        <v>25</v>
      </c>
      <c r="AC67" s="100">
        <v>0</v>
      </c>
      <c r="AD67" s="85">
        <f t="shared" si="8"/>
        <v>0</v>
      </c>
      <c r="AE67" s="86">
        <f>+AC67*Analisis!$J$7</f>
        <v>0</v>
      </c>
      <c r="AF67" s="308">
        <f>+H67*0.0254*I67*0.0254*2*(1+[3]Analisis!$G$2)</f>
        <v>0.49824932608</v>
      </c>
      <c r="AG67" s="86">
        <f>+AF67*Analisis!$J$8</f>
        <v>53.087279385904779</v>
      </c>
      <c r="AH67" s="309">
        <f>+AE67+AB67+Z67+V67+M67+AG67</f>
        <v>446.72792679331224</v>
      </c>
      <c r="AI67" s="86">
        <f>+AH67/(1-Analisis!G72)</f>
        <v>446.72792679331224</v>
      </c>
      <c r="AJ67" s="86">
        <f t="shared" si="10"/>
        <v>480.3526094551745</v>
      </c>
      <c r="AK67" s="86">
        <f>+AJ67*D67</f>
        <v>0</v>
      </c>
      <c r="AL67" s="310" t="e">
        <f>+VLOOKUP(B67,#REF!,2,FALSE)</f>
        <v>#REF!</v>
      </c>
      <c r="AM67" s="311" t="e">
        <f t="shared" ref="AM67:AM130" si="18">+AL67-E67</f>
        <v>#REF!</v>
      </c>
      <c r="AN67" s="312" t="e">
        <f t="shared" si="17"/>
        <v>#REF!</v>
      </c>
    </row>
    <row r="68" spans="1:40" s="73" customFormat="1" x14ac:dyDescent="0.25">
      <c r="A68" s="303"/>
      <c r="B68" s="304" t="s">
        <v>894</v>
      </c>
      <c r="D68" s="74">
        <f>IFERROR(VLOOKUP(B68,'REQ. PINTADO'!B:C,2,0),0)</f>
        <v>0</v>
      </c>
      <c r="E68" s="305">
        <f t="shared" si="0"/>
        <v>647.98553478978215</v>
      </c>
      <c r="F68" s="103" t="s">
        <v>44</v>
      </c>
      <c r="G68" s="75" t="s">
        <v>147</v>
      </c>
      <c r="H68" s="90">
        <v>31.25</v>
      </c>
      <c r="I68" s="90">
        <v>14.08</v>
      </c>
      <c r="J68" s="76">
        <v>0.105</v>
      </c>
      <c r="K68" s="306">
        <v>1</v>
      </c>
      <c r="L68" s="78">
        <f t="shared" si="1"/>
        <v>871.70416666666677</v>
      </c>
      <c r="M68" s="58">
        <f>+VLOOKUP(F68,Material!$H$2:$M$17,6,FALSE)*H68*I68*(1+Material!$K$14)</f>
        <v>396.22916666666669</v>
      </c>
      <c r="N68" s="79" t="str">
        <f t="shared" ref="N68:N131" si="19">+N67</f>
        <v>T5.0</v>
      </c>
      <c r="O68" s="80">
        <f>+VLOOKUP(N68,[3]Material!$A$3:$B$58,2,FALSE)</f>
        <v>5000</v>
      </c>
      <c r="P68" s="79" t="s">
        <v>42</v>
      </c>
      <c r="Q68" s="79" t="str">
        <f>+VLOOKUP(F68,[3]Material!$C$2:$E$12,2,FALSE)</f>
        <v>Cal 10</v>
      </c>
      <c r="R68" s="81">
        <f>+IF(P68="ACERO A36",VLOOKUP(Q68,'[3]Velocidades Std 1500 w'!$B$2:$F$15,5,FALSE),IF(P68="INOXIDABLE",VLOOKUP(Q68,'[3]Velocidades Std 1500 w'!$B$17:$F$28,5,FALSE),IF(P68="ALUMINIO",VLOOKUP(Q68,'[3]Velocidades Std 1500 w'!$B$30:$F$38,5,FALSE))))</f>
        <v>6.1728395061728391E-6</v>
      </c>
      <c r="S68" s="82">
        <f t="shared" si="2"/>
        <v>3.0864197530864196E-2</v>
      </c>
      <c r="T68" s="83">
        <f t="shared" si="3"/>
        <v>66.177159999999986</v>
      </c>
      <c r="U68" s="307">
        <f t="shared" si="4"/>
        <v>2977.9721999999997</v>
      </c>
      <c r="V68" s="80">
        <f t="shared" si="5"/>
        <v>91.912722222222214</v>
      </c>
      <c r="W68" s="98">
        <v>14</v>
      </c>
      <c r="X68" s="84">
        <f>+IF(P68="ACERO A36",VLOOKUP(Q68,'[3]Tiempo Objeto'!$B$2:$C$12,2,FALSE),IF(P68="INOXIDABLE",VLOOKUP(Q68,'[3]Tiempo Objeto'!$B$14:$C$22,2,FALSE),IF(P68="ALUMINIO",VLOOKUP(Q68,'[3]Tiempo Objeto'!$B$24:$C$32,2,FALSE))))</f>
        <v>0.71333333333333337</v>
      </c>
      <c r="Y68" s="84">
        <f t="shared" si="6"/>
        <v>9.9866666666666681</v>
      </c>
      <c r="Z68" s="80">
        <f t="shared" si="7"/>
        <v>13.870370370370374</v>
      </c>
      <c r="AA68" s="100">
        <v>1</v>
      </c>
      <c r="AB68" s="86">
        <f>+AA68*Analisis!$J$6</f>
        <v>25</v>
      </c>
      <c r="AC68" s="100">
        <v>0</v>
      </c>
      <c r="AD68" s="85">
        <f t="shared" si="8"/>
        <v>0</v>
      </c>
      <c r="AE68" s="86">
        <f>+AC68*Analisis!$J$7</f>
        <v>0</v>
      </c>
      <c r="AF68" s="308">
        <f>+H68*0.0254*I68*0.0254*2*(1+[3]Analisis!$G$2)</f>
        <v>0.70967599999999997</v>
      </c>
      <c r="AG68" s="86">
        <f>+AF68*Analisis!$J$8</f>
        <v>75.614288095238109</v>
      </c>
      <c r="AH68" s="309">
        <f t="shared" ref="AH68:AH72" si="20">+AE68+AB68+Z68+V68+M68+AG68</f>
        <v>602.62654735449735</v>
      </c>
      <c r="AI68" s="86">
        <f>+AH68/(1-Analisis!G73)</f>
        <v>602.62654735449735</v>
      </c>
      <c r="AJ68" s="86">
        <f t="shared" si="10"/>
        <v>647.98553478978215</v>
      </c>
      <c r="AK68" s="86">
        <f t="shared" ref="AK68:AK72" si="21">+AJ68*D68</f>
        <v>0</v>
      </c>
      <c r="AL68" s="310" t="e">
        <f>+VLOOKUP(B68,#REF!,2,FALSE)</f>
        <v>#REF!</v>
      </c>
      <c r="AM68" s="311" t="e">
        <f t="shared" si="18"/>
        <v>#REF!</v>
      </c>
      <c r="AN68" s="312" t="e">
        <f t="shared" si="17"/>
        <v>#REF!</v>
      </c>
    </row>
    <row r="69" spans="1:40" s="73" customFormat="1" x14ac:dyDescent="0.25">
      <c r="A69" s="303"/>
      <c r="B69" s="304" t="s">
        <v>895</v>
      </c>
      <c r="D69" s="74">
        <f>IFERROR(VLOOKUP(B69,'REQ. PINTADO'!B:C,2,0),0)</f>
        <v>0</v>
      </c>
      <c r="E69" s="305">
        <f t="shared" si="0"/>
        <v>782.90136392103318</v>
      </c>
      <c r="F69" s="103" t="s">
        <v>44</v>
      </c>
      <c r="G69" s="75" t="s">
        <v>147</v>
      </c>
      <c r="H69" s="90">
        <v>37.25</v>
      </c>
      <c r="I69" s="90">
        <v>14.08</v>
      </c>
      <c r="J69" s="76">
        <v>0.105</v>
      </c>
      <c r="K69" s="306">
        <v>25</v>
      </c>
      <c r="L69" s="78">
        <f t="shared" si="1"/>
        <v>41.562854666666674</v>
      </c>
      <c r="M69" s="58">
        <f>+VLOOKUP(F69,Material!$H$2:$M$17,6,FALSE)*H69*I69*(1+Material!$K$14)</f>
        <v>472.30516666666671</v>
      </c>
      <c r="N69" s="79" t="str">
        <f t="shared" si="19"/>
        <v>T5.0</v>
      </c>
      <c r="O69" s="80">
        <f>+VLOOKUP(N69,[3]Material!$A$3:$B$58,2,FALSE)</f>
        <v>5000</v>
      </c>
      <c r="P69" s="79" t="s">
        <v>42</v>
      </c>
      <c r="Q69" s="79" t="str">
        <f>+VLOOKUP(F69,[3]Material!$C$2:$E$12,2,FALSE)</f>
        <v>Cal 10</v>
      </c>
      <c r="R69" s="81">
        <f>+IF(P69="ACERO A36",VLOOKUP(Q69,'[3]Velocidades Std 1500 w'!$B$2:$F$15,5,FALSE),IF(P69="INOXIDABLE",VLOOKUP(Q69,'[3]Velocidades Std 1500 w'!$B$17:$F$28,5,FALSE),IF(P69="ALUMINIO",VLOOKUP(Q69,'[3]Velocidades Std 1500 w'!$B$30:$F$38,5,FALSE))))</f>
        <v>6.1728395061728391E-6</v>
      </c>
      <c r="S69" s="82">
        <f t="shared" si="2"/>
        <v>3.0864197530864196E-2</v>
      </c>
      <c r="T69" s="83">
        <f t="shared" si="3"/>
        <v>73.289159999999995</v>
      </c>
      <c r="U69" s="307">
        <f t="shared" si="4"/>
        <v>3298.0122000000001</v>
      </c>
      <c r="V69" s="80">
        <f t="shared" si="5"/>
        <v>101.79049999999999</v>
      </c>
      <c r="W69" s="98">
        <v>14</v>
      </c>
      <c r="X69" s="84">
        <f>+IF(P69="ACERO A36",VLOOKUP(Q69,'[3]Tiempo Objeto'!$B$2:$C$12,2,FALSE),IF(P69="INOXIDABLE",VLOOKUP(Q69,'[3]Tiempo Objeto'!$B$14:$C$22,2,FALSE),IF(P69="ALUMINIO",VLOOKUP(Q69,'[3]Tiempo Objeto'!$B$24:$C$32,2,FALSE))))</f>
        <v>0.71333333333333337</v>
      </c>
      <c r="Y69" s="84">
        <f t="shared" si="6"/>
        <v>9.9866666666666681</v>
      </c>
      <c r="Z69" s="80">
        <f t="shared" si="7"/>
        <v>13.870370370370374</v>
      </c>
      <c r="AA69" s="100">
        <v>2</v>
      </c>
      <c r="AB69" s="86">
        <f>+AA69*Analisis!$J$6</f>
        <v>50</v>
      </c>
      <c r="AC69" s="100">
        <v>0</v>
      </c>
      <c r="AD69" s="85">
        <f t="shared" si="8"/>
        <v>0</v>
      </c>
      <c r="AE69" s="86">
        <f>+AC69*Analisis!$J$7</f>
        <v>0</v>
      </c>
      <c r="AF69" s="308">
        <f>+H69*0.0254*I69*0.0254*2*(1+[3]Analisis!$G$2)</f>
        <v>0.84593379199999985</v>
      </c>
      <c r="AG69" s="86">
        <f>+AF69*Analisis!$J$8</f>
        <v>90.132231409523826</v>
      </c>
      <c r="AH69" s="309">
        <f t="shared" si="20"/>
        <v>728.09826844656084</v>
      </c>
      <c r="AI69" s="86">
        <f>+AH69/(1-Analisis!G74)</f>
        <v>728.09826844656084</v>
      </c>
      <c r="AJ69" s="86">
        <f t="shared" si="10"/>
        <v>782.90136392103318</v>
      </c>
      <c r="AK69" s="86">
        <f t="shared" si="21"/>
        <v>0</v>
      </c>
      <c r="AL69" s="310" t="e">
        <f>+VLOOKUP(B69,#REF!,2,FALSE)</f>
        <v>#REF!</v>
      </c>
      <c r="AM69" s="311" t="e">
        <f t="shared" si="18"/>
        <v>#REF!</v>
      </c>
      <c r="AN69" s="312" t="e">
        <f t="shared" si="17"/>
        <v>#REF!</v>
      </c>
    </row>
    <row r="70" spans="1:40" s="73" customFormat="1" x14ac:dyDescent="0.25">
      <c r="A70" s="303"/>
      <c r="B70" s="304" t="s">
        <v>896</v>
      </c>
      <c r="D70" s="74">
        <f>IFERROR(VLOOKUP(B70,'REQ. PINTADO'!B:C,2,0),0)</f>
        <v>0</v>
      </c>
      <c r="E70" s="305">
        <f t="shared" si="0"/>
        <v>854.92410305512897</v>
      </c>
      <c r="F70" s="103" t="s">
        <v>44</v>
      </c>
      <c r="G70" s="75" t="s">
        <v>147</v>
      </c>
      <c r="H70" s="90">
        <v>41.25</v>
      </c>
      <c r="I70" s="90">
        <v>14.08</v>
      </c>
      <c r="J70" s="76">
        <v>0.105</v>
      </c>
      <c r="K70" s="306">
        <v>25</v>
      </c>
      <c r="L70" s="78">
        <f t="shared" si="1"/>
        <v>46.025980000000011</v>
      </c>
      <c r="M70" s="58">
        <f>+VLOOKUP(F70,Material!$H$2:$M$17,6,FALSE)*H70*I70*(1+Material!$K$14)</f>
        <v>523.02250000000004</v>
      </c>
      <c r="N70" s="79" t="str">
        <f t="shared" si="19"/>
        <v>T5.0</v>
      </c>
      <c r="O70" s="80">
        <f>+VLOOKUP(N70,[3]Material!$A$3:$B$58,2,FALSE)</f>
        <v>5000</v>
      </c>
      <c r="P70" s="79" t="s">
        <v>42</v>
      </c>
      <c r="Q70" s="79" t="str">
        <f>+VLOOKUP(F70,[3]Material!$C$2:$E$12,2,FALSE)</f>
        <v>Cal 10</v>
      </c>
      <c r="R70" s="81">
        <f>+IF(P70="ACERO A36",VLOOKUP(Q70,'[3]Velocidades Std 1500 w'!$B$2:$F$15,5,FALSE),IF(P70="INOXIDABLE",VLOOKUP(Q70,'[3]Velocidades Std 1500 w'!$B$17:$F$28,5,FALSE),IF(P70="ALUMINIO",VLOOKUP(Q70,'[3]Velocidades Std 1500 w'!$B$30:$F$38,5,FALSE))))</f>
        <v>6.1728395061728391E-6</v>
      </c>
      <c r="S70" s="82">
        <f t="shared" si="2"/>
        <v>3.0864197530864196E-2</v>
      </c>
      <c r="T70" s="83">
        <f t="shared" si="3"/>
        <v>78.030493333333325</v>
      </c>
      <c r="U70" s="307">
        <f t="shared" si="4"/>
        <v>3511.3721999999998</v>
      </c>
      <c r="V70" s="80">
        <f t="shared" si="5"/>
        <v>108.37568518518518</v>
      </c>
      <c r="W70" s="98">
        <v>14</v>
      </c>
      <c r="X70" s="84">
        <f>+IF(P70="ACERO A36",VLOOKUP(Q70,'[3]Tiempo Objeto'!$B$2:$C$12,2,FALSE),IF(P70="INOXIDABLE",VLOOKUP(Q70,'[3]Tiempo Objeto'!$B$14:$C$22,2,FALSE),IF(P70="ALUMINIO",VLOOKUP(Q70,'[3]Tiempo Objeto'!$B$24:$C$32,2,FALSE))))</f>
        <v>0.71333333333333337</v>
      </c>
      <c r="Y70" s="84">
        <f t="shared" si="6"/>
        <v>9.9866666666666681</v>
      </c>
      <c r="Z70" s="80">
        <f t="shared" si="7"/>
        <v>13.870370370370374</v>
      </c>
      <c r="AA70" s="100">
        <v>2</v>
      </c>
      <c r="AB70" s="86">
        <f>+AA70*Analisis!$J$6</f>
        <v>50</v>
      </c>
      <c r="AC70" s="100">
        <v>0</v>
      </c>
      <c r="AD70" s="85">
        <f t="shared" si="8"/>
        <v>0</v>
      </c>
      <c r="AE70" s="86">
        <f>+AC70*Analisis!$J$7</f>
        <v>0</v>
      </c>
      <c r="AF70" s="308">
        <f>+H70*0.0254*I70*0.0254*2*(1+[3]Analisis!$G$2)</f>
        <v>0.93677231999999988</v>
      </c>
      <c r="AG70" s="86">
        <f>+AF70*Analisis!$J$8</f>
        <v>99.810860285714298</v>
      </c>
      <c r="AH70" s="309">
        <f t="shared" si="20"/>
        <v>795.07941584126991</v>
      </c>
      <c r="AI70" s="86">
        <f>+AH70/(1-Analisis!G75)</f>
        <v>795.07941584126991</v>
      </c>
      <c r="AJ70" s="86">
        <f t="shared" si="10"/>
        <v>854.92410305512897</v>
      </c>
      <c r="AK70" s="86">
        <f t="shared" si="21"/>
        <v>0</v>
      </c>
      <c r="AL70" s="310" t="e">
        <f>+VLOOKUP(B70,#REF!,2,FALSE)</f>
        <v>#REF!</v>
      </c>
      <c r="AM70" s="311" t="e">
        <f t="shared" si="18"/>
        <v>#REF!</v>
      </c>
      <c r="AN70" s="312" t="e">
        <f t="shared" si="17"/>
        <v>#REF!</v>
      </c>
    </row>
    <row r="71" spans="1:40" s="73" customFormat="1" x14ac:dyDescent="0.25">
      <c r="A71" s="303"/>
      <c r="B71" s="304" t="s">
        <v>897</v>
      </c>
      <c r="D71" s="74">
        <f>IFERROR(VLOOKUP(B71,'REQ. PINTADO'!B:C,2,0),0)</f>
        <v>0</v>
      </c>
      <c r="E71" s="305">
        <f t="shared" si="0"/>
        <v>818.91273348808124</v>
      </c>
      <c r="F71" s="103" t="s">
        <v>44</v>
      </c>
      <c r="G71" s="75" t="s">
        <v>147</v>
      </c>
      <c r="H71" s="90">
        <v>39.25</v>
      </c>
      <c r="I71" s="90">
        <v>14.08</v>
      </c>
      <c r="J71" s="76">
        <v>0.105</v>
      </c>
      <c r="K71" s="306">
        <v>25</v>
      </c>
      <c r="L71" s="78">
        <f t="shared" si="1"/>
        <v>43.79441733333335</v>
      </c>
      <c r="M71" s="58">
        <f>+VLOOKUP(F71,Material!$H$2:$M$17,6,FALSE)*H71*I71*(1+Material!$K$14)</f>
        <v>497.66383333333346</v>
      </c>
      <c r="N71" s="79" t="str">
        <f t="shared" si="19"/>
        <v>T5.0</v>
      </c>
      <c r="O71" s="80">
        <f>+VLOOKUP(N71,[3]Material!$A$3:$B$58,2,FALSE)</f>
        <v>5000</v>
      </c>
      <c r="P71" s="79" t="s">
        <v>42</v>
      </c>
      <c r="Q71" s="79" t="str">
        <f>+VLOOKUP(F71,[3]Material!$C$2:$E$12,2,FALSE)</f>
        <v>Cal 10</v>
      </c>
      <c r="R71" s="81">
        <f>+IF(P71="ACERO A36",VLOOKUP(Q71,'[3]Velocidades Std 1500 w'!$B$2:$F$15,5,FALSE),IF(P71="INOXIDABLE",VLOOKUP(Q71,'[3]Velocidades Std 1500 w'!$B$17:$F$28,5,FALSE),IF(P71="ALUMINIO",VLOOKUP(Q71,'[3]Velocidades Std 1500 w'!$B$30:$F$38,5,FALSE))))</f>
        <v>6.1728395061728391E-6</v>
      </c>
      <c r="S71" s="82">
        <f t="shared" si="2"/>
        <v>3.0864197530864196E-2</v>
      </c>
      <c r="T71" s="83">
        <f t="shared" si="3"/>
        <v>75.65982666666666</v>
      </c>
      <c r="U71" s="307">
        <f t="shared" si="4"/>
        <v>3404.6922</v>
      </c>
      <c r="V71" s="80">
        <f t="shared" si="5"/>
        <v>105.08309259259259</v>
      </c>
      <c r="W71" s="98">
        <v>14</v>
      </c>
      <c r="X71" s="84">
        <f>+IF(P71="ACERO A36",VLOOKUP(Q71,'[3]Tiempo Objeto'!$B$2:$C$12,2,FALSE),IF(P71="INOXIDABLE",VLOOKUP(Q71,'[3]Tiempo Objeto'!$B$14:$C$22,2,FALSE),IF(P71="ALUMINIO",VLOOKUP(Q71,'[3]Tiempo Objeto'!$B$24:$C$32,2,FALSE))))</f>
        <v>0.71333333333333337</v>
      </c>
      <c r="Y71" s="84">
        <f t="shared" si="6"/>
        <v>9.9866666666666681</v>
      </c>
      <c r="Z71" s="80">
        <f t="shared" si="7"/>
        <v>13.870370370370374</v>
      </c>
      <c r="AA71" s="100">
        <v>2</v>
      </c>
      <c r="AB71" s="86">
        <f>+AA71*Analisis!$J$6</f>
        <v>50</v>
      </c>
      <c r="AC71" s="100">
        <v>0</v>
      </c>
      <c r="AD71" s="85">
        <f t="shared" si="8"/>
        <v>0</v>
      </c>
      <c r="AE71" s="86">
        <f>+AC71*Analisis!$J$7</f>
        <v>0</v>
      </c>
      <c r="AF71" s="308">
        <f>+H71*0.0254*I71*0.0254*2*(1+[3]Analisis!$G$2)</f>
        <v>0.89135305599999992</v>
      </c>
      <c r="AG71" s="86">
        <f>+AF71*Analisis!$J$8</f>
        <v>94.971545847619069</v>
      </c>
      <c r="AH71" s="309">
        <f t="shared" si="20"/>
        <v>761.58884214391549</v>
      </c>
      <c r="AI71" s="86">
        <f>+AH71/(1-Analisis!G76)</f>
        <v>761.58884214391549</v>
      </c>
      <c r="AJ71" s="86">
        <f t="shared" si="10"/>
        <v>818.91273348808124</v>
      </c>
      <c r="AK71" s="86">
        <f t="shared" si="21"/>
        <v>0</v>
      </c>
      <c r="AL71" s="310" t="e">
        <f>+VLOOKUP(B71,#REF!,2,FALSE)</f>
        <v>#REF!</v>
      </c>
      <c r="AM71" s="311" t="e">
        <f t="shared" si="18"/>
        <v>#REF!</v>
      </c>
      <c r="AN71" s="312" t="e">
        <f t="shared" si="17"/>
        <v>#REF!</v>
      </c>
    </row>
    <row r="72" spans="1:40" s="73" customFormat="1" x14ac:dyDescent="0.25">
      <c r="A72" s="303"/>
      <c r="B72" s="304" t="s">
        <v>898</v>
      </c>
      <c r="D72" s="74">
        <f>IFERROR(VLOOKUP(B72,'REQ. PINTADO'!B:C,2,0),0)</f>
        <v>0</v>
      </c>
      <c r="E72" s="305">
        <f t="shared" si="0"/>
        <v>926.94684218922475</v>
      </c>
      <c r="F72" s="103" t="s">
        <v>44</v>
      </c>
      <c r="G72" s="75" t="s">
        <v>147</v>
      </c>
      <c r="H72" s="90">
        <v>45.25</v>
      </c>
      <c r="I72" s="90">
        <v>14.08</v>
      </c>
      <c r="J72" s="76">
        <v>0.105</v>
      </c>
      <c r="K72" s="306">
        <v>1</v>
      </c>
      <c r="L72" s="78">
        <f t="shared" si="1"/>
        <v>1262.2276333333336</v>
      </c>
      <c r="M72" s="58">
        <f>+VLOOKUP(F72,Material!$H$2:$M$17,6,FALSE)*H72*I72*(1+Material!$K$14)</f>
        <v>573.73983333333342</v>
      </c>
      <c r="N72" s="79" t="str">
        <f t="shared" si="19"/>
        <v>T5.0</v>
      </c>
      <c r="O72" s="80">
        <f>+VLOOKUP(N72,[3]Material!$A$3:$B$58,2,FALSE)</f>
        <v>5000</v>
      </c>
      <c r="P72" s="79" t="s">
        <v>42</v>
      </c>
      <c r="Q72" s="79" t="str">
        <f>+VLOOKUP(F72,[3]Material!$C$2:$E$12,2,FALSE)</f>
        <v>Cal 10</v>
      </c>
      <c r="R72" s="81">
        <f>+IF(P72="ACERO A36",VLOOKUP(Q72,'[3]Velocidades Std 1500 w'!$B$2:$F$15,5,FALSE),IF(P72="INOXIDABLE",VLOOKUP(Q72,'[3]Velocidades Std 1500 w'!$B$17:$F$28,5,FALSE),IF(P72="ALUMINIO",VLOOKUP(Q72,'[3]Velocidades Std 1500 w'!$B$30:$F$38,5,FALSE))))</f>
        <v>6.1728395061728391E-6</v>
      </c>
      <c r="S72" s="82">
        <f t="shared" si="2"/>
        <v>3.0864197530864196E-2</v>
      </c>
      <c r="T72" s="83">
        <f t="shared" si="3"/>
        <v>82.771826666666669</v>
      </c>
      <c r="U72" s="307">
        <f t="shared" si="4"/>
        <v>3724.7321999999999</v>
      </c>
      <c r="V72" s="80">
        <f t="shared" si="5"/>
        <v>114.96087037037036</v>
      </c>
      <c r="W72" s="98">
        <v>14</v>
      </c>
      <c r="X72" s="84">
        <f>+IF(P72="ACERO A36",VLOOKUP(Q72,'[3]Tiempo Objeto'!$B$2:$C$12,2,FALSE),IF(P72="INOXIDABLE",VLOOKUP(Q72,'[3]Tiempo Objeto'!$B$14:$C$22,2,FALSE),IF(P72="ALUMINIO",VLOOKUP(Q72,'[3]Tiempo Objeto'!$B$24:$C$32,2,FALSE))))</f>
        <v>0.71333333333333337</v>
      </c>
      <c r="Y72" s="84">
        <f t="shared" si="6"/>
        <v>9.9866666666666681</v>
      </c>
      <c r="Z72" s="80">
        <f t="shared" si="7"/>
        <v>13.870370370370374</v>
      </c>
      <c r="AA72" s="100">
        <v>2</v>
      </c>
      <c r="AB72" s="86">
        <f>+AA72*Analisis!$J$6</f>
        <v>50</v>
      </c>
      <c r="AC72" s="100">
        <v>0</v>
      </c>
      <c r="AD72" s="85">
        <f t="shared" si="8"/>
        <v>0</v>
      </c>
      <c r="AE72" s="86">
        <f>+AC72*Analisis!$J$7</f>
        <v>0</v>
      </c>
      <c r="AF72" s="308">
        <f>+H72*0.0254*I72*0.0254*2*(1+[3]Analisis!$G$2)</f>
        <v>1.0276108479999999</v>
      </c>
      <c r="AG72" s="86">
        <f>+AF72*Analisis!$J$8</f>
        <v>109.48948916190479</v>
      </c>
      <c r="AH72" s="309">
        <f t="shared" si="20"/>
        <v>862.06056323597898</v>
      </c>
      <c r="AI72" s="86">
        <f>+AH72/(1-Analisis!G77)</f>
        <v>862.06056323597898</v>
      </c>
      <c r="AJ72" s="86">
        <f t="shared" si="10"/>
        <v>926.94684218922475</v>
      </c>
      <c r="AK72" s="86">
        <f t="shared" si="21"/>
        <v>0</v>
      </c>
      <c r="AL72" s="310" t="e">
        <f>+VLOOKUP(B72,#REF!,2,FALSE)</f>
        <v>#REF!</v>
      </c>
      <c r="AM72" s="311" t="e">
        <f t="shared" si="18"/>
        <v>#REF!</v>
      </c>
      <c r="AN72" s="312" t="e">
        <f t="shared" si="17"/>
        <v>#REF!</v>
      </c>
    </row>
    <row r="73" spans="1:40" s="73" customFormat="1" x14ac:dyDescent="0.25">
      <c r="A73" s="303">
        <v>47</v>
      </c>
      <c r="B73" s="304" t="s">
        <v>893</v>
      </c>
      <c r="D73" s="74">
        <f>IFERROR(VLOOKUP(B73,'REQ. PINTADO'!B:C,2,0),0)</f>
        <v>0</v>
      </c>
      <c r="E73" s="305">
        <f t="shared" si="0"/>
        <v>480.3526094551745</v>
      </c>
      <c r="F73" s="103" t="s">
        <v>44</v>
      </c>
      <c r="G73" s="75" t="s">
        <v>147</v>
      </c>
      <c r="H73" s="90">
        <v>21.94</v>
      </c>
      <c r="I73" s="90">
        <v>14.08</v>
      </c>
      <c r="J73" s="76">
        <v>0.105</v>
      </c>
      <c r="K73" s="306">
        <v>1</v>
      </c>
      <c r="L73" s="78">
        <f t="shared" si="1"/>
        <v>612.00606133333349</v>
      </c>
      <c r="M73" s="58">
        <f>+VLOOKUP(F73,Material!$H$2:$M$17,6,FALSE)*H73*I73*(1+Material!$K$14)</f>
        <v>278.18457333333339</v>
      </c>
      <c r="N73" s="79" t="str">
        <f t="shared" si="19"/>
        <v>T5.0</v>
      </c>
      <c r="O73" s="80">
        <f>+VLOOKUP(N73,[3]Material!$A$3:$B$58,2,FALSE)</f>
        <v>5000</v>
      </c>
      <c r="P73" s="79" t="s">
        <v>42</v>
      </c>
      <c r="Q73" s="79" t="str">
        <f>+VLOOKUP(F73,[3]Material!$C$2:$E$12,2,FALSE)</f>
        <v>Cal 10</v>
      </c>
      <c r="R73" s="81">
        <f>+IF(P73="ACERO A36",VLOOKUP(Q73,'[3]Velocidades Std 1500 w'!$B$2:$F$15,5,FALSE),IF(P73="INOXIDABLE",VLOOKUP(Q73,'[3]Velocidades Std 1500 w'!$B$17:$F$28,5,FALSE),IF(P73="ALUMINIO",VLOOKUP(Q73,'[3]Velocidades Std 1500 w'!$B$30:$F$38,5,FALSE))))</f>
        <v>6.1728395061728391E-6</v>
      </c>
      <c r="S73" s="82">
        <f t="shared" si="2"/>
        <v>3.0864197530864196E-2</v>
      </c>
      <c r="T73" s="83">
        <f t="shared" si="3"/>
        <v>55.141706666666664</v>
      </c>
      <c r="U73" s="307">
        <f t="shared" si="4"/>
        <v>2481.3768</v>
      </c>
      <c r="V73" s="80">
        <f t="shared" si="5"/>
        <v>76.5857037037037</v>
      </c>
      <c r="W73" s="98">
        <v>14</v>
      </c>
      <c r="X73" s="84">
        <f>+IF(P73="ACERO A36",VLOOKUP(Q73,'[3]Tiempo Objeto'!$B$2:$C$12,2,FALSE),IF(P73="INOXIDABLE",VLOOKUP(Q73,'[3]Tiempo Objeto'!$B$14:$C$22,2,FALSE),IF(P73="ALUMINIO",VLOOKUP(Q73,'[3]Tiempo Objeto'!$B$24:$C$32,2,FALSE))))</f>
        <v>0.71333333333333337</v>
      </c>
      <c r="Y73" s="84">
        <f t="shared" si="6"/>
        <v>9.9866666666666681</v>
      </c>
      <c r="Z73" s="80">
        <f t="shared" si="7"/>
        <v>13.870370370370374</v>
      </c>
      <c r="AA73" s="100">
        <v>1</v>
      </c>
      <c r="AB73" s="86">
        <f>+AA73*Analisis!$J$6</f>
        <v>25</v>
      </c>
      <c r="AC73" s="100">
        <v>0</v>
      </c>
      <c r="AD73" s="85">
        <f t="shared" si="8"/>
        <v>0</v>
      </c>
      <c r="AE73" s="86">
        <f>+AC73*Analisis!$J$7</f>
        <v>0</v>
      </c>
      <c r="AF73" s="308">
        <f>+H73*0.0254*I73*0.0254*2*(1+[3]Analisis!$G$2)</f>
        <v>0.49824932608</v>
      </c>
      <c r="AG73" s="86">
        <f>+AF73*Analisis!$J$8</f>
        <v>53.087279385904779</v>
      </c>
      <c r="AH73" s="309">
        <f>+AE73+AB73+Z73+V73+M73+AG73</f>
        <v>446.72792679331224</v>
      </c>
      <c r="AI73" s="86">
        <f>+AH73/(1-Analisis!G78)</f>
        <v>446.72792679331224</v>
      </c>
      <c r="AJ73" s="86">
        <f t="shared" si="10"/>
        <v>480.3526094551745</v>
      </c>
      <c r="AK73" s="86">
        <f>+AJ73*D73</f>
        <v>0</v>
      </c>
      <c r="AL73" s="310" t="e">
        <f>+VLOOKUP(B73,#REF!,2,FALSE)</f>
        <v>#REF!</v>
      </c>
      <c r="AM73" s="311" t="e">
        <f t="shared" si="18"/>
        <v>#REF!</v>
      </c>
      <c r="AN73" s="312" t="e">
        <f t="shared" si="17"/>
        <v>#REF!</v>
      </c>
    </row>
    <row r="74" spans="1:40" s="73" customFormat="1" x14ac:dyDescent="0.25">
      <c r="A74" s="303"/>
      <c r="B74" s="304" t="s">
        <v>894</v>
      </c>
      <c r="D74" s="74">
        <f>IFERROR(VLOOKUP(B74,'REQ. PINTADO'!B:C,2,0),0)</f>
        <v>0</v>
      </c>
      <c r="E74" s="305">
        <f t="shared" si="0"/>
        <v>660.4094572904138</v>
      </c>
      <c r="F74" s="103" t="s">
        <v>44</v>
      </c>
      <c r="G74" s="75" t="s">
        <v>147</v>
      </c>
      <c r="H74" s="90">
        <v>31.94</v>
      </c>
      <c r="I74" s="90">
        <v>14.08</v>
      </c>
      <c r="J74" s="76">
        <v>0.105</v>
      </c>
      <c r="K74" s="306">
        <v>1</v>
      </c>
      <c r="L74" s="78">
        <f t="shared" si="1"/>
        <v>890.95139466666694</v>
      </c>
      <c r="M74" s="58">
        <f>+VLOOKUP(F74,Material!$H$2:$M$17,6,FALSE)*H74*I74*(1+Material!$K$14)</f>
        <v>404.97790666666674</v>
      </c>
      <c r="N74" s="79" t="str">
        <f t="shared" si="19"/>
        <v>T5.0</v>
      </c>
      <c r="O74" s="80">
        <f>+VLOOKUP(N74,[3]Material!$A$3:$B$58,2,FALSE)</f>
        <v>5000</v>
      </c>
      <c r="P74" s="79" t="s">
        <v>42</v>
      </c>
      <c r="Q74" s="79" t="str">
        <f>+VLOOKUP(F74,[3]Material!$C$2:$E$12,2,FALSE)</f>
        <v>Cal 10</v>
      </c>
      <c r="R74" s="81">
        <f>+IF(P74="ACERO A36",VLOOKUP(Q74,'[3]Velocidades Std 1500 w'!$B$2:$F$15,5,FALSE),IF(P74="INOXIDABLE",VLOOKUP(Q74,'[3]Velocidades Std 1500 w'!$B$17:$F$28,5,FALSE),IF(P74="ALUMINIO",VLOOKUP(Q74,'[3]Velocidades Std 1500 w'!$B$30:$F$38,5,FALSE))))</f>
        <v>6.1728395061728391E-6</v>
      </c>
      <c r="S74" s="82">
        <f t="shared" si="2"/>
        <v>3.0864197530864196E-2</v>
      </c>
      <c r="T74" s="83">
        <f t="shared" si="3"/>
        <v>66.995040000000003</v>
      </c>
      <c r="U74" s="307">
        <f t="shared" si="4"/>
        <v>3014.7768000000001</v>
      </c>
      <c r="V74" s="80">
        <f t="shared" si="5"/>
        <v>93.048666666666662</v>
      </c>
      <c r="W74" s="98">
        <v>14</v>
      </c>
      <c r="X74" s="84">
        <f>+IF(P74="ACERO A36",VLOOKUP(Q74,'[3]Tiempo Objeto'!$B$2:$C$12,2,FALSE),IF(P74="INOXIDABLE",VLOOKUP(Q74,'[3]Tiempo Objeto'!$B$14:$C$22,2,FALSE),IF(P74="ALUMINIO",VLOOKUP(Q74,'[3]Tiempo Objeto'!$B$24:$C$32,2,FALSE))))</f>
        <v>0.71333333333333337</v>
      </c>
      <c r="Y74" s="84">
        <f t="shared" si="6"/>
        <v>9.9866666666666681</v>
      </c>
      <c r="Z74" s="80">
        <f t="shared" si="7"/>
        <v>13.870370370370374</v>
      </c>
      <c r="AA74" s="100">
        <v>1</v>
      </c>
      <c r="AB74" s="86">
        <f>+AA74*Analisis!$J$6</f>
        <v>25</v>
      </c>
      <c r="AC74" s="100">
        <v>0</v>
      </c>
      <c r="AD74" s="85">
        <f t="shared" si="8"/>
        <v>0</v>
      </c>
      <c r="AE74" s="86">
        <f>+AC74*Analisis!$J$7</f>
        <v>0</v>
      </c>
      <c r="AF74" s="308">
        <f>+H74*0.0254*I74*0.0254*2*(1+[3]Analisis!$G$2)</f>
        <v>0.72534564608000007</v>
      </c>
      <c r="AG74" s="86">
        <f>+AF74*Analisis!$J$8</f>
        <v>77.283851576380982</v>
      </c>
      <c r="AH74" s="309">
        <f t="shared" ref="AH74:AH137" si="22">+AE74+AB74+Z74+V74+M74+AG74</f>
        <v>614.18079528008479</v>
      </c>
      <c r="AI74" s="86">
        <f>+AH74/(1-Analisis!G79)</f>
        <v>614.18079528008479</v>
      </c>
      <c r="AJ74" s="86">
        <f t="shared" si="10"/>
        <v>660.4094572904138</v>
      </c>
      <c r="AK74" s="86">
        <f t="shared" ref="AK74:AK137" si="23">+AJ74*D74</f>
        <v>0</v>
      </c>
      <c r="AL74" s="310" t="e">
        <f>+VLOOKUP(B74,#REF!,2,FALSE)</f>
        <v>#REF!</v>
      </c>
      <c r="AM74" s="311" t="e">
        <f t="shared" si="18"/>
        <v>#REF!</v>
      </c>
      <c r="AN74" s="312" t="e">
        <f t="shared" si="17"/>
        <v>#REF!</v>
      </c>
    </row>
    <row r="75" spans="1:40" s="73" customFormat="1" x14ac:dyDescent="0.25">
      <c r="A75" s="303"/>
      <c r="B75" s="304" t="s">
        <v>895</v>
      </c>
      <c r="D75" s="74">
        <f>IFERROR(VLOOKUP(B75,'REQ. PINTADO'!B:C,2,0),0)</f>
        <v>0</v>
      </c>
      <c r="E75" s="305">
        <f t="shared" si="0"/>
        <v>795.32528642166471</v>
      </c>
      <c r="F75" s="103" t="s">
        <v>44</v>
      </c>
      <c r="G75" s="75" t="s">
        <v>147</v>
      </c>
      <c r="H75" s="90">
        <v>37.94</v>
      </c>
      <c r="I75" s="90">
        <v>14.08</v>
      </c>
      <c r="J75" s="76">
        <v>0.105</v>
      </c>
      <c r="K75" s="306">
        <v>1</v>
      </c>
      <c r="L75" s="78">
        <f t="shared" si="1"/>
        <v>1058.3185946666667</v>
      </c>
      <c r="M75" s="58">
        <f>+VLOOKUP(F75,Material!$H$2:$M$17,6,FALSE)*H75*I75*(1+Material!$K$14)</f>
        <v>481.05390666666665</v>
      </c>
      <c r="N75" s="79" t="str">
        <f t="shared" si="19"/>
        <v>T5.0</v>
      </c>
      <c r="O75" s="80">
        <f>+VLOOKUP(N75,[3]Material!$A$3:$B$58,2,FALSE)</f>
        <v>5000</v>
      </c>
      <c r="P75" s="79" t="s">
        <v>42</v>
      </c>
      <c r="Q75" s="79" t="str">
        <f>+VLOOKUP(F75,[3]Material!$C$2:$E$12,2,FALSE)</f>
        <v>Cal 10</v>
      </c>
      <c r="R75" s="81">
        <f>+IF(P75="ACERO A36",VLOOKUP(Q75,'[3]Velocidades Std 1500 w'!$B$2:$F$15,5,FALSE),IF(P75="INOXIDABLE",VLOOKUP(Q75,'[3]Velocidades Std 1500 w'!$B$17:$F$28,5,FALSE),IF(P75="ALUMINIO",VLOOKUP(Q75,'[3]Velocidades Std 1500 w'!$B$30:$F$38,5,FALSE))))</f>
        <v>6.1728395061728391E-6</v>
      </c>
      <c r="S75" s="82">
        <f t="shared" si="2"/>
        <v>3.0864197530864196E-2</v>
      </c>
      <c r="T75" s="83">
        <f t="shared" si="3"/>
        <v>74.107039999999984</v>
      </c>
      <c r="U75" s="307">
        <f t="shared" si="4"/>
        <v>3334.8167999999996</v>
      </c>
      <c r="V75" s="80">
        <f t="shared" si="5"/>
        <v>102.92644444444443</v>
      </c>
      <c r="W75" s="98">
        <v>14</v>
      </c>
      <c r="X75" s="84">
        <f>+IF(P75="ACERO A36",VLOOKUP(Q75,'[3]Tiempo Objeto'!$B$2:$C$12,2,FALSE),IF(P75="INOXIDABLE",VLOOKUP(Q75,'[3]Tiempo Objeto'!$B$14:$C$22,2,FALSE),IF(P75="ALUMINIO",VLOOKUP(Q75,'[3]Tiempo Objeto'!$B$24:$C$32,2,FALSE))))</f>
        <v>0.71333333333333337</v>
      </c>
      <c r="Y75" s="84">
        <f t="shared" si="6"/>
        <v>9.9866666666666681</v>
      </c>
      <c r="Z75" s="80">
        <f t="shared" si="7"/>
        <v>13.870370370370374</v>
      </c>
      <c r="AA75" s="100">
        <v>2</v>
      </c>
      <c r="AB75" s="86">
        <f>+AA75*Analisis!$J$6</f>
        <v>50</v>
      </c>
      <c r="AC75" s="100">
        <v>0</v>
      </c>
      <c r="AD75" s="85">
        <f t="shared" si="8"/>
        <v>0</v>
      </c>
      <c r="AE75" s="86">
        <f>+AC75*Analisis!$J$7</f>
        <v>0</v>
      </c>
      <c r="AF75" s="308">
        <f>+H75*0.0254*I75*0.0254*2*(1+[3]Analisis!$G$2)</f>
        <v>0.86160343807999984</v>
      </c>
      <c r="AG75" s="86">
        <f>+AF75*Analisis!$J$8</f>
        <v>91.80179489066667</v>
      </c>
      <c r="AH75" s="309">
        <f t="shared" si="22"/>
        <v>739.65251637214817</v>
      </c>
      <c r="AI75" s="86">
        <f>+AH75/(1-Analisis!G80)</f>
        <v>739.65251637214817</v>
      </c>
      <c r="AJ75" s="86">
        <f t="shared" si="10"/>
        <v>795.32528642166471</v>
      </c>
      <c r="AK75" s="86">
        <f t="shared" si="23"/>
        <v>0</v>
      </c>
      <c r="AL75" s="310" t="e">
        <f>+VLOOKUP(B75,#REF!,2,FALSE)</f>
        <v>#REF!</v>
      </c>
      <c r="AM75" s="311" t="e">
        <f t="shared" si="18"/>
        <v>#REF!</v>
      </c>
      <c r="AN75" s="312" t="e">
        <f t="shared" si="17"/>
        <v>#REF!</v>
      </c>
    </row>
    <row r="76" spans="1:40" s="73" customFormat="1" x14ac:dyDescent="0.25">
      <c r="A76" s="303"/>
      <c r="B76" s="304" t="s">
        <v>896</v>
      </c>
      <c r="D76" s="74">
        <f>IFERROR(VLOOKUP(B76,'REQ. PINTADO'!B:C,2,0),0)</f>
        <v>0</v>
      </c>
      <c r="E76" s="305">
        <f t="shared" si="0"/>
        <v>867.34802555576039</v>
      </c>
      <c r="F76" s="103" t="s">
        <v>44</v>
      </c>
      <c r="G76" s="75" t="s">
        <v>147</v>
      </c>
      <c r="H76" s="90">
        <v>41.94</v>
      </c>
      <c r="I76" s="90">
        <v>14.08</v>
      </c>
      <c r="J76" s="76">
        <v>0.105</v>
      </c>
      <c r="K76" s="306">
        <v>1</v>
      </c>
      <c r="L76" s="78">
        <f t="shared" si="1"/>
        <v>1169.8967280000002</v>
      </c>
      <c r="M76" s="58">
        <f>+VLOOKUP(F76,Material!$H$2:$M$17,6,FALSE)*H76*I76*(1+Material!$K$14)</f>
        <v>531.77124000000003</v>
      </c>
      <c r="N76" s="79" t="str">
        <f t="shared" si="19"/>
        <v>T5.0</v>
      </c>
      <c r="O76" s="80">
        <f>+VLOOKUP(N76,[3]Material!$A$3:$B$58,2,FALSE)</f>
        <v>5000</v>
      </c>
      <c r="P76" s="79" t="s">
        <v>42</v>
      </c>
      <c r="Q76" s="79" t="str">
        <f>+VLOOKUP(F76,[3]Material!$C$2:$E$12,2,FALSE)</f>
        <v>Cal 10</v>
      </c>
      <c r="R76" s="81">
        <f>+IF(P76="ACERO A36",VLOOKUP(Q76,'[3]Velocidades Std 1500 w'!$B$2:$F$15,5,FALSE),IF(P76="INOXIDABLE",VLOOKUP(Q76,'[3]Velocidades Std 1500 w'!$B$17:$F$28,5,FALSE),IF(P76="ALUMINIO",VLOOKUP(Q76,'[3]Velocidades Std 1500 w'!$B$30:$F$38,5,FALSE))))</f>
        <v>6.1728395061728391E-6</v>
      </c>
      <c r="S76" s="82">
        <f t="shared" si="2"/>
        <v>3.0864197530864196E-2</v>
      </c>
      <c r="T76" s="83">
        <f t="shared" si="3"/>
        <v>78.848373333333328</v>
      </c>
      <c r="U76" s="307">
        <f t="shared" si="4"/>
        <v>3548.1767999999997</v>
      </c>
      <c r="V76" s="80">
        <f t="shared" si="5"/>
        <v>109.51162962962961</v>
      </c>
      <c r="W76" s="98">
        <v>14</v>
      </c>
      <c r="X76" s="84">
        <f>+IF(P76="ACERO A36",VLOOKUP(Q76,'[3]Tiempo Objeto'!$B$2:$C$12,2,FALSE),IF(P76="INOXIDABLE",VLOOKUP(Q76,'[3]Tiempo Objeto'!$B$14:$C$22,2,FALSE),IF(P76="ALUMINIO",VLOOKUP(Q76,'[3]Tiempo Objeto'!$B$24:$C$32,2,FALSE))))</f>
        <v>0.71333333333333337</v>
      </c>
      <c r="Y76" s="84">
        <f t="shared" si="6"/>
        <v>9.9866666666666681</v>
      </c>
      <c r="Z76" s="80">
        <f t="shared" si="7"/>
        <v>13.870370370370374</v>
      </c>
      <c r="AA76" s="100">
        <v>2</v>
      </c>
      <c r="AB76" s="86">
        <f>+AA76*Analisis!$J$6</f>
        <v>50</v>
      </c>
      <c r="AC76" s="100">
        <v>0</v>
      </c>
      <c r="AD76" s="85">
        <f t="shared" si="8"/>
        <v>0</v>
      </c>
      <c r="AE76" s="86">
        <f>+AC76*Analisis!$J$7</f>
        <v>0</v>
      </c>
      <c r="AF76" s="308">
        <f>+H76*0.0254*I76*0.0254*2*(1+[3]Analisis!$G$2)</f>
        <v>0.95244196607999987</v>
      </c>
      <c r="AG76" s="86">
        <f>+AF76*Analisis!$J$8</f>
        <v>101.48042376685716</v>
      </c>
      <c r="AH76" s="309">
        <f t="shared" si="22"/>
        <v>806.63366376685713</v>
      </c>
      <c r="AI76" s="86">
        <f>+AH76/(1-Analisis!G81)</f>
        <v>806.63366376685713</v>
      </c>
      <c r="AJ76" s="86">
        <f t="shared" si="10"/>
        <v>867.34802555576039</v>
      </c>
      <c r="AK76" s="86">
        <f t="shared" si="23"/>
        <v>0</v>
      </c>
      <c r="AL76" s="310" t="e">
        <f>+VLOOKUP(B76,#REF!,2,FALSE)</f>
        <v>#REF!</v>
      </c>
      <c r="AM76" s="311" t="e">
        <f t="shared" si="18"/>
        <v>#REF!</v>
      </c>
      <c r="AN76" s="312" t="e">
        <f t="shared" si="17"/>
        <v>#REF!</v>
      </c>
    </row>
    <row r="77" spans="1:40" s="73" customFormat="1" x14ac:dyDescent="0.25">
      <c r="A77" s="303"/>
      <c r="B77" s="304" t="s">
        <v>897</v>
      </c>
      <c r="D77" s="74">
        <f>IFERROR(VLOOKUP(B77,'REQ. PINTADO'!B:C,2,0),0)</f>
        <v>0</v>
      </c>
      <c r="E77" s="305">
        <f t="shared" si="0"/>
        <v>831.33665598871255</v>
      </c>
      <c r="F77" s="103" t="s">
        <v>44</v>
      </c>
      <c r="G77" s="75" t="s">
        <v>147</v>
      </c>
      <c r="H77" s="90">
        <v>39.94</v>
      </c>
      <c r="I77" s="90">
        <v>14.08</v>
      </c>
      <c r="J77" s="76">
        <v>0.105</v>
      </c>
      <c r="K77" s="306">
        <v>1</v>
      </c>
      <c r="L77" s="78">
        <f t="shared" si="1"/>
        <v>1114.1076613333335</v>
      </c>
      <c r="M77" s="58">
        <f>+VLOOKUP(F77,Material!$H$2:$M$17,6,FALSE)*H77*I77*(1+Material!$K$14)</f>
        <v>506.41257333333334</v>
      </c>
      <c r="N77" s="79" t="str">
        <f t="shared" si="19"/>
        <v>T5.0</v>
      </c>
      <c r="O77" s="80">
        <f>+VLOOKUP(N77,[3]Material!$A$3:$B$58,2,FALSE)</f>
        <v>5000</v>
      </c>
      <c r="P77" s="79" t="s">
        <v>42</v>
      </c>
      <c r="Q77" s="79" t="str">
        <f>+VLOOKUP(F77,[3]Material!$C$2:$E$12,2,FALSE)</f>
        <v>Cal 10</v>
      </c>
      <c r="R77" s="81">
        <f>+IF(P77="ACERO A36",VLOOKUP(Q77,'[3]Velocidades Std 1500 w'!$B$2:$F$15,5,FALSE),IF(P77="INOXIDABLE",VLOOKUP(Q77,'[3]Velocidades Std 1500 w'!$B$17:$F$28,5,FALSE),IF(P77="ALUMINIO",VLOOKUP(Q77,'[3]Velocidades Std 1500 w'!$B$30:$F$38,5,FALSE))))</f>
        <v>6.1728395061728391E-6</v>
      </c>
      <c r="S77" s="82">
        <f t="shared" si="2"/>
        <v>3.0864197530864196E-2</v>
      </c>
      <c r="T77" s="83">
        <f t="shared" si="3"/>
        <v>76.477706666666649</v>
      </c>
      <c r="U77" s="307">
        <f t="shared" si="4"/>
        <v>3441.4967999999994</v>
      </c>
      <c r="V77" s="80">
        <f t="shared" si="5"/>
        <v>106.21903703703701</v>
      </c>
      <c r="W77" s="98">
        <v>14</v>
      </c>
      <c r="X77" s="84">
        <f>+IF(P77="ACERO A36",VLOOKUP(Q77,'[3]Tiempo Objeto'!$B$2:$C$12,2,FALSE),IF(P77="INOXIDABLE",VLOOKUP(Q77,'[3]Tiempo Objeto'!$B$14:$C$22,2,FALSE),IF(P77="ALUMINIO",VLOOKUP(Q77,'[3]Tiempo Objeto'!$B$24:$C$32,2,FALSE))))</f>
        <v>0.71333333333333337</v>
      </c>
      <c r="Y77" s="84">
        <f t="shared" si="6"/>
        <v>9.9866666666666681</v>
      </c>
      <c r="Z77" s="80">
        <f t="shared" si="7"/>
        <v>13.870370370370374</v>
      </c>
      <c r="AA77" s="100">
        <v>2</v>
      </c>
      <c r="AB77" s="86">
        <f>+AA77*Analisis!$J$6</f>
        <v>50</v>
      </c>
      <c r="AC77" s="100">
        <v>0</v>
      </c>
      <c r="AD77" s="85">
        <f t="shared" si="8"/>
        <v>0</v>
      </c>
      <c r="AE77" s="86">
        <f>+AC77*Analisis!$J$7</f>
        <v>0</v>
      </c>
      <c r="AF77" s="308">
        <f>+H77*0.0254*I77*0.0254*2*(1+[3]Analisis!$G$2)</f>
        <v>0.9070227020799998</v>
      </c>
      <c r="AG77" s="86">
        <f>+AF77*Analisis!$J$8</f>
        <v>96.641109328761914</v>
      </c>
      <c r="AH77" s="309">
        <f t="shared" si="22"/>
        <v>773.14309006950259</v>
      </c>
      <c r="AI77" s="86">
        <f>+AH77/(1-Analisis!G82)</f>
        <v>773.14309006950259</v>
      </c>
      <c r="AJ77" s="86">
        <f t="shared" si="10"/>
        <v>831.33665598871255</v>
      </c>
      <c r="AK77" s="86">
        <f t="shared" si="23"/>
        <v>0</v>
      </c>
      <c r="AL77" s="310" t="e">
        <f>+VLOOKUP(B77,#REF!,2,FALSE)</f>
        <v>#REF!</v>
      </c>
      <c r="AM77" s="311" t="e">
        <f t="shared" si="18"/>
        <v>#REF!</v>
      </c>
      <c r="AN77" s="312" t="e">
        <f t="shared" si="17"/>
        <v>#REF!</v>
      </c>
    </row>
    <row r="78" spans="1:40" s="73" customFormat="1" x14ac:dyDescent="0.25">
      <c r="A78" s="303"/>
      <c r="B78" s="304" t="s">
        <v>898</v>
      </c>
      <c r="D78" s="74">
        <f>IFERROR(VLOOKUP(B78,'REQ. PINTADO'!B:C,2,0),0)</f>
        <v>0</v>
      </c>
      <c r="E78" s="305">
        <f t="shared" si="0"/>
        <v>939.37076468985617</v>
      </c>
      <c r="F78" s="103" t="s">
        <v>44</v>
      </c>
      <c r="G78" s="75" t="s">
        <v>147</v>
      </c>
      <c r="H78" s="90">
        <v>45.94</v>
      </c>
      <c r="I78" s="90">
        <v>14.08</v>
      </c>
      <c r="J78" s="76">
        <v>0.105</v>
      </c>
      <c r="K78" s="306">
        <v>1</v>
      </c>
      <c r="L78" s="78">
        <f t="shared" si="1"/>
        <v>1281.4748613333336</v>
      </c>
      <c r="M78" s="58">
        <f>+VLOOKUP(F78,Material!$H$2:$M$17,6,FALSE)*H78*I78*(1+Material!$K$14)</f>
        <v>582.48857333333342</v>
      </c>
      <c r="N78" s="79" t="str">
        <f t="shared" si="19"/>
        <v>T5.0</v>
      </c>
      <c r="O78" s="80">
        <f>+VLOOKUP(N78,[3]Material!$A$3:$B$58,2,FALSE)</f>
        <v>5000</v>
      </c>
      <c r="P78" s="79" t="s">
        <v>42</v>
      </c>
      <c r="Q78" s="79" t="str">
        <f>+VLOOKUP(F78,[3]Material!$C$2:$E$12,2,FALSE)</f>
        <v>Cal 10</v>
      </c>
      <c r="R78" s="81">
        <f>+IF(P78="ACERO A36",VLOOKUP(Q78,'[3]Velocidades Std 1500 w'!$B$2:$F$15,5,FALSE),IF(P78="INOXIDABLE",VLOOKUP(Q78,'[3]Velocidades Std 1500 w'!$B$17:$F$28,5,FALSE),IF(P78="ALUMINIO",VLOOKUP(Q78,'[3]Velocidades Std 1500 w'!$B$30:$F$38,5,FALSE))))</f>
        <v>6.1728395061728391E-6</v>
      </c>
      <c r="S78" s="82">
        <f t="shared" si="2"/>
        <v>3.0864197530864196E-2</v>
      </c>
      <c r="T78" s="83">
        <f t="shared" si="3"/>
        <v>83.589706666666657</v>
      </c>
      <c r="U78" s="307">
        <f t="shared" si="4"/>
        <v>3761.5367999999999</v>
      </c>
      <c r="V78" s="80">
        <f t="shared" si="5"/>
        <v>116.09681481481481</v>
      </c>
      <c r="W78" s="98">
        <v>14</v>
      </c>
      <c r="X78" s="84">
        <f>+IF(P78="ACERO A36",VLOOKUP(Q78,'[3]Tiempo Objeto'!$B$2:$C$12,2,FALSE),IF(P78="INOXIDABLE",VLOOKUP(Q78,'[3]Tiempo Objeto'!$B$14:$C$22,2,FALSE),IF(P78="ALUMINIO",VLOOKUP(Q78,'[3]Tiempo Objeto'!$B$24:$C$32,2,FALSE))))</f>
        <v>0.71333333333333337</v>
      </c>
      <c r="Y78" s="84">
        <f t="shared" si="6"/>
        <v>9.9866666666666681</v>
      </c>
      <c r="Z78" s="80">
        <f t="shared" si="7"/>
        <v>13.870370370370374</v>
      </c>
      <c r="AA78" s="100">
        <v>2</v>
      </c>
      <c r="AB78" s="86">
        <f>+AA78*Analisis!$J$6</f>
        <v>50</v>
      </c>
      <c r="AC78" s="100">
        <v>0</v>
      </c>
      <c r="AD78" s="85">
        <f t="shared" si="8"/>
        <v>0</v>
      </c>
      <c r="AE78" s="86">
        <f>+AC78*Analisis!$J$7</f>
        <v>0</v>
      </c>
      <c r="AF78" s="308">
        <f>+H78*0.0254*I78*0.0254*2*(1+[3]Analisis!$G$2)</f>
        <v>1.0432804940799998</v>
      </c>
      <c r="AG78" s="86">
        <f>+AF78*Analisis!$J$8</f>
        <v>111.15905264304763</v>
      </c>
      <c r="AH78" s="309">
        <f t="shared" si="22"/>
        <v>873.61481116156619</v>
      </c>
      <c r="AI78" s="86">
        <f>+AH78/(1-Analisis!G83)</f>
        <v>873.61481116156619</v>
      </c>
      <c r="AJ78" s="86">
        <f t="shared" si="10"/>
        <v>939.37076468985617</v>
      </c>
      <c r="AK78" s="86">
        <f t="shared" si="23"/>
        <v>0</v>
      </c>
      <c r="AL78" s="310" t="e">
        <f>+VLOOKUP(B78,#REF!,2,FALSE)</f>
        <v>#REF!</v>
      </c>
      <c r="AM78" s="311" t="e">
        <f t="shared" si="18"/>
        <v>#REF!</v>
      </c>
      <c r="AN78" s="312" t="e">
        <f t="shared" si="17"/>
        <v>#REF!</v>
      </c>
    </row>
    <row r="79" spans="1:40" s="73" customFormat="1" x14ac:dyDescent="0.25">
      <c r="A79" s="303">
        <v>48</v>
      </c>
      <c r="B79" s="304" t="s">
        <v>899</v>
      </c>
      <c r="D79" s="74">
        <f>IFERROR(VLOOKUP(B79,'REQ. PINTADO'!B:C,2,0),0)</f>
        <v>0</v>
      </c>
      <c r="E79" s="305">
        <f t="shared" si="0"/>
        <v>141.50156457590927</v>
      </c>
      <c r="F79" s="103" t="s">
        <v>165</v>
      </c>
      <c r="G79" s="75" t="s">
        <v>147</v>
      </c>
      <c r="H79" s="90">
        <v>5.37</v>
      </c>
      <c r="I79" s="90">
        <v>17.25</v>
      </c>
      <c r="J79" s="76">
        <v>7.4999999999999997E-2</v>
      </c>
      <c r="K79" s="306">
        <v>15</v>
      </c>
      <c r="L79" s="78">
        <f t="shared" si="1"/>
        <v>5.6467228125000011</v>
      </c>
      <c r="M79" s="58">
        <f>+VLOOKUP(F79,Material!$H$2:$M$17,6,FALSE)*H79*I79*(1+Material!$K$14)</f>
        <v>38.500382812500007</v>
      </c>
      <c r="N79" s="79" t="str">
        <f t="shared" si="19"/>
        <v>T5.0</v>
      </c>
      <c r="O79" s="80">
        <f>+VLOOKUP(N79,[3]Material!$A$3:$B$58,2,FALSE)</f>
        <v>5000</v>
      </c>
      <c r="P79" s="79" t="s">
        <v>42</v>
      </c>
      <c r="Q79" s="79" t="str">
        <f>+VLOOKUP(F79,[3]Material!$C$2:$E$12,2,FALSE)</f>
        <v>Cal 14</v>
      </c>
      <c r="R79" s="81">
        <f>+IF(P79="ACERO A36",VLOOKUP(Q79,'[3]Velocidades Std 1500 w'!$B$2:$F$15,5,FALSE),IF(P79="INOXIDABLE",VLOOKUP(Q79,'[3]Velocidades Std 1500 w'!$B$17:$F$28,5,FALSE),IF(P79="ALUMINIO",VLOOKUP(Q79,'[3]Velocidades Std 1500 w'!$B$30:$F$38,5,FALSE))))</f>
        <v>2.0080321285140564E-6</v>
      </c>
      <c r="S79" s="82">
        <f t="shared" si="2"/>
        <v>1.0040160642570283E-2</v>
      </c>
      <c r="T79" s="83">
        <f t="shared" si="3"/>
        <v>13.92752385542169</v>
      </c>
      <c r="U79" s="307">
        <f t="shared" si="4"/>
        <v>1926.6408000000004</v>
      </c>
      <c r="V79" s="80">
        <f t="shared" si="5"/>
        <v>19.343783132530127</v>
      </c>
      <c r="W79" s="98">
        <v>18</v>
      </c>
      <c r="X79" s="84">
        <f>+IF(P79="ACERO A36",VLOOKUP(Q79,'[3]Tiempo Objeto'!$B$2:$C$12,2,FALSE),IF(P79="INOXIDABLE",VLOOKUP(Q79,'[3]Tiempo Objeto'!$B$14:$C$22,2,FALSE),IF(P79="ALUMINIO",VLOOKUP(Q79,'[3]Tiempo Objeto'!$B$24:$C$32,2,FALSE))))</f>
        <v>0.3133333333333333</v>
      </c>
      <c r="Y79" s="84">
        <f t="shared" si="6"/>
        <v>5.64</v>
      </c>
      <c r="Z79" s="80">
        <f t="shared" si="7"/>
        <v>7.833333333333333</v>
      </c>
      <c r="AA79" s="100">
        <v>2</v>
      </c>
      <c r="AB79" s="86">
        <f>+AA79*Analisis!$J$6</f>
        <v>50</v>
      </c>
      <c r="AC79" s="100">
        <v>0</v>
      </c>
      <c r="AD79" s="85">
        <f t="shared" si="8"/>
        <v>0</v>
      </c>
      <c r="AE79" s="86">
        <f>+AC79*Analisis!$J$7</f>
        <v>0</v>
      </c>
      <c r="AF79" s="308">
        <f>+H79*0.0254*I79*0.0254*2*(1+[3]Analisis!$G$2)</f>
        <v>0.14940695925</v>
      </c>
      <c r="AG79" s="86">
        <f>+AF79*Analisis!$J$8</f>
        <v>15.918955777232147</v>
      </c>
      <c r="AH79" s="309">
        <f t="shared" si="22"/>
        <v>131.59645505559561</v>
      </c>
      <c r="AI79" s="86">
        <f>+AH79/(1-Analisis!G84)</f>
        <v>131.59645505559561</v>
      </c>
      <c r="AJ79" s="86">
        <f t="shared" si="10"/>
        <v>141.50156457590927</v>
      </c>
      <c r="AK79" s="86">
        <f t="shared" si="23"/>
        <v>0</v>
      </c>
      <c r="AL79" s="310" t="e">
        <f>+VLOOKUP(B79,#REF!,2,FALSE)</f>
        <v>#REF!</v>
      </c>
      <c r="AM79" s="311" t="e">
        <f t="shared" si="18"/>
        <v>#REF!</v>
      </c>
      <c r="AN79" s="312" t="e">
        <f t="shared" si="17"/>
        <v>#REF!</v>
      </c>
    </row>
    <row r="80" spans="1:40" s="73" customFormat="1" x14ac:dyDescent="0.25">
      <c r="A80" s="303">
        <v>49</v>
      </c>
      <c r="B80" s="304" t="s">
        <v>900</v>
      </c>
      <c r="D80" s="74">
        <f>IFERROR(VLOOKUP(B80,'REQ. PINTADO'!B:C,2,0),0)</f>
        <v>0</v>
      </c>
      <c r="E80" s="305">
        <f t="shared" si="0"/>
        <v>136.63255910602084</v>
      </c>
      <c r="F80" s="103" t="s">
        <v>163</v>
      </c>
      <c r="G80" s="75" t="s">
        <v>147</v>
      </c>
      <c r="H80" s="90">
        <v>6.7</v>
      </c>
      <c r="I80" s="90">
        <v>10.74</v>
      </c>
      <c r="J80" s="76">
        <v>0.105</v>
      </c>
      <c r="K80" s="306">
        <v>2.14</v>
      </c>
      <c r="L80" s="78">
        <f t="shared" si="1"/>
        <v>27.767798796149801</v>
      </c>
      <c r="M80" s="58">
        <f>+VLOOKUP(F80,Material!$H$2:$M$17,6,FALSE)*H80*I80*(1+Material!$K$14)</f>
        <v>27.010495192618443</v>
      </c>
      <c r="N80" s="79" t="str">
        <f t="shared" si="19"/>
        <v>T5.0</v>
      </c>
      <c r="O80" s="80">
        <f>+VLOOKUP(N80,[3]Material!$A$3:$B$58,2,FALSE)</f>
        <v>5000</v>
      </c>
      <c r="P80" s="79" t="s">
        <v>42</v>
      </c>
      <c r="Q80" s="79" t="str">
        <f>+VLOOKUP(F80,[3]Material!$C$2:$E$12,2,FALSE)</f>
        <v>Cal 12</v>
      </c>
      <c r="R80" s="81">
        <f>+IF(P80="ACERO A36",VLOOKUP(Q80,'[3]Velocidades Std 1500 w'!$B$2:$F$15,5,FALSE),IF(P80="INOXIDABLE",VLOOKUP(Q80,'[3]Velocidades Std 1500 w'!$B$17:$F$28,5,FALSE),IF(P80="ALUMINIO",VLOOKUP(Q80,'[3]Velocidades Std 1500 w'!$B$30:$F$38,5,FALSE))))</f>
        <v>4.3859649122807014E-6</v>
      </c>
      <c r="S80" s="82">
        <f t="shared" si="2"/>
        <v>2.1929824561403508E-2</v>
      </c>
      <c r="T80" s="83">
        <f t="shared" si="3"/>
        <v>21.00473052631579</v>
      </c>
      <c r="U80" s="307">
        <f t="shared" si="4"/>
        <v>1330.2996000000001</v>
      </c>
      <c r="V80" s="80">
        <f t="shared" si="5"/>
        <v>29.173236842105261</v>
      </c>
      <c r="W80" s="98">
        <v>10</v>
      </c>
      <c r="X80" s="84">
        <f>+IF(P80="ACERO A36",VLOOKUP(Q80,'[3]Tiempo Objeto'!$B$2:$C$12,2,FALSE),IF(P80="INOXIDABLE",VLOOKUP(Q80,'[3]Tiempo Objeto'!$B$14:$C$22,2,FALSE),IF(P80="ALUMINIO",VLOOKUP(Q80,'[3]Tiempo Objeto'!$B$24:$C$32,2,FALSE))))</f>
        <v>0.6133333333333334</v>
      </c>
      <c r="Y80" s="84">
        <f t="shared" si="6"/>
        <v>6.1333333333333337</v>
      </c>
      <c r="Z80" s="80">
        <f t="shared" si="7"/>
        <v>8.518518518518519</v>
      </c>
      <c r="AA80" s="100">
        <v>2</v>
      </c>
      <c r="AB80" s="86">
        <f>+AA80*Analisis!$J$6</f>
        <v>50</v>
      </c>
      <c r="AC80" s="100">
        <v>0</v>
      </c>
      <c r="AD80" s="85">
        <f t="shared" si="8"/>
        <v>0</v>
      </c>
      <c r="AE80" s="86">
        <f>+AC80*Analisis!$J$7</f>
        <v>0</v>
      </c>
      <c r="AF80" s="308">
        <f>+H80*0.0254*I80*0.0254*2*(1+[3]Analisis!$G$2)</f>
        <v>0.11606105819999998</v>
      </c>
      <c r="AG80" s="86">
        <f>+AF80*Analisis!$J$8</f>
        <v>12.366029415357145</v>
      </c>
      <c r="AH80" s="309">
        <f t="shared" si="22"/>
        <v>127.06827996859936</v>
      </c>
      <c r="AI80" s="86">
        <f>+AH80/(1-Analisis!G85)</f>
        <v>127.06827996859936</v>
      </c>
      <c r="AJ80" s="86">
        <f t="shared" si="10"/>
        <v>136.63255910602084</v>
      </c>
      <c r="AK80" s="86">
        <f t="shared" si="23"/>
        <v>0</v>
      </c>
      <c r="AL80" s="310" t="e">
        <f>+VLOOKUP(B80,#REF!,2,FALSE)</f>
        <v>#REF!</v>
      </c>
      <c r="AM80" s="311" t="e">
        <f t="shared" si="18"/>
        <v>#REF!</v>
      </c>
      <c r="AN80" s="312" t="e">
        <f t="shared" si="17"/>
        <v>#REF!</v>
      </c>
    </row>
    <row r="81" spans="1:40" s="73" customFormat="1" x14ac:dyDescent="0.25">
      <c r="A81" s="303">
        <v>50</v>
      </c>
      <c r="B81" s="304" t="s">
        <v>901</v>
      </c>
      <c r="D81" s="74">
        <f>IFERROR(VLOOKUP(B81,'REQ. PINTADO'!B:C,2,0),0)</f>
        <v>0</v>
      </c>
      <c r="E81" s="305">
        <f t="shared" si="0"/>
        <v>136.63255910602084</v>
      </c>
      <c r="F81" s="103" t="s">
        <v>163</v>
      </c>
      <c r="G81" s="75" t="s">
        <v>147</v>
      </c>
      <c r="H81" s="90">
        <v>6.7</v>
      </c>
      <c r="I81" s="90">
        <v>10.74</v>
      </c>
      <c r="J81" s="76">
        <v>0.105</v>
      </c>
      <c r="K81" s="306">
        <v>2.14</v>
      </c>
      <c r="L81" s="78">
        <f t="shared" si="1"/>
        <v>27.767798796149801</v>
      </c>
      <c r="M81" s="58">
        <f>+VLOOKUP(F81,Material!$H$2:$M$17,6,FALSE)*H81*I81*(1+Material!$K$14)</f>
        <v>27.010495192618443</v>
      </c>
      <c r="N81" s="79" t="str">
        <f t="shared" si="19"/>
        <v>T5.0</v>
      </c>
      <c r="O81" s="80">
        <f>+VLOOKUP(N81,[3]Material!$A$3:$B$58,2,FALSE)</f>
        <v>5000</v>
      </c>
      <c r="P81" s="79" t="s">
        <v>42</v>
      </c>
      <c r="Q81" s="79" t="str">
        <f>+VLOOKUP(F81,[3]Material!$C$2:$E$12,2,FALSE)</f>
        <v>Cal 12</v>
      </c>
      <c r="R81" s="81">
        <f>+IF(P81="ACERO A36",VLOOKUP(Q81,'[3]Velocidades Std 1500 w'!$B$2:$F$15,5,FALSE),IF(P81="INOXIDABLE",VLOOKUP(Q81,'[3]Velocidades Std 1500 w'!$B$17:$F$28,5,FALSE),IF(P81="ALUMINIO",VLOOKUP(Q81,'[3]Velocidades Std 1500 w'!$B$30:$F$38,5,FALSE))))</f>
        <v>4.3859649122807014E-6</v>
      </c>
      <c r="S81" s="82">
        <f t="shared" si="2"/>
        <v>2.1929824561403508E-2</v>
      </c>
      <c r="T81" s="83">
        <f t="shared" si="3"/>
        <v>21.00473052631579</v>
      </c>
      <c r="U81" s="307">
        <f t="shared" si="4"/>
        <v>1330.2996000000001</v>
      </c>
      <c r="V81" s="80">
        <f t="shared" si="5"/>
        <v>29.173236842105261</v>
      </c>
      <c r="W81" s="98">
        <v>10</v>
      </c>
      <c r="X81" s="84">
        <f>+IF(P81="ACERO A36",VLOOKUP(Q81,'[3]Tiempo Objeto'!$B$2:$C$12,2,FALSE),IF(P81="INOXIDABLE",VLOOKUP(Q81,'[3]Tiempo Objeto'!$B$14:$C$22,2,FALSE),IF(P81="ALUMINIO",VLOOKUP(Q81,'[3]Tiempo Objeto'!$B$24:$C$32,2,FALSE))))</f>
        <v>0.6133333333333334</v>
      </c>
      <c r="Y81" s="84">
        <f t="shared" si="6"/>
        <v>6.1333333333333337</v>
      </c>
      <c r="Z81" s="80">
        <f t="shared" si="7"/>
        <v>8.518518518518519</v>
      </c>
      <c r="AA81" s="100">
        <v>2</v>
      </c>
      <c r="AB81" s="86">
        <f>+AA81*Analisis!$J$6</f>
        <v>50</v>
      </c>
      <c r="AC81" s="100">
        <v>0</v>
      </c>
      <c r="AD81" s="85">
        <f t="shared" si="8"/>
        <v>0</v>
      </c>
      <c r="AE81" s="86">
        <f>+AC81*Analisis!$J$7</f>
        <v>0</v>
      </c>
      <c r="AF81" s="308">
        <f>+H81*0.0254*I81*0.0254*2*(1+[3]Analisis!$G$2)</f>
        <v>0.11606105819999998</v>
      </c>
      <c r="AG81" s="86">
        <f>+AF81*Analisis!$J$8</f>
        <v>12.366029415357145</v>
      </c>
      <c r="AH81" s="309">
        <f t="shared" si="22"/>
        <v>127.06827996859936</v>
      </c>
      <c r="AI81" s="86">
        <f>+AH81/(1-Analisis!G86)</f>
        <v>127.06827996859936</v>
      </c>
      <c r="AJ81" s="86">
        <f t="shared" si="10"/>
        <v>136.63255910602084</v>
      </c>
      <c r="AK81" s="86">
        <f t="shared" si="23"/>
        <v>0</v>
      </c>
      <c r="AL81" s="310" t="e">
        <f>+VLOOKUP(B81,#REF!,2,FALSE)</f>
        <v>#REF!</v>
      </c>
      <c r="AM81" s="311" t="e">
        <f t="shared" si="18"/>
        <v>#REF!</v>
      </c>
      <c r="AN81" s="312" t="e">
        <f t="shared" si="17"/>
        <v>#REF!</v>
      </c>
    </row>
    <row r="82" spans="1:40" s="73" customFormat="1" x14ac:dyDescent="0.25">
      <c r="A82" s="303">
        <v>51</v>
      </c>
      <c r="B82" s="304" t="s">
        <v>902</v>
      </c>
      <c r="D82" s="74">
        <f>IFERROR(VLOOKUP(B82,'REQ. PINTADO'!B:C,2,0),0)</f>
        <v>0</v>
      </c>
      <c r="E82" s="305">
        <f t="shared" si="0"/>
        <v>387.81613156901727</v>
      </c>
      <c r="F82" s="103" t="s">
        <v>165</v>
      </c>
      <c r="G82" s="75" t="s">
        <v>147</v>
      </c>
      <c r="H82" s="90">
        <v>5.58</v>
      </c>
      <c r="I82" s="90">
        <v>76.290000000000006</v>
      </c>
      <c r="J82" s="76">
        <v>0.105</v>
      </c>
      <c r="K82" s="306">
        <v>9.06</v>
      </c>
      <c r="L82" s="78">
        <f t="shared" si="1"/>
        <v>42.963332408940403</v>
      </c>
      <c r="M82" s="58">
        <f>+VLOOKUP(F82,Material!$H$2:$M$17,6,FALSE)*H82*I82*(1+Material!$K$14)</f>
        <v>176.93081437500001</v>
      </c>
      <c r="N82" s="79" t="str">
        <f t="shared" si="19"/>
        <v>T5.0</v>
      </c>
      <c r="O82" s="80">
        <f>+VLOOKUP(N82,[3]Material!$A$3:$B$58,2,FALSE)</f>
        <v>5000</v>
      </c>
      <c r="P82" s="79" t="s">
        <v>42</v>
      </c>
      <c r="Q82" s="79" t="str">
        <f>+VLOOKUP(F82,[3]Material!$C$2:$E$12,2,FALSE)</f>
        <v>Cal 14</v>
      </c>
      <c r="R82" s="81">
        <f>+IF(P82="ACERO A36",VLOOKUP(Q82,'[3]Velocidades Std 1500 w'!$B$2:$F$15,5,FALSE),IF(P82="INOXIDABLE",VLOOKUP(Q82,'[3]Velocidades Std 1500 w'!$B$17:$F$28,5,FALSE),IF(P82="ALUMINIO",VLOOKUP(Q82,'[3]Velocidades Std 1500 w'!$B$30:$F$38,5,FALSE))))</f>
        <v>2.0080321285140564E-6</v>
      </c>
      <c r="S82" s="82">
        <f t="shared" si="2"/>
        <v>1.0040160642570283E-2</v>
      </c>
      <c r="T82" s="83">
        <f t="shared" si="3"/>
        <v>37.352138313253015</v>
      </c>
      <c r="U82" s="307">
        <f t="shared" si="4"/>
        <v>5167.0457999999999</v>
      </c>
      <c r="V82" s="80">
        <f t="shared" si="5"/>
        <v>51.877969879518076</v>
      </c>
      <c r="W82" s="98">
        <v>20</v>
      </c>
      <c r="X82" s="84">
        <f>+IF(P82="ACERO A36",VLOOKUP(Q82,'[3]Tiempo Objeto'!$B$2:$C$12,2,FALSE),IF(P82="INOXIDABLE",VLOOKUP(Q82,'[3]Tiempo Objeto'!$B$14:$C$22,2,FALSE),IF(P82="ALUMINIO",VLOOKUP(Q82,'[3]Tiempo Objeto'!$B$24:$C$32,2,FALSE))))</f>
        <v>0.3133333333333333</v>
      </c>
      <c r="Y82" s="84">
        <f t="shared" si="6"/>
        <v>6.2666666666666657</v>
      </c>
      <c r="Z82" s="80">
        <f t="shared" si="7"/>
        <v>8.7037037037037024</v>
      </c>
      <c r="AA82" s="100">
        <v>2</v>
      </c>
      <c r="AB82" s="86">
        <f>+AA82*Analisis!$J$6</f>
        <v>50</v>
      </c>
      <c r="AC82" s="100">
        <v>0</v>
      </c>
      <c r="AD82" s="85">
        <f t="shared" si="8"/>
        <v>0</v>
      </c>
      <c r="AE82" s="86">
        <f>+AC82*Analisis!$J$7</f>
        <v>0</v>
      </c>
      <c r="AF82" s="308">
        <f>+H82*0.0254*I82*0.0254*2*(1+[3]Analisis!$G$2)</f>
        <v>0.68660862678000001</v>
      </c>
      <c r="AG82" s="86">
        <f>+AF82*Analisis!$J$8</f>
        <v>73.156514400964312</v>
      </c>
      <c r="AH82" s="309">
        <f t="shared" si="22"/>
        <v>360.66900235918604</v>
      </c>
      <c r="AI82" s="86">
        <f>+AH82/(1-Analisis!G87)</f>
        <v>360.66900235918604</v>
      </c>
      <c r="AJ82" s="86">
        <f t="shared" si="10"/>
        <v>387.81613156901727</v>
      </c>
      <c r="AK82" s="86">
        <f t="shared" si="23"/>
        <v>0</v>
      </c>
      <c r="AL82" s="310" t="e">
        <f>+VLOOKUP(B82,#REF!,2,FALSE)</f>
        <v>#REF!</v>
      </c>
      <c r="AM82" s="311" t="e">
        <f t="shared" si="18"/>
        <v>#REF!</v>
      </c>
      <c r="AN82" s="312" t="e">
        <f t="shared" si="17"/>
        <v>#REF!</v>
      </c>
    </row>
    <row r="83" spans="1:40" s="73" customFormat="1" x14ac:dyDescent="0.25">
      <c r="A83" s="303">
        <v>52</v>
      </c>
      <c r="B83" s="304" t="s">
        <v>903</v>
      </c>
      <c r="D83" s="74">
        <f>IFERROR(VLOOKUP(B83,'REQ. PINTADO'!B:C,2,0),0)</f>
        <v>0</v>
      </c>
      <c r="E83" s="305">
        <f t="shared" si="0"/>
        <v>387.81613156901727</v>
      </c>
      <c r="F83" s="103" t="s">
        <v>165</v>
      </c>
      <c r="G83" s="75" t="s">
        <v>147</v>
      </c>
      <c r="H83" s="90">
        <v>5.58</v>
      </c>
      <c r="I83" s="90">
        <v>76.290000000000006</v>
      </c>
      <c r="J83" s="76">
        <v>0.105</v>
      </c>
      <c r="K83" s="306">
        <v>9.06</v>
      </c>
      <c r="L83" s="78">
        <f t="shared" si="1"/>
        <v>42.963332408940403</v>
      </c>
      <c r="M83" s="58">
        <f>+VLOOKUP(F83,Material!$H$2:$M$17,6,FALSE)*H83*I83*(1+Material!$K$14)</f>
        <v>176.93081437500001</v>
      </c>
      <c r="N83" s="79" t="str">
        <f t="shared" si="19"/>
        <v>T5.0</v>
      </c>
      <c r="O83" s="80">
        <f>+VLOOKUP(N83,[3]Material!$A$3:$B$58,2,FALSE)</f>
        <v>5000</v>
      </c>
      <c r="P83" s="79" t="s">
        <v>42</v>
      </c>
      <c r="Q83" s="79" t="str">
        <f>+VLOOKUP(F83,[3]Material!$C$2:$E$12,2,FALSE)</f>
        <v>Cal 14</v>
      </c>
      <c r="R83" s="81">
        <f>+IF(P83="ACERO A36",VLOOKUP(Q83,'[3]Velocidades Std 1500 w'!$B$2:$F$15,5,FALSE),IF(P83="INOXIDABLE",VLOOKUP(Q83,'[3]Velocidades Std 1500 w'!$B$17:$F$28,5,FALSE),IF(P83="ALUMINIO",VLOOKUP(Q83,'[3]Velocidades Std 1500 w'!$B$30:$F$38,5,FALSE))))</f>
        <v>2.0080321285140564E-6</v>
      </c>
      <c r="S83" s="82">
        <f t="shared" si="2"/>
        <v>1.0040160642570283E-2</v>
      </c>
      <c r="T83" s="83">
        <f t="shared" si="3"/>
        <v>37.352138313253015</v>
      </c>
      <c r="U83" s="307">
        <f t="shared" si="4"/>
        <v>5167.0457999999999</v>
      </c>
      <c r="V83" s="80">
        <f t="shared" si="5"/>
        <v>51.877969879518076</v>
      </c>
      <c r="W83" s="98">
        <v>20</v>
      </c>
      <c r="X83" s="84">
        <f>+IF(P83="ACERO A36",VLOOKUP(Q83,'[3]Tiempo Objeto'!$B$2:$C$12,2,FALSE),IF(P83="INOXIDABLE",VLOOKUP(Q83,'[3]Tiempo Objeto'!$B$14:$C$22,2,FALSE),IF(P83="ALUMINIO",VLOOKUP(Q83,'[3]Tiempo Objeto'!$B$24:$C$32,2,FALSE))))</f>
        <v>0.3133333333333333</v>
      </c>
      <c r="Y83" s="84">
        <f t="shared" si="6"/>
        <v>6.2666666666666657</v>
      </c>
      <c r="Z83" s="80">
        <f t="shared" si="7"/>
        <v>8.7037037037037024</v>
      </c>
      <c r="AA83" s="100">
        <v>2</v>
      </c>
      <c r="AB83" s="86">
        <f>+AA83*Analisis!$J$6</f>
        <v>50</v>
      </c>
      <c r="AC83" s="100">
        <v>0</v>
      </c>
      <c r="AD83" s="85">
        <f t="shared" si="8"/>
        <v>0</v>
      </c>
      <c r="AE83" s="86">
        <f>+AC83*Analisis!$J$7</f>
        <v>0</v>
      </c>
      <c r="AF83" s="308">
        <f>+H83*0.0254*I83*0.0254*2*(1+[3]Analisis!$G$2)</f>
        <v>0.68660862678000001</v>
      </c>
      <c r="AG83" s="86">
        <f>+AF83*Analisis!$J$8</f>
        <v>73.156514400964312</v>
      </c>
      <c r="AH83" s="309">
        <f t="shared" si="22"/>
        <v>360.66900235918604</v>
      </c>
      <c r="AI83" s="86">
        <f>+AH83/(1-Analisis!G88)</f>
        <v>360.66900235918604</v>
      </c>
      <c r="AJ83" s="86">
        <f t="shared" si="10"/>
        <v>387.81613156901727</v>
      </c>
      <c r="AK83" s="86">
        <f t="shared" si="23"/>
        <v>0</v>
      </c>
      <c r="AL83" s="310" t="e">
        <f>+VLOOKUP(B83,#REF!,2,FALSE)</f>
        <v>#REF!</v>
      </c>
      <c r="AM83" s="311" t="e">
        <f t="shared" si="18"/>
        <v>#REF!</v>
      </c>
      <c r="AN83" s="312" t="e">
        <f t="shared" si="17"/>
        <v>#REF!</v>
      </c>
    </row>
    <row r="84" spans="1:40" s="73" customFormat="1" x14ac:dyDescent="0.25">
      <c r="A84" s="303">
        <v>53</v>
      </c>
      <c r="B84" s="304" t="s">
        <v>904</v>
      </c>
      <c r="D84" s="74">
        <f>IFERROR(VLOOKUP(B84,'REQ. PINTADO'!B:C,2,0),0)</f>
        <v>0</v>
      </c>
      <c r="E84" s="305">
        <f t="shared" si="0"/>
        <v>3063.4161112586748</v>
      </c>
      <c r="F84" s="103" t="s">
        <v>163</v>
      </c>
      <c r="G84" s="75" t="s">
        <v>147</v>
      </c>
      <c r="H84" s="90">
        <v>42.43</v>
      </c>
      <c r="I84" s="90">
        <v>110.29</v>
      </c>
      <c r="J84" s="76">
        <v>0.105</v>
      </c>
      <c r="K84" s="306">
        <v>139.54</v>
      </c>
      <c r="L84" s="78">
        <f t="shared" si="1"/>
        <v>27.694057714047933</v>
      </c>
      <c r="M84" s="58">
        <f>+VLOOKUP(F84,Material!$H$2:$M$17,6,FALSE)*H84*I84*(1+Material!$K$14)</f>
        <v>1756.5585515537491</v>
      </c>
      <c r="N84" s="79" t="str">
        <f t="shared" si="19"/>
        <v>T5.0</v>
      </c>
      <c r="O84" s="80">
        <f>+VLOOKUP(N84,[3]Material!$A$3:$B$58,2,FALSE)</f>
        <v>5000</v>
      </c>
      <c r="P84" s="79" t="s">
        <v>42</v>
      </c>
      <c r="Q84" s="79" t="str">
        <f>+VLOOKUP(F84,[3]Material!$C$2:$E$12,2,FALSE)</f>
        <v>Cal 12</v>
      </c>
      <c r="R84" s="81">
        <f>+IF(P84="ACERO A36",VLOOKUP(Q84,'[3]Velocidades Std 1500 w'!$B$2:$F$15,5,FALSE),IF(P84="INOXIDABLE",VLOOKUP(Q84,'[3]Velocidades Std 1500 w'!$B$17:$F$28,5,FALSE),IF(P84="ALUMINIO",VLOOKUP(Q84,'[3]Velocidades Std 1500 w'!$B$30:$F$38,5,FALSE))))</f>
        <v>4.3859649122807014E-6</v>
      </c>
      <c r="S84" s="82">
        <f t="shared" si="2"/>
        <v>2.1929824561403508E-2</v>
      </c>
      <c r="T84" s="83">
        <f t="shared" si="3"/>
        <v>141.25554947368417</v>
      </c>
      <c r="U84" s="307">
        <f t="shared" si="4"/>
        <v>8946.1847999999991</v>
      </c>
      <c r="V84" s="80">
        <f t="shared" si="5"/>
        <v>196.18826315789471</v>
      </c>
      <c r="W84" s="98">
        <v>20</v>
      </c>
      <c r="X84" s="84">
        <f>+IF(P84="ACERO A36",VLOOKUP(Q84,'[3]Tiempo Objeto'!$B$2:$C$12,2,FALSE),IF(P84="INOXIDABLE",VLOOKUP(Q84,'[3]Tiempo Objeto'!$B$14:$C$22,2,FALSE),IF(P84="ALUMINIO",VLOOKUP(Q84,'[3]Tiempo Objeto'!$B$24:$C$32,2,FALSE))))</f>
        <v>0.6133333333333334</v>
      </c>
      <c r="Y84" s="84">
        <f t="shared" si="6"/>
        <v>12.266666666666667</v>
      </c>
      <c r="Z84" s="80">
        <f t="shared" si="7"/>
        <v>17.037037037037038</v>
      </c>
      <c r="AA84" s="100">
        <v>3</v>
      </c>
      <c r="AB84" s="86">
        <f>+AA84*Analisis!$J$6</f>
        <v>75</v>
      </c>
      <c r="AC84" s="100">
        <v>0</v>
      </c>
      <c r="AD84" s="85">
        <f t="shared" si="8"/>
        <v>0</v>
      </c>
      <c r="AE84" s="86">
        <f>+AC84*Analisis!$J$7</f>
        <v>0</v>
      </c>
      <c r="AF84" s="308">
        <f>+H84*0.0254*I84*0.0254*2*(1+[3]Analisis!$G$2)</f>
        <v>7.5477344206299986</v>
      </c>
      <c r="AG84" s="86">
        <f>+AF84*Analisis!$J$8</f>
        <v>804.19313172188697</v>
      </c>
      <c r="AH84" s="309">
        <f t="shared" si="22"/>
        <v>2848.9769834705676</v>
      </c>
      <c r="AI84" s="86">
        <f>+AH84/(1-Analisis!G89)</f>
        <v>2848.9769834705676</v>
      </c>
      <c r="AJ84" s="86">
        <f t="shared" si="10"/>
        <v>3063.4161112586748</v>
      </c>
      <c r="AK84" s="86">
        <f t="shared" si="23"/>
        <v>0</v>
      </c>
      <c r="AL84" s="310" t="e">
        <f>+VLOOKUP(B84,#REF!,2,FALSE)</f>
        <v>#REF!</v>
      </c>
      <c r="AM84" s="311" t="e">
        <f t="shared" si="18"/>
        <v>#REF!</v>
      </c>
      <c r="AN84" s="312" t="e">
        <f t="shared" si="17"/>
        <v>#REF!</v>
      </c>
    </row>
    <row r="85" spans="1:40" s="73" customFormat="1" x14ac:dyDescent="0.25">
      <c r="A85" s="303">
        <v>54</v>
      </c>
      <c r="B85" s="304" t="s">
        <v>905</v>
      </c>
      <c r="D85" s="74">
        <f>IFERROR(VLOOKUP(B85,'REQ. PINTADO'!B:C,2,0),0)</f>
        <v>0</v>
      </c>
      <c r="E85" s="305">
        <f t="shared" si="0"/>
        <v>603.76731028632071</v>
      </c>
      <c r="F85" s="103" t="s">
        <v>163</v>
      </c>
      <c r="G85" s="75" t="s">
        <v>147</v>
      </c>
      <c r="H85" s="90">
        <v>5.78</v>
      </c>
      <c r="I85" s="90">
        <v>100.75</v>
      </c>
      <c r="J85" s="76">
        <v>0.105</v>
      </c>
      <c r="K85" s="306">
        <v>1</v>
      </c>
      <c r="L85" s="78">
        <f t="shared" si="1"/>
        <v>480.89364323057362</v>
      </c>
      <c r="M85" s="58">
        <f>+VLOOKUP(F85,Material!$H$2:$M$17,6,FALSE)*H85*I85*(1+Material!$K$14)</f>
        <v>218.58801965026072</v>
      </c>
      <c r="N85" s="79" t="str">
        <f t="shared" si="19"/>
        <v>T5.0</v>
      </c>
      <c r="O85" s="80">
        <f>+VLOOKUP(N85,[3]Material!$A$3:$B$58,2,FALSE)</f>
        <v>5000</v>
      </c>
      <c r="P85" s="79" t="s">
        <v>42</v>
      </c>
      <c r="Q85" s="79" t="str">
        <f>+VLOOKUP(F85,[3]Material!$C$2:$E$12,2,FALSE)</f>
        <v>Cal 12</v>
      </c>
      <c r="R85" s="81">
        <f>+IF(P85="ACERO A36",VLOOKUP(Q85,'[3]Velocidades Std 1500 w'!$B$2:$F$15,5,FALSE),IF(P85="INOXIDABLE",VLOOKUP(Q85,'[3]Velocidades Std 1500 w'!$B$17:$F$28,5,FALSE),IF(P85="ALUMINIO",VLOOKUP(Q85,'[3]Velocidades Std 1500 w'!$B$30:$F$38,5,FALSE))))</f>
        <v>4.3859649122807014E-6</v>
      </c>
      <c r="S85" s="82">
        <f t="shared" si="2"/>
        <v>2.1929824561403508E-2</v>
      </c>
      <c r="T85" s="83">
        <f t="shared" si="3"/>
        <v>105.51213473684209</v>
      </c>
      <c r="U85" s="307">
        <f t="shared" si="4"/>
        <v>6682.4351999999999</v>
      </c>
      <c r="V85" s="80">
        <f t="shared" si="5"/>
        <v>146.54463157894736</v>
      </c>
      <c r="W85" s="98">
        <v>25</v>
      </c>
      <c r="X85" s="84">
        <f>+IF(P85="ACERO A36",VLOOKUP(Q85,'[3]Tiempo Objeto'!$B$2:$C$12,2,FALSE),IF(P85="INOXIDABLE",VLOOKUP(Q85,'[3]Tiempo Objeto'!$B$14:$C$22,2,FALSE),IF(P85="ALUMINIO",VLOOKUP(Q85,'[3]Tiempo Objeto'!$B$24:$C$32,2,FALSE))))</f>
        <v>0.6133333333333334</v>
      </c>
      <c r="Y85" s="84">
        <f t="shared" si="6"/>
        <v>15.333333333333336</v>
      </c>
      <c r="Z85" s="80">
        <f t="shared" si="7"/>
        <v>21.296296296296298</v>
      </c>
      <c r="AA85" s="100">
        <v>3</v>
      </c>
      <c r="AB85" s="86">
        <f>+AA85*Analisis!$J$6</f>
        <v>75</v>
      </c>
      <c r="AC85" s="100">
        <v>0</v>
      </c>
      <c r="AD85" s="85">
        <f t="shared" si="8"/>
        <v>0</v>
      </c>
      <c r="AE85" s="86">
        <f>+AC85*Analisis!$J$7</f>
        <v>0</v>
      </c>
      <c r="AF85" s="308">
        <f>+H85*0.0254*I85*0.0254*2*(1+[3]Analisis!$G$2)</f>
        <v>0.93924812149999992</v>
      </c>
      <c r="AG85" s="86">
        <f>+AF85*Analisis!$J$8</f>
        <v>100.07465104077383</v>
      </c>
      <c r="AH85" s="309">
        <f t="shared" si="22"/>
        <v>561.50359856627824</v>
      </c>
      <c r="AI85" s="86">
        <f>+AH85/(1-Analisis!G90)</f>
        <v>561.50359856627824</v>
      </c>
      <c r="AJ85" s="86">
        <f t="shared" si="10"/>
        <v>603.76731028632071</v>
      </c>
      <c r="AK85" s="86">
        <f t="shared" si="23"/>
        <v>0</v>
      </c>
      <c r="AL85" s="310" t="e">
        <f>+VLOOKUP(B85,#REF!,2,FALSE)</f>
        <v>#REF!</v>
      </c>
      <c r="AM85" s="311" t="e">
        <f t="shared" si="18"/>
        <v>#REF!</v>
      </c>
      <c r="AN85" s="312" t="e">
        <f t="shared" si="17"/>
        <v>#REF!</v>
      </c>
    </row>
    <row r="86" spans="1:40" s="73" customFormat="1" x14ac:dyDescent="0.25">
      <c r="A86" s="303">
        <v>55</v>
      </c>
      <c r="B86" s="304" t="s">
        <v>906</v>
      </c>
      <c r="D86" s="74">
        <f>IFERROR(VLOOKUP(B86,'REQ. PINTADO'!B:C,2,0),0)</f>
        <v>0</v>
      </c>
      <c r="E86" s="305">
        <f t="shared" si="0"/>
        <v>2337.6915344192053</v>
      </c>
      <c r="F86" s="103" t="s">
        <v>163</v>
      </c>
      <c r="G86" s="75" t="s">
        <v>147</v>
      </c>
      <c r="H86" s="90">
        <v>31.16</v>
      </c>
      <c r="I86" s="90">
        <v>100.93</v>
      </c>
      <c r="J86" s="76">
        <v>0.105</v>
      </c>
      <c r="K86" s="306">
        <v>93.8</v>
      </c>
      <c r="L86" s="78">
        <f t="shared" si="1"/>
        <v>27.687964340877244</v>
      </c>
      <c r="M86" s="58">
        <f>+VLOOKUP(F86,Material!$H$2:$M$17,6,FALSE)*H86*I86*(1+Material!$K$14)</f>
        <v>1180.5141159883115</v>
      </c>
      <c r="N86" s="79" t="str">
        <f t="shared" si="19"/>
        <v>T5.0</v>
      </c>
      <c r="O86" s="80">
        <f>+VLOOKUP(N86,[3]Material!$A$3:$B$58,2,FALSE)</f>
        <v>5000</v>
      </c>
      <c r="P86" s="79" t="s">
        <v>42</v>
      </c>
      <c r="Q86" s="79" t="str">
        <f>+VLOOKUP(F86,[3]Material!$C$2:$E$12,2,FALSE)</f>
        <v>Cal 12</v>
      </c>
      <c r="R86" s="81">
        <f>+IF(P86="ACERO A36",VLOOKUP(Q86,'[3]Velocidades Std 1500 w'!$B$2:$F$15,5,FALSE),IF(P86="INOXIDABLE",VLOOKUP(Q86,'[3]Velocidades Std 1500 w'!$B$17:$F$28,5,FALSE),IF(P86="ALUMINIO",VLOOKUP(Q86,'[3]Velocidades Std 1500 w'!$B$30:$F$38,5,FALSE))))</f>
        <v>4.3859649122807014E-6</v>
      </c>
      <c r="S86" s="82">
        <f t="shared" si="2"/>
        <v>2.1929824561403508E-2</v>
      </c>
      <c r="T86" s="83">
        <f t="shared" si="3"/>
        <v>147.2520884210526</v>
      </c>
      <c r="U86" s="307">
        <f t="shared" si="4"/>
        <v>9325.9655999999995</v>
      </c>
      <c r="V86" s="80">
        <f t="shared" si="5"/>
        <v>204.51678947368418</v>
      </c>
      <c r="W86" s="98">
        <v>57</v>
      </c>
      <c r="X86" s="84">
        <f>+IF(P86="ACERO A36",VLOOKUP(Q86,'[3]Tiempo Objeto'!$B$2:$C$12,2,FALSE),IF(P86="INOXIDABLE",VLOOKUP(Q86,'[3]Tiempo Objeto'!$B$14:$C$22,2,FALSE),IF(P86="ALUMINIO",VLOOKUP(Q86,'[3]Tiempo Objeto'!$B$24:$C$32,2,FALSE))))</f>
        <v>0.6133333333333334</v>
      </c>
      <c r="Y86" s="84">
        <f t="shared" si="6"/>
        <v>34.96</v>
      </c>
      <c r="Z86" s="80">
        <f t="shared" si="7"/>
        <v>48.555555555555557</v>
      </c>
      <c r="AA86" s="100">
        <v>3</v>
      </c>
      <c r="AB86" s="86">
        <f>+AA86*Analisis!$J$6</f>
        <v>75</v>
      </c>
      <c r="AC86" s="100">
        <v>5</v>
      </c>
      <c r="AD86" s="85">
        <f t="shared" si="8"/>
        <v>150</v>
      </c>
      <c r="AE86" s="86">
        <f>+AC86*Analisis!$J$7</f>
        <v>125</v>
      </c>
      <c r="AF86" s="308">
        <f>+H86*0.0254*I86*0.0254*2*(1+[3]Analisis!$G$2)</f>
        <v>5.07253630652</v>
      </c>
      <c r="AG86" s="86">
        <f>+AF86*Analisis!$J$8</f>
        <v>540.46666599230969</v>
      </c>
      <c r="AH86" s="309">
        <f t="shared" si="22"/>
        <v>2174.0531270098609</v>
      </c>
      <c r="AI86" s="86">
        <f>+AH86/(1-Analisis!G91)</f>
        <v>2174.0531270098609</v>
      </c>
      <c r="AJ86" s="86">
        <f t="shared" si="10"/>
        <v>2337.6915344192053</v>
      </c>
      <c r="AK86" s="86">
        <f t="shared" si="23"/>
        <v>0</v>
      </c>
      <c r="AL86" s="310" t="e">
        <f>+VLOOKUP(B86,#REF!,2,FALSE)</f>
        <v>#REF!</v>
      </c>
      <c r="AM86" s="311" t="e">
        <f t="shared" si="18"/>
        <v>#REF!</v>
      </c>
      <c r="AN86" s="312" t="e">
        <f t="shared" si="17"/>
        <v>#REF!</v>
      </c>
    </row>
    <row r="87" spans="1:40" s="73" customFormat="1" x14ac:dyDescent="0.25">
      <c r="A87" s="303">
        <v>56</v>
      </c>
      <c r="B87" s="304" t="s">
        <v>907</v>
      </c>
      <c r="D87" s="74">
        <f>IFERROR(VLOOKUP(B87,'REQ. PINTADO'!B:C,2,0),0)</f>
        <v>0</v>
      </c>
      <c r="E87" s="305">
        <f t="shared" si="0"/>
        <v>238.76684899868891</v>
      </c>
      <c r="F87" s="103" t="s">
        <v>166</v>
      </c>
      <c r="G87" s="75" t="s">
        <v>147</v>
      </c>
      <c r="H87" s="90">
        <v>13.93</v>
      </c>
      <c r="I87" s="90">
        <v>22.61</v>
      </c>
      <c r="J87" s="76">
        <v>0.06</v>
      </c>
      <c r="K87" s="306">
        <v>5.37</v>
      </c>
      <c r="L87" s="78">
        <f t="shared" si="1"/>
        <v>29.245244417965605</v>
      </c>
      <c r="M87" s="58">
        <f>+VLOOKUP(F87,Material!$H$2:$M$17,6,FALSE)*H87*I87*(1+Material!$K$14)</f>
        <v>71.384982965670588</v>
      </c>
      <c r="N87" s="79" t="str">
        <f t="shared" si="19"/>
        <v>T5.0</v>
      </c>
      <c r="O87" s="80">
        <f>+VLOOKUP(N87,[3]Material!$A$3:$B$58,2,FALSE)</f>
        <v>5000</v>
      </c>
      <c r="P87" s="79" t="s">
        <v>42</v>
      </c>
      <c r="Q87" s="79" t="str">
        <f>+VLOOKUP(F87,[3]Material!$C$2:$E$12,2,FALSE)</f>
        <v>Cal 16</v>
      </c>
      <c r="R87" s="81">
        <f>+IF(P87="ACERO A36",VLOOKUP(Q87,'[3]Velocidades Std 1500 w'!$B$2:$F$15,5,FALSE),IF(P87="INOXIDABLE",VLOOKUP(Q87,'[3]Velocidades Std 1500 w'!$B$17:$F$28,5,FALSE),IF(P87="ALUMINIO",VLOOKUP(Q87,'[3]Velocidades Std 1500 w'!$B$30:$F$38,5,FALSE))))</f>
        <v>9.1575091575091579E-7</v>
      </c>
      <c r="S87" s="82">
        <f t="shared" si="2"/>
        <v>4.578754578754579E-3</v>
      </c>
      <c r="T87" s="83">
        <f t="shared" si="3"/>
        <v>9.5906492307692304</v>
      </c>
      <c r="U87" s="307">
        <f t="shared" si="4"/>
        <v>2909.1635999999999</v>
      </c>
      <c r="V87" s="80">
        <f t="shared" si="5"/>
        <v>13.320346153846154</v>
      </c>
      <c r="W87" s="98">
        <v>24</v>
      </c>
      <c r="X87" s="84">
        <f>+IF(P87="ACERO A36",VLOOKUP(Q87,'[3]Tiempo Objeto'!$B$2:$C$12,2,FALSE),IF(P87="INOXIDABLE",VLOOKUP(Q87,'[3]Tiempo Objeto'!$B$14:$C$22,2,FALSE),IF(P87="ALUMINIO",VLOOKUP(Q87,'[3]Tiempo Objeto'!$B$24:$C$32,2,FALSE))))</f>
        <v>0.24666666666666667</v>
      </c>
      <c r="Y87" s="84">
        <f t="shared" si="6"/>
        <v>5.92</v>
      </c>
      <c r="Z87" s="80">
        <f t="shared" si="7"/>
        <v>8.2222222222222214</v>
      </c>
      <c r="AA87" s="100">
        <v>3</v>
      </c>
      <c r="AB87" s="86">
        <f>+AA87*Analisis!$J$6</f>
        <v>75</v>
      </c>
      <c r="AC87" s="100">
        <v>0</v>
      </c>
      <c r="AD87" s="85">
        <f t="shared" si="8"/>
        <v>0</v>
      </c>
      <c r="AE87" s="86">
        <f>+AC87*Analisis!$J$7</f>
        <v>0</v>
      </c>
      <c r="AF87" s="308">
        <f>+H87*0.0254*I87*0.0254*2*(1+[3]Analisis!$G$2)</f>
        <v>0.50799462916999993</v>
      </c>
      <c r="AG87" s="86">
        <f>+AF87*Analisis!$J$8</f>
        <v>54.125618227041677</v>
      </c>
      <c r="AH87" s="309">
        <f t="shared" si="22"/>
        <v>222.05316956878067</v>
      </c>
      <c r="AI87" s="86">
        <f>+AH87/(1-Analisis!G92)</f>
        <v>222.05316956878067</v>
      </c>
      <c r="AJ87" s="86">
        <f t="shared" si="10"/>
        <v>238.76684899868891</v>
      </c>
      <c r="AK87" s="86">
        <f t="shared" si="23"/>
        <v>0</v>
      </c>
      <c r="AL87" s="310" t="e">
        <f>+VLOOKUP(B87,#REF!,2,FALSE)</f>
        <v>#REF!</v>
      </c>
      <c r="AM87" s="311" t="e">
        <f t="shared" si="18"/>
        <v>#REF!</v>
      </c>
      <c r="AN87" s="312" t="e">
        <f t="shared" si="17"/>
        <v>#REF!</v>
      </c>
    </row>
    <row r="88" spans="1:40" s="73" customFormat="1" x14ac:dyDescent="0.25">
      <c r="A88" s="303">
        <v>57</v>
      </c>
      <c r="B88" s="304" t="s">
        <v>908</v>
      </c>
      <c r="D88" s="74">
        <f>IFERROR(VLOOKUP(B88,'REQ. PINTADO'!B:C,2,0),0)</f>
        <v>0</v>
      </c>
      <c r="E88" s="305">
        <f t="shared" si="0"/>
        <v>455.10102450919931</v>
      </c>
      <c r="F88" s="103" t="s">
        <v>165</v>
      </c>
      <c r="G88" s="75" t="s">
        <v>147</v>
      </c>
      <c r="H88" s="90">
        <v>12.58</v>
      </c>
      <c r="I88" s="90">
        <v>41.82</v>
      </c>
      <c r="J88" s="76">
        <v>7.4999999999999997E-2</v>
      </c>
      <c r="K88" s="306">
        <v>11.2</v>
      </c>
      <c r="L88" s="78">
        <f t="shared" si="1"/>
        <v>42.950773593750007</v>
      </c>
      <c r="M88" s="58">
        <f>+VLOOKUP(F88,Material!$H$2:$M$17,6,FALSE)*H88*I88*(1+Material!$K$14)</f>
        <v>218.65848375000002</v>
      </c>
      <c r="N88" s="79" t="str">
        <f t="shared" si="19"/>
        <v>T5.0</v>
      </c>
      <c r="O88" s="80">
        <f>+VLOOKUP(N88,[3]Material!$A$3:$B$58,2,FALSE)</f>
        <v>5000</v>
      </c>
      <c r="P88" s="79" t="s">
        <v>42</v>
      </c>
      <c r="Q88" s="79" t="str">
        <f>+VLOOKUP(F88,[3]Material!$C$2:$E$12,2,FALSE)</f>
        <v>Cal 14</v>
      </c>
      <c r="R88" s="81">
        <f>+IF(P88="ACERO A36",VLOOKUP(Q88,'[3]Velocidades Std 1500 w'!$B$2:$F$15,5,FALSE),IF(P88="INOXIDABLE",VLOOKUP(Q88,'[3]Velocidades Std 1500 w'!$B$17:$F$28,5,FALSE),IF(P88="ALUMINIO",VLOOKUP(Q88,'[3]Velocidades Std 1500 w'!$B$30:$F$38,5,FALSE))))</f>
        <v>2.0080321285140564E-6</v>
      </c>
      <c r="S88" s="82">
        <f t="shared" si="2"/>
        <v>1.0040160642570283E-2</v>
      </c>
      <c r="T88" s="83">
        <f t="shared" si="3"/>
        <v>24.446428915662654</v>
      </c>
      <c r="U88" s="307">
        <f t="shared" si="4"/>
        <v>3381.7559999999999</v>
      </c>
      <c r="V88" s="80">
        <f t="shared" si="5"/>
        <v>33.95337349397591</v>
      </c>
      <c r="W88" s="98">
        <v>12</v>
      </c>
      <c r="X88" s="84">
        <f>+IF(P88="ACERO A36",VLOOKUP(Q88,'[3]Tiempo Objeto'!$B$2:$C$12,2,FALSE),IF(P88="INOXIDABLE",VLOOKUP(Q88,'[3]Tiempo Objeto'!$B$14:$C$22,2,FALSE),IF(P88="ALUMINIO",VLOOKUP(Q88,'[3]Tiempo Objeto'!$B$24:$C$32,2,FALSE))))</f>
        <v>0.3133333333333333</v>
      </c>
      <c r="Y88" s="84">
        <f t="shared" si="6"/>
        <v>3.76</v>
      </c>
      <c r="Z88" s="80">
        <f t="shared" si="7"/>
        <v>5.2222222222222223</v>
      </c>
      <c r="AA88" s="100">
        <v>3</v>
      </c>
      <c r="AB88" s="86">
        <f>+AA88*Analisis!$J$6</f>
        <v>75</v>
      </c>
      <c r="AC88" s="100">
        <v>0</v>
      </c>
      <c r="AD88" s="85">
        <f t="shared" si="8"/>
        <v>0</v>
      </c>
      <c r="AE88" s="86">
        <f>+AC88*Analisis!$J$7</f>
        <v>0</v>
      </c>
      <c r="AF88" s="308">
        <f>+H88*0.0254*I88*0.0254*2*(1+[3]Analisis!$G$2)</f>
        <v>0.84853959323999983</v>
      </c>
      <c r="AG88" s="86">
        <f>+AF88*Analisis!$J$8</f>
        <v>90.409873327357147</v>
      </c>
      <c r="AH88" s="309">
        <f t="shared" si="22"/>
        <v>423.24395279355531</v>
      </c>
      <c r="AI88" s="86">
        <f>+AH88/(1-Analisis!G93)</f>
        <v>423.24395279355531</v>
      </c>
      <c r="AJ88" s="86">
        <f t="shared" si="10"/>
        <v>455.10102450919931</v>
      </c>
      <c r="AK88" s="86">
        <f t="shared" si="23"/>
        <v>0</v>
      </c>
      <c r="AL88" s="310" t="e">
        <f>+VLOOKUP(B88,#REF!,2,FALSE)</f>
        <v>#REF!</v>
      </c>
      <c r="AM88" s="311" t="e">
        <f t="shared" si="18"/>
        <v>#REF!</v>
      </c>
      <c r="AN88" s="312" t="e">
        <f t="shared" si="17"/>
        <v>#REF!</v>
      </c>
    </row>
    <row r="89" spans="1:40" s="73" customFormat="1" x14ac:dyDescent="0.25">
      <c r="A89" s="303">
        <v>58</v>
      </c>
      <c r="B89" s="304" t="s">
        <v>909</v>
      </c>
      <c r="D89" s="74">
        <f>IFERROR(VLOOKUP(B89,'REQ. PINTADO'!B:C,2,0),0)</f>
        <v>0</v>
      </c>
      <c r="E89" s="305">
        <f t="shared" si="0"/>
        <v>2964.177891006731</v>
      </c>
      <c r="F89" s="103" t="s">
        <v>163</v>
      </c>
      <c r="G89" s="75" t="s">
        <v>147</v>
      </c>
      <c r="H89" s="90">
        <v>42.43</v>
      </c>
      <c r="I89" s="90">
        <v>110.29</v>
      </c>
      <c r="J89" s="76">
        <v>0.105</v>
      </c>
      <c r="K89" s="306">
        <v>139.34</v>
      </c>
      <c r="L89" s="78">
        <f t="shared" si="1"/>
        <v>27.733808048071253</v>
      </c>
      <c r="M89" s="58">
        <f>+VLOOKUP(F89,Material!$H$2:$M$17,6,FALSE)*H89*I89*(1+Material!$K$14)</f>
        <v>1756.5585515537491</v>
      </c>
      <c r="N89" s="79" t="str">
        <f t="shared" si="19"/>
        <v>T5.0</v>
      </c>
      <c r="O89" s="80">
        <f>+VLOOKUP(N89,[3]Material!$A$3:$B$58,2,FALSE)</f>
        <v>5000</v>
      </c>
      <c r="P89" s="79" t="s">
        <v>42</v>
      </c>
      <c r="Q89" s="79" t="str">
        <f>+VLOOKUP(F89,[3]Material!$C$2:$E$12,2,FALSE)</f>
        <v>Cal 12</v>
      </c>
      <c r="R89" s="81">
        <f>+IF(P89="ACERO A36",VLOOKUP(Q89,'[3]Velocidades Std 1500 w'!$B$2:$F$15,5,FALSE),IF(P89="INOXIDABLE",VLOOKUP(Q89,'[3]Velocidades Std 1500 w'!$B$17:$F$28,5,FALSE),IF(P89="ALUMINIO",VLOOKUP(Q89,'[3]Velocidades Std 1500 w'!$B$30:$F$38,5,FALSE))))</f>
        <v>4.3859649122807014E-6</v>
      </c>
      <c r="S89" s="82">
        <f t="shared" si="2"/>
        <v>2.1929824561403508E-2</v>
      </c>
      <c r="T89" s="83">
        <f t="shared" si="3"/>
        <v>134.93897052631579</v>
      </c>
      <c r="U89" s="307">
        <f t="shared" si="4"/>
        <v>8546.1347999999998</v>
      </c>
      <c r="V89" s="80">
        <f t="shared" si="5"/>
        <v>187.41523684210526</v>
      </c>
      <c r="W89" s="98">
        <v>10</v>
      </c>
      <c r="X89" s="84">
        <f>+IF(P89="ACERO A36",VLOOKUP(Q89,'[3]Tiempo Objeto'!$B$2:$C$12,2,FALSE),IF(P89="INOXIDABLE",VLOOKUP(Q89,'[3]Tiempo Objeto'!$B$14:$C$22,2,FALSE),IF(P89="ALUMINIO",VLOOKUP(Q89,'[3]Tiempo Objeto'!$B$24:$C$32,2,FALSE))))</f>
        <v>0.6133333333333334</v>
      </c>
      <c r="Y89" s="84">
        <f t="shared" si="6"/>
        <v>6.1333333333333337</v>
      </c>
      <c r="Z89" s="80">
        <f t="shared" si="7"/>
        <v>8.518518518518519</v>
      </c>
      <c r="AA89" s="100">
        <v>0</v>
      </c>
      <c r="AB89" s="86">
        <f>+AA89*Analisis!$J$6</f>
        <v>0</v>
      </c>
      <c r="AC89" s="100">
        <v>0</v>
      </c>
      <c r="AD89" s="85">
        <f t="shared" si="8"/>
        <v>0</v>
      </c>
      <c r="AE89" s="86">
        <f>+AC89*Analisis!$J$7</f>
        <v>0</v>
      </c>
      <c r="AF89" s="308">
        <f>+H89*0.0254*I89*0.0254*2*(1+[3]Analisis!$G$2)</f>
        <v>7.5477344206299986</v>
      </c>
      <c r="AG89" s="86">
        <f>+AF89*Analisis!$J$8</f>
        <v>804.19313172188697</v>
      </c>
      <c r="AH89" s="309">
        <f t="shared" si="22"/>
        <v>2756.6854386362597</v>
      </c>
      <c r="AI89" s="86">
        <f>+AH89/(1-Analisis!G94)</f>
        <v>2756.6854386362597</v>
      </c>
      <c r="AJ89" s="86">
        <f t="shared" si="10"/>
        <v>2964.177891006731</v>
      </c>
      <c r="AK89" s="86">
        <f t="shared" si="23"/>
        <v>0</v>
      </c>
      <c r="AL89" s="310" t="e">
        <f>+VLOOKUP(B89,#REF!,2,FALSE)</f>
        <v>#REF!</v>
      </c>
      <c r="AM89" s="311" t="e">
        <f t="shared" si="18"/>
        <v>#REF!</v>
      </c>
      <c r="AN89" s="312" t="e">
        <f t="shared" si="17"/>
        <v>#REF!</v>
      </c>
    </row>
    <row r="90" spans="1:40" s="73" customFormat="1" x14ac:dyDescent="0.25">
      <c r="A90" s="303">
        <v>59</v>
      </c>
      <c r="B90" s="304" t="s">
        <v>910</v>
      </c>
      <c r="D90" s="74">
        <f>IFERROR(VLOOKUP(B90,'REQ. PINTADO'!B:C,2,0),0)</f>
        <v>0</v>
      </c>
      <c r="E90" s="305">
        <f t="shared" si="0"/>
        <v>2244.6190050238183</v>
      </c>
      <c r="F90" s="103" t="s">
        <v>163</v>
      </c>
      <c r="G90" s="75" t="s">
        <v>147</v>
      </c>
      <c r="H90" s="90">
        <v>31.16</v>
      </c>
      <c r="I90" s="90">
        <v>100.96</v>
      </c>
      <c r="J90" s="76">
        <v>0.105</v>
      </c>
      <c r="K90" s="306">
        <v>93.82</v>
      </c>
      <c r="L90" s="78">
        <f t="shared" si="1"/>
        <v>27.690290079535512</v>
      </c>
      <c r="M90" s="58">
        <f>+VLOOKUP(F90,Material!$H$2:$M$17,6,FALSE)*H90*I90*(1+Material!$K$14)</f>
        <v>1180.8650069372825</v>
      </c>
      <c r="N90" s="79" t="str">
        <f t="shared" si="19"/>
        <v>T5.0</v>
      </c>
      <c r="O90" s="80">
        <f>+VLOOKUP(N90,[3]Material!$A$3:$B$58,2,FALSE)</f>
        <v>5000</v>
      </c>
      <c r="P90" s="79" t="s">
        <v>42</v>
      </c>
      <c r="Q90" s="79" t="str">
        <f>+VLOOKUP(F90,[3]Material!$C$2:$E$12,2,FALSE)</f>
        <v>Cal 12</v>
      </c>
      <c r="R90" s="81">
        <f>+IF(P90="ACERO A36",VLOOKUP(Q90,'[3]Velocidades Std 1500 w'!$B$2:$F$15,5,FALSE),IF(P90="INOXIDABLE",VLOOKUP(Q90,'[3]Velocidades Std 1500 w'!$B$17:$F$28,5,FALSE),IF(P90="ALUMINIO",VLOOKUP(Q90,'[3]Velocidades Std 1500 w'!$B$30:$F$38,5,FALSE))))</f>
        <v>4.3859649122807014E-6</v>
      </c>
      <c r="S90" s="82">
        <f t="shared" si="2"/>
        <v>2.1929824561403508E-2</v>
      </c>
      <c r="T90" s="83">
        <f t="shared" si="3"/>
        <v>142.8557494736842</v>
      </c>
      <c r="U90" s="307">
        <f t="shared" si="4"/>
        <v>9047.5308000000005</v>
      </c>
      <c r="V90" s="80">
        <f t="shared" si="5"/>
        <v>198.41076315789473</v>
      </c>
      <c r="W90" s="98">
        <v>50</v>
      </c>
      <c r="X90" s="84">
        <f>+IF(P90="ACERO A36",VLOOKUP(Q90,'[3]Tiempo Objeto'!$B$2:$C$12,2,FALSE),IF(P90="INOXIDABLE",VLOOKUP(Q90,'[3]Tiempo Objeto'!$B$14:$C$22,2,FALSE),IF(P90="ALUMINIO",VLOOKUP(Q90,'[3]Tiempo Objeto'!$B$24:$C$32,2,FALSE))))</f>
        <v>0.6133333333333334</v>
      </c>
      <c r="Y90" s="84">
        <f t="shared" si="6"/>
        <v>30.666666666666671</v>
      </c>
      <c r="Z90" s="80">
        <f t="shared" si="7"/>
        <v>42.592592592592595</v>
      </c>
      <c r="AA90" s="100">
        <v>0</v>
      </c>
      <c r="AB90" s="86">
        <f>+AA90*Analisis!$J$6</f>
        <v>0</v>
      </c>
      <c r="AC90" s="100">
        <v>5</v>
      </c>
      <c r="AD90" s="85">
        <f t="shared" si="8"/>
        <v>150</v>
      </c>
      <c r="AE90" s="86">
        <f>+AC90*Analisis!$J$7</f>
        <v>125</v>
      </c>
      <c r="AF90" s="308">
        <f>+H90*0.0254*I90*0.0254*2*(1+[3]Analisis!$G$2)</f>
        <v>5.0740440454399991</v>
      </c>
      <c r="AG90" s="86">
        <f>+AF90*Analisis!$J$8</f>
        <v>540.62731198438098</v>
      </c>
      <c r="AH90" s="309">
        <f t="shared" si="22"/>
        <v>2087.4956746721509</v>
      </c>
      <c r="AI90" s="86">
        <f>+AH90/(1-Analisis!G95)</f>
        <v>2087.4956746721509</v>
      </c>
      <c r="AJ90" s="86">
        <f t="shared" si="10"/>
        <v>2244.6190050238183</v>
      </c>
      <c r="AK90" s="86">
        <f t="shared" si="23"/>
        <v>0</v>
      </c>
      <c r="AL90" s="310" t="e">
        <f>+VLOOKUP(B90,#REF!,2,FALSE)</f>
        <v>#REF!</v>
      </c>
      <c r="AM90" s="311" t="e">
        <f t="shared" si="18"/>
        <v>#REF!</v>
      </c>
      <c r="AN90" s="312" t="e">
        <f t="shared" si="17"/>
        <v>#REF!</v>
      </c>
    </row>
    <row r="91" spans="1:40" s="73" customFormat="1" x14ac:dyDescent="0.25">
      <c r="A91" s="303">
        <v>60</v>
      </c>
      <c r="B91" s="304" t="s">
        <v>911</v>
      </c>
      <c r="D91" s="74">
        <f>IFERROR(VLOOKUP(B91,'REQ. PINTADO'!B:C,2,0),0)</f>
        <v>0</v>
      </c>
      <c r="E91" s="305">
        <f t="shared" si="0"/>
        <v>460.50000393946516</v>
      </c>
      <c r="F91" s="103" t="s">
        <v>165</v>
      </c>
      <c r="G91" s="75" t="s">
        <v>147</v>
      </c>
      <c r="H91" s="90">
        <v>12.58</v>
      </c>
      <c r="I91" s="90">
        <v>41.82</v>
      </c>
      <c r="J91" s="76">
        <v>0.105</v>
      </c>
      <c r="K91" s="306">
        <v>1</v>
      </c>
      <c r="L91" s="78">
        <f t="shared" si="1"/>
        <v>481.04866425000006</v>
      </c>
      <c r="M91" s="58">
        <f>+VLOOKUP(F91,Material!$H$2:$M$17,6,FALSE)*H91*I91*(1+Material!$K$14)</f>
        <v>218.65848375000002</v>
      </c>
      <c r="N91" s="79" t="str">
        <f t="shared" si="19"/>
        <v>T5.0</v>
      </c>
      <c r="O91" s="80">
        <f>+VLOOKUP(N91,[3]Material!$A$3:$B$58,2,FALSE)</f>
        <v>5000</v>
      </c>
      <c r="P91" s="79" t="s">
        <v>42</v>
      </c>
      <c r="Q91" s="79" t="str">
        <f>+VLOOKUP(F91,[3]Material!$C$2:$E$12,2,FALSE)</f>
        <v>Cal 14</v>
      </c>
      <c r="R91" s="81">
        <f>+IF(P91="ACERO A36",VLOOKUP(Q91,'[3]Velocidades Std 1500 w'!$B$2:$F$15,5,FALSE),IF(P91="INOXIDABLE",VLOOKUP(Q91,'[3]Velocidades Std 1500 w'!$B$17:$F$28,5,FALSE),IF(P91="ALUMINIO",VLOOKUP(Q91,'[3]Velocidades Std 1500 w'!$B$30:$F$38,5,FALSE))))</f>
        <v>2.0080321285140564E-6</v>
      </c>
      <c r="S91" s="82">
        <f t="shared" si="2"/>
        <v>1.0040160642570283E-2</v>
      </c>
      <c r="T91" s="83">
        <f t="shared" si="3"/>
        <v>26.18158554216868</v>
      </c>
      <c r="U91" s="307">
        <f t="shared" si="4"/>
        <v>3621.7860000000005</v>
      </c>
      <c r="V91" s="80">
        <f t="shared" si="5"/>
        <v>36.363313253012059</v>
      </c>
      <c r="W91" s="98">
        <v>18</v>
      </c>
      <c r="X91" s="84">
        <f>+IF(P91="ACERO A36",VLOOKUP(Q91,'[3]Tiempo Objeto'!$B$2:$C$12,2,FALSE),IF(P91="INOXIDABLE",VLOOKUP(Q91,'[3]Tiempo Objeto'!$B$14:$C$22,2,FALSE),IF(P91="ALUMINIO",VLOOKUP(Q91,'[3]Tiempo Objeto'!$B$24:$C$32,2,FALSE))))</f>
        <v>0.3133333333333333</v>
      </c>
      <c r="Y91" s="84">
        <f t="shared" si="6"/>
        <v>5.64</v>
      </c>
      <c r="Z91" s="80">
        <f t="shared" si="7"/>
        <v>7.833333333333333</v>
      </c>
      <c r="AA91" s="100">
        <v>3</v>
      </c>
      <c r="AB91" s="86">
        <f>+AA91*Analisis!$J$6</f>
        <v>75</v>
      </c>
      <c r="AC91" s="100">
        <v>0</v>
      </c>
      <c r="AD91" s="85">
        <f t="shared" si="8"/>
        <v>0</v>
      </c>
      <c r="AE91" s="86">
        <f>+AC91*Analisis!$J$7</f>
        <v>0</v>
      </c>
      <c r="AF91" s="308">
        <f>+H91*0.0254*I91*0.0254*2*(1+[3]Analisis!$G$2)</f>
        <v>0.84853959323999983</v>
      </c>
      <c r="AG91" s="86">
        <f>+AF91*Analisis!$J$8</f>
        <v>90.409873327357147</v>
      </c>
      <c r="AH91" s="309">
        <f t="shared" si="22"/>
        <v>428.26500366370254</v>
      </c>
      <c r="AI91" s="86">
        <f>+AH91/(1-Analisis!G96)</f>
        <v>428.26500366370254</v>
      </c>
      <c r="AJ91" s="86">
        <f t="shared" si="10"/>
        <v>460.50000393946516</v>
      </c>
      <c r="AK91" s="86">
        <f t="shared" si="23"/>
        <v>0</v>
      </c>
      <c r="AL91" s="310" t="e">
        <f>+VLOOKUP(B91,#REF!,2,FALSE)</f>
        <v>#REF!</v>
      </c>
      <c r="AM91" s="311" t="e">
        <f t="shared" si="18"/>
        <v>#REF!</v>
      </c>
      <c r="AN91" s="312" t="e">
        <f t="shared" si="17"/>
        <v>#REF!</v>
      </c>
    </row>
    <row r="92" spans="1:40" s="73" customFormat="1" x14ac:dyDescent="0.25">
      <c r="A92" s="303">
        <v>61</v>
      </c>
      <c r="B92" s="304" t="s">
        <v>912</v>
      </c>
      <c r="D92" s="74">
        <f>IFERROR(VLOOKUP(B92,'REQ. PINTADO'!B:C,2,0),0)</f>
        <v>0</v>
      </c>
      <c r="E92" s="305">
        <f t="shared" si="0"/>
        <v>466.77715048962949</v>
      </c>
      <c r="F92" s="103" t="s">
        <v>163</v>
      </c>
      <c r="G92" s="75" t="s">
        <v>147</v>
      </c>
      <c r="H92" s="90">
        <v>4.0599999999999996</v>
      </c>
      <c r="I92" s="90">
        <v>99.11</v>
      </c>
      <c r="J92" s="76">
        <v>0.105</v>
      </c>
      <c r="K92" s="306">
        <v>12</v>
      </c>
      <c r="L92" s="78">
        <f t="shared" si="1"/>
        <v>27.69098515189761</v>
      </c>
      <c r="M92" s="58">
        <f>+VLOOKUP(F92,Material!$H$2:$M$17,6,FALSE)*H92*I92*(1+Material!$K$14)</f>
        <v>151.04173719216877</v>
      </c>
      <c r="N92" s="79" t="str">
        <f t="shared" si="19"/>
        <v>T5.0</v>
      </c>
      <c r="O92" s="80">
        <f>+VLOOKUP(N92,[3]Material!$A$3:$B$58,2,FALSE)</f>
        <v>5000</v>
      </c>
      <c r="P92" s="79" t="s">
        <v>42</v>
      </c>
      <c r="Q92" s="79" t="str">
        <f>+VLOOKUP(F92,[3]Material!$C$2:$E$12,2,FALSE)</f>
        <v>Cal 12</v>
      </c>
      <c r="R92" s="81">
        <f>+IF(P92="ACERO A36",VLOOKUP(Q92,'[3]Velocidades Std 1500 w'!$B$2:$F$15,5,FALSE),IF(P92="INOXIDABLE",VLOOKUP(Q92,'[3]Velocidades Std 1500 w'!$B$17:$F$28,5,FALSE),IF(P92="ALUMINIO",VLOOKUP(Q92,'[3]Velocidades Std 1500 w'!$B$30:$F$38,5,FALSE))))</f>
        <v>4.3859649122807014E-6</v>
      </c>
      <c r="S92" s="82">
        <f t="shared" si="2"/>
        <v>2.1929824561403508E-2</v>
      </c>
      <c r="T92" s="83">
        <f t="shared" si="3"/>
        <v>102.68230736842105</v>
      </c>
      <c r="U92" s="307">
        <f t="shared" si="4"/>
        <v>6503.2128000000002</v>
      </c>
      <c r="V92" s="80">
        <f t="shared" si="5"/>
        <v>142.61431578947369</v>
      </c>
      <c r="W92" s="98">
        <v>25</v>
      </c>
      <c r="X92" s="84">
        <f>+IF(P92="ACERO A36",VLOOKUP(Q92,'[3]Tiempo Objeto'!$B$2:$C$12,2,FALSE),IF(P92="INOXIDABLE",VLOOKUP(Q92,'[3]Tiempo Objeto'!$B$14:$C$22,2,FALSE),IF(P92="ALUMINIO",VLOOKUP(Q92,'[3]Tiempo Objeto'!$B$24:$C$32,2,FALSE))))</f>
        <v>0.6133333333333334</v>
      </c>
      <c r="Y92" s="84">
        <f t="shared" si="6"/>
        <v>15.333333333333336</v>
      </c>
      <c r="Z92" s="80">
        <f t="shared" si="7"/>
        <v>21.296296296296298</v>
      </c>
      <c r="AA92" s="100">
        <v>2</v>
      </c>
      <c r="AB92" s="86">
        <f>+AA92*Analisis!$J$6</f>
        <v>50</v>
      </c>
      <c r="AC92" s="100">
        <v>0</v>
      </c>
      <c r="AD92" s="85">
        <f t="shared" si="8"/>
        <v>0</v>
      </c>
      <c r="AE92" s="86">
        <f>+AC92*Analisis!$J$7</f>
        <v>0</v>
      </c>
      <c r="AF92" s="308">
        <f>+H92*0.0254*I92*0.0254*2*(1+[3]Analisis!$G$2)</f>
        <v>0.6490093471399998</v>
      </c>
      <c r="AG92" s="86">
        <f>+AF92*Analisis!$J$8</f>
        <v>69.15040067741667</v>
      </c>
      <c r="AH92" s="309">
        <f t="shared" si="22"/>
        <v>434.10274995535542</v>
      </c>
      <c r="AI92" s="86">
        <f>+AH92/(1-Analisis!G97)</f>
        <v>434.10274995535542</v>
      </c>
      <c r="AJ92" s="86">
        <f t="shared" si="10"/>
        <v>466.77715048962949</v>
      </c>
      <c r="AK92" s="86">
        <f t="shared" si="23"/>
        <v>0</v>
      </c>
      <c r="AL92" s="310" t="e">
        <f>+VLOOKUP(B92,#REF!,2,FALSE)</f>
        <v>#REF!</v>
      </c>
      <c r="AM92" s="311" t="e">
        <f t="shared" si="18"/>
        <v>#REF!</v>
      </c>
      <c r="AN92" s="312" t="e">
        <f t="shared" si="17"/>
        <v>#REF!</v>
      </c>
    </row>
    <row r="93" spans="1:40" s="73" customFormat="1" x14ac:dyDescent="0.25">
      <c r="A93" s="303">
        <v>62</v>
      </c>
      <c r="B93" s="304" t="s">
        <v>913</v>
      </c>
      <c r="D93" s="74">
        <f>IFERROR(VLOOKUP(B93,'REQ. PINTADO'!B:C,2,0),0)</f>
        <v>0</v>
      </c>
      <c r="E93" s="305">
        <f t="shared" si="0"/>
        <v>170.28406765604257</v>
      </c>
      <c r="F93" s="103" t="s">
        <v>165</v>
      </c>
      <c r="G93" s="75" t="s">
        <v>147</v>
      </c>
      <c r="H93" s="90">
        <v>2.09</v>
      </c>
      <c r="I93" s="90">
        <v>70.25</v>
      </c>
      <c r="J93" s="76">
        <v>0.105</v>
      </c>
      <c r="K93" s="306">
        <v>4.38</v>
      </c>
      <c r="L93" s="78">
        <f t="shared" si="1"/>
        <v>30.650872930936075</v>
      </c>
      <c r="M93" s="58">
        <f>+VLOOKUP(F93,Material!$H$2:$M$17,6,FALSE)*H93*I93*(1+Material!$K$14)</f>
        <v>61.023101562500003</v>
      </c>
      <c r="N93" s="79" t="str">
        <f t="shared" si="19"/>
        <v>T5.0</v>
      </c>
      <c r="O93" s="80">
        <f>+VLOOKUP(N93,[3]Material!$A$3:$B$58,2,FALSE)</f>
        <v>5000</v>
      </c>
      <c r="P93" s="79" t="s">
        <v>42</v>
      </c>
      <c r="Q93" s="79" t="str">
        <f>+VLOOKUP(F93,[3]Material!$C$2:$E$12,2,FALSE)</f>
        <v>Cal 14</v>
      </c>
      <c r="R93" s="81">
        <f>+IF(P93="ACERO A36",VLOOKUP(Q93,'[3]Velocidades Std 1500 w'!$B$2:$F$15,5,FALSE),IF(P93="INOXIDABLE",VLOOKUP(Q93,'[3]Velocidades Std 1500 w'!$B$17:$F$28,5,FALSE),IF(P93="ALUMINIO",VLOOKUP(Q93,'[3]Velocidades Std 1500 w'!$B$30:$F$38,5,FALSE))))</f>
        <v>2.0080321285140564E-6</v>
      </c>
      <c r="S93" s="82">
        <f t="shared" si="2"/>
        <v>1.0040160642570283E-2</v>
      </c>
      <c r="T93" s="83">
        <f t="shared" si="3"/>
        <v>30.785534457831332</v>
      </c>
      <c r="U93" s="307">
        <f t="shared" si="4"/>
        <v>4258.6656000000003</v>
      </c>
      <c r="V93" s="80">
        <f t="shared" si="5"/>
        <v>42.757686746987964</v>
      </c>
      <c r="W93" s="98">
        <v>10</v>
      </c>
      <c r="X93" s="84">
        <f>+IF(P93="ACERO A36",VLOOKUP(Q93,'[3]Tiempo Objeto'!$B$2:$C$12,2,FALSE),IF(P93="INOXIDABLE",VLOOKUP(Q93,'[3]Tiempo Objeto'!$B$14:$C$22,2,FALSE),IF(P93="ALUMINIO",VLOOKUP(Q93,'[3]Tiempo Objeto'!$B$24:$C$32,2,FALSE))))</f>
        <v>0.3133333333333333</v>
      </c>
      <c r="Y93" s="84">
        <f t="shared" si="6"/>
        <v>3.1333333333333329</v>
      </c>
      <c r="Z93" s="80">
        <f t="shared" si="7"/>
        <v>4.3518518518518512</v>
      </c>
      <c r="AA93" s="100">
        <v>1</v>
      </c>
      <c r="AB93" s="86">
        <f>+AA93*Analisis!$J$6</f>
        <v>25</v>
      </c>
      <c r="AC93" s="100">
        <v>0</v>
      </c>
      <c r="AD93" s="85">
        <f t="shared" si="8"/>
        <v>0</v>
      </c>
      <c r="AE93" s="86">
        <f>+AC93*Analisis!$J$7</f>
        <v>0</v>
      </c>
      <c r="AF93" s="308">
        <f>+H93*0.0254*I93*0.0254*2*(1+[3]Analisis!$G$2)</f>
        <v>0.23681001024999995</v>
      </c>
      <c r="AG93" s="86">
        <f>+AF93*Analisis!$J$8</f>
        <v>25.231542758779764</v>
      </c>
      <c r="AH93" s="309">
        <f t="shared" si="22"/>
        <v>158.36418292011959</v>
      </c>
      <c r="AI93" s="86">
        <f>+AH93/(1-Analisis!G98)</f>
        <v>158.36418292011959</v>
      </c>
      <c r="AJ93" s="86">
        <f t="shared" si="10"/>
        <v>170.28406765604257</v>
      </c>
      <c r="AK93" s="86">
        <f t="shared" si="23"/>
        <v>0</v>
      </c>
      <c r="AL93" s="310" t="e">
        <f>+VLOOKUP(B93,#REF!,2,FALSE)</f>
        <v>#REF!</v>
      </c>
      <c r="AM93" s="311" t="e">
        <f t="shared" si="18"/>
        <v>#REF!</v>
      </c>
      <c r="AN93" s="312" t="e">
        <f t="shared" si="17"/>
        <v>#REF!</v>
      </c>
    </row>
    <row r="94" spans="1:40" s="73" customFormat="1" x14ac:dyDescent="0.25">
      <c r="A94" s="303">
        <v>63</v>
      </c>
      <c r="B94" s="304" t="s">
        <v>914</v>
      </c>
      <c r="D94" s="74">
        <f>IFERROR(VLOOKUP(B94,'REQ. PINTADO'!B:C,2,0),0)</f>
        <v>0</v>
      </c>
      <c r="E94" s="305">
        <f t="shared" si="0"/>
        <v>461.19923280114307</v>
      </c>
      <c r="F94" s="103" t="s">
        <v>163</v>
      </c>
      <c r="G94" s="75" t="s">
        <v>147</v>
      </c>
      <c r="H94" s="90">
        <v>4.0599999999999996</v>
      </c>
      <c r="I94" s="90">
        <v>99.11</v>
      </c>
      <c r="J94" s="76">
        <v>0.105</v>
      </c>
      <c r="K94" s="306">
        <v>12</v>
      </c>
      <c r="L94" s="78">
        <f t="shared" si="1"/>
        <v>27.69098515189761</v>
      </c>
      <c r="M94" s="58">
        <f>+VLOOKUP(F94,Material!$H$2:$M$17,6,FALSE)*H94*I94*(1+Material!$K$14)</f>
        <v>151.04173719216877</v>
      </c>
      <c r="N94" s="79" t="str">
        <f t="shared" si="19"/>
        <v>T5.0</v>
      </c>
      <c r="O94" s="80">
        <f>+VLOOKUP(N94,[3]Material!$A$3:$B$58,2,FALSE)</f>
        <v>5000</v>
      </c>
      <c r="P94" s="79" t="s">
        <v>42</v>
      </c>
      <c r="Q94" s="79" t="str">
        <f>+VLOOKUP(F94,[3]Material!$C$2:$E$12,2,FALSE)</f>
        <v>Cal 12</v>
      </c>
      <c r="R94" s="81">
        <f>+IF(P94="ACERO A36",VLOOKUP(Q94,'[3]Velocidades Std 1500 w'!$B$2:$F$15,5,FALSE),IF(P94="INOXIDABLE",VLOOKUP(Q94,'[3]Velocidades Std 1500 w'!$B$17:$F$28,5,FALSE),IF(P94="ALUMINIO",VLOOKUP(Q94,'[3]Velocidades Std 1500 w'!$B$30:$F$38,5,FALSE))))</f>
        <v>4.3859649122807014E-6</v>
      </c>
      <c r="S94" s="82">
        <f t="shared" si="2"/>
        <v>2.1929824561403508E-2</v>
      </c>
      <c r="T94" s="83">
        <f t="shared" si="3"/>
        <v>100.78733368421052</v>
      </c>
      <c r="U94" s="307">
        <f t="shared" si="4"/>
        <v>6383.1977999999999</v>
      </c>
      <c r="V94" s="80">
        <f t="shared" si="5"/>
        <v>139.98240789473684</v>
      </c>
      <c r="W94" s="98">
        <v>22</v>
      </c>
      <c r="X94" s="84">
        <f>+IF(P94="ACERO A36",VLOOKUP(Q94,'[3]Tiempo Objeto'!$B$2:$C$12,2,FALSE),IF(P94="INOXIDABLE",VLOOKUP(Q94,'[3]Tiempo Objeto'!$B$14:$C$22,2,FALSE),IF(P94="ALUMINIO",VLOOKUP(Q94,'[3]Tiempo Objeto'!$B$24:$C$32,2,FALSE))))</f>
        <v>0.6133333333333334</v>
      </c>
      <c r="Y94" s="84">
        <f t="shared" si="6"/>
        <v>13.493333333333334</v>
      </c>
      <c r="Z94" s="80">
        <f t="shared" si="7"/>
        <v>18.74074074074074</v>
      </c>
      <c r="AA94" s="100">
        <v>2</v>
      </c>
      <c r="AB94" s="86">
        <f>+AA94*Analisis!$J$6</f>
        <v>50</v>
      </c>
      <c r="AC94" s="100">
        <v>0</v>
      </c>
      <c r="AD94" s="85">
        <f t="shared" si="8"/>
        <v>0</v>
      </c>
      <c r="AE94" s="86">
        <f>+AC94*Analisis!$J$7</f>
        <v>0</v>
      </c>
      <c r="AF94" s="308">
        <f>+H94*0.0254*I94*0.0254*2*(1+[3]Analisis!$G$2)</f>
        <v>0.6490093471399998</v>
      </c>
      <c r="AG94" s="86">
        <f>+AF94*Analisis!$J$8</f>
        <v>69.15040067741667</v>
      </c>
      <c r="AH94" s="309">
        <f t="shared" si="22"/>
        <v>428.91528650506302</v>
      </c>
      <c r="AI94" s="86">
        <f>+AH94/(1-Analisis!G99)</f>
        <v>428.91528650506302</v>
      </c>
      <c r="AJ94" s="86">
        <f t="shared" si="10"/>
        <v>461.19923280114307</v>
      </c>
      <c r="AK94" s="86">
        <f t="shared" si="23"/>
        <v>0</v>
      </c>
      <c r="AL94" s="310" t="e">
        <f>+VLOOKUP(B94,#REF!,2,FALSE)</f>
        <v>#REF!</v>
      </c>
      <c r="AM94" s="311" t="e">
        <f t="shared" si="18"/>
        <v>#REF!</v>
      </c>
      <c r="AN94" s="312" t="e">
        <f t="shared" si="17"/>
        <v>#REF!</v>
      </c>
    </row>
    <row r="95" spans="1:40" s="73" customFormat="1" x14ac:dyDescent="0.25">
      <c r="A95" s="303">
        <v>64</v>
      </c>
      <c r="B95" s="304" t="s">
        <v>915</v>
      </c>
      <c r="D95" s="74">
        <f>IFERROR(VLOOKUP(B95,'REQ. PINTADO'!B:C,2,0),0)</f>
        <v>0</v>
      </c>
      <c r="E95" s="305">
        <f t="shared" si="0"/>
        <v>280.87205035124595</v>
      </c>
      <c r="F95" s="103" t="s">
        <v>163</v>
      </c>
      <c r="G95" s="75" t="s">
        <v>147</v>
      </c>
      <c r="H95" s="90">
        <v>2</v>
      </c>
      <c r="I95" s="90">
        <v>99.06</v>
      </c>
      <c r="J95" s="76">
        <v>0.105</v>
      </c>
      <c r="K95" s="306">
        <v>5.91</v>
      </c>
      <c r="L95" s="78">
        <f t="shared" si="1"/>
        <v>27.68324405780098</v>
      </c>
      <c r="M95" s="58">
        <f>+VLOOKUP(F95,Material!$H$2:$M$17,6,FALSE)*H95*I95*(1+Material!$K$14)</f>
        <v>74.367260173456259</v>
      </c>
      <c r="N95" s="79" t="str">
        <f t="shared" si="19"/>
        <v>T5.0</v>
      </c>
      <c r="O95" s="80">
        <f>+VLOOKUP(N95,[3]Material!$A$3:$B$58,2,FALSE)</f>
        <v>5000</v>
      </c>
      <c r="P95" s="79" t="s">
        <v>42</v>
      </c>
      <c r="Q95" s="79" t="str">
        <f>+VLOOKUP(F95,[3]Material!$C$2:$E$12,2,FALSE)</f>
        <v>Cal 12</v>
      </c>
      <c r="R95" s="81">
        <f>+IF(P95="ACERO A36",VLOOKUP(Q95,'[3]Velocidades Std 1500 w'!$B$2:$F$15,5,FALSE),IF(P95="INOXIDABLE",VLOOKUP(Q95,'[3]Velocidades Std 1500 w'!$B$17:$F$28,5,FALSE),IF(P95="ALUMINIO",VLOOKUP(Q95,'[3]Velocidades Std 1500 w'!$B$30:$F$38,5,FALSE))))</f>
        <v>4.3859649122807014E-6</v>
      </c>
      <c r="S95" s="82">
        <f t="shared" si="2"/>
        <v>2.1929824561403508E-2</v>
      </c>
      <c r="T95" s="83">
        <f t="shared" si="3"/>
        <v>97.746953684210524</v>
      </c>
      <c r="U95" s="307">
        <f t="shared" si="4"/>
        <v>6190.6404000000002</v>
      </c>
      <c r="V95" s="80">
        <f t="shared" si="5"/>
        <v>135.75965789473685</v>
      </c>
      <c r="W95" s="98">
        <v>20</v>
      </c>
      <c r="X95" s="84">
        <f>+IF(P95="ACERO A36",VLOOKUP(Q95,'[3]Tiempo Objeto'!$B$2:$C$12,2,FALSE),IF(P95="INOXIDABLE",VLOOKUP(Q95,'[3]Tiempo Objeto'!$B$14:$C$22,2,FALSE),IF(P95="ALUMINIO",VLOOKUP(Q95,'[3]Tiempo Objeto'!$B$24:$C$32,2,FALSE))))</f>
        <v>0.6133333333333334</v>
      </c>
      <c r="Y95" s="84">
        <f t="shared" si="6"/>
        <v>12.266666666666667</v>
      </c>
      <c r="Z95" s="80">
        <f t="shared" si="7"/>
        <v>17.037037037037038</v>
      </c>
      <c r="AA95" s="100">
        <v>0</v>
      </c>
      <c r="AB95" s="86">
        <f>+AA95*Analisis!$J$6</f>
        <v>0</v>
      </c>
      <c r="AC95" s="100">
        <v>0</v>
      </c>
      <c r="AD95" s="85">
        <f t="shared" si="8"/>
        <v>0</v>
      </c>
      <c r="AE95" s="86">
        <f>+AC95*Analisis!$J$7</f>
        <v>0</v>
      </c>
      <c r="AF95" s="308">
        <f>+H95*0.0254*I95*0.0254*2*(1+[3]Analisis!$G$2)</f>
        <v>0.31954774800000002</v>
      </c>
      <c r="AG95" s="86">
        <f>+AF95*Analisis!$J$8</f>
        <v>34.047051721428581</v>
      </c>
      <c r="AH95" s="309">
        <f t="shared" si="22"/>
        <v>261.21100682665872</v>
      </c>
      <c r="AI95" s="86">
        <f>+AH95/(1-Analisis!G100)</f>
        <v>261.21100682665872</v>
      </c>
      <c r="AJ95" s="86">
        <f t="shared" si="10"/>
        <v>280.87205035124595</v>
      </c>
      <c r="AK95" s="86">
        <f t="shared" si="23"/>
        <v>0</v>
      </c>
      <c r="AL95" s="310" t="e">
        <f>+VLOOKUP(B95,#REF!,2,FALSE)</f>
        <v>#REF!</v>
      </c>
      <c r="AM95" s="311" t="e">
        <f t="shared" si="18"/>
        <v>#REF!</v>
      </c>
      <c r="AN95" s="312" t="e">
        <f t="shared" si="17"/>
        <v>#REF!</v>
      </c>
    </row>
    <row r="96" spans="1:40" s="73" customFormat="1" x14ac:dyDescent="0.25">
      <c r="A96" s="303">
        <v>65</v>
      </c>
      <c r="B96" s="304" t="s">
        <v>916</v>
      </c>
      <c r="D96" s="74">
        <f>IFERROR(VLOOKUP(B96,'REQ. PINTADO'!B:C,2,0),0)</f>
        <v>0</v>
      </c>
      <c r="E96" s="305">
        <f t="shared" si="0"/>
        <v>513.0278547372219</v>
      </c>
      <c r="F96" s="103" t="s">
        <v>165</v>
      </c>
      <c r="G96" s="75" t="s">
        <v>147</v>
      </c>
      <c r="H96" s="90">
        <v>18.899999999999999</v>
      </c>
      <c r="I96" s="90">
        <v>12.91</v>
      </c>
      <c r="J96" s="76">
        <v>0.105</v>
      </c>
      <c r="K96" s="306">
        <v>7.28</v>
      </c>
      <c r="L96" s="78">
        <f t="shared" si="1"/>
        <v>30.646509014423085</v>
      </c>
      <c r="M96" s="58">
        <f>+VLOOKUP(F96,Material!$H$2:$M$17,6,FALSE)*H96*I96*(1+Material!$K$14)</f>
        <v>101.41208437500002</v>
      </c>
      <c r="N96" s="79" t="str">
        <f t="shared" si="19"/>
        <v>T5.0</v>
      </c>
      <c r="O96" s="80">
        <f>+VLOOKUP(N96,[3]Material!$A$3:$B$58,2,FALSE)</f>
        <v>5000</v>
      </c>
      <c r="P96" s="79" t="s">
        <v>42</v>
      </c>
      <c r="Q96" s="79" t="str">
        <f>+VLOOKUP(F96,[3]Material!$C$2:$E$12,2,FALSE)</f>
        <v>Cal 14</v>
      </c>
      <c r="R96" s="81">
        <f>+IF(P96="ACERO A36",VLOOKUP(Q96,'[3]Velocidades Std 1500 w'!$B$2:$F$15,5,FALSE),IF(P96="INOXIDABLE",VLOOKUP(Q96,'[3]Velocidades Std 1500 w'!$B$17:$F$28,5,FALSE),IF(P96="ALUMINIO",VLOOKUP(Q96,'[3]Velocidades Std 1500 w'!$B$30:$F$38,5,FALSE))))</f>
        <v>2.0080321285140564E-6</v>
      </c>
      <c r="S96" s="82">
        <f t="shared" si="2"/>
        <v>1.0040160642570283E-2</v>
      </c>
      <c r="T96" s="83">
        <f t="shared" si="3"/>
        <v>18.049484819277112</v>
      </c>
      <c r="U96" s="307">
        <f t="shared" si="4"/>
        <v>2496.8454000000002</v>
      </c>
      <c r="V96" s="80">
        <f t="shared" si="5"/>
        <v>25.068728915662657</v>
      </c>
      <c r="W96" s="98">
        <v>20</v>
      </c>
      <c r="X96" s="84">
        <f>+IF(P96="ACERO A36",VLOOKUP(Q96,'[3]Tiempo Objeto'!$B$2:$C$12,2,FALSE),IF(P96="INOXIDABLE",VLOOKUP(Q96,'[3]Tiempo Objeto'!$B$14:$C$22,2,FALSE),IF(P96="ALUMINIO",VLOOKUP(Q96,'[3]Tiempo Objeto'!$B$24:$C$32,2,FALSE))))</f>
        <v>0.3133333333333333</v>
      </c>
      <c r="Y96" s="84">
        <f t="shared" si="6"/>
        <v>6.2666666666666657</v>
      </c>
      <c r="Z96" s="80">
        <f t="shared" si="7"/>
        <v>8.7037037037037024</v>
      </c>
      <c r="AA96" s="100">
        <v>12</v>
      </c>
      <c r="AB96" s="86">
        <f>+AA96*Analisis!$J$6</f>
        <v>300</v>
      </c>
      <c r="AC96" s="100">
        <v>0</v>
      </c>
      <c r="AD96" s="85">
        <f t="shared" si="8"/>
        <v>0</v>
      </c>
      <c r="AE96" s="86">
        <f>+AC96*Analisis!$J$7</f>
        <v>0</v>
      </c>
      <c r="AF96" s="308">
        <f>+H96*0.0254*I96*0.0254*2*(1+[3]Analisis!$G$2)</f>
        <v>0.39354598709999994</v>
      </c>
      <c r="AG96" s="86">
        <f>+AF96*Analisis!$J$8</f>
        <v>41.931387911250006</v>
      </c>
      <c r="AH96" s="309">
        <f t="shared" si="22"/>
        <v>477.11590490561633</v>
      </c>
      <c r="AI96" s="86">
        <f>+AH96/(1-Analisis!G101)</f>
        <v>477.11590490561633</v>
      </c>
      <c r="AJ96" s="86">
        <f t="shared" si="10"/>
        <v>513.0278547372219</v>
      </c>
      <c r="AK96" s="86">
        <f t="shared" si="23"/>
        <v>0</v>
      </c>
      <c r="AL96" s="310" t="e">
        <f>+VLOOKUP(B96,#REF!,2,FALSE)</f>
        <v>#REF!</v>
      </c>
      <c r="AM96" s="311" t="e">
        <f t="shared" si="18"/>
        <v>#REF!</v>
      </c>
      <c r="AN96" s="312" t="e">
        <f t="shared" si="17"/>
        <v>#REF!</v>
      </c>
    </row>
    <row r="97" spans="1:40" s="73" customFormat="1" x14ac:dyDescent="0.25">
      <c r="A97" s="303">
        <v>66</v>
      </c>
      <c r="B97" s="304" t="s">
        <v>917</v>
      </c>
      <c r="D97" s="74">
        <f>IFERROR(VLOOKUP(B97,'REQ. PINTADO'!B:C,2,0),0)</f>
        <v>0</v>
      </c>
      <c r="E97" s="305">
        <f t="shared" si="0"/>
        <v>546.5746598087369</v>
      </c>
      <c r="F97" s="103" t="s">
        <v>165</v>
      </c>
      <c r="G97" s="75" t="s">
        <v>147</v>
      </c>
      <c r="H97" s="90">
        <v>28.9</v>
      </c>
      <c r="I97" s="90">
        <v>12.91</v>
      </c>
      <c r="J97" s="76">
        <v>0.105</v>
      </c>
      <c r="K97" s="306">
        <v>11.13</v>
      </c>
      <c r="L97" s="78">
        <f t="shared" si="1"/>
        <v>30.651608097484285</v>
      </c>
      <c r="M97" s="58">
        <f>+VLOOKUP(F97,Material!$H$2:$M$17,6,FALSE)*H97*I97*(1+Material!$K$14)</f>
        <v>155.06927187500003</v>
      </c>
      <c r="N97" s="79" t="str">
        <f t="shared" si="19"/>
        <v>T5.0</v>
      </c>
      <c r="O97" s="80">
        <f>+VLOOKUP(N97,[3]Material!$A$3:$B$58,2,FALSE)</f>
        <v>5000</v>
      </c>
      <c r="P97" s="79" t="s">
        <v>42</v>
      </c>
      <c r="Q97" s="79" t="str">
        <f>+VLOOKUP(F97,[3]Material!$C$2:$E$12,2,FALSE)</f>
        <v>Cal 14</v>
      </c>
      <c r="R97" s="81">
        <f>+IF(P97="ACERO A36",VLOOKUP(Q97,'[3]Velocidades Std 1500 w'!$B$2:$F$15,5,FALSE),IF(P97="INOXIDABLE",VLOOKUP(Q97,'[3]Velocidades Std 1500 w'!$B$17:$F$28,5,FALSE),IF(P97="ALUMINIO",VLOOKUP(Q97,'[3]Velocidades Std 1500 w'!$B$30:$F$38,5,FALSE))))</f>
        <v>2.0080321285140564E-6</v>
      </c>
      <c r="S97" s="82">
        <f t="shared" si="2"/>
        <v>1.0040160642570283E-2</v>
      </c>
      <c r="T97" s="83">
        <f t="shared" si="3"/>
        <v>21.905388433734938</v>
      </c>
      <c r="U97" s="307">
        <f t="shared" si="4"/>
        <v>3030.2453999999998</v>
      </c>
      <c r="V97" s="80">
        <f t="shared" si="5"/>
        <v>30.424150602409643</v>
      </c>
      <c r="W97" s="98">
        <v>20</v>
      </c>
      <c r="X97" s="84">
        <f>+IF(P97="ACERO A36",VLOOKUP(Q97,'[3]Tiempo Objeto'!$B$2:$C$12,2,FALSE),IF(P97="INOXIDABLE",VLOOKUP(Q97,'[3]Tiempo Objeto'!$B$14:$C$22,2,FALSE),IF(P97="ALUMINIO",VLOOKUP(Q97,'[3]Tiempo Objeto'!$B$24:$C$32,2,FALSE))))</f>
        <v>0.3133333333333333</v>
      </c>
      <c r="Y97" s="84">
        <f t="shared" si="6"/>
        <v>6.2666666666666657</v>
      </c>
      <c r="Z97" s="80">
        <f t="shared" si="7"/>
        <v>8.7037037037037024</v>
      </c>
      <c r="AA97" s="100">
        <v>10</v>
      </c>
      <c r="AB97" s="86">
        <f>+AA97*Analisis!$J$6</f>
        <v>250</v>
      </c>
      <c r="AC97" s="100">
        <v>0</v>
      </c>
      <c r="AD97" s="85">
        <f t="shared" si="8"/>
        <v>0</v>
      </c>
      <c r="AE97" s="86">
        <f>+AC97*Analisis!$J$7</f>
        <v>0</v>
      </c>
      <c r="AF97" s="308">
        <f>+H97*0.0254*I97*0.0254*2*(1+[3]Analisis!$G$2)</f>
        <v>0.60177137709999995</v>
      </c>
      <c r="AG97" s="86">
        <f>+AF97*Analisis!$J$8</f>
        <v>64.117307441011917</v>
      </c>
      <c r="AH97" s="309">
        <f t="shared" si="22"/>
        <v>508.31443362212531</v>
      </c>
      <c r="AI97" s="86">
        <f>+AH97/(1-Analisis!G102)</f>
        <v>508.31443362212531</v>
      </c>
      <c r="AJ97" s="86">
        <f t="shared" si="10"/>
        <v>546.5746598087369</v>
      </c>
      <c r="AK97" s="86">
        <f t="shared" si="23"/>
        <v>0</v>
      </c>
      <c r="AL97" s="310" t="e">
        <f>+VLOOKUP(B97,#REF!,2,FALSE)</f>
        <v>#REF!</v>
      </c>
      <c r="AM97" s="311" t="e">
        <f t="shared" si="18"/>
        <v>#REF!</v>
      </c>
      <c r="AN97" s="312" t="e">
        <f t="shared" si="17"/>
        <v>#REF!</v>
      </c>
    </row>
    <row r="98" spans="1:40" s="73" customFormat="1" x14ac:dyDescent="0.25">
      <c r="A98" s="303">
        <v>67</v>
      </c>
      <c r="B98" s="304" t="s">
        <v>918</v>
      </c>
      <c r="D98" s="74">
        <f>IFERROR(VLOOKUP(B98,'REQ. PINTADO'!B:C,2,0),0)</f>
        <v>0</v>
      </c>
      <c r="E98" s="305">
        <f t="shared" si="0"/>
        <v>168.52593661689681</v>
      </c>
      <c r="F98" s="103" t="s">
        <v>165</v>
      </c>
      <c r="G98" s="75" t="s">
        <v>147</v>
      </c>
      <c r="H98" s="90">
        <v>1.62</v>
      </c>
      <c r="I98" s="90">
        <v>18.5</v>
      </c>
      <c r="J98" s="76">
        <v>0.105</v>
      </c>
      <c r="K98" s="306">
        <v>0.64</v>
      </c>
      <c r="L98" s="78">
        <f t="shared" si="1"/>
        <v>42.818466796875008</v>
      </c>
      <c r="M98" s="58">
        <f>+VLOOKUP(F98,Material!$H$2:$M$17,6,FALSE)*H98*I98*(1+Material!$K$14)</f>
        <v>12.456281250000002</v>
      </c>
      <c r="N98" s="79" t="str">
        <f t="shared" si="19"/>
        <v>T5.0</v>
      </c>
      <c r="O98" s="80">
        <f>+VLOOKUP(N98,[3]Material!$A$3:$B$58,2,FALSE)</f>
        <v>5000</v>
      </c>
      <c r="P98" s="79" t="s">
        <v>42</v>
      </c>
      <c r="Q98" s="79" t="str">
        <f>+VLOOKUP(F98,[3]Material!$C$2:$E$12,2,FALSE)</f>
        <v>Cal 14</v>
      </c>
      <c r="R98" s="81">
        <f>+IF(P98="ACERO A36",VLOOKUP(Q98,'[3]Velocidades Std 1500 w'!$B$2:$F$15,5,FALSE),IF(P98="INOXIDABLE",VLOOKUP(Q98,'[3]Velocidades Std 1500 w'!$B$17:$F$28,5,FALSE),IF(P98="ALUMINIO",VLOOKUP(Q98,'[3]Velocidades Std 1500 w'!$B$30:$F$38,5,FALSE))))</f>
        <v>2.0080321285140564E-6</v>
      </c>
      <c r="S98" s="82">
        <f t="shared" si="2"/>
        <v>1.0040160642570283E-2</v>
      </c>
      <c r="T98" s="83">
        <f t="shared" si="3"/>
        <v>8.9148491566265076</v>
      </c>
      <c r="U98" s="307">
        <f t="shared" si="4"/>
        <v>1233.2208000000001</v>
      </c>
      <c r="V98" s="80">
        <f t="shared" si="5"/>
        <v>12.381734939759038</v>
      </c>
      <c r="W98" s="98">
        <v>4</v>
      </c>
      <c r="X98" s="84">
        <f>+IF(P98="ACERO A36",VLOOKUP(Q98,'[3]Tiempo Objeto'!$B$2:$C$12,2,FALSE),IF(P98="INOXIDABLE",VLOOKUP(Q98,'[3]Tiempo Objeto'!$B$14:$C$22,2,FALSE),IF(P98="ALUMINIO",VLOOKUP(Q98,'[3]Tiempo Objeto'!$B$24:$C$32,2,FALSE))))</f>
        <v>0.3133333333333333</v>
      </c>
      <c r="Y98" s="84">
        <f t="shared" si="6"/>
        <v>1.2533333333333332</v>
      </c>
      <c r="Z98" s="80">
        <f t="shared" si="7"/>
        <v>1.7407407407407405</v>
      </c>
      <c r="AA98" s="100">
        <v>5</v>
      </c>
      <c r="AB98" s="86">
        <f>+AA98*Analisis!$J$6</f>
        <v>125</v>
      </c>
      <c r="AC98" s="100">
        <v>0</v>
      </c>
      <c r="AD98" s="85">
        <f t="shared" si="8"/>
        <v>0</v>
      </c>
      <c r="AE98" s="86">
        <f>+AC98*Analisis!$J$7</f>
        <v>0</v>
      </c>
      <c r="AF98" s="308">
        <f>+H98*0.0254*I98*0.0254*2*(1+[3]Analisis!$G$2)</f>
        <v>4.8338613000000002E-2</v>
      </c>
      <c r="AG98" s="86">
        <f>+AF98*Analisis!$J$8</f>
        <v>5.1503641232142874</v>
      </c>
      <c r="AH98" s="309">
        <f t="shared" si="22"/>
        <v>156.72912105371404</v>
      </c>
      <c r="AI98" s="86">
        <f>+AH98/(1-Analisis!G103)</f>
        <v>156.72912105371404</v>
      </c>
      <c r="AJ98" s="86">
        <f t="shared" si="10"/>
        <v>168.52593661689681</v>
      </c>
      <c r="AK98" s="86">
        <f t="shared" si="23"/>
        <v>0</v>
      </c>
      <c r="AL98" s="310" t="e">
        <f>+VLOOKUP(B98,#REF!,2,FALSE)</f>
        <v>#REF!</v>
      </c>
      <c r="AM98" s="311" t="e">
        <f t="shared" si="18"/>
        <v>#REF!</v>
      </c>
      <c r="AN98" s="312" t="e">
        <f t="shared" si="17"/>
        <v>#REF!</v>
      </c>
    </row>
    <row r="99" spans="1:40" s="73" customFormat="1" x14ac:dyDescent="0.25">
      <c r="A99" s="303">
        <v>68</v>
      </c>
      <c r="B99" s="304" t="s">
        <v>919</v>
      </c>
      <c r="D99" s="74">
        <f>IFERROR(VLOOKUP(B99,'REQ. PINTADO'!B:C,2,0),0)</f>
        <v>0</v>
      </c>
      <c r="E99" s="305">
        <f t="shared" si="0"/>
        <v>244.35159773896868</v>
      </c>
      <c r="F99" s="103" t="s">
        <v>166</v>
      </c>
      <c r="G99" s="75" t="s">
        <v>147</v>
      </c>
      <c r="H99" s="90">
        <v>18.73</v>
      </c>
      <c r="I99" s="90">
        <v>11.58</v>
      </c>
      <c r="J99" s="76">
        <v>0.105</v>
      </c>
      <c r="K99" s="306">
        <v>3.7</v>
      </c>
      <c r="L99" s="78">
        <f t="shared" si="1"/>
        <v>29.229573266311775</v>
      </c>
      <c r="M99" s="58">
        <f>+VLOOKUP(F99,Material!$H$2:$M$17,6,FALSE)*H99*I99*(1+Material!$K$14)</f>
        <v>49.158827766069798</v>
      </c>
      <c r="N99" s="79" t="str">
        <f t="shared" si="19"/>
        <v>T5.0</v>
      </c>
      <c r="O99" s="80">
        <f>+VLOOKUP(N99,[3]Material!$A$3:$B$58,2,FALSE)</f>
        <v>5000</v>
      </c>
      <c r="P99" s="79" t="s">
        <v>42</v>
      </c>
      <c r="Q99" s="79" t="str">
        <f>+VLOOKUP(F99,[3]Material!$C$2:$E$12,2,FALSE)</f>
        <v>Cal 16</v>
      </c>
      <c r="R99" s="81">
        <f>+IF(P99="ACERO A36",VLOOKUP(Q99,'[3]Velocidades Std 1500 w'!$B$2:$F$15,5,FALSE),IF(P99="INOXIDABLE",VLOOKUP(Q99,'[3]Velocidades Std 1500 w'!$B$17:$F$28,5,FALSE),IF(P99="ALUMINIO",VLOOKUP(Q99,'[3]Velocidades Std 1500 w'!$B$30:$F$38,5,FALSE))))</f>
        <v>9.1575091575091579E-7</v>
      </c>
      <c r="S99" s="82">
        <f t="shared" si="2"/>
        <v>4.578754578754579E-3</v>
      </c>
      <c r="T99" s="83">
        <f t="shared" si="3"/>
        <v>7.44005076923077</v>
      </c>
      <c r="U99" s="307">
        <f t="shared" si="4"/>
        <v>2256.8154</v>
      </c>
      <c r="V99" s="80">
        <f t="shared" si="5"/>
        <v>10.333403846153846</v>
      </c>
      <c r="W99" s="98">
        <v>16</v>
      </c>
      <c r="X99" s="84">
        <f>+IF(P99="ACERO A36",VLOOKUP(Q99,'[3]Tiempo Objeto'!$B$2:$C$12,2,FALSE),IF(P99="INOXIDABLE",VLOOKUP(Q99,'[3]Tiempo Objeto'!$B$14:$C$22,2,FALSE),IF(P99="ALUMINIO",VLOOKUP(Q99,'[3]Tiempo Objeto'!$B$24:$C$32,2,FALSE))))</f>
        <v>0.24666666666666667</v>
      </c>
      <c r="Y99" s="84">
        <f t="shared" si="6"/>
        <v>3.9466666666666668</v>
      </c>
      <c r="Z99" s="80">
        <f t="shared" si="7"/>
        <v>5.481481481481481</v>
      </c>
      <c r="AA99" s="100">
        <v>5</v>
      </c>
      <c r="AB99" s="86">
        <f>+AA99*Analisis!$J$6</f>
        <v>125</v>
      </c>
      <c r="AC99" s="100">
        <v>0</v>
      </c>
      <c r="AD99" s="85">
        <f t="shared" si="8"/>
        <v>0</v>
      </c>
      <c r="AE99" s="86">
        <f>+AC99*Analisis!$J$7</f>
        <v>0</v>
      </c>
      <c r="AF99" s="308">
        <f>+H99*0.0254*I99*0.0254*2*(1+[3]Analisis!$G$2)</f>
        <v>0.34982736485999999</v>
      </c>
      <c r="AG99" s="86">
        <f>+AF99*Analisis!$J$8</f>
        <v>37.273272803535725</v>
      </c>
      <c r="AH99" s="309">
        <f t="shared" si="22"/>
        <v>227.24698589724085</v>
      </c>
      <c r="AI99" s="86">
        <f>+AH99/(1-Analisis!G104)</f>
        <v>227.24698589724085</v>
      </c>
      <c r="AJ99" s="86">
        <f t="shared" si="10"/>
        <v>244.35159773896868</v>
      </c>
      <c r="AK99" s="86">
        <f t="shared" si="23"/>
        <v>0</v>
      </c>
      <c r="AL99" s="310" t="e">
        <f>+VLOOKUP(B99,#REF!,2,FALSE)</f>
        <v>#REF!</v>
      </c>
      <c r="AM99" s="311" t="e">
        <f t="shared" si="18"/>
        <v>#REF!</v>
      </c>
      <c r="AN99" s="312" t="e">
        <f t="shared" si="17"/>
        <v>#REF!</v>
      </c>
    </row>
    <row r="100" spans="1:40" s="73" customFormat="1" x14ac:dyDescent="0.25">
      <c r="A100" s="303">
        <v>69</v>
      </c>
      <c r="B100" s="304" t="s">
        <v>920</v>
      </c>
      <c r="D100" s="74">
        <f>IFERROR(VLOOKUP(B100,'REQ. PINTADO'!B:C,2,0),0)</f>
        <v>0</v>
      </c>
      <c r="E100" s="305">
        <f t="shared" si="0"/>
        <v>276.4998114983519</v>
      </c>
      <c r="F100" s="103" t="s">
        <v>166</v>
      </c>
      <c r="G100" s="75" t="s">
        <v>147</v>
      </c>
      <c r="H100" s="90">
        <v>28.73</v>
      </c>
      <c r="I100" s="90">
        <v>11.58</v>
      </c>
      <c r="J100" s="76">
        <v>0.105</v>
      </c>
      <c r="K100" s="306">
        <v>5.67</v>
      </c>
      <c r="L100" s="78">
        <f t="shared" si="1"/>
        <v>29.257619582295977</v>
      </c>
      <c r="M100" s="58">
        <f>+VLOOKUP(F100,Material!$H$2:$M$17,6,FALSE)*H100*I100*(1+Material!$K$14)</f>
        <v>75.404865014371893</v>
      </c>
      <c r="N100" s="79" t="str">
        <f t="shared" si="19"/>
        <v>T5.0</v>
      </c>
      <c r="O100" s="80">
        <f>+VLOOKUP(N100,[3]Material!$A$3:$B$58,2,FALSE)</f>
        <v>5000</v>
      </c>
      <c r="P100" s="79" t="s">
        <v>42</v>
      </c>
      <c r="Q100" s="79" t="str">
        <f>+VLOOKUP(F100,[3]Material!$C$2:$E$12,2,FALSE)</f>
        <v>Cal 16</v>
      </c>
      <c r="R100" s="81">
        <f>+IF(P100="ACERO A36",VLOOKUP(Q100,'[3]Velocidades Std 1500 w'!$B$2:$F$15,5,FALSE),IF(P100="INOXIDABLE",VLOOKUP(Q100,'[3]Velocidades Std 1500 w'!$B$17:$F$28,5,FALSE),IF(P100="ALUMINIO",VLOOKUP(Q100,'[3]Velocidades Std 1500 w'!$B$30:$F$38,5,FALSE))))</f>
        <v>9.1575091575091579E-7</v>
      </c>
      <c r="S100" s="82">
        <f t="shared" si="2"/>
        <v>4.578754578754579E-3</v>
      </c>
      <c r="T100" s="83">
        <f t="shared" si="3"/>
        <v>10.781127692307692</v>
      </c>
      <c r="U100" s="307">
        <f t="shared" si="4"/>
        <v>3270.2754</v>
      </c>
      <c r="V100" s="80">
        <f t="shared" si="5"/>
        <v>14.973788461538462</v>
      </c>
      <c r="W100" s="98">
        <v>28</v>
      </c>
      <c r="X100" s="84">
        <f>+IF(P100="ACERO A36",VLOOKUP(Q100,'[3]Tiempo Objeto'!$B$2:$C$12,2,FALSE),IF(P100="INOXIDABLE",VLOOKUP(Q100,'[3]Tiempo Objeto'!$B$14:$C$22,2,FALSE),IF(P100="ALUMINIO",VLOOKUP(Q100,'[3]Tiempo Objeto'!$B$24:$C$32,2,FALSE))))</f>
        <v>0.24666666666666667</v>
      </c>
      <c r="Y100" s="84">
        <f t="shared" si="6"/>
        <v>6.9066666666666672</v>
      </c>
      <c r="Z100" s="80">
        <f t="shared" si="7"/>
        <v>9.5925925925925934</v>
      </c>
      <c r="AA100" s="100">
        <v>4</v>
      </c>
      <c r="AB100" s="86">
        <f>+AA100*Analisis!$J$6</f>
        <v>100</v>
      </c>
      <c r="AC100" s="100">
        <v>0</v>
      </c>
      <c r="AD100" s="85">
        <f t="shared" si="8"/>
        <v>0</v>
      </c>
      <c r="AE100" s="86">
        <f>+AC100*Analisis!$J$7</f>
        <v>0</v>
      </c>
      <c r="AF100" s="308">
        <f>+H100*0.0254*I100*0.0254*2*(1+[3]Analisis!$G$2)</f>
        <v>0.53660118485999997</v>
      </c>
      <c r="AG100" s="86">
        <f>+AF100*Analisis!$J$8</f>
        <v>57.1735786249643</v>
      </c>
      <c r="AH100" s="309">
        <f t="shared" si="22"/>
        <v>257.14482469346723</v>
      </c>
      <c r="AI100" s="86">
        <f>+AH100/(1-Analisis!G105)</f>
        <v>257.14482469346723</v>
      </c>
      <c r="AJ100" s="86">
        <f t="shared" si="10"/>
        <v>276.4998114983519</v>
      </c>
      <c r="AK100" s="86">
        <f t="shared" si="23"/>
        <v>0</v>
      </c>
      <c r="AL100" s="310" t="e">
        <f>+VLOOKUP(B100,#REF!,2,FALSE)</f>
        <v>#REF!</v>
      </c>
      <c r="AM100" s="311" t="e">
        <f t="shared" si="18"/>
        <v>#REF!</v>
      </c>
      <c r="AN100" s="312" t="e">
        <f t="shared" si="17"/>
        <v>#REF!</v>
      </c>
    </row>
    <row r="101" spans="1:40" s="73" customFormat="1" x14ac:dyDescent="0.25">
      <c r="A101" s="303">
        <v>70</v>
      </c>
      <c r="B101" s="304" t="s">
        <v>921</v>
      </c>
      <c r="D101" s="74">
        <f>IFERROR(VLOOKUP(B101,'REQ. PINTADO'!B:C,2,0),0)</f>
        <v>0</v>
      </c>
      <c r="E101" s="305">
        <f t="shared" si="0"/>
        <v>2185.7877649683883</v>
      </c>
      <c r="F101" s="103" t="s">
        <v>165</v>
      </c>
      <c r="G101" s="75" t="s">
        <v>147</v>
      </c>
      <c r="H101" s="90">
        <v>26.77</v>
      </c>
      <c r="I101" s="90">
        <v>116.94</v>
      </c>
      <c r="J101" s="76">
        <v>0.105</v>
      </c>
      <c r="K101" s="306">
        <v>66.680000000000007</v>
      </c>
      <c r="L101" s="78">
        <f t="shared" si="1"/>
        <v>42.927956278119382</v>
      </c>
      <c r="M101" s="58">
        <f>+VLOOKUP(F101,Material!$H$2:$M$17,6,FALSE)*H101*I101*(1+Material!$K$14)</f>
        <v>1301.1073293750001</v>
      </c>
      <c r="N101" s="79" t="str">
        <f t="shared" si="19"/>
        <v>T5.0</v>
      </c>
      <c r="O101" s="80">
        <f>+VLOOKUP(N101,[3]Material!$A$3:$B$58,2,FALSE)</f>
        <v>5000</v>
      </c>
      <c r="P101" s="79" t="s">
        <v>42</v>
      </c>
      <c r="Q101" s="79" t="str">
        <f>+VLOOKUP(F101,[3]Material!$C$2:$E$12,2,FALSE)</f>
        <v>Cal 14</v>
      </c>
      <c r="R101" s="81">
        <f>+IF(P101="ACERO A36",VLOOKUP(Q101,'[3]Velocidades Std 1500 w'!$B$2:$F$15,5,FALSE),IF(P101="INOXIDABLE",VLOOKUP(Q101,'[3]Velocidades Std 1500 w'!$B$17:$F$28,5,FALSE),IF(P101="ALUMINIO",VLOOKUP(Q101,'[3]Velocidades Std 1500 w'!$B$30:$F$38,5,FALSE))))</f>
        <v>2.0080321285140564E-6</v>
      </c>
      <c r="S101" s="82">
        <f t="shared" si="2"/>
        <v>1.0040160642570283E-2</v>
      </c>
      <c r="T101" s="83">
        <f t="shared" si="3"/>
        <v>61.197046265060244</v>
      </c>
      <c r="U101" s="307">
        <f t="shared" si="4"/>
        <v>8465.5913999999993</v>
      </c>
      <c r="V101" s="80">
        <f t="shared" si="5"/>
        <v>84.995897590361452</v>
      </c>
      <c r="W101" s="98">
        <v>20</v>
      </c>
      <c r="X101" s="84">
        <f>+IF(P101="ACERO A36",VLOOKUP(Q101,'[3]Tiempo Objeto'!$B$2:$C$12,2,FALSE),IF(P101="INOXIDABLE",VLOOKUP(Q101,'[3]Tiempo Objeto'!$B$14:$C$22,2,FALSE),IF(P101="ALUMINIO",VLOOKUP(Q101,'[3]Tiempo Objeto'!$B$24:$C$32,2,FALSE))))</f>
        <v>0.3133333333333333</v>
      </c>
      <c r="Y101" s="84">
        <f t="shared" si="6"/>
        <v>6.2666666666666657</v>
      </c>
      <c r="Z101" s="80">
        <f t="shared" si="7"/>
        <v>8.7037037037037024</v>
      </c>
      <c r="AA101" s="100">
        <v>4</v>
      </c>
      <c r="AB101" s="86">
        <f>+AA101*Analisis!$J$6</f>
        <v>100</v>
      </c>
      <c r="AC101" s="100">
        <v>0</v>
      </c>
      <c r="AD101" s="85">
        <f t="shared" si="8"/>
        <v>0</v>
      </c>
      <c r="AE101" s="86">
        <f>+AC101*Analisis!$J$7</f>
        <v>0</v>
      </c>
      <c r="AF101" s="308">
        <f>+H101*0.0254*I101*0.0254*2*(1+[3]Analisis!$G$2)</f>
        <v>5.0491573210199991</v>
      </c>
      <c r="AG101" s="86">
        <f>+AF101*Analisis!$J$8</f>
        <v>537.97569075153581</v>
      </c>
      <c r="AH101" s="309">
        <f t="shared" si="22"/>
        <v>2032.7826214206011</v>
      </c>
      <c r="AI101" s="86">
        <f>+AH101/(1-Analisis!G106)</f>
        <v>2032.7826214206011</v>
      </c>
      <c r="AJ101" s="86">
        <f t="shared" si="10"/>
        <v>2185.7877649683883</v>
      </c>
      <c r="AK101" s="86">
        <f t="shared" si="23"/>
        <v>0</v>
      </c>
      <c r="AL101" s="310" t="e">
        <f>+VLOOKUP(B101,#REF!,2,FALSE)</f>
        <v>#REF!</v>
      </c>
      <c r="AM101" s="311" t="e">
        <f t="shared" si="18"/>
        <v>#REF!</v>
      </c>
      <c r="AN101" s="312" t="e">
        <f t="shared" si="17"/>
        <v>#REF!</v>
      </c>
    </row>
    <row r="102" spans="1:40" s="73" customFormat="1" x14ac:dyDescent="0.25">
      <c r="A102" s="303">
        <v>71</v>
      </c>
      <c r="B102" s="304" t="s">
        <v>922</v>
      </c>
      <c r="D102" s="74">
        <f>IFERROR(VLOOKUP(B102,'REQ. PINTADO'!B:C,2,0),0)</f>
        <v>0</v>
      </c>
      <c r="E102" s="305">
        <f t="shared" si="0"/>
        <v>2804.7260618839741</v>
      </c>
      <c r="F102" s="103" t="s">
        <v>165</v>
      </c>
      <c r="G102" s="75" t="s">
        <v>147</v>
      </c>
      <c r="H102" s="90">
        <v>36.770000000000003</v>
      </c>
      <c r="I102" s="90">
        <v>116.94</v>
      </c>
      <c r="J102" s="76">
        <v>0.105</v>
      </c>
      <c r="K102" s="306">
        <v>91.59</v>
      </c>
      <c r="L102" s="78">
        <f t="shared" si="1"/>
        <v>42.927243690632167</v>
      </c>
      <c r="M102" s="58">
        <f>+VLOOKUP(F102,Material!$H$2:$M$17,6,FALSE)*H102*I102*(1+Material!$K$14)</f>
        <v>1787.1392043750002</v>
      </c>
      <c r="N102" s="79" t="str">
        <f t="shared" si="19"/>
        <v>T5.0</v>
      </c>
      <c r="O102" s="80">
        <f>+VLOOKUP(N102,[3]Material!$A$3:$B$58,2,FALSE)</f>
        <v>5000</v>
      </c>
      <c r="P102" s="79" t="s">
        <v>42</v>
      </c>
      <c r="Q102" s="79" t="str">
        <f>+VLOOKUP(F102,[3]Material!$C$2:$E$12,2,FALSE)</f>
        <v>Cal 14</v>
      </c>
      <c r="R102" s="81">
        <f>+IF(P102="ACERO A36",VLOOKUP(Q102,'[3]Velocidades Std 1500 w'!$B$2:$F$15,5,FALSE),IF(P102="INOXIDABLE",VLOOKUP(Q102,'[3]Velocidades Std 1500 w'!$B$17:$F$28,5,FALSE),IF(P102="ALUMINIO",VLOOKUP(Q102,'[3]Velocidades Std 1500 w'!$B$30:$F$38,5,FALSE))))</f>
        <v>2.0080321285140564E-6</v>
      </c>
      <c r="S102" s="82">
        <f t="shared" si="2"/>
        <v>1.0040160642570283E-2</v>
      </c>
      <c r="T102" s="83">
        <f t="shared" si="3"/>
        <v>59.269094457831336</v>
      </c>
      <c r="U102" s="307">
        <f t="shared" si="4"/>
        <v>8198.8914000000004</v>
      </c>
      <c r="V102" s="80">
        <f t="shared" si="5"/>
        <v>82.318186746987976</v>
      </c>
      <c r="W102" s="98">
        <v>0</v>
      </c>
      <c r="X102" s="84">
        <f>+IF(P102="ACERO A36",VLOOKUP(Q102,'[3]Tiempo Objeto'!$B$2:$C$12,2,FALSE),IF(P102="INOXIDABLE",VLOOKUP(Q102,'[3]Tiempo Objeto'!$B$14:$C$22,2,FALSE),IF(P102="ALUMINIO",VLOOKUP(Q102,'[3]Tiempo Objeto'!$B$24:$C$32,2,FALSE))))</f>
        <v>0.3133333333333333</v>
      </c>
      <c r="Y102" s="84">
        <f t="shared" si="6"/>
        <v>0</v>
      </c>
      <c r="Z102" s="80">
        <f t="shared" si="7"/>
        <v>0</v>
      </c>
      <c r="AA102" s="100">
        <v>0</v>
      </c>
      <c r="AB102" s="86">
        <f>+AA102*Analisis!$J$6</f>
        <v>0</v>
      </c>
      <c r="AC102" s="100">
        <v>0</v>
      </c>
      <c r="AD102" s="85">
        <f t="shared" si="8"/>
        <v>0</v>
      </c>
      <c r="AE102" s="86">
        <f>+AC102*Analisis!$J$7</f>
        <v>0</v>
      </c>
      <c r="AF102" s="308">
        <f>+H102*0.0254*I102*0.0254*2*(1+[3]Analisis!$G$2)</f>
        <v>6.9352825810200001</v>
      </c>
      <c r="AG102" s="86">
        <f>+AF102*Analisis!$J$8</f>
        <v>738.93784643010736</v>
      </c>
      <c r="AH102" s="309">
        <f t="shared" si="22"/>
        <v>2608.3952375520958</v>
      </c>
      <c r="AI102" s="86">
        <f>+AH102/(1-Analisis!G107)</f>
        <v>2608.3952375520958</v>
      </c>
      <c r="AJ102" s="86">
        <f t="shared" si="10"/>
        <v>2804.7260618839741</v>
      </c>
      <c r="AK102" s="86">
        <f t="shared" si="23"/>
        <v>0</v>
      </c>
      <c r="AL102" s="310" t="e">
        <f>+VLOOKUP(B102,#REF!,2,FALSE)</f>
        <v>#REF!</v>
      </c>
      <c r="AM102" s="311" t="e">
        <f t="shared" si="18"/>
        <v>#REF!</v>
      </c>
      <c r="AN102" s="312" t="e">
        <f t="shared" si="17"/>
        <v>#REF!</v>
      </c>
    </row>
    <row r="103" spans="1:40" s="73" customFormat="1" x14ac:dyDescent="0.25">
      <c r="A103" s="303">
        <v>72</v>
      </c>
      <c r="B103" s="304" t="s">
        <v>923</v>
      </c>
      <c r="D103" s="74">
        <f>IFERROR(VLOOKUP(B103,'REQ. PINTADO'!B:C,2,0),0)</f>
        <v>0</v>
      </c>
      <c r="E103" s="305">
        <f t="shared" si="0"/>
        <v>1305.708282138896</v>
      </c>
      <c r="F103" s="103" t="s">
        <v>164</v>
      </c>
      <c r="G103" s="75" t="s">
        <v>147</v>
      </c>
      <c r="H103" s="90">
        <v>114.7</v>
      </c>
      <c r="I103" s="90">
        <v>9.51</v>
      </c>
      <c r="J103" s="76">
        <v>0.105</v>
      </c>
      <c r="K103" s="306">
        <v>1</v>
      </c>
      <c r="L103" s="78">
        <f t="shared" si="1"/>
        <v>1662.3291781250002</v>
      </c>
      <c r="M103" s="58">
        <f>+VLOOKUP(F103,Material!$H$2:$M$17,6,FALSE)*H103*I103*(1+Material!$K$14)</f>
        <v>755.60417187500002</v>
      </c>
      <c r="N103" s="79" t="str">
        <f t="shared" si="19"/>
        <v>T5.0</v>
      </c>
      <c r="O103" s="80">
        <f>+VLOOKUP(N103,[3]Material!$A$3:$B$58,2,FALSE)</f>
        <v>5000</v>
      </c>
      <c r="P103" s="79" t="s">
        <v>42</v>
      </c>
      <c r="Q103" s="79" t="str">
        <f>+VLOOKUP(F103,[3]Material!$C$2:$E$12,2,FALSE)</f>
        <v>Cal 10</v>
      </c>
      <c r="R103" s="81">
        <f>+IF(P103="ACERO A36",VLOOKUP(Q103,'[3]Velocidades Std 1500 w'!$B$2:$F$15,5,FALSE),IF(P103="INOXIDABLE",VLOOKUP(Q103,'[3]Velocidades Std 1500 w'!$B$17:$F$28,5,FALSE),IF(P103="ALUMINIO",VLOOKUP(Q103,'[3]Velocidades Std 1500 w'!$B$30:$F$38,5,FALSE))))</f>
        <v>6.1728395061728391E-6</v>
      </c>
      <c r="S103" s="82">
        <f t="shared" si="2"/>
        <v>3.0864197530864196E-2</v>
      </c>
      <c r="T103" s="83">
        <f t="shared" si="3"/>
        <v>173.90025333333332</v>
      </c>
      <c r="U103" s="307">
        <f t="shared" si="4"/>
        <v>7825.5114000000003</v>
      </c>
      <c r="V103" s="80">
        <f t="shared" si="5"/>
        <v>241.52812962962963</v>
      </c>
      <c r="W103" s="98">
        <v>30</v>
      </c>
      <c r="X103" s="84">
        <f>+IF(P103="ACERO A36",VLOOKUP(Q103,'[3]Tiempo Objeto'!$B$2:$C$12,2,FALSE),IF(P103="INOXIDABLE",VLOOKUP(Q103,'[3]Tiempo Objeto'!$B$14:$C$22,2,FALSE),IF(P103="ALUMINIO",VLOOKUP(Q103,'[3]Tiempo Objeto'!$B$24:$C$32,2,FALSE))))</f>
        <v>0.71333333333333337</v>
      </c>
      <c r="Y103" s="84">
        <f t="shared" si="6"/>
        <v>21.400000000000002</v>
      </c>
      <c r="Z103" s="80">
        <f t="shared" si="7"/>
        <v>29.722222222222225</v>
      </c>
      <c r="AA103" s="100">
        <v>0</v>
      </c>
      <c r="AB103" s="86">
        <f>+AA103*Analisis!$J$6</f>
        <v>0</v>
      </c>
      <c r="AC103" s="100">
        <v>0</v>
      </c>
      <c r="AD103" s="85">
        <f t="shared" si="8"/>
        <v>0</v>
      </c>
      <c r="AE103" s="86">
        <f>+AC103*Analisis!$J$7</f>
        <v>0</v>
      </c>
      <c r="AF103" s="308">
        <f>+H103*0.0254*I103*0.0254*2*(1+[3]Analisis!$G$2)</f>
        <v>1.7593464812999997</v>
      </c>
      <c r="AG103" s="86">
        <f>+AF103*Analisis!$J$8</f>
        <v>187.45417866232145</v>
      </c>
      <c r="AH103" s="309">
        <f t="shared" si="22"/>
        <v>1214.3087023891733</v>
      </c>
      <c r="AI103" s="86">
        <f>+AH103/(1-Analisis!G108)</f>
        <v>1214.3087023891733</v>
      </c>
      <c r="AJ103" s="86">
        <f t="shared" si="10"/>
        <v>1305.708282138896</v>
      </c>
      <c r="AK103" s="86">
        <f t="shared" si="23"/>
        <v>0</v>
      </c>
      <c r="AL103" s="310" t="e">
        <f>+VLOOKUP(B103,#REF!,2,FALSE)</f>
        <v>#REF!</v>
      </c>
      <c r="AM103" s="311" t="e">
        <f t="shared" si="18"/>
        <v>#REF!</v>
      </c>
      <c r="AN103" s="312" t="e">
        <f t="shared" si="17"/>
        <v>#REF!</v>
      </c>
    </row>
    <row r="104" spans="1:40" s="73" customFormat="1" x14ac:dyDescent="0.25">
      <c r="A104" s="303"/>
      <c r="B104" s="304" t="s">
        <v>924</v>
      </c>
      <c r="D104" s="74">
        <f>IFERROR(VLOOKUP(B104,'REQ. PINTADO'!B:C,2,0),0)</f>
        <v>0</v>
      </c>
      <c r="E104" s="305">
        <f t="shared" si="0"/>
        <v>1359.4717229991111</v>
      </c>
      <c r="F104" s="103" t="s">
        <v>164</v>
      </c>
      <c r="G104" s="75" t="s">
        <v>147</v>
      </c>
      <c r="H104" s="90">
        <v>114.7</v>
      </c>
      <c r="I104" s="90">
        <v>9.51</v>
      </c>
      <c r="J104" s="76">
        <v>0.105</v>
      </c>
      <c r="K104" s="306">
        <v>1</v>
      </c>
      <c r="L104" s="78">
        <f t="shared" si="1"/>
        <v>1662.3291781250002</v>
      </c>
      <c r="M104" s="58">
        <f>+VLOOKUP(F104,Material!$H$2:$M$17,6,FALSE)*H104*I104*(1+Material!$K$14)</f>
        <v>755.60417187500002</v>
      </c>
      <c r="N104" s="79" t="str">
        <f t="shared" si="19"/>
        <v>T5.0</v>
      </c>
      <c r="O104" s="80">
        <f>+VLOOKUP(N104,[3]Material!$A$3:$B$58,2,FALSE)</f>
        <v>5000</v>
      </c>
      <c r="P104" s="79" t="s">
        <v>42</v>
      </c>
      <c r="Q104" s="79" t="str">
        <f>+VLOOKUP(F104,[3]Material!$C$2:$E$12,2,FALSE)</f>
        <v>Cal 10</v>
      </c>
      <c r="R104" s="81">
        <f>+IF(P104="ACERO A36",VLOOKUP(Q104,'[3]Velocidades Std 1500 w'!$B$2:$F$15,5,FALSE),IF(P104="INOXIDABLE",VLOOKUP(Q104,'[3]Velocidades Std 1500 w'!$B$17:$F$28,5,FALSE),IF(P104="ALUMINIO",VLOOKUP(Q104,'[3]Velocidades Std 1500 w'!$B$30:$F$38,5,FALSE))))</f>
        <v>6.1728395061728391E-6</v>
      </c>
      <c r="S104" s="82">
        <f t="shared" si="2"/>
        <v>3.0864197530864196E-2</v>
      </c>
      <c r="T104" s="83">
        <f t="shared" si="3"/>
        <v>173.90025333333332</v>
      </c>
      <c r="U104" s="307">
        <f t="shared" si="4"/>
        <v>7825.5114000000003</v>
      </c>
      <c r="V104" s="80">
        <f t="shared" si="5"/>
        <v>241.52812962962963</v>
      </c>
      <c r="W104" s="98">
        <v>30</v>
      </c>
      <c r="X104" s="84">
        <f>+IF(P104="ACERO A36",VLOOKUP(Q104,'[3]Tiempo Objeto'!$B$2:$C$12,2,FALSE),IF(P104="INOXIDABLE",VLOOKUP(Q104,'[3]Tiempo Objeto'!$B$14:$C$22,2,FALSE),IF(P104="ALUMINIO",VLOOKUP(Q104,'[3]Tiempo Objeto'!$B$24:$C$32,2,FALSE))))</f>
        <v>0.71333333333333337</v>
      </c>
      <c r="Y104" s="84">
        <f t="shared" si="6"/>
        <v>21.400000000000002</v>
      </c>
      <c r="Z104" s="80">
        <f t="shared" si="7"/>
        <v>29.722222222222225</v>
      </c>
      <c r="AA104" s="100">
        <v>2</v>
      </c>
      <c r="AB104" s="86">
        <f>+AA104*Analisis!$J$6</f>
        <v>50</v>
      </c>
      <c r="AC104" s="100">
        <v>0</v>
      </c>
      <c r="AD104" s="85">
        <f t="shared" si="8"/>
        <v>0</v>
      </c>
      <c r="AE104" s="86">
        <f>+AC104*Analisis!$J$7</f>
        <v>0</v>
      </c>
      <c r="AF104" s="308">
        <f>+H104*0.0254*I104*0.0254*2*(1+[3]Analisis!$G$2)</f>
        <v>1.7593464812999997</v>
      </c>
      <c r="AG104" s="86">
        <f>+AF104*Analisis!$J$8</f>
        <v>187.45417866232145</v>
      </c>
      <c r="AH104" s="309">
        <f t="shared" si="22"/>
        <v>1264.3087023891733</v>
      </c>
      <c r="AI104" s="86">
        <f>+AH104/(1-Analisis!G109)</f>
        <v>1264.3087023891733</v>
      </c>
      <c r="AJ104" s="86">
        <f t="shared" si="10"/>
        <v>1359.4717229991111</v>
      </c>
      <c r="AK104" s="86">
        <f t="shared" si="23"/>
        <v>0</v>
      </c>
      <c r="AL104" s="310" t="e">
        <f>+VLOOKUP(B104,#REF!,2,FALSE)</f>
        <v>#REF!</v>
      </c>
      <c r="AM104" s="311" t="e">
        <f t="shared" si="18"/>
        <v>#REF!</v>
      </c>
      <c r="AN104" s="312" t="e">
        <f t="shared" si="17"/>
        <v>#REF!</v>
      </c>
    </row>
    <row r="105" spans="1:40" s="73" customFormat="1" x14ac:dyDescent="0.25">
      <c r="A105" s="303">
        <v>73</v>
      </c>
      <c r="B105" s="304" t="s">
        <v>925</v>
      </c>
      <c r="D105" s="74">
        <f>IFERROR(VLOOKUP(B105,'REQ. PINTADO'!B:C,2,0),0)</f>
        <v>0</v>
      </c>
      <c r="E105" s="305">
        <f t="shared" si="0"/>
        <v>1305.708282138896</v>
      </c>
      <c r="F105" s="103" t="s">
        <v>164</v>
      </c>
      <c r="G105" s="75" t="s">
        <v>147</v>
      </c>
      <c r="H105" s="90">
        <v>114.7</v>
      </c>
      <c r="I105" s="90">
        <v>9.51</v>
      </c>
      <c r="J105" s="76">
        <v>0.105</v>
      </c>
      <c r="K105" s="306">
        <v>1</v>
      </c>
      <c r="L105" s="78">
        <f t="shared" si="1"/>
        <v>1662.3291781250002</v>
      </c>
      <c r="M105" s="58">
        <f>+VLOOKUP(F105,Material!$H$2:$M$17,6,FALSE)*H105*I105*(1+Material!$K$14)</f>
        <v>755.60417187500002</v>
      </c>
      <c r="N105" s="79" t="str">
        <f t="shared" si="19"/>
        <v>T5.0</v>
      </c>
      <c r="O105" s="80">
        <f>+VLOOKUP(N105,[3]Material!$A$3:$B$58,2,FALSE)</f>
        <v>5000</v>
      </c>
      <c r="P105" s="79" t="s">
        <v>42</v>
      </c>
      <c r="Q105" s="79" t="str">
        <f>+VLOOKUP(F105,[3]Material!$C$2:$E$12,2,FALSE)</f>
        <v>Cal 10</v>
      </c>
      <c r="R105" s="81">
        <f>+IF(P105="ACERO A36",VLOOKUP(Q105,'[3]Velocidades Std 1500 w'!$B$2:$F$15,5,FALSE),IF(P105="INOXIDABLE",VLOOKUP(Q105,'[3]Velocidades Std 1500 w'!$B$17:$F$28,5,FALSE),IF(P105="ALUMINIO",VLOOKUP(Q105,'[3]Velocidades Std 1500 w'!$B$30:$F$38,5,FALSE))))</f>
        <v>6.1728395061728391E-6</v>
      </c>
      <c r="S105" s="82">
        <f t="shared" si="2"/>
        <v>3.0864197530864196E-2</v>
      </c>
      <c r="T105" s="83">
        <f t="shared" si="3"/>
        <v>173.90025333333332</v>
      </c>
      <c r="U105" s="307">
        <f t="shared" si="4"/>
        <v>7825.5114000000003</v>
      </c>
      <c r="V105" s="80">
        <f t="shared" si="5"/>
        <v>241.52812962962963</v>
      </c>
      <c r="W105" s="98">
        <v>30</v>
      </c>
      <c r="X105" s="84">
        <f>+IF(P105="ACERO A36",VLOOKUP(Q105,'[3]Tiempo Objeto'!$B$2:$C$12,2,FALSE),IF(P105="INOXIDABLE",VLOOKUP(Q105,'[3]Tiempo Objeto'!$B$14:$C$22,2,FALSE),IF(P105="ALUMINIO",VLOOKUP(Q105,'[3]Tiempo Objeto'!$B$24:$C$32,2,FALSE))))</f>
        <v>0.71333333333333337</v>
      </c>
      <c r="Y105" s="84">
        <f t="shared" si="6"/>
        <v>21.400000000000002</v>
      </c>
      <c r="Z105" s="80">
        <f t="shared" si="7"/>
        <v>29.722222222222225</v>
      </c>
      <c r="AA105" s="100">
        <v>0</v>
      </c>
      <c r="AB105" s="86">
        <f>+AA105*Analisis!$J$6</f>
        <v>0</v>
      </c>
      <c r="AC105" s="100">
        <v>0</v>
      </c>
      <c r="AD105" s="85">
        <f t="shared" si="8"/>
        <v>0</v>
      </c>
      <c r="AE105" s="86">
        <f>+AC105*Analisis!$J$7</f>
        <v>0</v>
      </c>
      <c r="AF105" s="308">
        <f>+H105*0.0254*I105*0.0254*2*(1+[3]Analisis!$G$2)</f>
        <v>1.7593464812999997</v>
      </c>
      <c r="AG105" s="86">
        <f>+AF105*Analisis!$J$8</f>
        <v>187.45417866232145</v>
      </c>
      <c r="AH105" s="309">
        <f t="shared" si="22"/>
        <v>1214.3087023891733</v>
      </c>
      <c r="AI105" s="86">
        <f>+AH105/(1-Analisis!G110)</f>
        <v>1214.3087023891733</v>
      </c>
      <c r="AJ105" s="86">
        <f t="shared" si="10"/>
        <v>1305.708282138896</v>
      </c>
      <c r="AK105" s="86">
        <f t="shared" si="23"/>
        <v>0</v>
      </c>
      <c r="AL105" s="310" t="e">
        <f>+VLOOKUP(B105,#REF!,2,FALSE)</f>
        <v>#REF!</v>
      </c>
      <c r="AM105" s="311" t="e">
        <f t="shared" si="18"/>
        <v>#REF!</v>
      </c>
      <c r="AN105" s="312" t="e">
        <f t="shared" si="17"/>
        <v>#REF!</v>
      </c>
    </row>
    <row r="106" spans="1:40" s="73" customFormat="1" x14ac:dyDescent="0.25">
      <c r="A106" s="303"/>
      <c r="B106" s="304" t="s">
        <v>926</v>
      </c>
      <c r="D106" s="74">
        <f>IFERROR(VLOOKUP(B106,'REQ. PINTADO'!B:C,2,0),0)</f>
        <v>0</v>
      </c>
      <c r="E106" s="305">
        <f t="shared" si="0"/>
        <v>1359.4717229991111</v>
      </c>
      <c r="F106" s="103" t="s">
        <v>164</v>
      </c>
      <c r="G106" s="75" t="s">
        <v>147</v>
      </c>
      <c r="H106" s="90">
        <v>114.7</v>
      </c>
      <c r="I106" s="90">
        <v>9.51</v>
      </c>
      <c r="J106" s="76">
        <v>0.105</v>
      </c>
      <c r="K106" s="306">
        <v>1</v>
      </c>
      <c r="L106" s="78">
        <f t="shared" si="1"/>
        <v>1662.3291781250002</v>
      </c>
      <c r="M106" s="58">
        <f>+VLOOKUP(F106,Material!$H$2:$M$17,6,FALSE)*H106*I106*(1+Material!$K$14)</f>
        <v>755.60417187500002</v>
      </c>
      <c r="N106" s="79" t="str">
        <f t="shared" si="19"/>
        <v>T5.0</v>
      </c>
      <c r="O106" s="80">
        <f>+VLOOKUP(N106,[3]Material!$A$3:$B$58,2,FALSE)</f>
        <v>5000</v>
      </c>
      <c r="P106" s="79" t="s">
        <v>42</v>
      </c>
      <c r="Q106" s="79" t="str">
        <f>+VLOOKUP(F106,[3]Material!$C$2:$E$12,2,FALSE)</f>
        <v>Cal 10</v>
      </c>
      <c r="R106" s="81">
        <f>+IF(P106="ACERO A36",VLOOKUP(Q106,'[3]Velocidades Std 1500 w'!$B$2:$F$15,5,FALSE),IF(P106="INOXIDABLE",VLOOKUP(Q106,'[3]Velocidades Std 1500 w'!$B$17:$F$28,5,FALSE),IF(P106="ALUMINIO",VLOOKUP(Q106,'[3]Velocidades Std 1500 w'!$B$30:$F$38,5,FALSE))))</f>
        <v>6.1728395061728391E-6</v>
      </c>
      <c r="S106" s="82">
        <f t="shared" si="2"/>
        <v>3.0864197530864196E-2</v>
      </c>
      <c r="T106" s="83">
        <f t="shared" si="3"/>
        <v>173.90025333333332</v>
      </c>
      <c r="U106" s="307">
        <f t="shared" si="4"/>
        <v>7825.5114000000003</v>
      </c>
      <c r="V106" s="80">
        <f t="shared" si="5"/>
        <v>241.52812962962963</v>
      </c>
      <c r="W106" s="98">
        <v>30</v>
      </c>
      <c r="X106" s="84">
        <f>+IF(P106="ACERO A36",VLOOKUP(Q106,'[3]Tiempo Objeto'!$B$2:$C$12,2,FALSE),IF(P106="INOXIDABLE",VLOOKUP(Q106,'[3]Tiempo Objeto'!$B$14:$C$22,2,FALSE),IF(P106="ALUMINIO",VLOOKUP(Q106,'[3]Tiempo Objeto'!$B$24:$C$32,2,FALSE))))</f>
        <v>0.71333333333333337</v>
      </c>
      <c r="Y106" s="84">
        <f t="shared" si="6"/>
        <v>21.400000000000002</v>
      </c>
      <c r="Z106" s="80">
        <f t="shared" si="7"/>
        <v>29.722222222222225</v>
      </c>
      <c r="AA106" s="100">
        <v>2</v>
      </c>
      <c r="AB106" s="86">
        <f>+AA106*Analisis!$J$6</f>
        <v>50</v>
      </c>
      <c r="AC106" s="100">
        <v>0</v>
      </c>
      <c r="AD106" s="85">
        <f t="shared" si="8"/>
        <v>0</v>
      </c>
      <c r="AE106" s="86">
        <f>+AC106*Analisis!$J$7</f>
        <v>0</v>
      </c>
      <c r="AF106" s="308">
        <f>+H106*0.0254*I106*0.0254*2*(1+[3]Analisis!$G$2)</f>
        <v>1.7593464812999997</v>
      </c>
      <c r="AG106" s="86">
        <f>+AF106*Analisis!$J$8</f>
        <v>187.45417866232145</v>
      </c>
      <c r="AH106" s="309">
        <f t="shared" si="22"/>
        <v>1264.3087023891733</v>
      </c>
      <c r="AI106" s="86">
        <f>+AH106/(1-Analisis!G111)</f>
        <v>1264.3087023891733</v>
      </c>
      <c r="AJ106" s="86">
        <f t="shared" si="10"/>
        <v>1359.4717229991111</v>
      </c>
      <c r="AK106" s="86">
        <f t="shared" si="23"/>
        <v>0</v>
      </c>
      <c r="AL106" s="310" t="e">
        <f>+VLOOKUP(B106,#REF!,2,FALSE)</f>
        <v>#REF!</v>
      </c>
      <c r="AM106" s="311" t="e">
        <f t="shared" si="18"/>
        <v>#REF!</v>
      </c>
      <c r="AN106" s="312" t="e">
        <f t="shared" si="17"/>
        <v>#REF!</v>
      </c>
    </row>
    <row r="107" spans="1:40" s="73" customFormat="1" x14ac:dyDescent="0.25">
      <c r="A107" s="303">
        <v>74</v>
      </c>
      <c r="B107" s="304" t="s">
        <v>927</v>
      </c>
      <c r="D107" s="74">
        <f>IFERROR(VLOOKUP(B107,'REQ. PINTADO'!B:C,2,0),0)</f>
        <v>0</v>
      </c>
      <c r="E107" s="305">
        <f t="shared" si="0"/>
        <v>243.5957616070956</v>
      </c>
      <c r="F107" s="103" t="s">
        <v>163</v>
      </c>
      <c r="G107" s="75" t="s">
        <v>147</v>
      </c>
      <c r="H107" s="90">
        <v>2.82</v>
      </c>
      <c r="I107" s="90">
        <v>21.9</v>
      </c>
      <c r="J107" s="76">
        <v>0.105</v>
      </c>
      <c r="K107" s="306">
        <v>1</v>
      </c>
      <c r="L107" s="78">
        <f t="shared" si="1"/>
        <v>50.99990489775432</v>
      </c>
      <c r="M107" s="58">
        <f>+VLOOKUP(F107,Material!$H$2:$M$17,6,FALSE)*H107*I107*(1+Material!$K$14)</f>
        <v>23.181774953524688</v>
      </c>
      <c r="N107" s="79" t="str">
        <f t="shared" si="19"/>
        <v>T5.0</v>
      </c>
      <c r="O107" s="80">
        <f>+VLOOKUP(N107,[3]Material!$A$3:$B$58,2,FALSE)</f>
        <v>5000</v>
      </c>
      <c r="P107" s="79" t="s">
        <v>42</v>
      </c>
      <c r="Q107" s="79" t="str">
        <f>+VLOOKUP(F107,[3]Material!$C$2:$E$12,2,FALSE)</f>
        <v>Cal 12</v>
      </c>
      <c r="R107" s="81">
        <f>+IF(P107="ACERO A36",VLOOKUP(Q107,'[3]Velocidades Std 1500 w'!$B$2:$F$15,5,FALSE),IF(P107="INOXIDABLE",VLOOKUP(Q107,'[3]Velocidades Std 1500 w'!$B$17:$F$28,5,FALSE),IF(P107="ALUMINIO",VLOOKUP(Q107,'[3]Velocidades Std 1500 w'!$B$30:$F$38,5,FALSE))))</f>
        <v>4.3859649122807014E-6</v>
      </c>
      <c r="S107" s="82">
        <f t="shared" si="2"/>
        <v>2.1929824561403508E-2</v>
      </c>
      <c r="T107" s="83">
        <f t="shared" si="3"/>
        <v>25.872707368421047</v>
      </c>
      <c r="U107" s="307">
        <f t="shared" si="4"/>
        <v>1638.6047999999998</v>
      </c>
      <c r="V107" s="80">
        <f t="shared" si="5"/>
        <v>35.934315789473679</v>
      </c>
      <c r="W107" s="98">
        <v>8</v>
      </c>
      <c r="X107" s="84">
        <f>+IF(P107="ACERO A36",VLOOKUP(Q107,'[3]Tiempo Objeto'!$B$2:$C$12,2,FALSE),IF(P107="INOXIDABLE",VLOOKUP(Q107,'[3]Tiempo Objeto'!$B$14:$C$22,2,FALSE),IF(P107="ALUMINIO",VLOOKUP(Q107,'[3]Tiempo Objeto'!$B$24:$C$32,2,FALSE))))</f>
        <v>0.6133333333333334</v>
      </c>
      <c r="Y107" s="84">
        <f t="shared" si="6"/>
        <v>4.9066666666666672</v>
      </c>
      <c r="Z107" s="80">
        <f t="shared" si="7"/>
        <v>6.8148148148148158</v>
      </c>
      <c r="AA107" s="100">
        <v>6</v>
      </c>
      <c r="AB107" s="86">
        <f>+AA107*Analisis!$J$6</f>
        <v>150</v>
      </c>
      <c r="AC107" s="100">
        <v>0</v>
      </c>
      <c r="AD107" s="85">
        <f t="shared" si="8"/>
        <v>0</v>
      </c>
      <c r="AE107" s="86">
        <f>+AC107*Analisis!$J$7</f>
        <v>0</v>
      </c>
      <c r="AF107" s="308">
        <f>+H107*0.0254*I107*0.0254*2*(1+[3]Analisis!$G$2)</f>
        <v>9.9609478199999976E-2</v>
      </c>
      <c r="AG107" s="86">
        <f>+AF107*Analisis!$J$8</f>
        <v>10.613152736785715</v>
      </c>
      <c r="AH107" s="309">
        <f t="shared" si="22"/>
        <v>226.5440582945989</v>
      </c>
      <c r="AI107" s="86">
        <f>+AH107/(1-Analisis!G112)</f>
        <v>226.5440582945989</v>
      </c>
      <c r="AJ107" s="86">
        <f t="shared" si="10"/>
        <v>243.5957616070956</v>
      </c>
      <c r="AK107" s="86">
        <f t="shared" si="23"/>
        <v>0</v>
      </c>
      <c r="AL107" s="310" t="e">
        <f>+VLOOKUP(B107,#REF!,2,FALSE)</f>
        <v>#REF!</v>
      </c>
      <c r="AM107" s="311" t="e">
        <f t="shared" si="18"/>
        <v>#REF!</v>
      </c>
      <c r="AN107" s="312" t="e">
        <f t="shared" si="17"/>
        <v>#REF!</v>
      </c>
    </row>
    <row r="108" spans="1:40" s="73" customFormat="1" x14ac:dyDescent="0.25">
      <c r="A108" s="303">
        <v>75</v>
      </c>
      <c r="B108" s="304" t="s">
        <v>928</v>
      </c>
      <c r="D108" s="74">
        <f>IFERROR(VLOOKUP(B108,'REQ. PINTADO'!B:C,2,0),0)</f>
        <v>0</v>
      </c>
      <c r="E108" s="305">
        <f t="shared" si="0"/>
        <v>219.00311886757368</v>
      </c>
      <c r="F108" s="103" t="s">
        <v>163</v>
      </c>
      <c r="G108" s="75" t="s">
        <v>147</v>
      </c>
      <c r="H108" s="90">
        <v>2.82</v>
      </c>
      <c r="I108" s="90">
        <v>31.9</v>
      </c>
      <c r="J108" s="76">
        <v>0.105</v>
      </c>
      <c r="K108" s="306">
        <v>1</v>
      </c>
      <c r="L108" s="78">
        <f t="shared" si="1"/>
        <v>74.287532704948077</v>
      </c>
      <c r="M108" s="58">
        <f>+VLOOKUP(F108,Material!$H$2:$M$17,6,FALSE)*H108*I108*(1+Material!$K$14)</f>
        <v>33.767060320430943</v>
      </c>
      <c r="N108" s="79" t="str">
        <f t="shared" si="19"/>
        <v>T5.0</v>
      </c>
      <c r="O108" s="80">
        <f>+VLOOKUP(N108,[3]Material!$A$3:$B$58,2,FALSE)</f>
        <v>5000</v>
      </c>
      <c r="P108" s="79" t="s">
        <v>42</v>
      </c>
      <c r="Q108" s="79" t="str">
        <f>+VLOOKUP(F108,[3]Material!$C$2:$E$12,2,FALSE)</f>
        <v>Cal 12</v>
      </c>
      <c r="R108" s="81">
        <f>+IF(P108="ACERO A36",VLOOKUP(Q108,'[3]Velocidades Std 1500 w'!$B$2:$F$15,5,FALSE),IF(P108="INOXIDABLE",VLOOKUP(Q108,'[3]Velocidades Std 1500 w'!$B$17:$F$28,5,FALSE),IF(P108="ALUMINIO",VLOOKUP(Q108,'[3]Velocidades Std 1500 w'!$B$30:$F$38,5,FALSE))))</f>
        <v>4.3859649122807014E-6</v>
      </c>
      <c r="S108" s="82">
        <f t="shared" si="2"/>
        <v>2.1929824561403508E-2</v>
      </c>
      <c r="T108" s="83">
        <f t="shared" si="3"/>
        <v>34.294812631578949</v>
      </c>
      <c r="U108" s="307">
        <f t="shared" si="4"/>
        <v>2172.0048000000002</v>
      </c>
      <c r="V108" s="80">
        <f t="shared" si="5"/>
        <v>47.631684210526316</v>
      </c>
      <c r="W108" s="98">
        <v>8</v>
      </c>
      <c r="X108" s="84">
        <f>+IF(P108="ACERO A36",VLOOKUP(Q108,'[3]Tiempo Objeto'!$B$2:$C$12,2,FALSE),IF(P108="INOXIDABLE",VLOOKUP(Q108,'[3]Tiempo Objeto'!$B$14:$C$22,2,FALSE),IF(P108="ALUMINIO",VLOOKUP(Q108,'[3]Tiempo Objeto'!$B$24:$C$32,2,FALSE))))</f>
        <v>0.6133333333333334</v>
      </c>
      <c r="Y108" s="84">
        <f t="shared" si="6"/>
        <v>4.9066666666666672</v>
      </c>
      <c r="Z108" s="80">
        <f t="shared" si="7"/>
        <v>6.8148148148148158</v>
      </c>
      <c r="AA108" s="100">
        <v>4</v>
      </c>
      <c r="AB108" s="86">
        <f>+AA108*Analisis!$J$6</f>
        <v>100</v>
      </c>
      <c r="AC108" s="100">
        <v>0</v>
      </c>
      <c r="AD108" s="85">
        <f t="shared" si="8"/>
        <v>0</v>
      </c>
      <c r="AE108" s="86">
        <f>+AC108*Analisis!$J$7</f>
        <v>0</v>
      </c>
      <c r="AF108" s="308">
        <f>+H108*0.0254*I108*0.0254*2*(1+[3]Analisis!$G$2)</f>
        <v>0.14509325819999999</v>
      </c>
      <c r="AG108" s="86">
        <f>+AF108*Analisis!$J$8</f>
        <v>15.459341201071432</v>
      </c>
      <c r="AH108" s="309">
        <f t="shared" si="22"/>
        <v>203.67290054684349</v>
      </c>
      <c r="AI108" s="86">
        <f>+AH108/(1-Analisis!G113)</f>
        <v>203.67290054684349</v>
      </c>
      <c r="AJ108" s="86">
        <f t="shared" si="10"/>
        <v>219.00311886757368</v>
      </c>
      <c r="AK108" s="86">
        <f t="shared" si="23"/>
        <v>0</v>
      </c>
      <c r="AL108" s="310" t="e">
        <f>+VLOOKUP(B108,#REF!,2,FALSE)</f>
        <v>#REF!</v>
      </c>
      <c r="AM108" s="311" t="e">
        <f t="shared" si="18"/>
        <v>#REF!</v>
      </c>
      <c r="AN108" s="312" t="e">
        <f t="shared" si="17"/>
        <v>#REF!</v>
      </c>
    </row>
    <row r="109" spans="1:40" s="73" customFormat="1" x14ac:dyDescent="0.25">
      <c r="A109" s="303">
        <v>76</v>
      </c>
      <c r="B109" s="304" t="s">
        <v>929</v>
      </c>
      <c r="D109" s="74">
        <f>IFERROR(VLOOKUP(B109,'REQ. PINTADO'!B:C,2,0),0)</f>
        <v>0</v>
      </c>
      <c r="E109" s="305">
        <f t="shared" si="0"/>
        <v>294.71546593023612</v>
      </c>
      <c r="F109" s="103" t="s">
        <v>165</v>
      </c>
      <c r="G109" s="75" t="s">
        <v>147</v>
      </c>
      <c r="H109" s="90">
        <v>9.75</v>
      </c>
      <c r="I109" s="90">
        <v>21.9</v>
      </c>
      <c r="J109" s="76">
        <v>0.105</v>
      </c>
      <c r="K109" s="306">
        <v>1</v>
      </c>
      <c r="L109" s="78">
        <f t="shared" si="1"/>
        <v>195.24192187500003</v>
      </c>
      <c r="M109" s="58">
        <f>+VLOOKUP(F109,Material!$H$2:$M$17,6,FALSE)*H109*I109*(1+Material!$K$14)</f>
        <v>88.746328125000005</v>
      </c>
      <c r="N109" s="79" t="str">
        <f t="shared" si="19"/>
        <v>T5.0</v>
      </c>
      <c r="O109" s="80">
        <f>+VLOOKUP(N109,[3]Material!$A$3:$B$58,2,FALSE)</f>
        <v>5000</v>
      </c>
      <c r="P109" s="79" t="s">
        <v>42</v>
      </c>
      <c r="Q109" s="79" t="str">
        <f>+VLOOKUP(F109,[3]Material!$C$2:$E$12,2,FALSE)</f>
        <v>Cal 14</v>
      </c>
      <c r="R109" s="81">
        <f>+IF(P109="ACERO A36",VLOOKUP(Q109,'[3]Velocidades Std 1500 w'!$B$2:$F$15,5,FALSE),IF(P109="INOXIDABLE",VLOOKUP(Q109,'[3]Velocidades Std 1500 w'!$B$17:$F$28,5,FALSE),IF(P109="ALUMINIO",VLOOKUP(Q109,'[3]Velocidades Std 1500 w'!$B$30:$F$38,5,FALSE))))</f>
        <v>2.0080321285140564E-6</v>
      </c>
      <c r="S109" s="82">
        <f t="shared" si="2"/>
        <v>1.0040160642570283E-2</v>
      </c>
      <c r="T109" s="83">
        <f t="shared" si="3"/>
        <v>14.517477108433738</v>
      </c>
      <c r="U109" s="307">
        <f t="shared" si="4"/>
        <v>2008.251</v>
      </c>
      <c r="V109" s="80">
        <f t="shared" si="5"/>
        <v>20.163162650602413</v>
      </c>
      <c r="W109" s="98">
        <v>8</v>
      </c>
      <c r="X109" s="84">
        <f>+IF(P109="ACERO A36",VLOOKUP(Q109,'[3]Tiempo Objeto'!$B$2:$C$12,2,FALSE),IF(P109="INOXIDABLE",VLOOKUP(Q109,'[3]Tiempo Objeto'!$B$14:$C$22,2,FALSE),IF(P109="ALUMINIO",VLOOKUP(Q109,'[3]Tiempo Objeto'!$B$24:$C$32,2,FALSE))))</f>
        <v>0.3133333333333333</v>
      </c>
      <c r="Y109" s="84">
        <f t="shared" si="6"/>
        <v>2.5066666666666664</v>
      </c>
      <c r="Z109" s="80">
        <f t="shared" si="7"/>
        <v>3.481481481481481</v>
      </c>
      <c r="AA109" s="100">
        <v>5</v>
      </c>
      <c r="AB109" s="86">
        <f>+AA109*Analisis!$J$6</f>
        <v>125</v>
      </c>
      <c r="AC109" s="100">
        <v>0</v>
      </c>
      <c r="AD109" s="85">
        <f t="shared" si="8"/>
        <v>0</v>
      </c>
      <c r="AE109" s="86">
        <f>+AC109*Analisis!$J$7</f>
        <v>0</v>
      </c>
      <c r="AF109" s="308">
        <f>+H109*0.0254*I109*0.0254*2*(1+[3]Analisis!$G$2)</f>
        <v>0.34439447249999988</v>
      </c>
      <c r="AG109" s="86">
        <f>+AF109*Analisis!$J$8</f>
        <v>36.694411058035712</v>
      </c>
      <c r="AH109" s="309">
        <f t="shared" si="22"/>
        <v>274.0853833151196</v>
      </c>
      <c r="AI109" s="86">
        <f>+AH109/(1-Analisis!G114)</f>
        <v>274.0853833151196</v>
      </c>
      <c r="AJ109" s="86">
        <f t="shared" si="10"/>
        <v>294.71546593023612</v>
      </c>
      <c r="AK109" s="86">
        <f t="shared" si="23"/>
        <v>0</v>
      </c>
      <c r="AL109" s="310" t="e">
        <f>+VLOOKUP(B109,#REF!,2,FALSE)</f>
        <v>#REF!</v>
      </c>
      <c r="AM109" s="311" t="e">
        <f t="shared" si="18"/>
        <v>#REF!</v>
      </c>
      <c r="AN109" s="312" t="e">
        <f t="shared" si="17"/>
        <v>#REF!</v>
      </c>
    </row>
    <row r="110" spans="1:40" s="73" customFormat="1" x14ac:dyDescent="0.25">
      <c r="A110" s="303">
        <v>77</v>
      </c>
      <c r="B110" s="304" t="s">
        <v>930</v>
      </c>
      <c r="D110" s="74">
        <f>IFERROR(VLOOKUP(B110,'REQ. PINTADO'!B:C,2,0),0)</f>
        <v>0</v>
      </c>
      <c r="E110" s="305">
        <f t="shared" si="0"/>
        <v>308.30073262489498</v>
      </c>
      <c r="F110" s="103" t="s">
        <v>165</v>
      </c>
      <c r="G110" s="75" t="s">
        <v>147</v>
      </c>
      <c r="H110" s="90">
        <v>9.75</v>
      </c>
      <c r="I110" s="90">
        <v>31.9</v>
      </c>
      <c r="J110" s="76">
        <v>0.105</v>
      </c>
      <c r="K110" s="306">
        <v>1</v>
      </c>
      <c r="L110" s="78">
        <f t="shared" si="1"/>
        <v>284.39348437500007</v>
      </c>
      <c r="M110" s="58">
        <f>+VLOOKUP(F110,Material!$H$2:$M$17,6,FALSE)*H110*I110*(1+Material!$K$14)</f>
        <v>129.26976562500002</v>
      </c>
      <c r="N110" s="79" t="str">
        <f t="shared" si="19"/>
        <v>T5.0</v>
      </c>
      <c r="O110" s="80">
        <f>+VLOOKUP(N110,[3]Material!$A$3:$B$58,2,FALSE)</f>
        <v>5000</v>
      </c>
      <c r="P110" s="79" t="s">
        <v>42</v>
      </c>
      <c r="Q110" s="79" t="str">
        <f>+VLOOKUP(F110,[3]Material!$C$2:$E$12,2,FALSE)</f>
        <v>Cal 14</v>
      </c>
      <c r="R110" s="81">
        <f>+IF(P110="ACERO A36",VLOOKUP(Q110,'[3]Velocidades Std 1500 w'!$B$2:$F$15,5,FALSE),IF(P110="INOXIDABLE",VLOOKUP(Q110,'[3]Velocidades Std 1500 w'!$B$17:$F$28,5,FALSE),IF(P110="ALUMINIO",VLOOKUP(Q110,'[3]Velocidades Std 1500 w'!$B$30:$F$38,5,FALSE))))</f>
        <v>2.0080321285140564E-6</v>
      </c>
      <c r="S110" s="82">
        <f t="shared" si="2"/>
        <v>1.0040160642570283E-2</v>
      </c>
      <c r="T110" s="83">
        <f t="shared" si="3"/>
        <v>18.373380722891564</v>
      </c>
      <c r="U110" s="307">
        <f t="shared" si="4"/>
        <v>2541.6509999999998</v>
      </c>
      <c r="V110" s="80">
        <f t="shared" si="5"/>
        <v>25.518584337349399</v>
      </c>
      <c r="W110" s="98">
        <v>8</v>
      </c>
      <c r="X110" s="84">
        <f>+IF(P110="ACERO A36",VLOOKUP(Q110,'[3]Tiempo Objeto'!$B$2:$C$12,2,FALSE),IF(P110="INOXIDABLE",VLOOKUP(Q110,'[3]Tiempo Objeto'!$B$14:$C$22,2,FALSE),IF(P110="ALUMINIO",VLOOKUP(Q110,'[3]Tiempo Objeto'!$B$24:$C$32,2,FALSE))))</f>
        <v>0.3133333333333333</v>
      </c>
      <c r="Y110" s="84">
        <f t="shared" si="6"/>
        <v>2.5066666666666664</v>
      </c>
      <c r="Z110" s="80">
        <f t="shared" si="7"/>
        <v>3.481481481481481</v>
      </c>
      <c r="AA110" s="100">
        <v>3</v>
      </c>
      <c r="AB110" s="86">
        <f>+AA110*Analisis!$J$6</f>
        <v>75</v>
      </c>
      <c r="AC110" s="100">
        <v>0</v>
      </c>
      <c r="AD110" s="85">
        <f t="shared" si="8"/>
        <v>0</v>
      </c>
      <c r="AE110" s="86">
        <f>+AC110*Analisis!$J$7</f>
        <v>0</v>
      </c>
      <c r="AF110" s="308">
        <f>+H110*0.0254*I110*0.0254*2*(1+[3]Analisis!$G$2)</f>
        <v>0.50165222249999986</v>
      </c>
      <c r="AG110" s="86">
        <f>+AF110*Analisis!$J$8</f>
        <v>53.449849897321428</v>
      </c>
      <c r="AH110" s="309">
        <f t="shared" si="22"/>
        <v>286.7196813411523</v>
      </c>
      <c r="AI110" s="86">
        <f>+AH110/(1-Analisis!G115)</f>
        <v>286.7196813411523</v>
      </c>
      <c r="AJ110" s="86">
        <f t="shared" si="10"/>
        <v>308.30073262489498</v>
      </c>
      <c r="AK110" s="86">
        <f t="shared" si="23"/>
        <v>0</v>
      </c>
      <c r="AL110" s="310" t="e">
        <f>+VLOOKUP(B110,#REF!,2,FALSE)</f>
        <v>#REF!</v>
      </c>
      <c r="AM110" s="311" t="e">
        <f t="shared" si="18"/>
        <v>#REF!</v>
      </c>
      <c r="AN110" s="312" t="e">
        <f t="shared" si="17"/>
        <v>#REF!</v>
      </c>
    </row>
    <row r="111" spans="1:40" s="73" customFormat="1" x14ac:dyDescent="0.25">
      <c r="A111" s="303">
        <v>78</v>
      </c>
      <c r="B111" s="304" t="s">
        <v>931</v>
      </c>
      <c r="D111" s="74">
        <f>IFERROR(VLOOKUP(B111,'REQ. PINTADO'!B:C,2,0),0)</f>
        <v>0</v>
      </c>
      <c r="E111" s="305">
        <f t="shared" si="0"/>
        <v>162.67072023887772</v>
      </c>
      <c r="F111" s="103" t="s">
        <v>163</v>
      </c>
      <c r="G111" s="75" t="s">
        <v>147</v>
      </c>
      <c r="H111" s="90">
        <v>1.98</v>
      </c>
      <c r="I111" s="90">
        <v>6.8</v>
      </c>
      <c r="J111" s="76">
        <v>0.105</v>
      </c>
      <c r="K111" s="306">
        <v>0.4</v>
      </c>
      <c r="L111" s="78">
        <f t="shared" si="1"/>
        <v>27.796508935820629</v>
      </c>
      <c r="M111" s="58">
        <f>+VLOOKUP(F111,Material!$H$2:$M$17,6,FALSE)*H111*I111*(1+Material!$K$14)</f>
        <v>5.0539107156037506</v>
      </c>
      <c r="N111" s="79" t="str">
        <f t="shared" si="19"/>
        <v>T5.0</v>
      </c>
      <c r="O111" s="80">
        <f>+VLOOKUP(N111,[3]Material!$A$3:$B$58,2,FALSE)</f>
        <v>5000</v>
      </c>
      <c r="P111" s="79" t="s">
        <v>42</v>
      </c>
      <c r="Q111" s="79" t="str">
        <f>+VLOOKUP(F111,[3]Material!$C$2:$E$12,2,FALSE)</f>
        <v>Cal 12</v>
      </c>
      <c r="R111" s="81">
        <f>+IF(P111="ACERO A36",VLOOKUP(Q111,'[3]Velocidades Std 1500 w'!$B$2:$F$15,5,FALSE),IF(P111="INOXIDABLE",VLOOKUP(Q111,'[3]Velocidades Std 1500 w'!$B$17:$F$28,5,FALSE),IF(P111="ALUMINIO",VLOOKUP(Q111,'[3]Velocidades Std 1500 w'!$B$30:$F$38,5,FALSE))))</f>
        <v>4.3859649122807014E-6</v>
      </c>
      <c r="S111" s="82">
        <f t="shared" si="2"/>
        <v>2.1929824561403508E-2</v>
      </c>
      <c r="T111" s="83">
        <f t="shared" si="3"/>
        <v>10.552897894736839</v>
      </c>
      <c r="U111" s="307">
        <f t="shared" si="4"/>
        <v>668.35019999999986</v>
      </c>
      <c r="V111" s="80">
        <f t="shared" si="5"/>
        <v>14.656802631578943</v>
      </c>
      <c r="W111" s="98">
        <v>5</v>
      </c>
      <c r="X111" s="84">
        <f>+IF(P111="ACERO A36",VLOOKUP(Q111,'[3]Tiempo Objeto'!$B$2:$C$12,2,FALSE),IF(P111="INOXIDABLE",VLOOKUP(Q111,'[3]Tiempo Objeto'!$B$14:$C$22,2,FALSE),IF(P111="ALUMINIO",VLOOKUP(Q111,'[3]Tiempo Objeto'!$B$24:$C$32,2,FALSE))))</f>
        <v>0.6133333333333334</v>
      </c>
      <c r="Y111" s="84">
        <f t="shared" si="6"/>
        <v>3.0666666666666669</v>
      </c>
      <c r="Z111" s="80">
        <f t="shared" si="7"/>
        <v>4.2592592592592595</v>
      </c>
      <c r="AA111" s="100">
        <v>5</v>
      </c>
      <c r="AB111" s="86">
        <f>+AA111*Analisis!$J$6</f>
        <v>125</v>
      </c>
      <c r="AC111" s="100">
        <v>0</v>
      </c>
      <c r="AD111" s="85">
        <f t="shared" si="8"/>
        <v>0</v>
      </c>
      <c r="AE111" s="86">
        <f>+AC111*Analisis!$J$7</f>
        <v>0</v>
      </c>
      <c r="AF111" s="308">
        <f>+H111*0.0254*I111*0.0254*2*(1+[3]Analisis!$G$2)</f>
        <v>2.1716085599999997E-2</v>
      </c>
      <c r="AG111" s="86">
        <f>+AF111*Analisis!$J$8</f>
        <v>2.3137972157142861</v>
      </c>
      <c r="AH111" s="309">
        <f t="shared" si="22"/>
        <v>151.28376982215627</v>
      </c>
      <c r="AI111" s="86">
        <f>+AH111/(1-Analisis!G116)</f>
        <v>151.28376982215627</v>
      </c>
      <c r="AJ111" s="86">
        <f t="shared" si="10"/>
        <v>162.67072023887772</v>
      </c>
      <c r="AK111" s="86">
        <f t="shared" si="23"/>
        <v>0</v>
      </c>
      <c r="AL111" s="310" t="e">
        <f>+VLOOKUP(B111,#REF!,2,FALSE)</f>
        <v>#REF!</v>
      </c>
      <c r="AM111" s="311" t="e">
        <f t="shared" si="18"/>
        <v>#REF!</v>
      </c>
      <c r="AN111" s="312" t="e">
        <f t="shared" si="17"/>
        <v>#REF!</v>
      </c>
    </row>
    <row r="112" spans="1:40" s="73" customFormat="1" x14ac:dyDescent="0.25">
      <c r="A112" s="303">
        <v>79</v>
      </c>
      <c r="B112" s="304" t="s">
        <v>932</v>
      </c>
      <c r="D112" s="74">
        <f>IFERROR(VLOOKUP(B112,'REQ. PINTADO'!B:C,2,0),0)</f>
        <v>0</v>
      </c>
      <c r="E112" s="305">
        <f t="shared" si="0"/>
        <v>203.16600351401766</v>
      </c>
      <c r="F112" s="103" t="s">
        <v>166</v>
      </c>
      <c r="G112" s="75" t="s">
        <v>147</v>
      </c>
      <c r="H112" s="90">
        <v>6.09</v>
      </c>
      <c r="I112" s="90">
        <v>20.43</v>
      </c>
      <c r="J112" s="76">
        <v>0.105</v>
      </c>
      <c r="K112" s="306">
        <v>2.12</v>
      </c>
      <c r="L112" s="78">
        <f t="shared" si="1"/>
        <v>29.263593851173582</v>
      </c>
      <c r="M112" s="58">
        <f>+VLOOKUP(F112,Material!$H$2:$M$17,6,FALSE)*H112*I112*(1+Material!$K$14)</f>
        <v>28.199463165676359</v>
      </c>
      <c r="N112" s="79" t="str">
        <f t="shared" si="19"/>
        <v>T5.0</v>
      </c>
      <c r="O112" s="80">
        <f>+VLOOKUP(N112,[3]Material!$A$3:$B$58,2,FALSE)</f>
        <v>5000</v>
      </c>
      <c r="P112" s="79" t="s">
        <v>42</v>
      </c>
      <c r="Q112" s="79" t="str">
        <f>+VLOOKUP(F112,[3]Material!$C$2:$E$12,2,FALSE)</f>
        <v>Cal 16</v>
      </c>
      <c r="R112" s="81">
        <f>+IF(P112="ACERO A36",VLOOKUP(Q112,'[3]Velocidades Std 1500 w'!$B$2:$F$15,5,FALSE),IF(P112="INOXIDABLE",VLOOKUP(Q112,'[3]Velocidades Std 1500 w'!$B$17:$F$28,5,FALSE),IF(P112="ALUMINIO",VLOOKUP(Q112,'[3]Velocidades Std 1500 w'!$B$30:$F$38,5,FALSE))))</f>
        <v>9.1575091575091579E-7</v>
      </c>
      <c r="S112" s="82">
        <f t="shared" si="2"/>
        <v>4.578754578754579E-3</v>
      </c>
      <c r="T112" s="83">
        <f t="shared" si="3"/>
        <v>6.64170923076923</v>
      </c>
      <c r="U112" s="307">
        <f t="shared" si="4"/>
        <v>2014.6517999999996</v>
      </c>
      <c r="V112" s="80">
        <f t="shared" si="5"/>
        <v>9.2245961538461518</v>
      </c>
      <c r="W112" s="98">
        <v>15</v>
      </c>
      <c r="X112" s="84">
        <f>+IF(P112="ACERO A36",VLOOKUP(Q112,'[3]Tiempo Objeto'!$B$2:$C$12,2,FALSE),IF(P112="INOXIDABLE",VLOOKUP(Q112,'[3]Tiempo Objeto'!$B$14:$C$22,2,FALSE),IF(P112="ALUMINIO",VLOOKUP(Q112,'[3]Tiempo Objeto'!$B$24:$C$32,2,FALSE))))</f>
        <v>0.24666666666666667</v>
      </c>
      <c r="Y112" s="84">
        <f t="shared" si="6"/>
        <v>3.7</v>
      </c>
      <c r="Z112" s="80">
        <f t="shared" si="7"/>
        <v>5.1388888888888893</v>
      </c>
      <c r="AA112" s="100">
        <v>5</v>
      </c>
      <c r="AB112" s="86">
        <f>+AA112*Analisis!$J$6</f>
        <v>125</v>
      </c>
      <c r="AC112" s="100">
        <v>0</v>
      </c>
      <c r="AD112" s="85">
        <f t="shared" si="8"/>
        <v>0</v>
      </c>
      <c r="AE112" s="86">
        <f>+AC112*Analisis!$J$7</f>
        <v>0</v>
      </c>
      <c r="AF112" s="308">
        <f>+H112*0.0254*I112*0.0254*2*(1+[3]Analisis!$G$2)</f>
        <v>0.20067492122999997</v>
      </c>
      <c r="AG112" s="86">
        <f>+AF112*Analisis!$J$8</f>
        <v>21.381435059625002</v>
      </c>
      <c r="AH112" s="309">
        <f t="shared" si="22"/>
        <v>188.9443832680364</v>
      </c>
      <c r="AI112" s="86">
        <f>+AH112/(1-Analisis!G117)</f>
        <v>188.9443832680364</v>
      </c>
      <c r="AJ112" s="86">
        <f t="shared" si="10"/>
        <v>203.16600351401766</v>
      </c>
      <c r="AK112" s="86">
        <f t="shared" si="23"/>
        <v>0</v>
      </c>
      <c r="AL112" s="310" t="e">
        <f>+VLOOKUP(B112,#REF!,2,FALSE)</f>
        <v>#REF!</v>
      </c>
      <c r="AM112" s="311" t="e">
        <f t="shared" si="18"/>
        <v>#REF!</v>
      </c>
      <c r="AN112" s="312" t="e">
        <f t="shared" si="17"/>
        <v>#REF!</v>
      </c>
    </row>
    <row r="113" spans="1:40" s="73" customFormat="1" x14ac:dyDescent="0.25">
      <c r="A113" s="303">
        <v>80</v>
      </c>
      <c r="B113" s="304" t="s">
        <v>933</v>
      </c>
      <c r="D113" s="74">
        <f>IFERROR(VLOOKUP(B113,'REQ. PINTADO'!B:C,2,0),0)</f>
        <v>0</v>
      </c>
      <c r="E113" s="305">
        <f t="shared" si="0"/>
        <v>143.04690900483584</v>
      </c>
      <c r="F113" s="103" t="s">
        <v>163</v>
      </c>
      <c r="G113" s="75" t="s">
        <v>147</v>
      </c>
      <c r="H113" s="90">
        <v>6.9</v>
      </c>
      <c r="I113" s="90">
        <v>2.6</v>
      </c>
      <c r="J113" s="76">
        <v>0.105</v>
      </c>
      <c r="K113" s="306">
        <v>1</v>
      </c>
      <c r="L113" s="78">
        <f t="shared" si="1"/>
        <v>14.81489513691688</v>
      </c>
      <c r="M113" s="58">
        <f>+VLOOKUP(F113,Material!$H$2:$M$17,6,FALSE)*H113*I113*(1+Material!$K$14)</f>
        <v>6.7340432440531268</v>
      </c>
      <c r="N113" s="79" t="str">
        <f t="shared" si="19"/>
        <v>T5.0</v>
      </c>
      <c r="O113" s="80">
        <f>+VLOOKUP(N113,[3]Material!$A$3:$B$58,2,FALSE)</f>
        <v>5000</v>
      </c>
      <c r="P113" s="79" t="s">
        <v>42</v>
      </c>
      <c r="Q113" s="79" t="str">
        <f>+VLOOKUP(F113,[3]Material!$C$2:$E$12,2,FALSE)</f>
        <v>Cal 12</v>
      </c>
      <c r="R113" s="81">
        <f>+IF(P113="ACERO A36",VLOOKUP(Q113,'[3]Velocidades Std 1500 w'!$B$2:$F$15,5,FALSE),IF(P113="INOXIDABLE",VLOOKUP(Q113,'[3]Velocidades Std 1500 w'!$B$17:$F$28,5,FALSE),IF(P113="ALUMINIO",VLOOKUP(Q113,'[3]Velocidades Std 1500 w'!$B$30:$F$38,5,FALSE))))</f>
        <v>4.3859649122807014E-6</v>
      </c>
      <c r="S113" s="82">
        <f t="shared" si="2"/>
        <v>2.1929824561403508E-2</v>
      </c>
      <c r="T113" s="83">
        <f t="shared" si="3"/>
        <v>12.422605263157894</v>
      </c>
      <c r="U113" s="307">
        <f t="shared" si="4"/>
        <v>786.76499999999999</v>
      </c>
      <c r="V113" s="80">
        <f t="shared" si="5"/>
        <v>17.253618421052629</v>
      </c>
      <c r="W113" s="98">
        <v>7</v>
      </c>
      <c r="X113" s="84">
        <f>+IF(P113="ACERO A36",VLOOKUP(Q113,'[3]Tiempo Objeto'!$B$2:$C$12,2,FALSE),IF(P113="INOXIDABLE",VLOOKUP(Q113,'[3]Tiempo Objeto'!$B$14:$C$22,2,FALSE),IF(P113="ALUMINIO",VLOOKUP(Q113,'[3]Tiempo Objeto'!$B$24:$C$32,2,FALSE))))</f>
        <v>0.6133333333333334</v>
      </c>
      <c r="Y113" s="84">
        <f t="shared" si="6"/>
        <v>4.2933333333333339</v>
      </c>
      <c r="Z113" s="80">
        <f t="shared" si="7"/>
        <v>5.9629629629629637</v>
      </c>
      <c r="AA113" s="100">
        <v>4</v>
      </c>
      <c r="AB113" s="86">
        <f>+AA113*Analisis!$J$6</f>
        <v>100</v>
      </c>
      <c r="AC113" s="100">
        <v>0</v>
      </c>
      <c r="AD113" s="85">
        <f t="shared" si="8"/>
        <v>0</v>
      </c>
      <c r="AE113" s="86">
        <f>+AC113*Analisis!$J$7</f>
        <v>0</v>
      </c>
      <c r="AF113" s="308">
        <f>+H113*0.0254*I113*0.0254*2*(1+[3]Analisis!$G$2)</f>
        <v>2.8935426E-2</v>
      </c>
      <c r="AG113" s="86">
        <f>+AF113*Analisis!$J$8</f>
        <v>3.0830007464285725</v>
      </c>
      <c r="AH113" s="309">
        <f t="shared" si="22"/>
        <v>133.03362537449732</v>
      </c>
      <c r="AI113" s="86">
        <f>+AH113/(1-Analisis!G118)</f>
        <v>133.03362537449732</v>
      </c>
      <c r="AJ113" s="86">
        <f t="shared" si="10"/>
        <v>143.04690900483584</v>
      </c>
      <c r="AK113" s="86">
        <f t="shared" si="23"/>
        <v>0</v>
      </c>
      <c r="AL113" s="310" t="e">
        <f>+VLOOKUP(B113,#REF!,2,FALSE)</f>
        <v>#REF!</v>
      </c>
      <c r="AM113" s="311" t="e">
        <f t="shared" si="18"/>
        <v>#REF!</v>
      </c>
      <c r="AN113" s="312" t="e">
        <f t="shared" si="17"/>
        <v>#REF!</v>
      </c>
    </row>
    <row r="114" spans="1:40" s="73" customFormat="1" x14ac:dyDescent="0.25">
      <c r="A114" s="303">
        <v>81</v>
      </c>
      <c r="B114" s="304" t="s">
        <v>934</v>
      </c>
      <c r="D114" s="74">
        <f>IFERROR(VLOOKUP(B114,'REQ. PINTADO'!B:C,2,0),0)</f>
        <v>0</v>
      </c>
      <c r="E114" s="305">
        <f t="shared" si="0"/>
        <v>171.44095071158333</v>
      </c>
      <c r="F114" s="103" t="s">
        <v>164</v>
      </c>
      <c r="G114" s="75" t="s">
        <v>147</v>
      </c>
      <c r="H114" s="90">
        <v>9.18</v>
      </c>
      <c r="I114" s="90">
        <v>3</v>
      </c>
      <c r="J114" s="76">
        <v>0.105</v>
      </c>
      <c r="K114" s="306">
        <v>1.06</v>
      </c>
      <c r="L114" s="78">
        <f t="shared" si="1"/>
        <v>39.594162735849061</v>
      </c>
      <c r="M114" s="58">
        <f>+VLOOKUP(F114,Material!$H$2:$M$17,6,FALSE)*H114*I114*(1+Material!$K$14)</f>
        <v>19.077187500000001</v>
      </c>
      <c r="N114" s="79" t="str">
        <f t="shared" si="19"/>
        <v>T5.0</v>
      </c>
      <c r="O114" s="80">
        <f>+VLOOKUP(N114,[3]Material!$A$3:$B$58,2,FALSE)</f>
        <v>5000</v>
      </c>
      <c r="P114" s="79" t="s">
        <v>42</v>
      </c>
      <c r="Q114" s="79" t="str">
        <f>+VLOOKUP(F114,[3]Material!$C$2:$E$12,2,FALSE)</f>
        <v>Cal 10</v>
      </c>
      <c r="R114" s="81">
        <f>+IF(P114="ACERO A36",VLOOKUP(Q114,'[3]Velocidades Std 1500 w'!$B$2:$F$15,5,FALSE),IF(P114="INOXIDABLE",VLOOKUP(Q114,'[3]Velocidades Std 1500 w'!$B$17:$F$28,5,FALSE),IF(P114="ALUMINIO",VLOOKUP(Q114,'[3]Velocidades Std 1500 w'!$B$30:$F$38,5,FALSE))))</f>
        <v>6.1728395061728391E-6</v>
      </c>
      <c r="S114" s="82">
        <f t="shared" si="2"/>
        <v>3.0864197530864196E-2</v>
      </c>
      <c r="T114" s="83">
        <f t="shared" si="3"/>
        <v>20.660359999999997</v>
      </c>
      <c r="U114" s="307">
        <f t="shared" si="4"/>
        <v>929.71619999999996</v>
      </c>
      <c r="V114" s="80">
        <f t="shared" si="5"/>
        <v>28.694944444444442</v>
      </c>
      <c r="W114" s="98">
        <v>7</v>
      </c>
      <c r="X114" s="84">
        <f>+IF(P114="ACERO A36",VLOOKUP(Q114,'[3]Tiempo Objeto'!$B$2:$C$12,2,FALSE),IF(P114="INOXIDABLE",VLOOKUP(Q114,'[3]Tiempo Objeto'!$B$14:$C$22,2,FALSE),IF(P114="ALUMINIO",VLOOKUP(Q114,'[3]Tiempo Objeto'!$B$24:$C$32,2,FALSE))))</f>
        <v>0.71333333333333337</v>
      </c>
      <c r="Y114" s="84">
        <f t="shared" si="6"/>
        <v>4.9933333333333341</v>
      </c>
      <c r="Z114" s="80">
        <f t="shared" si="7"/>
        <v>6.9351851851851869</v>
      </c>
      <c r="AA114" s="100">
        <v>4</v>
      </c>
      <c r="AB114" s="86">
        <f>+AA114*Analisis!$J$6</f>
        <v>100</v>
      </c>
      <c r="AC114" s="100">
        <v>0</v>
      </c>
      <c r="AD114" s="85">
        <f t="shared" si="8"/>
        <v>0</v>
      </c>
      <c r="AE114" s="86">
        <f>+AC114*Analisis!$J$7</f>
        <v>0</v>
      </c>
      <c r="AF114" s="308">
        <f>+H114*0.0254*I114*0.0254*2*(1+[3]Analisis!$G$2)</f>
        <v>4.4419265999999999E-2</v>
      </c>
      <c r="AG114" s="86">
        <f>+AF114*Analisis!$J$8</f>
        <v>4.7327670321428581</v>
      </c>
      <c r="AH114" s="309">
        <f t="shared" si="22"/>
        <v>159.44008416177249</v>
      </c>
      <c r="AI114" s="86">
        <f>+AH114/(1-Analisis!G119)</f>
        <v>159.44008416177249</v>
      </c>
      <c r="AJ114" s="86">
        <f t="shared" si="10"/>
        <v>171.44095071158333</v>
      </c>
      <c r="AK114" s="86">
        <f t="shared" si="23"/>
        <v>0</v>
      </c>
      <c r="AL114" s="310" t="e">
        <f>+VLOOKUP(B114,#REF!,2,FALSE)</f>
        <v>#REF!</v>
      </c>
      <c r="AM114" s="311" t="e">
        <f t="shared" si="18"/>
        <v>#REF!</v>
      </c>
      <c r="AN114" s="312" t="e">
        <f t="shared" si="17"/>
        <v>#REF!</v>
      </c>
    </row>
    <row r="115" spans="1:40" s="73" customFormat="1" x14ac:dyDescent="0.25">
      <c r="A115" s="303">
        <v>82</v>
      </c>
      <c r="B115" s="304" t="s">
        <v>935</v>
      </c>
      <c r="D115" s="74">
        <f>IFERROR(VLOOKUP(B115,'REQ. PINTADO'!B:C,2,0),0)</f>
        <v>0</v>
      </c>
      <c r="E115" s="305">
        <f t="shared" si="0"/>
        <v>195.73603119307796</v>
      </c>
      <c r="F115" s="103" t="s">
        <v>163</v>
      </c>
      <c r="G115" s="75" t="s">
        <v>147</v>
      </c>
      <c r="H115" s="90">
        <v>34.03</v>
      </c>
      <c r="I115" s="90">
        <v>3</v>
      </c>
      <c r="J115" s="76">
        <v>0.105</v>
      </c>
      <c r="K115" s="306">
        <v>3.04</v>
      </c>
      <c r="L115" s="78">
        <f t="shared" si="1"/>
        <v>27.732291933048835</v>
      </c>
      <c r="M115" s="58">
        <f>+VLOOKUP(F115,Material!$H$2:$M$17,6,FALSE)*H115*I115*(1+Material!$K$14)</f>
        <v>38.320985216576567</v>
      </c>
      <c r="N115" s="79" t="str">
        <f t="shared" si="19"/>
        <v>T5.0</v>
      </c>
      <c r="O115" s="80">
        <f>+VLOOKUP(N115,[3]Material!$A$3:$B$58,2,FALSE)</f>
        <v>5000</v>
      </c>
      <c r="P115" s="79" t="s">
        <v>42</v>
      </c>
      <c r="Q115" s="79" t="str">
        <f>+VLOOKUP(F115,[3]Material!$C$2:$E$12,2,FALSE)</f>
        <v>Cal 12</v>
      </c>
      <c r="R115" s="81">
        <f>+IF(P115="ACERO A36",VLOOKUP(Q115,'[3]Velocidades Std 1500 w'!$B$2:$F$15,5,FALSE),IF(P115="INOXIDABLE",VLOOKUP(Q115,'[3]Velocidades Std 1500 w'!$B$17:$F$28,5,FALSE),IF(P115="ALUMINIO",VLOOKUP(Q115,'[3]Velocidades Std 1500 w'!$B$30:$F$38,5,FALSE))))</f>
        <v>4.3859649122807014E-6</v>
      </c>
      <c r="S115" s="82">
        <f t="shared" si="2"/>
        <v>2.1929824561403508E-2</v>
      </c>
      <c r="T115" s="83">
        <f t="shared" si="3"/>
        <v>43.188555789473682</v>
      </c>
      <c r="U115" s="307">
        <f t="shared" si="4"/>
        <v>2735.2752</v>
      </c>
      <c r="V115" s="80">
        <f t="shared" si="5"/>
        <v>59.984105263157893</v>
      </c>
      <c r="W115" s="98">
        <v>19</v>
      </c>
      <c r="X115" s="84">
        <f>+IF(P115="ACERO A36",VLOOKUP(Q115,'[3]Tiempo Objeto'!$B$2:$C$12,2,FALSE),IF(P115="INOXIDABLE",VLOOKUP(Q115,'[3]Tiempo Objeto'!$B$14:$C$22,2,FALSE),IF(P115="ALUMINIO",VLOOKUP(Q115,'[3]Tiempo Objeto'!$B$24:$C$32,2,FALSE))))</f>
        <v>0.6133333333333334</v>
      </c>
      <c r="Y115" s="84">
        <f t="shared" si="6"/>
        <v>11.653333333333334</v>
      </c>
      <c r="Z115" s="80">
        <f t="shared" si="7"/>
        <v>16.185185185185187</v>
      </c>
      <c r="AA115" s="100">
        <v>2</v>
      </c>
      <c r="AB115" s="86">
        <f>+AA115*Analisis!$J$6</f>
        <v>50</v>
      </c>
      <c r="AC115" s="100">
        <v>0</v>
      </c>
      <c r="AD115" s="85">
        <f t="shared" si="8"/>
        <v>0</v>
      </c>
      <c r="AE115" s="86">
        <f>+AC115*Analisis!$J$7</f>
        <v>0</v>
      </c>
      <c r="AF115" s="308">
        <f>+H115*0.0254*I115*0.0254*2*(1+[3]Analisis!$G$2)</f>
        <v>0.16466096099999999</v>
      </c>
      <c r="AG115" s="86">
        <f>+AF115*Analisis!$J$8</f>
        <v>17.544233344642862</v>
      </c>
      <c r="AH115" s="309">
        <f t="shared" si="22"/>
        <v>182.0345090095625</v>
      </c>
      <c r="AI115" s="86">
        <f>+AH115/(1-Analisis!G120)</f>
        <v>182.0345090095625</v>
      </c>
      <c r="AJ115" s="86">
        <f t="shared" si="10"/>
        <v>195.73603119307796</v>
      </c>
      <c r="AK115" s="86">
        <f t="shared" si="23"/>
        <v>0</v>
      </c>
      <c r="AL115" s="310" t="e">
        <f>+VLOOKUP(B115,#REF!,2,FALSE)</f>
        <v>#REF!</v>
      </c>
      <c r="AM115" s="311" t="e">
        <f t="shared" si="18"/>
        <v>#REF!</v>
      </c>
      <c r="AN115" s="312" t="e">
        <f t="shared" si="17"/>
        <v>#REF!</v>
      </c>
    </row>
    <row r="116" spans="1:40" s="73" customFormat="1" x14ac:dyDescent="0.25">
      <c r="A116" s="303">
        <v>83</v>
      </c>
      <c r="B116" s="304" t="s">
        <v>936</v>
      </c>
      <c r="D116" s="74">
        <f>IFERROR(VLOOKUP(B116,'REQ. PINTADO'!B:C,2,0),0)</f>
        <v>0</v>
      </c>
      <c r="E116" s="305">
        <f t="shared" si="0"/>
        <v>282.24800396154063</v>
      </c>
      <c r="F116" s="103" t="s">
        <v>164</v>
      </c>
      <c r="G116" s="75" t="s">
        <v>147</v>
      </c>
      <c r="H116" s="90">
        <v>4.5599999999999996</v>
      </c>
      <c r="I116" s="90">
        <v>30.4</v>
      </c>
      <c r="J116" s="76">
        <v>0.105</v>
      </c>
      <c r="K116" s="306">
        <v>5.3</v>
      </c>
      <c r="L116" s="78">
        <f t="shared" si="1"/>
        <v>39.859849056603785</v>
      </c>
      <c r="M116" s="58">
        <f>+VLOOKUP(F116,Material!$H$2:$M$17,6,FALSE)*H116*I116*(1+Material!$K$14)</f>
        <v>96.02600000000001</v>
      </c>
      <c r="N116" s="79" t="str">
        <f t="shared" si="19"/>
        <v>T5.0</v>
      </c>
      <c r="O116" s="80">
        <f>+VLOOKUP(N116,[3]Material!$A$3:$B$58,2,FALSE)</f>
        <v>5000</v>
      </c>
      <c r="P116" s="79" t="s">
        <v>42</v>
      </c>
      <c r="Q116" s="79" t="str">
        <f>+VLOOKUP(F116,[3]Material!$C$2:$E$12,2,FALSE)</f>
        <v>Cal 10</v>
      </c>
      <c r="R116" s="81">
        <f>+IF(P116="ACERO A36",VLOOKUP(Q116,'[3]Velocidades Std 1500 w'!$B$2:$F$15,5,FALSE),IF(P116="INOXIDABLE",VLOOKUP(Q116,'[3]Velocidades Std 1500 w'!$B$17:$F$28,5,FALSE),IF(P116="ALUMINIO",VLOOKUP(Q116,'[3]Velocidades Std 1500 w'!$B$30:$F$38,5,FALSE))))</f>
        <v>6.1728395061728391E-6</v>
      </c>
      <c r="S116" s="82">
        <f t="shared" si="2"/>
        <v>3.0864197530864196E-2</v>
      </c>
      <c r="T116" s="83">
        <f t="shared" si="3"/>
        <v>65.442253333333326</v>
      </c>
      <c r="U116" s="307">
        <f t="shared" si="4"/>
        <v>2944.9013999999997</v>
      </c>
      <c r="V116" s="80">
        <f t="shared" si="5"/>
        <v>90.892018518518512</v>
      </c>
      <c r="W116" s="98">
        <v>27</v>
      </c>
      <c r="X116" s="84">
        <f>+IF(P116="ACERO A36",VLOOKUP(Q116,'[3]Tiempo Objeto'!$B$2:$C$12,2,FALSE),IF(P116="INOXIDABLE",VLOOKUP(Q116,'[3]Tiempo Objeto'!$B$14:$C$22,2,FALSE),IF(P116="ALUMINIO",VLOOKUP(Q116,'[3]Tiempo Objeto'!$B$24:$C$32,2,FALSE))))</f>
        <v>0.71333333333333337</v>
      </c>
      <c r="Y116" s="84">
        <f t="shared" si="6"/>
        <v>19.260000000000002</v>
      </c>
      <c r="Z116" s="80">
        <f t="shared" si="7"/>
        <v>26.750000000000004</v>
      </c>
      <c r="AA116" s="100">
        <v>1</v>
      </c>
      <c r="AB116" s="86">
        <f>+AA116*Analisis!$J$6</f>
        <v>25</v>
      </c>
      <c r="AC116" s="100">
        <v>0</v>
      </c>
      <c r="AD116" s="85">
        <f t="shared" si="8"/>
        <v>0</v>
      </c>
      <c r="AE116" s="86">
        <f>+AC116*Analisis!$J$7</f>
        <v>0</v>
      </c>
      <c r="AF116" s="308">
        <f>+H116*0.0254*I116*0.0254*2*(1+[3]Analisis!$G$2)</f>
        <v>0.22358664959999994</v>
      </c>
      <c r="AG116" s="86">
        <f>+AF116*Analisis!$J$8</f>
        <v>23.822625165714285</v>
      </c>
      <c r="AH116" s="309">
        <f t="shared" si="22"/>
        <v>262.49064368423279</v>
      </c>
      <c r="AI116" s="86">
        <f>+AH116/(1-Analisis!G121)</f>
        <v>262.49064368423279</v>
      </c>
      <c r="AJ116" s="86">
        <f t="shared" si="10"/>
        <v>282.24800396154063</v>
      </c>
      <c r="AK116" s="86">
        <f t="shared" si="23"/>
        <v>0</v>
      </c>
      <c r="AL116" s="310" t="e">
        <f>+VLOOKUP(B116,#REF!,2,FALSE)</f>
        <v>#REF!</v>
      </c>
      <c r="AM116" s="311" t="e">
        <f t="shared" si="18"/>
        <v>#REF!</v>
      </c>
      <c r="AN116" s="312" t="e">
        <f t="shared" si="17"/>
        <v>#REF!</v>
      </c>
    </row>
    <row r="117" spans="1:40" s="73" customFormat="1" x14ac:dyDescent="0.25">
      <c r="A117" s="303">
        <v>84</v>
      </c>
      <c r="B117" s="304" t="s">
        <v>937</v>
      </c>
      <c r="D117" s="74">
        <f>IFERROR(VLOOKUP(B117,'REQ. PINTADO'!B:C,2,0),0)</f>
        <v>0</v>
      </c>
      <c r="E117" s="305">
        <f t="shared" si="0"/>
        <v>311.41520179325977</v>
      </c>
      <c r="F117" s="103" t="s">
        <v>164</v>
      </c>
      <c r="G117" s="75" t="s">
        <v>147</v>
      </c>
      <c r="H117" s="90">
        <v>5.81</v>
      </c>
      <c r="I117" s="90">
        <v>29.9</v>
      </c>
      <c r="J117" s="76">
        <v>0.105</v>
      </c>
      <c r="K117" s="306">
        <v>6.66</v>
      </c>
      <c r="L117" s="78">
        <f t="shared" si="1"/>
        <v>39.75082848473474</v>
      </c>
      <c r="M117" s="58">
        <f>+VLOOKUP(F117,Material!$H$2:$M$17,6,FALSE)*H117*I117*(1+Material!$K$14)</f>
        <v>120.33659895833334</v>
      </c>
      <c r="N117" s="79" t="str">
        <f t="shared" si="19"/>
        <v>T5.0</v>
      </c>
      <c r="O117" s="80">
        <f>+VLOOKUP(N117,[3]Material!$A$3:$B$58,2,FALSE)</f>
        <v>5000</v>
      </c>
      <c r="P117" s="79" t="s">
        <v>42</v>
      </c>
      <c r="Q117" s="79" t="str">
        <f>+VLOOKUP(F117,[3]Material!$C$2:$E$12,2,FALSE)</f>
        <v>Cal 10</v>
      </c>
      <c r="R117" s="81">
        <f>+IF(P117="ACERO A36",VLOOKUP(Q117,'[3]Velocidades Std 1500 w'!$B$2:$F$15,5,FALSE),IF(P117="INOXIDABLE",VLOOKUP(Q117,'[3]Velocidades Std 1500 w'!$B$17:$F$28,5,FALSE),IF(P117="ALUMINIO",VLOOKUP(Q117,'[3]Velocidades Std 1500 w'!$B$30:$F$38,5,FALSE))))</f>
        <v>6.1728395061728391E-6</v>
      </c>
      <c r="S117" s="82">
        <f t="shared" si="2"/>
        <v>3.0864197530864196E-2</v>
      </c>
      <c r="T117" s="83">
        <f t="shared" si="3"/>
        <v>64.55325333333333</v>
      </c>
      <c r="U117" s="307">
        <f t="shared" si="4"/>
        <v>2904.8964000000001</v>
      </c>
      <c r="V117" s="80">
        <f t="shared" si="5"/>
        <v>89.657296296296295</v>
      </c>
      <c r="W117" s="98">
        <v>25</v>
      </c>
      <c r="X117" s="84">
        <f>+IF(P117="ACERO A36",VLOOKUP(Q117,'[3]Tiempo Objeto'!$B$2:$C$12,2,FALSE),IF(P117="INOXIDABLE",VLOOKUP(Q117,'[3]Tiempo Objeto'!$B$14:$C$22,2,FALSE),IF(P117="ALUMINIO",VLOOKUP(Q117,'[3]Tiempo Objeto'!$B$24:$C$32,2,FALSE))))</f>
        <v>0.71333333333333337</v>
      </c>
      <c r="Y117" s="84">
        <f t="shared" si="6"/>
        <v>17.833333333333336</v>
      </c>
      <c r="Z117" s="80">
        <f t="shared" si="7"/>
        <v>24.768518518518519</v>
      </c>
      <c r="AA117" s="100">
        <v>1</v>
      </c>
      <c r="AB117" s="86">
        <f>+AA117*Analisis!$J$6</f>
        <v>25</v>
      </c>
      <c r="AC117" s="100">
        <v>0</v>
      </c>
      <c r="AD117" s="85">
        <f t="shared" si="8"/>
        <v>0</v>
      </c>
      <c r="AE117" s="86">
        <f>+AC117*Analisis!$J$7</f>
        <v>0</v>
      </c>
      <c r="AF117" s="308">
        <f>+H117*0.0254*I117*0.0254*2*(1+[3]Analisis!$G$2)</f>
        <v>0.28019137509999997</v>
      </c>
      <c r="AG117" s="86">
        <f>+AF117*Analisis!$J$8</f>
        <v>29.853723894583339</v>
      </c>
      <c r="AH117" s="309">
        <f t="shared" si="22"/>
        <v>289.61613766773155</v>
      </c>
      <c r="AI117" s="86">
        <f>+AH117/(1-Analisis!G122)</f>
        <v>289.61613766773155</v>
      </c>
      <c r="AJ117" s="86">
        <f t="shared" si="10"/>
        <v>311.41520179325977</v>
      </c>
      <c r="AK117" s="86">
        <f t="shared" si="23"/>
        <v>0</v>
      </c>
      <c r="AL117" s="310" t="e">
        <f>+VLOOKUP(B117,#REF!,2,FALSE)</f>
        <v>#REF!</v>
      </c>
      <c r="AM117" s="311" t="e">
        <f t="shared" si="18"/>
        <v>#REF!</v>
      </c>
      <c r="AN117" s="312" t="e">
        <f t="shared" si="17"/>
        <v>#REF!</v>
      </c>
    </row>
    <row r="118" spans="1:40" s="73" customFormat="1" x14ac:dyDescent="0.25">
      <c r="A118" s="303">
        <v>85</v>
      </c>
      <c r="B118" s="304" t="s">
        <v>938</v>
      </c>
      <c r="D118" s="74">
        <f>IFERROR(VLOOKUP(B118,'REQ. PINTADO'!B:C,2,0),0)</f>
        <v>0</v>
      </c>
      <c r="E118" s="305">
        <f t="shared" si="0"/>
        <v>1091.7229103899026</v>
      </c>
      <c r="F118" s="103" t="s">
        <v>163</v>
      </c>
      <c r="G118" s="75" t="s">
        <v>147</v>
      </c>
      <c r="H118" s="90">
        <v>31.84</v>
      </c>
      <c r="I118" s="90">
        <v>43.04</v>
      </c>
      <c r="J118" s="76">
        <v>0.105</v>
      </c>
      <c r="K118" s="306">
        <v>1</v>
      </c>
      <c r="L118" s="78">
        <f t="shared" si="1"/>
        <v>1131.6743300056864</v>
      </c>
      <c r="M118" s="58">
        <f>+VLOOKUP(F118,Material!$H$2:$M$17,6,FALSE)*H118*I118*(1+Material!$K$14)</f>
        <v>514.39742272985745</v>
      </c>
      <c r="N118" s="79" t="str">
        <f t="shared" si="19"/>
        <v>T5.0</v>
      </c>
      <c r="O118" s="80">
        <f>+VLOOKUP(N118,[3]Material!$A$3:$B$58,2,FALSE)</f>
        <v>5000</v>
      </c>
      <c r="P118" s="79" t="s">
        <v>42</v>
      </c>
      <c r="Q118" s="79" t="str">
        <f>+VLOOKUP(F118,[3]Material!$C$2:$E$12,2,FALSE)</f>
        <v>Cal 12</v>
      </c>
      <c r="R118" s="81">
        <f>+IF(P118="ACERO A36",VLOOKUP(Q118,'[3]Velocidades Std 1500 w'!$B$2:$F$15,5,FALSE),IF(P118="INOXIDABLE",VLOOKUP(Q118,'[3]Velocidades Std 1500 w'!$B$17:$F$28,5,FALSE),IF(P118="ALUMINIO",VLOOKUP(Q118,'[3]Velocidades Std 1500 w'!$B$30:$F$38,5,FALSE))))</f>
        <v>4.3859649122807014E-6</v>
      </c>
      <c r="S118" s="82">
        <f t="shared" si="2"/>
        <v>2.1929824561403508E-2</v>
      </c>
      <c r="T118" s="83">
        <f t="shared" si="3"/>
        <v>91.489329473684208</v>
      </c>
      <c r="U118" s="307">
        <f t="shared" si="4"/>
        <v>5794.3242</v>
      </c>
      <c r="V118" s="80">
        <f t="shared" si="5"/>
        <v>127.06851315789473</v>
      </c>
      <c r="W118" s="98">
        <v>45</v>
      </c>
      <c r="X118" s="84">
        <f>+IF(P118="ACERO A36",VLOOKUP(Q118,'[3]Tiempo Objeto'!$B$2:$C$12,2,FALSE),IF(P118="INOXIDABLE",VLOOKUP(Q118,'[3]Tiempo Objeto'!$B$14:$C$22,2,FALSE),IF(P118="ALUMINIO",VLOOKUP(Q118,'[3]Tiempo Objeto'!$B$24:$C$32,2,FALSE))))</f>
        <v>0.6133333333333334</v>
      </c>
      <c r="Y118" s="84">
        <f t="shared" si="6"/>
        <v>27.6</v>
      </c>
      <c r="Z118" s="80">
        <f t="shared" si="7"/>
        <v>38.333333333333336</v>
      </c>
      <c r="AA118" s="100">
        <v>4</v>
      </c>
      <c r="AB118" s="86">
        <f>+AA118*Analisis!$J$6</f>
        <v>100</v>
      </c>
      <c r="AC118" s="100">
        <v>0</v>
      </c>
      <c r="AD118" s="85">
        <f t="shared" si="8"/>
        <v>0</v>
      </c>
      <c r="AE118" s="86">
        <f>+AC118*Analisis!$J$7</f>
        <v>0</v>
      </c>
      <c r="AF118" s="308">
        <f>+H118*0.0254*I118*0.0254*2*(1+[3]Analisis!$G$2)</f>
        <v>2.2103078374400003</v>
      </c>
      <c r="AG118" s="86">
        <f>+AF118*Analisis!$J$8</f>
        <v>235.5030374415239</v>
      </c>
      <c r="AH118" s="309">
        <f t="shared" si="22"/>
        <v>1015.3023066626095</v>
      </c>
      <c r="AI118" s="86">
        <f>+AH118/(1-Analisis!G123)</f>
        <v>1015.3023066626095</v>
      </c>
      <c r="AJ118" s="86">
        <f t="shared" si="10"/>
        <v>1091.7229103899026</v>
      </c>
      <c r="AK118" s="86">
        <f t="shared" si="23"/>
        <v>0</v>
      </c>
      <c r="AL118" s="310" t="e">
        <f>+VLOOKUP(B118,#REF!,2,FALSE)</f>
        <v>#REF!</v>
      </c>
      <c r="AM118" s="311" t="e">
        <f t="shared" si="18"/>
        <v>#REF!</v>
      </c>
      <c r="AN118" s="312" t="e">
        <f t="shared" si="17"/>
        <v>#REF!</v>
      </c>
    </row>
    <row r="119" spans="1:40" s="73" customFormat="1" x14ac:dyDescent="0.25">
      <c r="A119" s="303">
        <v>86</v>
      </c>
      <c r="B119" s="304" t="s">
        <v>939</v>
      </c>
      <c r="D119" s="74">
        <f>IFERROR(VLOOKUP(B119,'REQ. PINTADO'!B:C,2,0),0)</f>
        <v>0</v>
      </c>
      <c r="E119" s="305">
        <f t="shared" si="0"/>
        <v>184.69172499220588</v>
      </c>
      <c r="F119" s="103" t="s">
        <v>163</v>
      </c>
      <c r="G119" s="75" t="s">
        <v>147</v>
      </c>
      <c r="H119" s="90">
        <v>4.26</v>
      </c>
      <c r="I119" s="90">
        <v>29.9</v>
      </c>
      <c r="J119" s="76">
        <v>0.105</v>
      </c>
      <c r="K119" s="306">
        <v>3.8</v>
      </c>
      <c r="L119" s="78">
        <f t="shared" si="1"/>
        <v>27.680461966344698</v>
      </c>
      <c r="M119" s="58">
        <f>+VLOOKUP(F119,Material!$H$2:$M$17,6,FALSE)*H119*I119*(1+Material!$K$14)</f>
        <v>47.8117070327772</v>
      </c>
      <c r="N119" s="79" t="str">
        <f t="shared" si="19"/>
        <v>T5.0</v>
      </c>
      <c r="O119" s="80">
        <f>+VLOOKUP(N119,[3]Material!$A$3:$B$58,2,FALSE)</f>
        <v>5000</v>
      </c>
      <c r="P119" s="79" t="s">
        <v>42</v>
      </c>
      <c r="Q119" s="79" t="str">
        <f>+VLOOKUP(F119,[3]Material!$C$2:$E$12,2,FALSE)</f>
        <v>Cal 12</v>
      </c>
      <c r="R119" s="81">
        <f>+IF(P119="ACERO A36",VLOOKUP(Q119,'[3]Velocidades Std 1500 w'!$B$2:$F$15,5,FALSE),IF(P119="INOXIDABLE",VLOOKUP(Q119,'[3]Velocidades Std 1500 w'!$B$17:$F$28,5,FALSE),IF(P119="ALUMINIO",VLOOKUP(Q119,'[3]Velocidades Std 1500 w'!$B$30:$F$38,5,FALSE))))</f>
        <v>4.3859649122807014E-6</v>
      </c>
      <c r="S119" s="82">
        <f t="shared" si="2"/>
        <v>2.1929824561403508E-2</v>
      </c>
      <c r="T119" s="83">
        <f t="shared" si="3"/>
        <v>33.191516842105258</v>
      </c>
      <c r="U119" s="307">
        <f t="shared" si="4"/>
        <v>2102.1293999999998</v>
      </c>
      <c r="V119" s="80">
        <f t="shared" si="5"/>
        <v>46.099328947368413</v>
      </c>
      <c r="W119" s="98">
        <v>7</v>
      </c>
      <c r="X119" s="84">
        <f>+IF(P119="ACERO A36",VLOOKUP(Q119,'[3]Tiempo Objeto'!$B$2:$C$12,2,FALSE),IF(P119="INOXIDABLE",VLOOKUP(Q119,'[3]Tiempo Objeto'!$B$14:$C$22,2,FALSE),IF(P119="ALUMINIO",VLOOKUP(Q119,'[3]Tiempo Objeto'!$B$24:$C$32,2,FALSE))))</f>
        <v>0.6133333333333334</v>
      </c>
      <c r="Y119" s="84">
        <f t="shared" si="6"/>
        <v>4.2933333333333339</v>
      </c>
      <c r="Z119" s="80">
        <f t="shared" si="7"/>
        <v>5.9629629629629637</v>
      </c>
      <c r="AA119" s="100">
        <v>2</v>
      </c>
      <c r="AB119" s="86">
        <f>+AA119*Analisis!$J$6</f>
        <v>50</v>
      </c>
      <c r="AC119" s="100">
        <v>0</v>
      </c>
      <c r="AD119" s="85">
        <f t="shared" si="8"/>
        <v>0</v>
      </c>
      <c r="AE119" s="86">
        <f>+AC119*Analisis!$J$7</f>
        <v>0</v>
      </c>
      <c r="AF119" s="308">
        <f>+H119*0.0254*I119*0.0254*2*(1+[3]Analisis!$G$2)</f>
        <v>0.20544152459999998</v>
      </c>
      <c r="AG119" s="86">
        <f>+AF119*Analisis!$J$8</f>
        <v>21.88930529964286</v>
      </c>
      <c r="AH119" s="309">
        <f t="shared" si="22"/>
        <v>171.76330424275145</v>
      </c>
      <c r="AI119" s="86">
        <f>+AH119/(1-Analisis!G124)</f>
        <v>171.76330424275145</v>
      </c>
      <c r="AJ119" s="86">
        <f t="shared" si="10"/>
        <v>184.69172499220588</v>
      </c>
      <c r="AK119" s="86">
        <f t="shared" si="23"/>
        <v>0</v>
      </c>
      <c r="AL119" s="310" t="e">
        <f>+VLOOKUP(B119,#REF!,2,FALSE)</f>
        <v>#REF!</v>
      </c>
      <c r="AM119" s="311" t="e">
        <f t="shared" si="18"/>
        <v>#REF!</v>
      </c>
      <c r="AN119" s="312" t="e">
        <f t="shared" si="17"/>
        <v>#REF!</v>
      </c>
    </row>
    <row r="120" spans="1:40" s="73" customFormat="1" x14ac:dyDescent="0.25">
      <c r="A120" s="303">
        <v>87</v>
      </c>
      <c r="B120" s="304" t="s">
        <v>940</v>
      </c>
      <c r="D120" s="74">
        <f>IFERROR(VLOOKUP(B120,'REQ. PINTADO'!B:C,2,0),0)</f>
        <v>0</v>
      </c>
      <c r="E120" s="305">
        <f t="shared" si="0"/>
        <v>226.65398880415606</v>
      </c>
      <c r="F120" s="103" t="s">
        <v>166</v>
      </c>
      <c r="G120" s="75" t="s">
        <v>147</v>
      </c>
      <c r="H120" s="90">
        <v>27.23</v>
      </c>
      <c r="I120" s="90">
        <v>6.09</v>
      </c>
      <c r="J120" s="76">
        <v>0.105</v>
      </c>
      <c r="K120" s="306">
        <v>1</v>
      </c>
      <c r="L120" s="78">
        <f t="shared" si="1"/>
        <v>82.688058756877552</v>
      </c>
      <c r="M120" s="58">
        <f>+VLOOKUP(F120,Material!$H$2:$M$17,6,FALSE)*H120*I120*(1+Material!$K$14)</f>
        <v>37.585481253126154</v>
      </c>
      <c r="N120" s="79" t="str">
        <f t="shared" si="19"/>
        <v>T5.0</v>
      </c>
      <c r="O120" s="80">
        <f>+VLOOKUP(N120,[3]Material!$A$3:$B$58,2,FALSE)</f>
        <v>5000</v>
      </c>
      <c r="P120" s="79" t="s">
        <v>42</v>
      </c>
      <c r="Q120" s="79" t="str">
        <f>+VLOOKUP(F120,[3]Material!$C$2:$E$12,2,FALSE)</f>
        <v>Cal 16</v>
      </c>
      <c r="R120" s="81">
        <f>+IF(P120="ACERO A36",VLOOKUP(Q120,'[3]Velocidades Std 1500 w'!$B$2:$F$15,5,FALSE),IF(P120="INOXIDABLE",VLOOKUP(Q120,'[3]Velocidades Std 1500 w'!$B$17:$F$28,5,FALSE),IF(P120="ALUMINIO",VLOOKUP(Q120,'[3]Velocidades Std 1500 w'!$B$30:$F$38,5,FALSE))))</f>
        <v>9.1575091575091579E-7</v>
      </c>
      <c r="S120" s="82">
        <f t="shared" si="2"/>
        <v>4.578754578754579E-3</v>
      </c>
      <c r="T120" s="83">
        <f t="shared" si="3"/>
        <v>8.7606553846153847</v>
      </c>
      <c r="U120" s="307">
        <f t="shared" si="4"/>
        <v>2657.3987999999999</v>
      </c>
      <c r="V120" s="80">
        <f t="shared" si="5"/>
        <v>12.167576923076924</v>
      </c>
      <c r="W120" s="98">
        <v>22</v>
      </c>
      <c r="X120" s="84">
        <f>+IF(P120="ACERO A36",VLOOKUP(Q120,'[3]Tiempo Objeto'!$B$2:$C$12,2,FALSE),IF(P120="INOXIDABLE",VLOOKUP(Q120,'[3]Tiempo Objeto'!$B$14:$C$22,2,FALSE),IF(P120="ALUMINIO",VLOOKUP(Q120,'[3]Tiempo Objeto'!$B$24:$C$32,2,FALSE))))</f>
        <v>0.24666666666666667</v>
      </c>
      <c r="Y120" s="84">
        <f t="shared" si="6"/>
        <v>5.4266666666666667</v>
      </c>
      <c r="Z120" s="80">
        <f t="shared" si="7"/>
        <v>7.5370370370370363</v>
      </c>
      <c r="AA120" s="100">
        <v>5</v>
      </c>
      <c r="AB120" s="86">
        <f>+AA120*Analisis!$J$6</f>
        <v>125</v>
      </c>
      <c r="AC120" s="100">
        <v>0</v>
      </c>
      <c r="AD120" s="85">
        <f t="shared" si="8"/>
        <v>0</v>
      </c>
      <c r="AE120" s="86">
        <f>+AC120*Analisis!$J$7</f>
        <v>0</v>
      </c>
      <c r="AF120" s="308">
        <f>+H120*0.0254*I120*0.0254*2*(1+[3]Analisis!$G$2)</f>
        <v>0.26746833602999998</v>
      </c>
      <c r="AG120" s="86">
        <f>+AF120*Analisis!$J$8</f>
        <v>28.498114374625008</v>
      </c>
      <c r="AH120" s="309">
        <f t="shared" si="22"/>
        <v>210.78820958786511</v>
      </c>
      <c r="AI120" s="86">
        <f>+AH120/(1-Analisis!G125)</f>
        <v>210.78820958786511</v>
      </c>
      <c r="AJ120" s="86">
        <f t="shared" si="10"/>
        <v>226.65398880415606</v>
      </c>
      <c r="AK120" s="86">
        <f t="shared" si="23"/>
        <v>0</v>
      </c>
      <c r="AL120" s="310" t="e">
        <f>+VLOOKUP(B120,#REF!,2,FALSE)</f>
        <v>#REF!</v>
      </c>
      <c r="AM120" s="311" t="e">
        <f t="shared" si="18"/>
        <v>#REF!</v>
      </c>
      <c r="AN120" s="312" t="e">
        <f t="shared" si="17"/>
        <v>#REF!</v>
      </c>
    </row>
    <row r="121" spans="1:40" s="73" customFormat="1" x14ac:dyDescent="0.25">
      <c r="A121" s="303">
        <v>88</v>
      </c>
      <c r="B121" s="304" t="s">
        <v>941</v>
      </c>
      <c r="D121" s="74">
        <f>IFERROR(VLOOKUP(B121,'REQ. PINTADO'!B:C,2,0),0)</f>
        <v>0</v>
      </c>
      <c r="E121" s="305">
        <f t="shared" si="0"/>
        <v>238.45516585242092</v>
      </c>
      <c r="F121" s="103" t="s">
        <v>163</v>
      </c>
      <c r="G121" s="75" t="s">
        <v>147</v>
      </c>
      <c r="H121" s="90">
        <v>4.26</v>
      </c>
      <c r="I121" s="90">
        <v>29.9</v>
      </c>
      <c r="J121" s="76">
        <v>0.105</v>
      </c>
      <c r="K121" s="306">
        <v>3.8</v>
      </c>
      <c r="L121" s="78">
        <f t="shared" si="1"/>
        <v>27.680461966344698</v>
      </c>
      <c r="M121" s="58">
        <f>+VLOOKUP(F121,Material!$H$2:$M$17,6,FALSE)*H121*I121*(1+Material!$K$14)</f>
        <v>47.8117070327772</v>
      </c>
      <c r="N121" s="79" t="str">
        <f t="shared" si="19"/>
        <v>T5.0</v>
      </c>
      <c r="O121" s="80">
        <f>+VLOOKUP(N121,[3]Material!$A$3:$B$58,2,FALSE)</f>
        <v>5000</v>
      </c>
      <c r="P121" s="79" t="s">
        <v>42</v>
      </c>
      <c r="Q121" s="79" t="str">
        <f>+VLOOKUP(F121,[3]Material!$C$2:$E$12,2,FALSE)</f>
        <v>Cal 12</v>
      </c>
      <c r="R121" s="81">
        <f>+IF(P121="ACERO A36",VLOOKUP(Q121,'[3]Velocidades Std 1500 w'!$B$2:$F$15,5,FALSE),IF(P121="INOXIDABLE",VLOOKUP(Q121,'[3]Velocidades Std 1500 w'!$B$17:$F$28,5,FALSE),IF(P121="ALUMINIO",VLOOKUP(Q121,'[3]Velocidades Std 1500 w'!$B$30:$F$38,5,FALSE))))</f>
        <v>4.3859649122807014E-6</v>
      </c>
      <c r="S121" s="82">
        <f t="shared" si="2"/>
        <v>2.1929824561403508E-2</v>
      </c>
      <c r="T121" s="83">
        <f t="shared" si="3"/>
        <v>33.191516842105258</v>
      </c>
      <c r="U121" s="307">
        <f t="shared" si="4"/>
        <v>2102.1293999999998</v>
      </c>
      <c r="V121" s="80">
        <f t="shared" si="5"/>
        <v>46.099328947368413</v>
      </c>
      <c r="W121" s="98">
        <v>7</v>
      </c>
      <c r="X121" s="84">
        <f>+IF(P121="ACERO A36",VLOOKUP(Q121,'[3]Tiempo Objeto'!$B$2:$C$12,2,FALSE),IF(P121="INOXIDABLE",VLOOKUP(Q121,'[3]Tiempo Objeto'!$B$14:$C$22,2,FALSE),IF(P121="ALUMINIO",VLOOKUP(Q121,'[3]Tiempo Objeto'!$B$24:$C$32,2,FALSE))))</f>
        <v>0.6133333333333334</v>
      </c>
      <c r="Y121" s="84">
        <f t="shared" si="6"/>
        <v>4.2933333333333339</v>
      </c>
      <c r="Z121" s="80">
        <f t="shared" si="7"/>
        <v>5.9629629629629637</v>
      </c>
      <c r="AA121" s="100">
        <v>4</v>
      </c>
      <c r="AB121" s="86">
        <f>+AA121*Analisis!$J$6</f>
        <v>100</v>
      </c>
      <c r="AC121" s="100">
        <v>0</v>
      </c>
      <c r="AD121" s="85">
        <f t="shared" si="8"/>
        <v>0</v>
      </c>
      <c r="AE121" s="86">
        <f>+AC121*Analisis!$J$7</f>
        <v>0</v>
      </c>
      <c r="AF121" s="308">
        <f>+H121*0.0254*I121*0.0254*2*(1+[3]Analisis!$G$2)</f>
        <v>0.20544152459999998</v>
      </c>
      <c r="AG121" s="86">
        <f>+AF121*Analisis!$J$8</f>
        <v>21.88930529964286</v>
      </c>
      <c r="AH121" s="309">
        <f t="shared" si="22"/>
        <v>221.76330424275145</v>
      </c>
      <c r="AI121" s="86">
        <f>+AH121/(1-Analisis!G126)</f>
        <v>221.76330424275145</v>
      </c>
      <c r="AJ121" s="86">
        <f t="shared" si="10"/>
        <v>238.45516585242092</v>
      </c>
      <c r="AK121" s="86">
        <f t="shared" si="23"/>
        <v>0</v>
      </c>
      <c r="AL121" s="310" t="e">
        <f>+VLOOKUP(B121,#REF!,2,FALSE)</f>
        <v>#REF!</v>
      </c>
      <c r="AM121" s="311" t="e">
        <f t="shared" si="18"/>
        <v>#REF!</v>
      </c>
      <c r="AN121" s="312" t="e">
        <f t="shared" si="17"/>
        <v>#REF!</v>
      </c>
    </row>
    <row r="122" spans="1:40" s="73" customFormat="1" x14ac:dyDescent="0.25">
      <c r="A122" s="303">
        <v>89</v>
      </c>
      <c r="B122" s="304" t="s">
        <v>942</v>
      </c>
      <c r="D122" s="74">
        <f>IFERROR(VLOOKUP(B122,'REQ. PINTADO'!B:C,2,0),0)</f>
        <v>0</v>
      </c>
      <c r="E122" s="305">
        <f t="shared" si="0"/>
        <v>306.73847599982821</v>
      </c>
      <c r="F122" s="103" t="s">
        <v>163</v>
      </c>
      <c r="G122" s="75" t="s">
        <v>147</v>
      </c>
      <c r="H122" s="90">
        <v>5.24</v>
      </c>
      <c r="I122" s="90">
        <v>21.94</v>
      </c>
      <c r="J122" s="76">
        <v>0.105</v>
      </c>
      <c r="K122" s="306">
        <v>3.43</v>
      </c>
      <c r="L122" s="78">
        <f t="shared" si="1"/>
        <v>27.678970529441045</v>
      </c>
      <c r="M122" s="58">
        <f>+VLOOKUP(F122,Material!$H$2:$M$17,6,FALSE)*H122*I122*(1+Material!$K$14)</f>
        <v>43.154031325446724</v>
      </c>
      <c r="N122" s="79" t="str">
        <f t="shared" si="19"/>
        <v>T5.0</v>
      </c>
      <c r="O122" s="80">
        <f>+VLOOKUP(N122,[3]Material!$A$3:$B$58,2,FALSE)</f>
        <v>5000</v>
      </c>
      <c r="P122" s="79" t="s">
        <v>42</v>
      </c>
      <c r="Q122" s="79" t="str">
        <f>+VLOOKUP(F122,[3]Material!$C$2:$E$12,2,FALSE)</f>
        <v>Cal 12</v>
      </c>
      <c r="R122" s="81">
        <f>+IF(P122="ACERO A36",VLOOKUP(Q122,'[3]Velocidades Std 1500 w'!$B$2:$F$15,5,FALSE),IF(P122="INOXIDABLE",VLOOKUP(Q122,'[3]Velocidades Std 1500 w'!$B$17:$F$28,5,FALSE),IF(P122="ALUMINIO",VLOOKUP(Q122,'[3]Velocidades Std 1500 w'!$B$30:$F$38,5,FALSE))))</f>
        <v>4.3859649122807014E-6</v>
      </c>
      <c r="S122" s="82">
        <f t="shared" si="2"/>
        <v>2.1929824561403508E-2</v>
      </c>
      <c r="T122" s="83">
        <f t="shared" si="3"/>
        <v>28.576203157894732</v>
      </c>
      <c r="U122" s="307">
        <f t="shared" si="4"/>
        <v>1809.8261999999997</v>
      </c>
      <c r="V122" s="80">
        <f t="shared" si="5"/>
        <v>39.689171052631572</v>
      </c>
      <c r="W122" s="98">
        <v>9</v>
      </c>
      <c r="X122" s="84">
        <f>+IF(P122="ACERO A36",VLOOKUP(Q122,'[3]Tiempo Objeto'!$B$2:$C$12,2,FALSE),IF(P122="INOXIDABLE",VLOOKUP(Q122,'[3]Tiempo Objeto'!$B$14:$C$22,2,FALSE),IF(P122="ALUMINIO",VLOOKUP(Q122,'[3]Tiempo Objeto'!$B$24:$C$32,2,FALSE))))</f>
        <v>0.6133333333333334</v>
      </c>
      <c r="Y122" s="84">
        <f t="shared" si="6"/>
        <v>5.5200000000000005</v>
      </c>
      <c r="Z122" s="80">
        <f t="shared" si="7"/>
        <v>7.6666666666666679</v>
      </c>
      <c r="AA122" s="100">
        <v>7</v>
      </c>
      <c r="AB122" s="86">
        <f>+AA122*Analisis!$J$6</f>
        <v>175</v>
      </c>
      <c r="AC122" s="100">
        <v>0</v>
      </c>
      <c r="AD122" s="85">
        <f t="shared" si="8"/>
        <v>0</v>
      </c>
      <c r="AE122" s="86">
        <f>+AC122*Analisis!$J$7</f>
        <v>0</v>
      </c>
      <c r="AF122" s="308">
        <f>+H122*0.0254*I122*0.0254*2*(1+[3]Analisis!$G$2)</f>
        <v>0.18542801623999999</v>
      </c>
      <c r="AG122" s="86">
        <f>+AF122*Analisis!$J$8</f>
        <v>19.756913635095245</v>
      </c>
      <c r="AH122" s="309">
        <f t="shared" si="22"/>
        <v>285.26678267984022</v>
      </c>
      <c r="AI122" s="86">
        <f>+AH122/(1-Analisis!G127)</f>
        <v>285.26678267984022</v>
      </c>
      <c r="AJ122" s="86">
        <f t="shared" si="10"/>
        <v>306.73847599982821</v>
      </c>
      <c r="AK122" s="86">
        <f t="shared" si="23"/>
        <v>0</v>
      </c>
      <c r="AL122" s="310" t="e">
        <f>+VLOOKUP(B122,#REF!,2,FALSE)</f>
        <v>#REF!</v>
      </c>
      <c r="AM122" s="311" t="e">
        <f t="shared" si="18"/>
        <v>#REF!</v>
      </c>
      <c r="AN122" s="312" t="e">
        <f t="shared" si="17"/>
        <v>#REF!</v>
      </c>
    </row>
    <row r="123" spans="1:40" s="73" customFormat="1" x14ac:dyDescent="0.25">
      <c r="A123" s="303">
        <v>90</v>
      </c>
      <c r="B123" s="304" t="s">
        <v>943</v>
      </c>
      <c r="D123" s="74">
        <f>IFERROR(VLOOKUP(B123,'REQ. PINTADO'!B:C,2,0),0)</f>
        <v>0</v>
      </c>
      <c r="E123" s="305">
        <f t="shared" si="0"/>
        <v>188.85831959885752</v>
      </c>
      <c r="F123" s="103" t="s">
        <v>163</v>
      </c>
      <c r="G123" s="75" t="s">
        <v>147</v>
      </c>
      <c r="H123" s="90">
        <v>5.24</v>
      </c>
      <c r="I123" s="90">
        <v>31.94</v>
      </c>
      <c r="J123" s="76">
        <v>0.105</v>
      </c>
      <c r="K123" s="306">
        <v>4.99</v>
      </c>
      <c r="L123" s="78">
        <f t="shared" si="1"/>
        <v>27.697578138743211</v>
      </c>
      <c r="M123" s="58">
        <f>+VLOOKUP(F123,Material!$H$2:$M$17,6,FALSE)*H123*I123*(1+Material!$K$14)</f>
        <v>62.823143141967556</v>
      </c>
      <c r="N123" s="79" t="str">
        <f t="shared" si="19"/>
        <v>T5.0</v>
      </c>
      <c r="O123" s="80">
        <f>+VLOOKUP(N123,[3]Material!$A$3:$B$58,2,FALSE)</f>
        <v>5000</v>
      </c>
      <c r="P123" s="79" t="s">
        <v>42</v>
      </c>
      <c r="Q123" s="79" t="str">
        <f>+VLOOKUP(F123,[3]Material!$C$2:$E$12,2,FALSE)</f>
        <v>Cal 12</v>
      </c>
      <c r="R123" s="81">
        <f>+IF(P123="ACERO A36",VLOOKUP(Q123,'[3]Velocidades Std 1500 w'!$B$2:$F$15,5,FALSE),IF(P123="INOXIDABLE",VLOOKUP(Q123,'[3]Velocidades Std 1500 w'!$B$17:$F$28,5,FALSE),IF(P123="ALUMINIO",VLOOKUP(Q123,'[3]Velocidades Std 1500 w'!$B$30:$F$38,5,FALSE))))</f>
        <v>4.3859649122807014E-6</v>
      </c>
      <c r="S123" s="82">
        <f t="shared" si="2"/>
        <v>2.1929824561403508E-2</v>
      </c>
      <c r="T123" s="83">
        <f t="shared" si="3"/>
        <v>36.998308421052627</v>
      </c>
      <c r="U123" s="307">
        <f t="shared" si="4"/>
        <v>2343.2262000000001</v>
      </c>
      <c r="V123" s="80">
        <f t="shared" si="5"/>
        <v>51.386539473684209</v>
      </c>
      <c r="W123" s="98">
        <v>9</v>
      </c>
      <c r="X123" s="84">
        <f>+IF(P123="ACERO A36",VLOOKUP(Q123,'[3]Tiempo Objeto'!$B$2:$C$12,2,FALSE),IF(P123="INOXIDABLE",VLOOKUP(Q123,'[3]Tiempo Objeto'!$B$14:$C$22,2,FALSE),IF(P123="ALUMINIO",VLOOKUP(Q123,'[3]Tiempo Objeto'!$B$24:$C$32,2,FALSE))))</f>
        <v>0.6133333333333334</v>
      </c>
      <c r="Y123" s="84">
        <f t="shared" si="6"/>
        <v>5.5200000000000005</v>
      </c>
      <c r="Z123" s="80">
        <f t="shared" si="7"/>
        <v>7.6666666666666679</v>
      </c>
      <c r="AA123" s="100">
        <v>1</v>
      </c>
      <c r="AB123" s="86">
        <f>+AA123*Analisis!$J$6</f>
        <v>25</v>
      </c>
      <c r="AC123" s="100">
        <v>0</v>
      </c>
      <c r="AD123" s="85">
        <f t="shared" si="8"/>
        <v>0</v>
      </c>
      <c r="AE123" s="86">
        <f>+AC123*Analisis!$J$7</f>
        <v>0</v>
      </c>
      <c r="AF123" s="308">
        <f>+H123*0.0254*I123*0.0254*2*(1+[3]Analisis!$G$2)</f>
        <v>0.26994397623999999</v>
      </c>
      <c r="AG123" s="86">
        <f>+AF123*Analisis!$J$8</f>
        <v>28.761887944619055</v>
      </c>
      <c r="AH123" s="309">
        <f t="shared" si="22"/>
        <v>175.63823722693749</v>
      </c>
      <c r="AI123" s="86">
        <f>+AH123/(1-Analisis!G128)</f>
        <v>175.63823722693749</v>
      </c>
      <c r="AJ123" s="86">
        <f t="shared" si="10"/>
        <v>188.85831959885752</v>
      </c>
      <c r="AK123" s="86">
        <f t="shared" si="23"/>
        <v>0</v>
      </c>
      <c r="AL123" s="310" t="e">
        <f>+VLOOKUP(B123,#REF!,2,FALSE)</f>
        <v>#REF!</v>
      </c>
      <c r="AM123" s="311" t="e">
        <f t="shared" si="18"/>
        <v>#REF!</v>
      </c>
      <c r="AN123" s="312" t="e">
        <f t="shared" si="17"/>
        <v>#REF!</v>
      </c>
    </row>
    <row r="124" spans="1:40" s="73" customFormat="1" x14ac:dyDescent="0.25">
      <c r="A124" s="303">
        <v>91</v>
      </c>
      <c r="B124" s="304" t="s">
        <v>944</v>
      </c>
      <c r="D124" s="74">
        <f>IFERROR(VLOOKUP(B124,'REQ. PINTADO'!B:C,2,0),0)</f>
        <v>0</v>
      </c>
      <c r="E124" s="305">
        <f t="shared" si="0"/>
        <v>218.01377668275202</v>
      </c>
      <c r="F124" s="103" t="s">
        <v>165</v>
      </c>
      <c r="G124" s="75" t="s">
        <v>147</v>
      </c>
      <c r="H124" s="90">
        <v>7.32</v>
      </c>
      <c r="I124" s="90">
        <v>20.74</v>
      </c>
      <c r="J124" s="76">
        <v>0.105</v>
      </c>
      <c r="K124" s="306">
        <v>3.23</v>
      </c>
      <c r="L124" s="78">
        <f t="shared" si="1"/>
        <v>42.977550000000001</v>
      </c>
      <c r="M124" s="58">
        <f>+VLOOKUP(F124,Material!$H$2:$M$17,6,FALSE)*H124*I124*(1+Material!$K$14)</f>
        <v>63.098857500000001</v>
      </c>
      <c r="N124" s="79" t="str">
        <f t="shared" si="19"/>
        <v>T5.0</v>
      </c>
      <c r="O124" s="80">
        <f>+VLOOKUP(N124,[3]Material!$A$3:$B$58,2,FALSE)</f>
        <v>5000</v>
      </c>
      <c r="P124" s="79" t="s">
        <v>42</v>
      </c>
      <c r="Q124" s="79" t="str">
        <f>+VLOOKUP(F124,[3]Material!$C$2:$E$12,2,FALSE)</f>
        <v>Cal 14</v>
      </c>
      <c r="R124" s="81">
        <f>+IF(P124="ACERO A36",VLOOKUP(Q124,'[3]Velocidades Std 1500 w'!$B$2:$F$15,5,FALSE),IF(P124="INOXIDABLE",VLOOKUP(Q124,'[3]Velocidades Std 1500 w'!$B$17:$F$28,5,FALSE),IF(P124="ALUMINIO",VLOOKUP(Q124,'[3]Velocidades Std 1500 w'!$B$30:$F$38,5,FALSE))))</f>
        <v>2.0080321285140564E-6</v>
      </c>
      <c r="S124" s="82">
        <f t="shared" si="2"/>
        <v>1.0040160642570283E-2</v>
      </c>
      <c r="T124" s="83">
        <f t="shared" si="3"/>
        <v>27.592846265060242</v>
      </c>
      <c r="U124" s="307">
        <f t="shared" si="4"/>
        <v>3817.0104000000001</v>
      </c>
      <c r="V124" s="80">
        <f t="shared" si="5"/>
        <v>38.323397590361452</v>
      </c>
      <c r="W124" s="98">
        <v>58</v>
      </c>
      <c r="X124" s="84">
        <f>+IF(P124="ACERO A36",VLOOKUP(Q124,'[3]Tiempo Objeto'!$B$2:$C$12,2,FALSE),IF(P124="INOXIDABLE",VLOOKUP(Q124,'[3]Tiempo Objeto'!$B$14:$C$22,2,FALSE),IF(P124="ALUMINIO",VLOOKUP(Q124,'[3]Tiempo Objeto'!$B$24:$C$32,2,FALSE))))</f>
        <v>0.3133333333333333</v>
      </c>
      <c r="Y124" s="84">
        <f t="shared" si="6"/>
        <v>18.173333333333332</v>
      </c>
      <c r="Z124" s="80">
        <f t="shared" si="7"/>
        <v>25.240740740740737</v>
      </c>
      <c r="AA124" s="100">
        <v>2</v>
      </c>
      <c r="AB124" s="86">
        <f>+AA124*Analisis!$J$6</f>
        <v>50</v>
      </c>
      <c r="AC124" s="100">
        <v>0</v>
      </c>
      <c r="AD124" s="85">
        <f t="shared" si="8"/>
        <v>0</v>
      </c>
      <c r="AE124" s="86">
        <f>+AC124*Analisis!$J$7</f>
        <v>0</v>
      </c>
      <c r="AF124" s="308">
        <f>+H124*0.0254*I124*0.0254*2*(1+[3]Analisis!$G$2)</f>
        <v>0.24486531672</v>
      </c>
      <c r="AG124" s="86">
        <f>+AF124*Analisis!$J$8</f>
        <v>26.089816483857152</v>
      </c>
      <c r="AH124" s="309">
        <f t="shared" si="22"/>
        <v>202.75281231495936</v>
      </c>
      <c r="AI124" s="86">
        <f>+AH124/(1-Analisis!G129)</f>
        <v>202.75281231495936</v>
      </c>
      <c r="AJ124" s="86">
        <f t="shared" si="10"/>
        <v>218.01377668275202</v>
      </c>
      <c r="AK124" s="86">
        <f t="shared" si="23"/>
        <v>0</v>
      </c>
      <c r="AL124" s="310" t="e">
        <f>+VLOOKUP(B124,#REF!,2,FALSE)</f>
        <v>#REF!</v>
      </c>
      <c r="AM124" s="311" t="e">
        <f t="shared" si="18"/>
        <v>#REF!</v>
      </c>
      <c r="AN124" s="312" t="e">
        <f t="shared" si="17"/>
        <v>#REF!</v>
      </c>
    </row>
    <row r="125" spans="1:40" s="73" customFormat="1" x14ac:dyDescent="0.25">
      <c r="A125" s="303">
        <v>92</v>
      </c>
      <c r="B125" s="304" t="s">
        <v>945</v>
      </c>
      <c r="D125" s="74">
        <f>IFERROR(VLOOKUP(B125,'REQ. PINTADO'!B:C,2,0),0)</f>
        <v>0</v>
      </c>
      <c r="E125" s="305">
        <f t="shared" si="0"/>
        <v>236.04513095428425</v>
      </c>
      <c r="F125" s="103" t="s">
        <v>165</v>
      </c>
      <c r="G125" s="75" t="s">
        <v>147</v>
      </c>
      <c r="H125" s="90">
        <v>7.32</v>
      </c>
      <c r="I125" s="90">
        <v>30.74</v>
      </c>
      <c r="J125" s="76">
        <v>0.105</v>
      </c>
      <c r="K125" s="306">
        <v>3.23</v>
      </c>
      <c r="L125" s="78">
        <f t="shared" si="1"/>
        <v>63.699608823529424</v>
      </c>
      <c r="M125" s="58">
        <f>+VLOOKUP(F125,Material!$H$2:$M$17,6,FALSE)*H125*I125*(1+Material!$K$14)</f>
        <v>93.522607500000007</v>
      </c>
      <c r="N125" s="79" t="str">
        <f t="shared" si="19"/>
        <v>T5.0</v>
      </c>
      <c r="O125" s="80">
        <f>+VLOOKUP(N125,[3]Material!$A$3:$B$58,2,FALSE)</f>
        <v>5000</v>
      </c>
      <c r="P125" s="79" t="s">
        <v>42</v>
      </c>
      <c r="Q125" s="79" t="str">
        <f>+VLOOKUP(F125,[3]Material!$C$2:$E$12,2,FALSE)</f>
        <v>Cal 14</v>
      </c>
      <c r="R125" s="81">
        <f>+IF(P125="ACERO A36",VLOOKUP(Q125,'[3]Velocidades Std 1500 w'!$B$2:$F$15,5,FALSE),IF(P125="INOXIDABLE",VLOOKUP(Q125,'[3]Velocidades Std 1500 w'!$B$17:$F$28,5,FALSE),IF(P125="ALUMINIO",VLOOKUP(Q125,'[3]Velocidades Std 1500 w'!$B$30:$F$38,5,FALSE))))</f>
        <v>2.0080321285140564E-6</v>
      </c>
      <c r="S125" s="82">
        <f t="shared" si="2"/>
        <v>1.0040160642570283E-2</v>
      </c>
      <c r="T125" s="83">
        <f t="shared" si="3"/>
        <v>37.810990843373496</v>
      </c>
      <c r="U125" s="307">
        <f t="shared" si="4"/>
        <v>5230.5203999999994</v>
      </c>
      <c r="V125" s="80">
        <f t="shared" si="5"/>
        <v>52.515265060240964</v>
      </c>
      <c r="W125" s="98">
        <v>80</v>
      </c>
      <c r="X125" s="84">
        <f>+IF(P125="ACERO A36",VLOOKUP(Q125,'[3]Tiempo Objeto'!$B$2:$C$12,2,FALSE),IF(P125="INOXIDABLE",VLOOKUP(Q125,'[3]Tiempo Objeto'!$B$14:$C$22,2,FALSE),IF(P125="ALUMINIO",VLOOKUP(Q125,'[3]Tiempo Objeto'!$B$24:$C$32,2,FALSE))))</f>
        <v>0.3133333333333333</v>
      </c>
      <c r="Y125" s="84">
        <f t="shared" si="6"/>
        <v>25.066666666666663</v>
      </c>
      <c r="Z125" s="80">
        <f t="shared" si="7"/>
        <v>34.81481481481481</v>
      </c>
      <c r="AA125" s="100">
        <v>0</v>
      </c>
      <c r="AB125" s="86">
        <f>+AA125*Analisis!$J$6</f>
        <v>0</v>
      </c>
      <c r="AC125" s="100">
        <v>0</v>
      </c>
      <c r="AD125" s="85">
        <f t="shared" si="8"/>
        <v>0</v>
      </c>
      <c r="AE125" s="86">
        <f>+AC125*Analisis!$J$7</f>
        <v>0</v>
      </c>
      <c r="AF125" s="308">
        <f>+H125*0.0254*I125*0.0254*2*(1+[3]Analisis!$G$2)</f>
        <v>0.36292959671999997</v>
      </c>
      <c r="AG125" s="86">
        <f>+AF125*Analisis!$J$8</f>
        <v>38.669284412428581</v>
      </c>
      <c r="AH125" s="309">
        <f t="shared" si="22"/>
        <v>219.52197178748435</v>
      </c>
      <c r="AI125" s="86">
        <f>+AH125/(1-Analisis!G130)</f>
        <v>219.52197178748435</v>
      </c>
      <c r="AJ125" s="86">
        <f t="shared" si="10"/>
        <v>236.04513095428425</v>
      </c>
      <c r="AK125" s="86">
        <f t="shared" si="23"/>
        <v>0</v>
      </c>
      <c r="AL125" s="310" t="e">
        <f>+VLOOKUP(B125,#REF!,2,FALSE)</f>
        <v>#REF!</v>
      </c>
      <c r="AM125" s="311" t="e">
        <f t="shared" si="18"/>
        <v>#REF!</v>
      </c>
      <c r="AN125" s="312" t="e">
        <f t="shared" si="17"/>
        <v>#REF!</v>
      </c>
    </row>
    <row r="126" spans="1:40" s="73" customFormat="1" x14ac:dyDescent="0.25">
      <c r="A126" s="303">
        <v>93</v>
      </c>
      <c r="B126" s="304" t="s">
        <v>946</v>
      </c>
      <c r="D126" s="74">
        <f>IFERROR(VLOOKUP(B126,'REQ. PINTADO'!B:C,2,0),0)</f>
        <v>0</v>
      </c>
      <c r="E126" s="305">
        <f t="shared" si="0"/>
        <v>686.76905917827628</v>
      </c>
      <c r="F126" s="103" t="s">
        <v>165</v>
      </c>
      <c r="G126" s="75" t="s">
        <v>147</v>
      </c>
      <c r="H126" s="90">
        <v>7.94</v>
      </c>
      <c r="I126" s="90">
        <v>115.75</v>
      </c>
      <c r="J126" s="76">
        <v>0.105</v>
      </c>
      <c r="K126" s="306">
        <v>19.579999999999998</v>
      </c>
      <c r="L126" s="78">
        <f t="shared" si="1"/>
        <v>42.919352176966306</v>
      </c>
      <c r="M126" s="58">
        <f>+VLOOKUP(F126,Material!$H$2:$M$17,6,FALSE)*H126*I126*(1+Material!$K$14)</f>
        <v>381.98223437500008</v>
      </c>
      <c r="N126" s="79" t="str">
        <f t="shared" si="19"/>
        <v>T5.0</v>
      </c>
      <c r="O126" s="80">
        <f>+VLOOKUP(N126,[3]Material!$A$3:$B$58,2,FALSE)</f>
        <v>5000</v>
      </c>
      <c r="P126" s="79" t="s">
        <v>42</v>
      </c>
      <c r="Q126" s="79" t="str">
        <f>+VLOOKUP(F126,[3]Material!$C$2:$E$12,2,FALSE)</f>
        <v>Cal 14</v>
      </c>
      <c r="R126" s="81">
        <f>+IF(P126="ACERO A36",VLOOKUP(Q126,'[3]Velocidades Std 1500 w'!$B$2:$F$15,5,FALSE),IF(P126="INOXIDABLE",VLOOKUP(Q126,'[3]Velocidades Std 1500 w'!$B$17:$F$28,5,FALSE),IF(P126="ALUMINIO",VLOOKUP(Q126,'[3]Velocidades Std 1500 w'!$B$30:$F$38,5,FALSE))))</f>
        <v>2.0080321285140564E-6</v>
      </c>
      <c r="S126" s="82">
        <f t="shared" si="2"/>
        <v>1.0040160642570283E-2</v>
      </c>
      <c r="T126" s="83">
        <f t="shared" si="3"/>
        <v>50.296406746987962</v>
      </c>
      <c r="U126" s="307">
        <f t="shared" si="4"/>
        <v>6957.6696000000002</v>
      </c>
      <c r="V126" s="80">
        <f t="shared" si="5"/>
        <v>69.856120481927718</v>
      </c>
      <c r="W126" s="98">
        <v>9</v>
      </c>
      <c r="X126" s="84">
        <f>+IF(P126="ACERO A36",VLOOKUP(Q126,'[3]Tiempo Objeto'!$B$2:$C$12,2,FALSE),IF(P126="INOXIDABLE",VLOOKUP(Q126,'[3]Tiempo Objeto'!$B$14:$C$22,2,FALSE),IF(P126="ALUMINIO",VLOOKUP(Q126,'[3]Tiempo Objeto'!$B$24:$C$32,2,FALSE))))</f>
        <v>0.3133333333333333</v>
      </c>
      <c r="Y126" s="84">
        <f t="shared" si="6"/>
        <v>2.82</v>
      </c>
      <c r="Z126" s="80">
        <f t="shared" si="7"/>
        <v>3.9166666666666665</v>
      </c>
      <c r="AA126" s="100">
        <v>1</v>
      </c>
      <c r="AB126" s="86">
        <f>+AA126*Analisis!$J$6</f>
        <v>25</v>
      </c>
      <c r="AC126" s="100">
        <v>0</v>
      </c>
      <c r="AD126" s="85">
        <f t="shared" si="8"/>
        <v>0</v>
      </c>
      <c r="AE126" s="86">
        <f>+AC126*Analisis!$J$7</f>
        <v>0</v>
      </c>
      <c r="AF126" s="308">
        <f>+H126*0.0254*I126*0.0254*2*(1+[3]Analisis!$G$2)</f>
        <v>1.4823438094999999</v>
      </c>
      <c r="AG126" s="86">
        <f>+AF126*Analisis!$J$8</f>
        <v>157.94020351220243</v>
      </c>
      <c r="AH126" s="309">
        <f t="shared" si="22"/>
        <v>638.69522503579685</v>
      </c>
      <c r="AI126" s="86">
        <f>+AH126/(1-Analisis!G131)</f>
        <v>638.69522503579685</v>
      </c>
      <c r="AJ126" s="86">
        <f t="shared" si="10"/>
        <v>686.76905917827628</v>
      </c>
      <c r="AK126" s="86">
        <f t="shared" si="23"/>
        <v>0</v>
      </c>
      <c r="AL126" s="310" t="e">
        <f>+VLOOKUP(B126,#REF!,2,FALSE)</f>
        <v>#REF!</v>
      </c>
      <c r="AM126" s="311" t="e">
        <f t="shared" si="18"/>
        <v>#REF!</v>
      </c>
      <c r="AN126" s="312" t="e">
        <f t="shared" si="17"/>
        <v>#REF!</v>
      </c>
    </row>
    <row r="127" spans="1:40" s="73" customFormat="1" x14ac:dyDescent="0.25">
      <c r="A127" s="303">
        <v>94</v>
      </c>
      <c r="B127" s="304" t="s">
        <v>947</v>
      </c>
      <c r="D127" s="74">
        <f>IFERROR(VLOOKUP(B127,'REQ. PINTADO'!B:C,2,0),0)</f>
        <v>0</v>
      </c>
      <c r="E127" s="305">
        <f t="shared" si="0"/>
        <v>205.75735007083924</v>
      </c>
      <c r="F127" s="103" t="s">
        <v>163</v>
      </c>
      <c r="G127" s="75" t="s">
        <v>147</v>
      </c>
      <c r="H127" s="90">
        <v>3.99</v>
      </c>
      <c r="I127" s="90">
        <v>6.3</v>
      </c>
      <c r="J127" s="76">
        <v>0.105</v>
      </c>
      <c r="K127" s="306">
        <v>0.75</v>
      </c>
      <c r="L127" s="78">
        <f t="shared" si="1"/>
        <v>27.677593389571133</v>
      </c>
      <c r="M127" s="58">
        <f>+VLOOKUP(F127,Material!$H$2:$M$17,6,FALSE)*H127*I127*(1+Material!$K$14)</f>
        <v>9.4355432009901588</v>
      </c>
      <c r="N127" s="79" t="str">
        <f t="shared" si="19"/>
        <v>T5.0</v>
      </c>
      <c r="O127" s="80">
        <f>+VLOOKUP(N127,[3]Material!$A$3:$B$58,2,FALSE)</f>
        <v>5000</v>
      </c>
      <c r="P127" s="79" t="s">
        <v>42</v>
      </c>
      <c r="Q127" s="79" t="str">
        <f>+VLOOKUP(F127,[3]Material!$C$2:$E$12,2,FALSE)</f>
        <v>Cal 12</v>
      </c>
      <c r="R127" s="81">
        <f>+IF(P127="ACERO A36",VLOOKUP(Q127,'[3]Velocidades Std 1500 w'!$B$2:$F$15,5,FALSE),IF(P127="INOXIDABLE",VLOOKUP(Q127,'[3]Velocidades Std 1500 w'!$B$17:$F$28,5,FALSE),IF(P127="ALUMINIO",VLOOKUP(Q127,'[3]Velocidades Std 1500 w'!$B$30:$F$38,5,FALSE))))</f>
        <v>4.3859649122807014E-6</v>
      </c>
      <c r="S127" s="82">
        <f t="shared" si="2"/>
        <v>2.1929824561403508E-2</v>
      </c>
      <c r="T127" s="83">
        <f t="shared" si="3"/>
        <v>14.35126736842105</v>
      </c>
      <c r="U127" s="307">
        <f t="shared" si="4"/>
        <v>908.91359999999997</v>
      </c>
      <c r="V127" s="80">
        <f t="shared" si="5"/>
        <v>19.932315789473684</v>
      </c>
      <c r="W127" s="98">
        <v>9</v>
      </c>
      <c r="X127" s="84">
        <f>+IF(P127="ACERO A36",VLOOKUP(Q127,'[3]Tiempo Objeto'!$B$2:$C$12,2,FALSE),IF(P127="INOXIDABLE",VLOOKUP(Q127,'[3]Tiempo Objeto'!$B$14:$C$22,2,FALSE),IF(P127="ALUMINIO",VLOOKUP(Q127,'[3]Tiempo Objeto'!$B$24:$C$32,2,FALSE))))</f>
        <v>0.6133333333333334</v>
      </c>
      <c r="Y127" s="84">
        <f t="shared" si="6"/>
        <v>5.5200000000000005</v>
      </c>
      <c r="Z127" s="80">
        <f t="shared" si="7"/>
        <v>7.6666666666666679</v>
      </c>
      <c r="AA127" s="100">
        <v>6</v>
      </c>
      <c r="AB127" s="86">
        <f>+AA127*Analisis!$J$6</f>
        <v>150</v>
      </c>
      <c r="AC127" s="100">
        <v>0</v>
      </c>
      <c r="AD127" s="85">
        <f t="shared" si="8"/>
        <v>0</v>
      </c>
      <c r="AE127" s="86">
        <f>+AC127*Analisis!$J$7</f>
        <v>0</v>
      </c>
      <c r="AF127" s="308">
        <f>+H127*0.0254*I127*0.0254*2*(1+[3]Analisis!$G$2)</f>
        <v>4.0543467299999997E-2</v>
      </c>
      <c r="AG127" s="86">
        <f>+AF127*Analisis!$J$8</f>
        <v>4.3198099087500008</v>
      </c>
      <c r="AH127" s="309">
        <f t="shared" si="22"/>
        <v>191.35433556588049</v>
      </c>
      <c r="AI127" s="86">
        <f>+AH127/(1-Analisis!G132)</f>
        <v>191.35433556588049</v>
      </c>
      <c r="AJ127" s="86">
        <f t="shared" si="10"/>
        <v>205.75735007083924</v>
      </c>
      <c r="AK127" s="86">
        <f t="shared" si="23"/>
        <v>0</v>
      </c>
      <c r="AL127" s="310" t="e">
        <f>+VLOOKUP(B127,#REF!,2,FALSE)</f>
        <v>#REF!</v>
      </c>
      <c r="AM127" s="311" t="e">
        <f t="shared" si="18"/>
        <v>#REF!</v>
      </c>
      <c r="AN127" s="312" t="e">
        <f t="shared" si="17"/>
        <v>#REF!</v>
      </c>
    </row>
    <row r="128" spans="1:40" s="73" customFormat="1" x14ac:dyDescent="0.25">
      <c r="A128" s="303">
        <v>95</v>
      </c>
      <c r="B128" s="304" t="s">
        <v>948</v>
      </c>
      <c r="D128" s="74">
        <f>IFERROR(VLOOKUP(B128,'REQ. PINTADO'!B:C,2,0),0)</f>
        <v>0</v>
      </c>
      <c r="E128" s="305">
        <f t="shared" si="0"/>
        <v>188.38571555972891</v>
      </c>
      <c r="F128" s="103" t="s">
        <v>165</v>
      </c>
      <c r="G128" s="75" t="s">
        <v>147</v>
      </c>
      <c r="H128" s="90">
        <v>8.1</v>
      </c>
      <c r="I128" s="90">
        <v>7.24</v>
      </c>
      <c r="J128" s="76">
        <v>0.105</v>
      </c>
      <c r="K128" s="306">
        <v>1.25</v>
      </c>
      <c r="L128" s="78">
        <f t="shared" si="1"/>
        <v>42.898086000000006</v>
      </c>
      <c r="M128" s="58">
        <f>+VLOOKUP(F128,Material!$H$2:$M$17,6,FALSE)*H128*I128*(1+Material!$K$14)</f>
        <v>24.373912500000003</v>
      </c>
      <c r="N128" s="79" t="str">
        <f t="shared" si="19"/>
        <v>T5.0</v>
      </c>
      <c r="O128" s="80">
        <f>+VLOOKUP(N128,[3]Material!$A$3:$B$58,2,FALSE)</f>
        <v>5000</v>
      </c>
      <c r="P128" s="79" t="s">
        <v>42</v>
      </c>
      <c r="Q128" s="79" t="str">
        <f>+VLOOKUP(F128,[3]Material!$C$2:$E$12,2,FALSE)</f>
        <v>Cal 14</v>
      </c>
      <c r="R128" s="81">
        <f>+IF(P128="ACERO A36",VLOOKUP(Q128,'[3]Velocidades Std 1500 w'!$B$2:$F$15,5,FALSE),IF(P128="INOXIDABLE",VLOOKUP(Q128,'[3]Velocidades Std 1500 w'!$B$17:$F$28,5,FALSE),IF(P128="ALUMINIO",VLOOKUP(Q128,'[3]Velocidades Std 1500 w'!$B$30:$F$38,5,FALSE))))</f>
        <v>2.0080321285140564E-6</v>
      </c>
      <c r="S128" s="82">
        <f t="shared" si="2"/>
        <v>1.0040160642570283E-2</v>
      </c>
      <c r="T128" s="83">
        <f t="shared" si="3"/>
        <v>8.5176910843373506</v>
      </c>
      <c r="U128" s="307">
        <f t="shared" si="4"/>
        <v>1178.2806</v>
      </c>
      <c r="V128" s="80">
        <f t="shared" si="5"/>
        <v>11.830126506024099</v>
      </c>
      <c r="W128" s="98">
        <v>9</v>
      </c>
      <c r="X128" s="84">
        <f>+IF(P128="ACERO A36",VLOOKUP(Q128,'[3]Tiempo Objeto'!$B$2:$C$12,2,FALSE),IF(P128="INOXIDABLE",VLOOKUP(Q128,'[3]Tiempo Objeto'!$B$14:$C$22,2,FALSE),IF(P128="ALUMINIO",VLOOKUP(Q128,'[3]Tiempo Objeto'!$B$24:$C$32,2,FALSE))))</f>
        <v>0.3133333333333333</v>
      </c>
      <c r="Y128" s="84">
        <f t="shared" si="6"/>
        <v>2.82</v>
      </c>
      <c r="Z128" s="80">
        <f t="shared" si="7"/>
        <v>3.9166666666666665</v>
      </c>
      <c r="AA128" s="100">
        <v>5</v>
      </c>
      <c r="AB128" s="86">
        <f>+AA128*Analisis!$J$6</f>
        <v>125</v>
      </c>
      <c r="AC128" s="100">
        <v>0</v>
      </c>
      <c r="AD128" s="85">
        <f t="shared" si="8"/>
        <v>0</v>
      </c>
      <c r="AE128" s="86">
        <f>+AC128*Analisis!$J$7</f>
        <v>0</v>
      </c>
      <c r="AF128" s="308">
        <f>+H128*0.0254*I128*0.0254*2*(1+[3]Analisis!$G$2)</f>
        <v>9.4586907599999992E-2</v>
      </c>
      <c r="AG128" s="86">
        <f>+AF128*Analisis!$J$8</f>
        <v>10.078009797857145</v>
      </c>
      <c r="AH128" s="309">
        <f t="shared" si="22"/>
        <v>175.19871547054788</v>
      </c>
      <c r="AI128" s="86">
        <f>+AH128/(1-Analisis!G133)</f>
        <v>175.19871547054788</v>
      </c>
      <c r="AJ128" s="86">
        <f t="shared" si="10"/>
        <v>188.38571555972891</v>
      </c>
      <c r="AK128" s="86">
        <f t="shared" si="23"/>
        <v>0</v>
      </c>
      <c r="AL128" s="310" t="e">
        <f>+VLOOKUP(B128,#REF!,2,FALSE)</f>
        <v>#REF!</v>
      </c>
      <c r="AM128" s="311" t="e">
        <f t="shared" si="18"/>
        <v>#REF!</v>
      </c>
      <c r="AN128" s="312" t="e">
        <f t="shared" si="17"/>
        <v>#REF!</v>
      </c>
    </row>
    <row r="129" spans="1:40" s="73" customFormat="1" x14ac:dyDescent="0.25">
      <c r="A129" s="303">
        <v>96</v>
      </c>
      <c r="B129" s="304" t="s">
        <v>949</v>
      </c>
      <c r="D129" s="74">
        <f>IFERROR(VLOOKUP(B129,'REQ. PINTADO'!B:C,2,0),0)</f>
        <v>0</v>
      </c>
      <c r="E129" s="305">
        <f t="shared" si="0"/>
        <v>482.16164685523705</v>
      </c>
      <c r="F129" s="103" t="s">
        <v>164</v>
      </c>
      <c r="G129" s="75" t="s">
        <v>147</v>
      </c>
      <c r="H129" s="90">
        <v>8.1199999999999992</v>
      </c>
      <c r="I129" s="90">
        <v>25.7</v>
      </c>
      <c r="J129" s="76">
        <v>0.105</v>
      </c>
      <c r="K129" s="306">
        <v>8</v>
      </c>
      <c r="L129" s="78">
        <f t="shared" si="1"/>
        <v>39.753215104166678</v>
      </c>
      <c r="M129" s="58">
        <f>+VLOOKUP(F129,Material!$H$2:$M$17,6,FALSE)*H129*I129*(1+Material!$K$14)</f>
        <v>144.55714583333335</v>
      </c>
      <c r="N129" s="79" t="str">
        <f t="shared" si="19"/>
        <v>T5.0</v>
      </c>
      <c r="O129" s="80">
        <f>+VLOOKUP(N129,[3]Material!$A$3:$B$58,2,FALSE)</f>
        <v>5000</v>
      </c>
      <c r="P129" s="79" t="s">
        <v>42</v>
      </c>
      <c r="Q129" s="79" t="str">
        <f>+VLOOKUP(F129,[3]Material!$C$2:$E$12,2,FALSE)</f>
        <v>Cal 10</v>
      </c>
      <c r="R129" s="81">
        <f>+IF(P129="ACERO A36",VLOOKUP(Q129,'[3]Velocidades Std 1500 w'!$B$2:$F$15,5,FALSE),IF(P129="INOXIDABLE",VLOOKUP(Q129,'[3]Velocidades Std 1500 w'!$B$17:$F$28,5,FALSE),IF(P129="ALUMINIO",VLOOKUP(Q129,'[3]Velocidades Std 1500 w'!$B$30:$F$38,5,FALSE))))</f>
        <v>6.1728395061728391E-6</v>
      </c>
      <c r="S129" s="82">
        <f t="shared" si="2"/>
        <v>3.0864197530864196E-2</v>
      </c>
      <c r="T129" s="83">
        <f t="shared" si="3"/>
        <v>64.979973333333319</v>
      </c>
      <c r="U129" s="307">
        <f t="shared" si="4"/>
        <v>2924.0987999999998</v>
      </c>
      <c r="V129" s="80">
        <f t="shared" si="5"/>
        <v>90.249962962962954</v>
      </c>
      <c r="W129" s="98">
        <v>28</v>
      </c>
      <c r="X129" s="84">
        <f>+IF(P129="ACERO A36",VLOOKUP(Q129,'[3]Tiempo Objeto'!$B$2:$C$12,2,FALSE),IF(P129="INOXIDABLE",VLOOKUP(Q129,'[3]Tiempo Objeto'!$B$14:$C$22,2,FALSE),IF(P129="ALUMINIO",VLOOKUP(Q129,'[3]Tiempo Objeto'!$B$24:$C$32,2,FALSE))))</f>
        <v>0.71333333333333337</v>
      </c>
      <c r="Y129" s="84">
        <f t="shared" si="6"/>
        <v>19.973333333333336</v>
      </c>
      <c r="Z129" s="80">
        <f t="shared" si="7"/>
        <v>27.740740740740748</v>
      </c>
      <c r="AA129" s="100">
        <v>6</v>
      </c>
      <c r="AB129" s="86">
        <f>+AA129*Analisis!$J$6</f>
        <v>150</v>
      </c>
      <c r="AC129" s="100">
        <v>0</v>
      </c>
      <c r="AD129" s="85">
        <f t="shared" si="8"/>
        <v>0</v>
      </c>
      <c r="AE129" s="86">
        <f>+AC129*Analisis!$J$7</f>
        <v>0</v>
      </c>
      <c r="AF129" s="308">
        <f>+H129*0.0254*I129*0.0254*2*(1+[3]Analisis!$G$2)</f>
        <v>0.33658642359999991</v>
      </c>
      <c r="AG129" s="86">
        <f>+AF129*Analisis!$J$8</f>
        <v>35.862482038333333</v>
      </c>
      <c r="AH129" s="309">
        <f t="shared" si="22"/>
        <v>448.41033157537044</v>
      </c>
      <c r="AI129" s="86">
        <f>+AH129/(1-Analisis!G134)</f>
        <v>448.41033157537044</v>
      </c>
      <c r="AJ129" s="86">
        <f t="shared" si="10"/>
        <v>482.16164685523705</v>
      </c>
      <c r="AK129" s="86">
        <f t="shared" si="23"/>
        <v>0</v>
      </c>
      <c r="AL129" s="310" t="e">
        <f>+VLOOKUP(B129,#REF!,2,FALSE)</f>
        <v>#REF!</v>
      </c>
      <c r="AM129" s="311" t="e">
        <f t="shared" si="18"/>
        <v>#REF!</v>
      </c>
      <c r="AN129" s="312" t="e">
        <f t="shared" si="17"/>
        <v>#REF!</v>
      </c>
    </row>
    <row r="130" spans="1:40" s="73" customFormat="1" x14ac:dyDescent="0.25">
      <c r="A130" s="303">
        <v>97</v>
      </c>
      <c r="B130" s="304" t="s">
        <v>950</v>
      </c>
      <c r="D130" s="74">
        <f>IFERROR(VLOOKUP(B130,'REQ. PINTADO'!B:C,2,0),0)</f>
        <v>0</v>
      </c>
      <c r="E130" s="305">
        <f t="shared" si="0"/>
        <v>492.0458397153127</v>
      </c>
      <c r="F130" s="103" t="s">
        <v>164</v>
      </c>
      <c r="G130" s="75" t="s">
        <v>147</v>
      </c>
      <c r="H130" s="90">
        <v>8.1199999999999992</v>
      </c>
      <c r="I130" s="90">
        <v>32.53</v>
      </c>
      <c r="J130" s="76">
        <v>0.105</v>
      </c>
      <c r="K130" s="306">
        <v>10.3</v>
      </c>
      <c r="L130" s="78">
        <f t="shared" si="1"/>
        <v>39.081926254045314</v>
      </c>
      <c r="M130" s="58">
        <f>+VLOOKUP(F130,Material!$H$2:$M$17,6,FALSE)*H130*I130*(1+Material!$K$14)</f>
        <v>182.97447291666668</v>
      </c>
      <c r="N130" s="79" t="str">
        <f t="shared" si="19"/>
        <v>T5.0</v>
      </c>
      <c r="O130" s="80">
        <f>+VLOOKUP(N130,[3]Material!$A$3:$B$58,2,FALSE)</f>
        <v>5000</v>
      </c>
      <c r="P130" s="79" t="s">
        <v>42</v>
      </c>
      <c r="Q130" s="79" t="str">
        <f>+VLOOKUP(F130,[3]Material!$C$2:$E$12,2,FALSE)</f>
        <v>Cal 10</v>
      </c>
      <c r="R130" s="81">
        <f>+IF(P130="ACERO A36",VLOOKUP(Q130,'[3]Velocidades Std 1500 w'!$B$2:$F$15,5,FALSE),IF(P130="INOXIDABLE",VLOOKUP(Q130,'[3]Velocidades Std 1500 w'!$B$17:$F$28,5,FALSE),IF(P130="ALUMINIO",VLOOKUP(Q130,'[3]Velocidades Std 1500 w'!$B$30:$F$38,5,FALSE))))</f>
        <v>6.1728395061728391E-6</v>
      </c>
      <c r="S130" s="82">
        <f t="shared" si="2"/>
        <v>3.0864197530864196E-2</v>
      </c>
      <c r="T130" s="83">
        <f t="shared" si="3"/>
        <v>73.075800000000001</v>
      </c>
      <c r="U130" s="307">
        <f t="shared" si="4"/>
        <v>3288.4110000000001</v>
      </c>
      <c r="V130" s="80">
        <f t="shared" si="5"/>
        <v>101.49416666666666</v>
      </c>
      <c r="W130" s="98">
        <v>28</v>
      </c>
      <c r="X130" s="84">
        <f>+IF(P130="ACERO A36",VLOOKUP(Q130,'[3]Tiempo Objeto'!$B$2:$C$12,2,FALSE),IF(P130="INOXIDABLE",VLOOKUP(Q130,'[3]Tiempo Objeto'!$B$14:$C$22,2,FALSE),IF(P130="ALUMINIO",VLOOKUP(Q130,'[3]Tiempo Objeto'!$B$24:$C$32,2,FALSE))))</f>
        <v>0.71333333333333337</v>
      </c>
      <c r="Y130" s="84">
        <f t="shared" si="6"/>
        <v>19.973333333333336</v>
      </c>
      <c r="Z130" s="80">
        <f t="shared" si="7"/>
        <v>27.740740740740748</v>
      </c>
      <c r="AA130" s="100">
        <v>4</v>
      </c>
      <c r="AB130" s="86">
        <f>+AA130*Analisis!$J$6</f>
        <v>100</v>
      </c>
      <c r="AC130" s="100">
        <v>0</v>
      </c>
      <c r="AD130" s="85">
        <f t="shared" si="8"/>
        <v>0</v>
      </c>
      <c r="AE130" s="86">
        <f>+AC130*Analisis!$J$7</f>
        <v>0</v>
      </c>
      <c r="AF130" s="308">
        <f>+H130*0.0254*I130*0.0254*2*(1+[3]Analisis!$G$2)</f>
        <v>0.42603721243999992</v>
      </c>
      <c r="AG130" s="86">
        <f>+AF130*Analisis!$J$8</f>
        <v>45.393250611166671</v>
      </c>
      <c r="AH130" s="309">
        <f t="shared" si="22"/>
        <v>457.60263093524077</v>
      </c>
      <c r="AI130" s="86">
        <f>+AH130/(1-Analisis!G135)</f>
        <v>457.60263093524077</v>
      </c>
      <c r="AJ130" s="86">
        <f t="shared" si="10"/>
        <v>492.0458397153127</v>
      </c>
      <c r="AK130" s="86">
        <f t="shared" si="23"/>
        <v>0</v>
      </c>
      <c r="AL130" s="310" t="e">
        <f>+VLOOKUP(B130,#REF!,2,FALSE)</f>
        <v>#REF!</v>
      </c>
      <c r="AM130" s="311" t="e">
        <f t="shared" si="18"/>
        <v>#REF!</v>
      </c>
      <c r="AN130" s="312" t="e">
        <f t="shared" ref="AN130:AN193" si="24">+AM130/AL130</f>
        <v>#REF!</v>
      </c>
    </row>
    <row r="131" spans="1:40" s="73" customFormat="1" x14ac:dyDescent="0.25">
      <c r="A131" s="303">
        <v>98</v>
      </c>
      <c r="B131" s="304" t="s">
        <v>951</v>
      </c>
      <c r="D131" s="74">
        <f>IFERROR(VLOOKUP(B131,'REQ. PINTADO'!B:C,2,0),0)</f>
        <v>0</v>
      </c>
      <c r="E131" s="305">
        <f t="shared" si="0"/>
        <v>160.13922926869478</v>
      </c>
      <c r="F131" s="103" t="s">
        <v>165</v>
      </c>
      <c r="G131" s="75" t="s">
        <v>147</v>
      </c>
      <c r="H131" s="90">
        <v>7.32</v>
      </c>
      <c r="I131" s="90">
        <v>25.66</v>
      </c>
      <c r="J131" s="76">
        <v>0.105</v>
      </c>
      <c r="K131" s="306">
        <v>5.6</v>
      </c>
      <c r="L131" s="78">
        <f t="shared" si="1"/>
        <v>30.669313125000006</v>
      </c>
      <c r="M131" s="58">
        <f>+VLOOKUP(F131,Material!$H$2:$M$17,6,FALSE)*H131*I131*(1+Material!$K$14)</f>
        <v>78.067342500000009</v>
      </c>
      <c r="N131" s="79" t="str">
        <f t="shared" si="19"/>
        <v>T5.0</v>
      </c>
      <c r="O131" s="80">
        <f>+VLOOKUP(N131,[3]Material!$A$3:$B$58,2,FALSE)</f>
        <v>5000</v>
      </c>
      <c r="P131" s="79" t="s">
        <v>42</v>
      </c>
      <c r="Q131" s="79" t="str">
        <f>+VLOOKUP(F131,[3]Material!$C$2:$E$12,2,FALSE)</f>
        <v>Cal 14</v>
      </c>
      <c r="R131" s="81">
        <f>+IF(P131="ACERO A36",VLOOKUP(Q131,'[3]Velocidades Std 1500 w'!$B$2:$F$15,5,FALSE),IF(P131="INOXIDABLE",VLOOKUP(Q131,'[3]Velocidades Std 1500 w'!$B$17:$F$28,5,FALSE),IF(P131="ALUMINIO",VLOOKUP(Q131,'[3]Velocidades Std 1500 w'!$B$30:$F$38,5,FALSE))))</f>
        <v>2.0080321285140564E-6</v>
      </c>
      <c r="S131" s="82">
        <f t="shared" si="2"/>
        <v>1.0040160642570283E-2</v>
      </c>
      <c r="T131" s="83">
        <f t="shared" si="3"/>
        <v>19.946589397590365</v>
      </c>
      <c r="U131" s="307">
        <f t="shared" si="4"/>
        <v>2759.2782000000002</v>
      </c>
      <c r="V131" s="80">
        <f t="shared" si="5"/>
        <v>27.703596385542177</v>
      </c>
      <c r="W131" s="98">
        <v>25</v>
      </c>
      <c r="X131" s="84">
        <f>+IF(P131="ACERO A36",VLOOKUP(Q131,'[3]Tiempo Objeto'!$B$2:$C$12,2,FALSE),IF(P131="INOXIDABLE",VLOOKUP(Q131,'[3]Tiempo Objeto'!$B$14:$C$22,2,FALSE),IF(P131="ALUMINIO",VLOOKUP(Q131,'[3]Tiempo Objeto'!$B$24:$C$32,2,FALSE))))</f>
        <v>0.3133333333333333</v>
      </c>
      <c r="Y131" s="84">
        <f t="shared" si="6"/>
        <v>7.8333333333333321</v>
      </c>
      <c r="Z131" s="80">
        <f t="shared" si="7"/>
        <v>10.87962962962963</v>
      </c>
      <c r="AA131" s="100">
        <v>0</v>
      </c>
      <c r="AB131" s="86">
        <f>+AA131*Analisis!$J$6</f>
        <v>0</v>
      </c>
      <c r="AC131" s="100">
        <v>0</v>
      </c>
      <c r="AD131" s="85">
        <f t="shared" si="8"/>
        <v>0</v>
      </c>
      <c r="AE131" s="86">
        <f>+AC131*Analisis!$J$7</f>
        <v>0</v>
      </c>
      <c r="AF131" s="308">
        <f>+H131*0.0254*I131*0.0254*2*(1+[3]Analisis!$G$2)</f>
        <v>0.30295294248000004</v>
      </c>
      <c r="AG131" s="86">
        <f>+AF131*Analisis!$J$8</f>
        <v>32.278914704714303</v>
      </c>
      <c r="AH131" s="309">
        <f t="shared" si="22"/>
        <v>148.92948321988612</v>
      </c>
      <c r="AI131" s="86">
        <f>+AH131/(1-Analisis!G136)</f>
        <v>148.92948321988612</v>
      </c>
      <c r="AJ131" s="86">
        <f t="shared" si="10"/>
        <v>160.13922926869478</v>
      </c>
      <c r="AK131" s="86">
        <f t="shared" si="23"/>
        <v>0</v>
      </c>
      <c r="AL131" s="310" t="e">
        <f>+VLOOKUP(B131,#REF!,2,FALSE)</f>
        <v>#REF!</v>
      </c>
      <c r="AM131" s="311" t="e">
        <f t="shared" ref="AM131:AM194" si="25">+AL131-E131</f>
        <v>#REF!</v>
      </c>
      <c r="AN131" s="312" t="e">
        <f t="shared" si="24"/>
        <v>#REF!</v>
      </c>
    </row>
    <row r="132" spans="1:40" s="73" customFormat="1" x14ac:dyDescent="0.25">
      <c r="A132" s="303">
        <v>99</v>
      </c>
      <c r="B132" s="304" t="s">
        <v>952</v>
      </c>
      <c r="D132" s="74">
        <f>IFERROR(VLOOKUP(B132,'REQ. PINTADO'!B:C,2,0),0)</f>
        <v>0</v>
      </c>
      <c r="E132" s="305">
        <f t="shared" si="0"/>
        <v>176.05492495893651</v>
      </c>
      <c r="F132" s="103" t="s">
        <v>163</v>
      </c>
      <c r="G132" s="75" t="s">
        <v>147</v>
      </c>
      <c r="H132" s="90">
        <v>5.73</v>
      </c>
      <c r="I132" s="90">
        <v>6.82</v>
      </c>
      <c r="J132" s="76">
        <v>0.105</v>
      </c>
      <c r="K132" s="306">
        <v>1.17</v>
      </c>
      <c r="L132" s="78">
        <f t="shared" si="1"/>
        <v>27.582223799060497</v>
      </c>
      <c r="M132" s="58">
        <f>+VLOOKUP(F132,Material!$H$2:$M$17,6,FALSE)*H132*I132*(1+Material!$K$14)</f>
        <v>14.668728111318536</v>
      </c>
      <c r="N132" s="79" t="str">
        <f t="shared" ref="N132:N195" si="26">+N131</f>
        <v>T5.0</v>
      </c>
      <c r="O132" s="80">
        <f>+VLOOKUP(N132,[3]Material!$A$3:$B$58,2,FALSE)</f>
        <v>5000</v>
      </c>
      <c r="P132" s="79" t="s">
        <v>42</v>
      </c>
      <c r="Q132" s="79" t="str">
        <f>+VLOOKUP(F132,[3]Material!$C$2:$E$12,2,FALSE)</f>
        <v>Cal 12</v>
      </c>
      <c r="R132" s="81">
        <f>+IF(P132="ACERO A36",VLOOKUP(Q132,'[3]Velocidades Std 1500 w'!$B$2:$F$15,5,FALSE),IF(P132="INOXIDABLE",VLOOKUP(Q132,'[3]Velocidades Std 1500 w'!$B$17:$F$28,5,FALSE),IF(P132="ALUMINIO",VLOOKUP(Q132,'[3]Velocidades Std 1500 w'!$B$30:$F$38,5,FALSE))))</f>
        <v>4.3859649122807014E-6</v>
      </c>
      <c r="S132" s="82">
        <f t="shared" si="2"/>
        <v>2.1929824561403508E-2</v>
      </c>
      <c r="T132" s="83">
        <f t="shared" si="3"/>
        <v>20.676268421052626</v>
      </c>
      <c r="U132" s="307">
        <f t="shared" si="4"/>
        <v>1309.4969999999998</v>
      </c>
      <c r="V132" s="80">
        <f t="shared" si="5"/>
        <v>28.717039473684206</v>
      </c>
      <c r="W132" s="98">
        <v>16</v>
      </c>
      <c r="X132" s="84">
        <f>+IF(P132="ACERO A36",VLOOKUP(Q132,'[3]Tiempo Objeto'!$B$2:$C$12,2,FALSE),IF(P132="INOXIDABLE",VLOOKUP(Q132,'[3]Tiempo Objeto'!$B$14:$C$22,2,FALSE),IF(P132="ALUMINIO",VLOOKUP(Q132,'[3]Tiempo Objeto'!$B$24:$C$32,2,FALSE))))</f>
        <v>0.6133333333333334</v>
      </c>
      <c r="Y132" s="84">
        <f t="shared" si="6"/>
        <v>9.8133333333333344</v>
      </c>
      <c r="Z132" s="80">
        <f t="shared" si="7"/>
        <v>13.629629629629632</v>
      </c>
      <c r="AA132" s="100">
        <v>4</v>
      </c>
      <c r="AB132" s="86">
        <f>+AA132*Analisis!$J$6</f>
        <v>100</v>
      </c>
      <c r="AC132" s="100">
        <v>0</v>
      </c>
      <c r="AD132" s="85">
        <f t="shared" si="8"/>
        <v>0</v>
      </c>
      <c r="AE132" s="86">
        <f>+AC132*Analisis!$J$7</f>
        <v>0</v>
      </c>
      <c r="AF132" s="308">
        <f>+H132*0.0254*I132*0.0254*2*(1+[3]Analisis!$G$2)</f>
        <v>6.3029873939999995E-2</v>
      </c>
      <c r="AG132" s="86">
        <f>+AF132*Analisis!$J$8</f>
        <v>6.7156829971785728</v>
      </c>
      <c r="AH132" s="309">
        <f t="shared" si="22"/>
        <v>163.73108021181093</v>
      </c>
      <c r="AI132" s="86">
        <f>+AH132/(1-Analisis!G137)</f>
        <v>163.73108021181093</v>
      </c>
      <c r="AJ132" s="86">
        <f t="shared" si="10"/>
        <v>176.05492495893651</v>
      </c>
      <c r="AK132" s="86">
        <f t="shared" si="23"/>
        <v>0</v>
      </c>
      <c r="AL132" s="310" t="e">
        <f>+VLOOKUP(B132,#REF!,2,FALSE)</f>
        <v>#REF!</v>
      </c>
      <c r="AM132" s="311" t="e">
        <f t="shared" si="25"/>
        <v>#REF!</v>
      </c>
      <c r="AN132" s="312" t="e">
        <f t="shared" si="24"/>
        <v>#REF!</v>
      </c>
    </row>
    <row r="133" spans="1:40" s="73" customFormat="1" x14ac:dyDescent="0.25">
      <c r="A133" s="303">
        <v>100</v>
      </c>
      <c r="B133" s="304" t="s">
        <v>953</v>
      </c>
      <c r="D133" s="74">
        <f>IFERROR(VLOOKUP(B133,'REQ. PINTADO'!B:C,2,0),0)</f>
        <v>0</v>
      </c>
      <c r="E133" s="305">
        <f t="shared" si="0"/>
        <v>244.87191434438762</v>
      </c>
      <c r="F133" s="103" t="s">
        <v>164</v>
      </c>
      <c r="G133" s="75" t="s">
        <v>147</v>
      </c>
      <c r="H133" s="90">
        <v>8.11</v>
      </c>
      <c r="I133" s="90">
        <v>12.56</v>
      </c>
      <c r="J133" s="76">
        <v>0.105</v>
      </c>
      <c r="K133" s="306">
        <v>3.88</v>
      </c>
      <c r="L133" s="78">
        <f t="shared" si="1"/>
        <v>40.008462414089358</v>
      </c>
      <c r="M133" s="58">
        <f>+VLOOKUP(F133,Material!$H$2:$M$17,6,FALSE)*H133*I133*(1+Material!$K$14)</f>
        <v>70.560379166666678</v>
      </c>
      <c r="N133" s="79" t="str">
        <f t="shared" si="26"/>
        <v>T5.0</v>
      </c>
      <c r="O133" s="80">
        <f>+VLOOKUP(N133,[3]Material!$A$3:$B$58,2,FALSE)</f>
        <v>5000</v>
      </c>
      <c r="P133" s="79" t="s">
        <v>42</v>
      </c>
      <c r="Q133" s="79" t="str">
        <f>+VLOOKUP(F133,[3]Material!$C$2:$E$12,2,FALSE)</f>
        <v>Cal 10</v>
      </c>
      <c r="R133" s="81">
        <f>+IF(P133="ACERO A36",VLOOKUP(Q133,'[3]Velocidades Std 1500 w'!$B$2:$F$15,5,FALSE),IF(P133="INOXIDABLE",VLOOKUP(Q133,'[3]Velocidades Std 1500 w'!$B$17:$F$28,5,FALSE),IF(P133="ALUMINIO",VLOOKUP(Q133,'[3]Velocidades Std 1500 w'!$B$30:$F$38,5,FALSE))))</f>
        <v>6.1728395061728391E-6</v>
      </c>
      <c r="S133" s="82">
        <f t="shared" si="2"/>
        <v>3.0864197530864196E-2</v>
      </c>
      <c r="T133" s="83">
        <f t="shared" si="3"/>
        <v>46.725839999999998</v>
      </c>
      <c r="U133" s="307">
        <f t="shared" si="4"/>
        <v>2102.6628000000001</v>
      </c>
      <c r="V133" s="80">
        <f t="shared" si="5"/>
        <v>64.896999999999991</v>
      </c>
      <c r="W133" s="98">
        <v>25</v>
      </c>
      <c r="X133" s="84">
        <f>+IF(P133="ACERO A36",VLOOKUP(Q133,'[3]Tiempo Objeto'!$B$2:$C$12,2,FALSE),IF(P133="INOXIDABLE",VLOOKUP(Q133,'[3]Tiempo Objeto'!$B$14:$C$22,2,FALSE),IF(P133="ALUMINIO",VLOOKUP(Q133,'[3]Tiempo Objeto'!$B$24:$C$32,2,FALSE))))</f>
        <v>0.71333333333333337</v>
      </c>
      <c r="Y133" s="84">
        <f t="shared" si="6"/>
        <v>17.833333333333336</v>
      </c>
      <c r="Z133" s="80">
        <f t="shared" si="7"/>
        <v>24.768518518518519</v>
      </c>
      <c r="AA133" s="100">
        <v>2</v>
      </c>
      <c r="AB133" s="86">
        <f>+AA133*Analisis!$J$6</f>
        <v>50</v>
      </c>
      <c r="AC133" s="100">
        <v>0</v>
      </c>
      <c r="AD133" s="85">
        <f t="shared" si="8"/>
        <v>0</v>
      </c>
      <c r="AE133" s="86">
        <f>+AC133*Analisis!$J$7</f>
        <v>0</v>
      </c>
      <c r="AF133" s="308">
        <f>+H133*0.0254*I133*0.0254*2*(1+[3]Analisis!$G$2)</f>
        <v>0.16429257464000002</v>
      </c>
      <c r="AG133" s="86">
        <f>+AF133*Analisis!$J$8</f>
        <v>17.504982655095247</v>
      </c>
      <c r="AH133" s="309">
        <f t="shared" si="22"/>
        <v>227.73088034028046</v>
      </c>
      <c r="AI133" s="86">
        <f>+AH133/(1-Analisis!G138)</f>
        <v>227.73088034028046</v>
      </c>
      <c r="AJ133" s="86">
        <f t="shared" si="10"/>
        <v>244.87191434438762</v>
      </c>
      <c r="AK133" s="86">
        <f t="shared" si="23"/>
        <v>0</v>
      </c>
      <c r="AL133" s="310" t="e">
        <f>+VLOOKUP(B133,#REF!,2,FALSE)</f>
        <v>#REF!</v>
      </c>
      <c r="AM133" s="311" t="e">
        <f t="shared" si="25"/>
        <v>#REF!</v>
      </c>
      <c r="AN133" s="312" t="e">
        <f t="shared" si="24"/>
        <v>#REF!</v>
      </c>
    </row>
    <row r="134" spans="1:40" s="73" customFormat="1" x14ac:dyDescent="0.25">
      <c r="A134" s="303">
        <v>101</v>
      </c>
      <c r="B134" s="304" t="s">
        <v>954</v>
      </c>
      <c r="D134" s="74">
        <f>IFERROR(VLOOKUP(B134,'REQ. PINTADO'!B:C,2,0),0)</f>
        <v>0</v>
      </c>
      <c r="E134" s="305">
        <f t="shared" si="0"/>
        <v>168.19093465541604</v>
      </c>
      <c r="F134" s="103" t="s">
        <v>163</v>
      </c>
      <c r="G134" s="75" t="s">
        <v>147</v>
      </c>
      <c r="H134" s="90">
        <v>7.14</v>
      </c>
      <c r="I134" s="90">
        <v>7.58</v>
      </c>
      <c r="J134" s="76">
        <v>0.105</v>
      </c>
      <c r="K134" s="306">
        <v>1.61</v>
      </c>
      <c r="L134" s="78">
        <f t="shared" si="1"/>
        <v>27.75988639440321</v>
      </c>
      <c r="M134" s="58">
        <f>+VLOOKUP(F134,Material!$H$2:$M$17,6,FALSE)*H134*I134*(1+Material!$K$14)</f>
        <v>20.315189588631441</v>
      </c>
      <c r="N134" s="79" t="str">
        <f t="shared" si="26"/>
        <v>T5.0</v>
      </c>
      <c r="O134" s="80">
        <f>+VLOOKUP(N134,[3]Material!$A$3:$B$58,2,FALSE)</f>
        <v>5000</v>
      </c>
      <c r="P134" s="79" t="s">
        <v>42</v>
      </c>
      <c r="Q134" s="79" t="str">
        <f>+VLOOKUP(F134,[3]Material!$C$2:$E$12,2,FALSE)</f>
        <v>Cal 12</v>
      </c>
      <c r="R134" s="81">
        <f>+IF(P134="ACERO A36",VLOOKUP(Q134,'[3]Velocidades Std 1500 w'!$B$2:$F$15,5,FALSE),IF(P134="INOXIDABLE",VLOOKUP(Q134,'[3]Velocidades Std 1500 w'!$B$17:$F$28,5,FALSE),IF(P134="ALUMINIO",VLOOKUP(Q134,'[3]Velocidades Std 1500 w'!$B$30:$F$38,5,FALSE))))</f>
        <v>4.3859649122807014E-6</v>
      </c>
      <c r="S134" s="82">
        <f t="shared" si="2"/>
        <v>2.1929824561403508E-2</v>
      </c>
      <c r="T134" s="83">
        <f t="shared" si="3"/>
        <v>25.030496842105258</v>
      </c>
      <c r="U134" s="307">
        <f t="shared" si="4"/>
        <v>1585.2647999999999</v>
      </c>
      <c r="V134" s="80">
        <f t="shared" si="5"/>
        <v>34.76457894736842</v>
      </c>
      <c r="W134" s="98">
        <v>20</v>
      </c>
      <c r="X134" s="84">
        <f>+IF(P134="ACERO A36",VLOOKUP(Q134,'[3]Tiempo Objeto'!$B$2:$C$12,2,FALSE),IF(P134="INOXIDABLE",VLOOKUP(Q134,'[3]Tiempo Objeto'!$B$14:$C$22,2,FALSE),IF(P134="ALUMINIO",VLOOKUP(Q134,'[3]Tiempo Objeto'!$B$24:$C$32,2,FALSE))))</f>
        <v>0.6133333333333334</v>
      </c>
      <c r="Y134" s="84">
        <f t="shared" si="6"/>
        <v>12.266666666666667</v>
      </c>
      <c r="Z134" s="80">
        <f t="shared" si="7"/>
        <v>17.037037037037038</v>
      </c>
      <c r="AA134" s="100">
        <v>3</v>
      </c>
      <c r="AB134" s="86">
        <f>+AA134*Analisis!$J$6</f>
        <v>75</v>
      </c>
      <c r="AC134" s="100">
        <v>0</v>
      </c>
      <c r="AD134" s="85">
        <f t="shared" si="8"/>
        <v>0</v>
      </c>
      <c r="AE134" s="86">
        <f>+AC134*Analisis!$J$7</f>
        <v>0</v>
      </c>
      <c r="AF134" s="308">
        <f>+H134*0.0254*I134*0.0254*2*(1+[3]Analisis!$G$2)</f>
        <v>8.7292083479999991E-2</v>
      </c>
      <c r="AG134" s="86">
        <f>+AF134*Analisis!$J$8</f>
        <v>9.3007636565000009</v>
      </c>
      <c r="AH134" s="309">
        <f t="shared" si="22"/>
        <v>156.41756922953692</v>
      </c>
      <c r="AI134" s="86">
        <f>+AH134/(1-Analisis!G139)</f>
        <v>156.41756922953692</v>
      </c>
      <c r="AJ134" s="86">
        <f t="shared" si="10"/>
        <v>168.19093465541604</v>
      </c>
      <c r="AK134" s="86">
        <f t="shared" si="23"/>
        <v>0</v>
      </c>
      <c r="AL134" s="310" t="e">
        <f>+VLOOKUP(B134,#REF!,2,FALSE)</f>
        <v>#REF!</v>
      </c>
      <c r="AM134" s="311" t="e">
        <f t="shared" si="25"/>
        <v>#REF!</v>
      </c>
      <c r="AN134" s="312" t="e">
        <f t="shared" si="24"/>
        <v>#REF!</v>
      </c>
    </row>
    <row r="135" spans="1:40" s="73" customFormat="1" x14ac:dyDescent="0.25">
      <c r="A135" s="303">
        <v>102</v>
      </c>
      <c r="B135" s="304" t="s">
        <v>955</v>
      </c>
      <c r="D135" s="74">
        <f>IFERROR(VLOOKUP(B135,'REQ. PINTADO'!B:C,2,0),0)</f>
        <v>0</v>
      </c>
      <c r="E135" s="305">
        <f t="shared" si="0"/>
        <v>84.76740734709729</v>
      </c>
      <c r="F135" s="103" t="s">
        <v>163</v>
      </c>
      <c r="G135" s="75" t="s">
        <v>147</v>
      </c>
      <c r="H135" s="90">
        <v>6.5</v>
      </c>
      <c r="I135" s="90">
        <v>7.22</v>
      </c>
      <c r="J135" s="76">
        <v>0.105</v>
      </c>
      <c r="K135" s="306">
        <v>1.4</v>
      </c>
      <c r="L135" s="78">
        <f t="shared" si="1"/>
        <v>27.682076316909907</v>
      </c>
      <c r="M135" s="58">
        <f>+VLOOKUP(F135,Material!$H$2:$M$17,6,FALSE)*H135*I135*(1+Material!$K$14)</f>
        <v>17.615866747124482</v>
      </c>
      <c r="N135" s="79" t="str">
        <f t="shared" si="26"/>
        <v>T5.0</v>
      </c>
      <c r="O135" s="80">
        <f>+VLOOKUP(N135,[3]Material!$A$3:$B$58,2,FALSE)</f>
        <v>5000</v>
      </c>
      <c r="P135" s="79" t="s">
        <v>42</v>
      </c>
      <c r="Q135" s="79" t="str">
        <f>+VLOOKUP(F135,[3]Material!$C$2:$E$12,2,FALSE)</f>
        <v>Cal 12</v>
      </c>
      <c r="R135" s="81">
        <f>+IF(P135="ACERO A36",VLOOKUP(Q135,'[3]Velocidades Std 1500 w'!$B$2:$F$15,5,FALSE),IF(P135="INOXIDABLE",VLOOKUP(Q135,'[3]Velocidades Std 1500 w'!$B$17:$F$28,5,FALSE),IF(P135="ALUMINIO",VLOOKUP(Q135,'[3]Velocidades Std 1500 w'!$B$30:$F$38,5,FALSE))))</f>
        <v>4.3859649122807014E-6</v>
      </c>
      <c r="S135" s="82">
        <f t="shared" si="2"/>
        <v>2.1929824561403508E-2</v>
      </c>
      <c r="T135" s="83">
        <f t="shared" si="3"/>
        <v>15.976733684210524</v>
      </c>
      <c r="U135" s="307">
        <f t="shared" si="4"/>
        <v>1011.8598</v>
      </c>
      <c r="V135" s="80">
        <f t="shared" si="5"/>
        <v>22.189907894736841</v>
      </c>
      <c r="W135" s="98">
        <v>7</v>
      </c>
      <c r="X135" s="84">
        <f>+IF(P135="ACERO A36",VLOOKUP(Q135,'[3]Tiempo Objeto'!$B$2:$C$12,2,FALSE),IF(P135="INOXIDABLE",VLOOKUP(Q135,'[3]Tiempo Objeto'!$B$14:$C$22,2,FALSE),IF(P135="ALUMINIO",VLOOKUP(Q135,'[3]Tiempo Objeto'!$B$24:$C$32,2,FALSE))))</f>
        <v>0.6133333333333334</v>
      </c>
      <c r="Y135" s="84">
        <f t="shared" si="6"/>
        <v>4.2933333333333339</v>
      </c>
      <c r="Z135" s="80">
        <f t="shared" si="7"/>
        <v>5.9629629629629637</v>
      </c>
      <c r="AA135" s="100">
        <v>1</v>
      </c>
      <c r="AB135" s="86">
        <f>+AA135*Analisis!$J$6</f>
        <v>25</v>
      </c>
      <c r="AC135" s="100">
        <v>0</v>
      </c>
      <c r="AD135" s="85">
        <f t="shared" si="8"/>
        <v>0</v>
      </c>
      <c r="AE135" s="86">
        <f>+AC135*Analisis!$J$7</f>
        <v>0</v>
      </c>
      <c r="AF135" s="308">
        <f>+H135*0.0254*I135*0.0254*2*(1+[3]Analisis!$G$2)</f>
        <v>7.5693396999999996E-2</v>
      </c>
      <c r="AG135" s="86">
        <f>+AF135*Analisis!$J$8</f>
        <v>8.0649512279761932</v>
      </c>
      <c r="AH135" s="309">
        <f t="shared" si="22"/>
        <v>78.833688832800476</v>
      </c>
      <c r="AI135" s="86">
        <f>+AH135/(1-Analisis!G140)</f>
        <v>78.833688832800476</v>
      </c>
      <c r="AJ135" s="86">
        <f t="shared" si="10"/>
        <v>84.76740734709729</v>
      </c>
      <c r="AK135" s="86">
        <f t="shared" si="23"/>
        <v>0</v>
      </c>
      <c r="AL135" s="310" t="e">
        <f>+VLOOKUP(B135,#REF!,2,FALSE)</f>
        <v>#REF!</v>
      </c>
      <c r="AM135" s="311" t="e">
        <f t="shared" si="25"/>
        <v>#REF!</v>
      </c>
      <c r="AN135" s="312" t="e">
        <f t="shared" si="24"/>
        <v>#REF!</v>
      </c>
    </row>
    <row r="136" spans="1:40" s="73" customFormat="1" x14ac:dyDescent="0.25">
      <c r="A136" s="303">
        <v>103</v>
      </c>
      <c r="B136" s="304" t="s">
        <v>956</v>
      </c>
      <c r="D136" s="74">
        <f>IFERROR(VLOOKUP(B136,'REQ. PINTADO'!B:C,2,0),0)</f>
        <v>0</v>
      </c>
      <c r="E136" s="305">
        <f t="shared" si="0"/>
        <v>361.6822897892132</v>
      </c>
      <c r="F136" s="103" t="s">
        <v>164</v>
      </c>
      <c r="G136" s="75" t="s">
        <v>147</v>
      </c>
      <c r="H136" s="90">
        <v>21.9</v>
      </c>
      <c r="I136" s="90">
        <v>10</v>
      </c>
      <c r="J136" s="76">
        <v>0.105</v>
      </c>
      <c r="K136" s="306">
        <v>8.34</v>
      </c>
      <c r="L136" s="78">
        <f t="shared" si="1"/>
        <v>40.017610911270992</v>
      </c>
      <c r="M136" s="58">
        <f>+VLOOKUP(F136,Material!$H$2:$M$17,6,FALSE)*H136*I136*(1+Material!$K$14)</f>
        <v>151.703125</v>
      </c>
      <c r="N136" s="79" t="str">
        <f t="shared" si="26"/>
        <v>T5.0</v>
      </c>
      <c r="O136" s="80">
        <f>+VLOOKUP(N136,[3]Material!$A$3:$B$58,2,FALSE)</f>
        <v>5000</v>
      </c>
      <c r="P136" s="79" t="s">
        <v>42</v>
      </c>
      <c r="Q136" s="79" t="str">
        <f>+VLOOKUP(F136,[3]Material!$C$2:$E$12,2,FALSE)</f>
        <v>Cal 10</v>
      </c>
      <c r="R136" s="81">
        <f>+IF(P136="ACERO A36",VLOOKUP(Q136,'[3]Velocidades Std 1500 w'!$B$2:$F$15,5,FALSE),IF(P136="INOXIDABLE",VLOOKUP(Q136,'[3]Velocidades Std 1500 w'!$B$17:$F$28,5,FALSE),IF(P136="ALUMINIO",VLOOKUP(Q136,'[3]Velocidades Std 1500 w'!$B$30:$F$38,5,FALSE))))</f>
        <v>6.1728395061728391E-6</v>
      </c>
      <c r="S136" s="82">
        <f t="shared" si="2"/>
        <v>3.0864197530864196E-2</v>
      </c>
      <c r="T136" s="83">
        <f t="shared" si="3"/>
        <v>55.592133333333337</v>
      </c>
      <c r="U136" s="307">
        <f t="shared" si="4"/>
        <v>2501.6460000000002</v>
      </c>
      <c r="V136" s="80">
        <f t="shared" si="5"/>
        <v>77.211296296296297</v>
      </c>
      <c r="W136" s="98">
        <v>20</v>
      </c>
      <c r="X136" s="84">
        <f>+IF(P136="ACERO A36",VLOOKUP(Q136,'[3]Tiempo Objeto'!$B$2:$C$12,2,FALSE),IF(P136="INOXIDABLE",VLOOKUP(Q136,'[3]Tiempo Objeto'!$B$14:$C$22,2,FALSE),IF(P136="ALUMINIO",VLOOKUP(Q136,'[3]Tiempo Objeto'!$B$24:$C$32,2,FALSE))))</f>
        <v>0.71333333333333337</v>
      </c>
      <c r="Y136" s="84">
        <f t="shared" si="6"/>
        <v>14.266666666666667</v>
      </c>
      <c r="Z136" s="80">
        <f t="shared" si="7"/>
        <v>19.814814814814817</v>
      </c>
      <c r="AA136" s="100">
        <v>2</v>
      </c>
      <c r="AB136" s="86">
        <f>+AA136*Analisis!$J$6</f>
        <v>50</v>
      </c>
      <c r="AC136" s="100">
        <v>0</v>
      </c>
      <c r="AD136" s="85">
        <f t="shared" si="8"/>
        <v>0</v>
      </c>
      <c r="AE136" s="86">
        <f>+AC136*Analisis!$J$7</f>
        <v>0</v>
      </c>
      <c r="AF136" s="308">
        <f>+H136*0.0254*I136*0.0254*2*(1+[3]Analisis!$G$2)</f>
        <v>0.35322509999999996</v>
      </c>
      <c r="AG136" s="86">
        <f>+AF136*Analisis!$J$8</f>
        <v>37.63529339285715</v>
      </c>
      <c r="AH136" s="309">
        <f t="shared" si="22"/>
        <v>336.36452950396824</v>
      </c>
      <c r="AI136" s="86">
        <f>+AH136/(1-Analisis!G141)</f>
        <v>336.36452950396824</v>
      </c>
      <c r="AJ136" s="86">
        <f t="shared" si="10"/>
        <v>361.6822897892132</v>
      </c>
      <c r="AK136" s="86">
        <f t="shared" si="23"/>
        <v>0</v>
      </c>
      <c r="AL136" s="310" t="e">
        <f>+VLOOKUP(B136,#REF!,2,FALSE)</f>
        <v>#REF!</v>
      </c>
      <c r="AM136" s="311" t="e">
        <f t="shared" si="25"/>
        <v>#REF!</v>
      </c>
      <c r="AN136" s="312" t="e">
        <f t="shared" si="24"/>
        <v>#REF!</v>
      </c>
    </row>
    <row r="137" spans="1:40" s="73" customFormat="1" x14ac:dyDescent="0.25">
      <c r="A137" s="303">
        <v>104</v>
      </c>
      <c r="B137" s="304" t="s">
        <v>957</v>
      </c>
      <c r="D137" s="74">
        <f>IFERROR(VLOOKUP(B137,'REQ. PINTADO'!B:C,2,0),0)</f>
        <v>0</v>
      </c>
      <c r="E137" s="305">
        <f t="shared" si="0"/>
        <v>472.34773255532792</v>
      </c>
      <c r="F137" s="103" t="s">
        <v>164</v>
      </c>
      <c r="G137" s="75" t="s">
        <v>147</v>
      </c>
      <c r="H137" s="90">
        <v>31.9</v>
      </c>
      <c r="I137" s="90">
        <v>10</v>
      </c>
      <c r="J137" s="76">
        <v>0.105</v>
      </c>
      <c r="K137" s="306">
        <v>12.15</v>
      </c>
      <c r="L137" s="78">
        <f t="shared" si="1"/>
        <v>40.011745541838131</v>
      </c>
      <c r="M137" s="58">
        <f>+VLOOKUP(F137,Material!$H$2:$M$17,6,FALSE)*H137*I137*(1+Material!$K$14)</f>
        <v>220.97395833333331</v>
      </c>
      <c r="N137" s="79" t="str">
        <f t="shared" si="26"/>
        <v>T5.0</v>
      </c>
      <c r="O137" s="80">
        <f>+VLOOKUP(N137,[3]Material!$A$3:$B$58,2,FALSE)</f>
        <v>5000</v>
      </c>
      <c r="P137" s="79" t="s">
        <v>42</v>
      </c>
      <c r="Q137" s="79" t="str">
        <f>+VLOOKUP(F137,[3]Material!$C$2:$E$12,2,FALSE)</f>
        <v>Cal 10</v>
      </c>
      <c r="R137" s="81">
        <f>+IF(P137="ACERO A36",VLOOKUP(Q137,'[3]Velocidades Std 1500 w'!$B$2:$F$15,5,FALSE),IF(P137="INOXIDABLE",VLOOKUP(Q137,'[3]Velocidades Std 1500 w'!$B$17:$F$28,5,FALSE),IF(P137="ALUMINIO",VLOOKUP(Q137,'[3]Velocidades Std 1500 w'!$B$30:$F$38,5,FALSE))))</f>
        <v>6.1728395061728391E-6</v>
      </c>
      <c r="S137" s="82">
        <f t="shared" si="2"/>
        <v>3.0864197530864196E-2</v>
      </c>
      <c r="T137" s="83">
        <f t="shared" si="3"/>
        <v>67.445466666666675</v>
      </c>
      <c r="U137" s="307">
        <f t="shared" si="4"/>
        <v>3035.0460000000003</v>
      </c>
      <c r="V137" s="80">
        <f t="shared" si="5"/>
        <v>93.674259259259259</v>
      </c>
      <c r="W137" s="98">
        <v>20</v>
      </c>
      <c r="X137" s="84">
        <f>+IF(P137="ACERO A36",VLOOKUP(Q137,'[3]Tiempo Objeto'!$B$2:$C$12,2,FALSE),IF(P137="INOXIDABLE",VLOOKUP(Q137,'[3]Tiempo Objeto'!$B$14:$C$22,2,FALSE),IF(P137="ALUMINIO",VLOOKUP(Q137,'[3]Tiempo Objeto'!$B$24:$C$32,2,FALSE))))</f>
        <v>0.71333333333333337</v>
      </c>
      <c r="Y137" s="84">
        <f t="shared" si="6"/>
        <v>14.266666666666667</v>
      </c>
      <c r="Z137" s="80">
        <f t="shared" si="7"/>
        <v>19.814814814814817</v>
      </c>
      <c r="AA137" s="100">
        <v>2</v>
      </c>
      <c r="AB137" s="86">
        <f>+AA137*Analisis!$J$6</f>
        <v>50</v>
      </c>
      <c r="AC137" s="100">
        <v>0</v>
      </c>
      <c r="AD137" s="85">
        <f t="shared" si="8"/>
        <v>0</v>
      </c>
      <c r="AE137" s="86">
        <f>+AC137*Analisis!$J$7</f>
        <v>0</v>
      </c>
      <c r="AF137" s="308">
        <f>+H137*0.0254*I137*0.0254*2*(1+[3]Analisis!$G$2)</f>
        <v>0.51451509999999989</v>
      </c>
      <c r="AG137" s="86">
        <f>+AF137*Analisis!$J$8</f>
        <v>54.820358869047624</v>
      </c>
      <c r="AH137" s="309">
        <f t="shared" si="22"/>
        <v>439.28339127645495</v>
      </c>
      <c r="AI137" s="86">
        <f>+AH137/(1-Analisis!G142)</f>
        <v>439.28339127645495</v>
      </c>
      <c r="AJ137" s="86">
        <f t="shared" si="10"/>
        <v>472.34773255532792</v>
      </c>
      <c r="AK137" s="86">
        <f t="shared" si="23"/>
        <v>0</v>
      </c>
      <c r="AL137" s="310" t="e">
        <f>+VLOOKUP(B137,#REF!,2,FALSE)</f>
        <v>#REF!</v>
      </c>
      <c r="AM137" s="311" t="e">
        <f t="shared" si="25"/>
        <v>#REF!</v>
      </c>
      <c r="AN137" s="312" t="e">
        <f t="shared" si="24"/>
        <v>#REF!</v>
      </c>
    </row>
    <row r="138" spans="1:40" s="73" customFormat="1" x14ac:dyDescent="0.25">
      <c r="A138" s="303">
        <v>105</v>
      </c>
      <c r="B138" s="304" t="s">
        <v>958</v>
      </c>
      <c r="D138" s="74">
        <f>IFERROR(VLOOKUP(B138,'REQ. PINTADO'!B:C,2,0),0)</f>
        <v>0</v>
      </c>
      <c r="E138" s="305">
        <f t="shared" si="0"/>
        <v>822.57664136699987</v>
      </c>
      <c r="F138" s="103" t="s">
        <v>163</v>
      </c>
      <c r="G138" s="75" t="s">
        <v>147</v>
      </c>
      <c r="H138" s="90">
        <v>11.28</v>
      </c>
      <c r="I138" s="90">
        <v>78.97</v>
      </c>
      <c r="J138" s="76">
        <v>0.105</v>
      </c>
      <c r="K138" s="306">
        <v>26.56</v>
      </c>
      <c r="L138" s="78">
        <f t="shared" si="1"/>
        <v>27.696144095392935</v>
      </c>
      <c r="M138" s="58">
        <f>+VLOOKUP(F138,Material!$H$2:$M$17,6,FALSE)*H138*I138*(1+Material!$K$14)</f>
        <v>334.36799416983467</v>
      </c>
      <c r="N138" s="79" t="str">
        <f t="shared" si="26"/>
        <v>T5.0</v>
      </c>
      <c r="O138" s="80">
        <f>+VLOOKUP(N138,[3]Material!$A$3:$B$58,2,FALSE)</f>
        <v>5000</v>
      </c>
      <c r="P138" s="79" t="s">
        <v>42</v>
      </c>
      <c r="Q138" s="79" t="str">
        <f>+VLOOKUP(F138,[3]Material!$C$2:$E$12,2,FALSE)</f>
        <v>Cal 12</v>
      </c>
      <c r="R138" s="81">
        <f>+IF(P138="ACERO A36",VLOOKUP(Q138,'[3]Velocidades Std 1500 w'!$B$2:$F$15,5,FALSE),IF(P138="INOXIDABLE",VLOOKUP(Q138,'[3]Velocidades Std 1500 w'!$B$17:$F$28,5,FALSE),IF(P138="ALUMINIO",VLOOKUP(Q138,'[3]Velocidades Std 1500 w'!$B$30:$F$38,5,FALSE))))</f>
        <v>4.3859649122807014E-6</v>
      </c>
      <c r="S138" s="82">
        <f t="shared" si="2"/>
        <v>2.1929824561403508E-2</v>
      </c>
      <c r="T138" s="83">
        <f t="shared" si="3"/>
        <v>129.70042105263158</v>
      </c>
      <c r="U138" s="307">
        <f t="shared" si="4"/>
        <v>8214.36</v>
      </c>
      <c r="V138" s="80">
        <f t="shared" si="5"/>
        <v>180.13947368421054</v>
      </c>
      <c r="W138" s="98">
        <v>85</v>
      </c>
      <c r="X138" s="84">
        <f>+IF(P138="ACERO A36",VLOOKUP(Q138,'[3]Tiempo Objeto'!$B$2:$C$12,2,FALSE),IF(P138="INOXIDABLE",VLOOKUP(Q138,'[3]Tiempo Objeto'!$B$14:$C$22,2,FALSE),IF(P138="ALUMINIO",VLOOKUP(Q138,'[3]Tiempo Objeto'!$B$24:$C$32,2,FALSE))))</f>
        <v>0.6133333333333334</v>
      </c>
      <c r="Y138" s="84">
        <f t="shared" si="6"/>
        <v>52.13333333333334</v>
      </c>
      <c r="Z138" s="80">
        <f t="shared" si="7"/>
        <v>72.407407407407419</v>
      </c>
      <c r="AA138" s="100">
        <v>1</v>
      </c>
      <c r="AB138" s="86">
        <f>+AA138*Analisis!$J$6</f>
        <v>25</v>
      </c>
      <c r="AC138" s="100">
        <v>0</v>
      </c>
      <c r="AD138" s="85">
        <f t="shared" si="8"/>
        <v>0</v>
      </c>
      <c r="AE138" s="86">
        <f>+AC138*Analisis!$J$7</f>
        <v>0</v>
      </c>
      <c r="AF138" s="308">
        <f>+H138*0.0254*I138*0.0254*2*(1+[3]Analisis!$G$2)</f>
        <v>1.4367416426399999</v>
      </c>
      <c r="AG138" s="86">
        <f>+AF138*Analisis!$J$8</f>
        <v>153.08140120985718</v>
      </c>
      <c r="AH138" s="309">
        <f t="shared" ref="AH138:AH201" si="27">+AE138+AB138+Z138+V138+M138+AG138</f>
        <v>764.99627647130978</v>
      </c>
      <c r="AI138" s="86">
        <f>+AH138/(1-Analisis!G143)</f>
        <v>764.99627647130978</v>
      </c>
      <c r="AJ138" s="86">
        <f t="shared" si="10"/>
        <v>822.57664136699987</v>
      </c>
      <c r="AK138" s="86">
        <f t="shared" ref="AK138:AK201" si="28">+AJ138*D138</f>
        <v>0</v>
      </c>
      <c r="AL138" s="310" t="e">
        <f>+VLOOKUP(B138,#REF!,2,FALSE)</f>
        <v>#REF!</v>
      </c>
      <c r="AM138" s="311" t="e">
        <f t="shared" si="25"/>
        <v>#REF!</v>
      </c>
      <c r="AN138" s="312" t="e">
        <f t="shared" si="24"/>
        <v>#REF!</v>
      </c>
    </row>
    <row r="139" spans="1:40" s="73" customFormat="1" x14ac:dyDescent="0.25">
      <c r="A139" s="303">
        <v>106</v>
      </c>
      <c r="B139" s="304" t="s">
        <v>959</v>
      </c>
      <c r="D139" s="74">
        <f>IFERROR(VLOOKUP(B139,'REQ. PINTADO'!B:C,2,0),0)</f>
        <v>0</v>
      </c>
      <c r="E139" s="305">
        <f t="shared" si="0"/>
        <v>129.15418880207088</v>
      </c>
      <c r="F139" s="103" t="s">
        <v>164</v>
      </c>
      <c r="G139" s="75" t="s">
        <v>147</v>
      </c>
      <c r="H139" s="90">
        <v>5.6</v>
      </c>
      <c r="I139" s="90">
        <v>8.7799999999999994</v>
      </c>
      <c r="J139" s="76">
        <v>0.105</v>
      </c>
      <c r="K139" s="306">
        <v>1.89</v>
      </c>
      <c r="L139" s="78">
        <f t="shared" si="1"/>
        <v>39.6454938271605</v>
      </c>
      <c r="M139" s="58">
        <f>+VLOOKUP(F139,Material!$H$2:$M$17,6,FALSE)*H139*I139*(1+Material!$K$14)</f>
        <v>34.059083333333334</v>
      </c>
      <c r="N139" s="79" t="str">
        <f t="shared" si="26"/>
        <v>T5.0</v>
      </c>
      <c r="O139" s="80">
        <f>+VLOOKUP(N139,[3]Material!$A$3:$B$58,2,FALSE)</f>
        <v>5000</v>
      </c>
      <c r="P139" s="79" t="s">
        <v>42</v>
      </c>
      <c r="Q139" s="79" t="str">
        <f>+VLOOKUP(F139,[3]Material!$C$2:$E$12,2,FALSE)</f>
        <v>Cal 10</v>
      </c>
      <c r="R139" s="81">
        <f>+IF(P139="ACERO A36",VLOOKUP(Q139,'[3]Velocidades Std 1500 w'!$B$2:$F$15,5,FALSE),IF(P139="INOXIDABLE",VLOOKUP(Q139,'[3]Velocidades Std 1500 w'!$B$17:$F$28,5,FALSE),IF(P139="ALUMINIO",VLOOKUP(Q139,'[3]Velocidades Std 1500 w'!$B$30:$F$38,5,FALSE))))</f>
        <v>6.1728395061728391E-6</v>
      </c>
      <c r="S139" s="82">
        <f t="shared" si="2"/>
        <v>3.0864197530864196E-2</v>
      </c>
      <c r="T139" s="83">
        <f t="shared" si="3"/>
        <v>28.602093333333332</v>
      </c>
      <c r="U139" s="307">
        <f t="shared" si="4"/>
        <v>1287.0942</v>
      </c>
      <c r="V139" s="80">
        <f t="shared" si="5"/>
        <v>39.725129629629627</v>
      </c>
      <c r="W139" s="98">
        <v>13</v>
      </c>
      <c r="X139" s="84">
        <f>+IF(P139="ACERO A36",VLOOKUP(Q139,'[3]Tiempo Objeto'!$B$2:$C$12,2,FALSE),IF(P139="INOXIDABLE",VLOOKUP(Q139,'[3]Tiempo Objeto'!$B$14:$C$22,2,FALSE),IF(P139="ALUMINIO",VLOOKUP(Q139,'[3]Tiempo Objeto'!$B$24:$C$32,2,FALSE))))</f>
        <v>0.71333333333333337</v>
      </c>
      <c r="Y139" s="84">
        <f t="shared" si="6"/>
        <v>9.2733333333333334</v>
      </c>
      <c r="Z139" s="80">
        <f t="shared" si="7"/>
        <v>12.87962962962963</v>
      </c>
      <c r="AA139" s="100">
        <v>1</v>
      </c>
      <c r="AB139" s="86">
        <f>+AA139*Analisis!$J$6</f>
        <v>25</v>
      </c>
      <c r="AC139" s="100">
        <v>0</v>
      </c>
      <c r="AD139" s="85">
        <f t="shared" si="8"/>
        <v>0</v>
      </c>
      <c r="AE139" s="86">
        <f>+AC139*Analisis!$J$7</f>
        <v>0</v>
      </c>
      <c r="AF139" s="308">
        <f>+H139*0.0254*I139*0.0254*2*(1+[3]Analisis!$G$2)</f>
        <v>7.9303067199999966E-2</v>
      </c>
      <c r="AG139" s="86">
        <f>+AF139*Analisis!$J$8</f>
        <v>8.4495529933333327</v>
      </c>
      <c r="AH139" s="309">
        <f t="shared" si="27"/>
        <v>120.11339558592591</v>
      </c>
      <c r="AI139" s="86">
        <f>+AH139/(1-Analisis!G144)</f>
        <v>120.11339558592591</v>
      </c>
      <c r="AJ139" s="86">
        <f t="shared" si="10"/>
        <v>129.15418880207088</v>
      </c>
      <c r="AK139" s="86">
        <f t="shared" si="28"/>
        <v>0</v>
      </c>
      <c r="AL139" s="310" t="e">
        <f>+VLOOKUP(B139,#REF!,2,FALSE)</f>
        <v>#REF!</v>
      </c>
      <c r="AM139" s="311" t="e">
        <f t="shared" si="25"/>
        <v>#REF!</v>
      </c>
      <c r="AN139" s="312" t="e">
        <f t="shared" si="24"/>
        <v>#REF!</v>
      </c>
    </row>
    <row r="140" spans="1:40" s="73" customFormat="1" x14ac:dyDescent="0.25">
      <c r="A140" s="303">
        <v>107</v>
      </c>
      <c r="B140" s="304" t="s">
        <v>960</v>
      </c>
      <c r="D140" s="74">
        <f>IFERROR(VLOOKUP(B140,'REQ. PINTADO'!B:C,2,0),0)</f>
        <v>0</v>
      </c>
      <c r="E140" s="305">
        <f t="shared" si="0"/>
        <v>329.74133051214653</v>
      </c>
      <c r="F140" s="103" t="s">
        <v>164</v>
      </c>
      <c r="G140" s="75" t="s">
        <v>147</v>
      </c>
      <c r="H140" s="90">
        <v>18.899999999999999</v>
      </c>
      <c r="I140" s="90">
        <v>10.56</v>
      </c>
      <c r="J140" s="76">
        <v>0.105</v>
      </c>
      <c r="K140" s="306">
        <v>7.65</v>
      </c>
      <c r="L140" s="78">
        <f t="shared" si="1"/>
        <v>39.759176470588237</v>
      </c>
      <c r="M140" s="58">
        <f>+VLOOKUP(F140,Material!$H$2:$M$17,6,FALSE)*H140*I140*(1+Material!$K$14)</f>
        <v>138.2535</v>
      </c>
      <c r="N140" s="79" t="str">
        <f t="shared" si="26"/>
        <v>T5.0</v>
      </c>
      <c r="O140" s="80">
        <f>+VLOOKUP(N140,[3]Material!$A$3:$B$58,2,FALSE)</f>
        <v>5000</v>
      </c>
      <c r="P140" s="79" t="s">
        <v>42</v>
      </c>
      <c r="Q140" s="79" t="str">
        <f>+VLOOKUP(F140,[3]Material!$C$2:$E$12,2,FALSE)</f>
        <v>Cal 10</v>
      </c>
      <c r="R140" s="81">
        <f>+IF(P140="ACERO A36",VLOOKUP(Q140,'[3]Velocidades Std 1500 w'!$B$2:$F$15,5,FALSE),IF(P140="INOXIDABLE",VLOOKUP(Q140,'[3]Velocidades Std 1500 w'!$B$17:$F$28,5,FALSE),IF(P140="ALUMINIO",VLOOKUP(Q140,'[3]Velocidades Std 1500 w'!$B$30:$F$38,5,FALSE))))</f>
        <v>6.1728395061728391E-6</v>
      </c>
      <c r="S140" s="82">
        <f t="shared" si="2"/>
        <v>3.0864197530864196E-2</v>
      </c>
      <c r="T140" s="83">
        <f t="shared" si="3"/>
        <v>49.143920000000001</v>
      </c>
      <c r="U140" s="307">
        <f t="shared" si="4"/>
        <v>2211.4764</v>
      </c>
      <c r="V140" s="80">
        <f t="shared" si="5"/>
        <v>68.255444444444436</v>
      </c>
      <c r="W140" s="98">
        <v>16</v>
      </c>
      <c r="X140" s="84">
        <f>+IF(P140="ACERO A36",VLOOKUP(Q140,'[3]Tiempo Objeto'!$B$2:$C$12,2,FALSE),IF(P140="INOXIDABLE",VLOOKUP(Q140,'[3]Tiempo Objeto'!$B$14:$C$22,2,FALSE),IF(P140="ALUMINIO",VLOOKUP(Q140,'[3]Tiempo Objeto'!$B$24:$C$32,2,FALSE))))</f>
        <v>0.71333333333333337</v>
      </c>
      <c r="Y140" s="84">
        <f t="shared" si="6"/>
        <v>11.413333333333334</v>
      </c>
      <c r="Z140" s="80">
        <f t="shared" si="7"/>
        <v>15.851851851851853</v>
      </c>
      <c r="AA140" s="100">
        <v>2</v>
      </c>
      <c r="AB140" s="86">
        <f>+AA140*Analisis!$J$6</f>
        <v>50</v>
      </c>
      <c r="AC140" s="100">
        <v>0</v>
      </c>
      <c r="AD140" s="85">
        <f t="shared" si="8"/>
        <v>0</v>
      </c>
      <c r="AE140" s="86">
        <f>+AC140*Analisis!$J$7</f>
        <v>0</v>
      </c>
      <c r="AF140" s="308">
        <f>+H140*0.0254*I140*0.0254*2*(1+[3]Analisis!$G$2)</f>
        <v>0.32190903359999995</v>
      </c>
      <c r="AG140" s="86">
        <f>+AF140*Analisis!$J$8</f>
        <v>34.298641080000003</v>
      </c>
      <c r="AH140" s="309">
        <f t="shared" si="27"/>
        <v>306.65943737629624</v>
      </c>
      <c r="AI140" s="86">
        <f>+AH140/(1-Analisis!G145)</f>
        <v>306.65943737629624</v>
      </c>
      <c r="AJ140" s="86">
        <f t="shared" si="10"/>
        <v>329.74133051214653</v>
      </c>
      <c r="AK140" s="86">
        <f t="shared" si="28"/>
        <v>0</v>
      </c>
      <c r="AL140" s="310" t="e">
        <f>+VLOOKUP(B140,#REF!,2,FALSE)</f>
        <v>#REF!</v>
      </c>
      <c r="AM140" s="311" t="e">
        <f t="shared" si="25"/>
        <v>#REF!</v>
      </c>
      <c r="AN140" s="312" t="e">
        <f t="shared" si="24"/>
        <v>#REF!</v>
      </c>
    </row>
    <row r="141" spans="1:40" s="73" customFormat="1" x14ac:dyDescent="0.25">
      <c r="A141" s="303">
        <v>108</v>
      </c>
      <c r="B141" s="304" t="s">
        <v>961</v>
      </c>
      <c r="D141" s="74">
        <f>IFERROR(VLOOKUP(B141,'REQ. PINTADO'!B:C,2,0),0)</f>
        <v>0</v>
      </c>
      <c r="E141" s="305">
        <f t="shared" ref="E141:E276" si="29">+AJ141</f>
        <v>472.49444030335104</v>
      </c>
      <c r="F141" s="103" t="s">
        <v>164</v>
      </c>
      <c r="G141" s="75" t="s">
        <v>147</v>
      </c>
      <c r="H141" s="90">
        <v>28.9</v>
      </c>
      <c r="I141" s="90">
        <v>10.56</v>
      </c>
      <c r="J141" s="76">
        <v>0.105</v>
      </c>
      <c r="K141" s="306">
        <v>11.7</v>
      </c>
      <c r="L141" s="78">
        <f t="shared" ref="L141:L276" si="30">+M141*2.2/K141</f>
        <v>39.751085470085478</v>
      </c>
      <c r="M141" s="58">
        <f>+VLOOKUP(F141,Material!$H$2:$M$17,6,FALSE)*H141*I141*(1+Material!$K$14)</f>
        <v>211.40350000000004</v>
      </c>
      <c r="N141" s="79" t="str">
        <f t="shared" si="26"/>
        <v>T5.0</v>
      </c>
      <c r="O141" s="80">
        <f>+VLOOKUP(N141,[3]Material!$A$3:$B$58,2,FALSE)</f>
        <v>5000</v>
      </c>
      <c r="P141" s="79" t="s">
        <v>42</v>
      </c>
      <c r="Q141" s="79" t="str">
        <f>+VLOOKUP(F141,[3]Material!$C$2:$E$12,2,FALSE)</f>
        <v>Cal 10</v>
      </c>
      <c r="R141" s="81">
        <f>+IF(P141="ACERO A36",VLOOKUP(Q141,'[3]Velocidades Std 1500 w'!$B$2:$F$15,5,FALSE),IF(P141="INOXIDABLE",VLOOKUP(Q141,'[3]Velocidades Std 1500 w'!$B$17:$F$28,5,FALSE),IF(P141="ALUMINIO",VLOOKUP(Q141,'[3]Velocidades Std 1500 w'!$B$30:$F$38,5,FALSE))))</f>
        <v>6.1728395061728391E-6</v>
      </c>
      <c r="S141" s="82">
        <f t="shared" ref="S141:S276" si="31">+R141*O141</f>
        <v>3.0864197530864196E-2</v>
      </c>
      <c r="T141" s="83">
        <f t="shared" ref="T141:T276" si="32">+R141*U141*3600</f>
        <v>60.997253333333333</v>
      </c>
      <c r="U141" s="307">
        <f t="shared" ref="U141:U276" si="33">(+I141*2+H141*2+W141*1.5)*25.4*1.05</f>
        <v>2744.8764000000001</v>
      </c>
      <c r="V141" s="80">
        <f t="shared" ref="V141:V215" si="34">+U141*S141</f>
        <v>84.718407407407412</v>
      </c>
      <c r="W141" s="98">
        <v>16</v>
      </c>
      <c r="X141" s="84">
        <f>+IF(P141="ACERO A36",VLOOKUP(Q141,'[3]Tiempo Objeto'!$B$2:$C$12,2,FALSE),IF(P141="INOXIDABLE",VLOOKUP(Q141,'[3]Tiempo Objeto'!$B$14:$C$22,2,FALSE),IF(P141="ALUMINIO",VLOOKUP(Q141,'[3]Tiempo Objeto'!$B$24:$C$32,2,FALSE))))</f>
        <v>0.71333333333333337</v>
      </c>
      <c r="Y141" s="84">
        <f t="shared" ref="Y141:Y276" si="35">+X141*W141</f>
        <v>11.413333333333334</v>
      </c>
      <c r="Z141" s="80">
        <f t="shared" ref="Z141:Z276" si="36">+Y141*O141/3600</f>
        <v>15.851851851851853</v>
      </c>
      <c r="AA141" s="100">
        <v>3</v>
      </c>
      <c r="AB141" s="86">
        <f>+AA141*Analisis!$J$6</f>
        <v>75</v>
      </c>
      <c r="AC141" s="100">
        <v>0</v>
      </c>
      <c r="AD141" s="85">
        <f t="shared" ref="AD141:AD276" si="37">30*AC141+AC141*$D141*1.5</f>
        <v>0</v>
      </c>
      <c r="AE141" s="86">
        <f>+AC141*Analisis!$J$7</f>
        <v>0</v>
      </c>
      <c r="AF141" s="308">
        <f>+H141*0.0254*I141*0.0254*2*(1+[3]Analisis!$G$2)</f>
        <v>0.49223127359999996</v>
      </c>
      <c r="AG141" s="86">
        <f>+AF141*Analisis!$J$8</f>
        <v>52.446070222857152</v>
      </c>
      <c r="AH141" s="309">
        <f t="shared" si="27"/>
        <v>439.41982948211643</v>
      </c>
      <c r="AI141" s="86">
        <f>+AH141/(1-Analisis!G146)</f>
        <v>439.41982948211643</v>
      </c>
      <c r="AJ141" s="86">
        <f t="shared" ref="AJ141:AJ276" si="38">+AI141/(1-0.07)</f>
        <v>472.49444030335104</v>
      </c>
      <c r="AK141" s="86">
        <f t="shared" si="28"/>
        <v>0</v>
      </c>
      <c r="AL141" s="310" t="e">
        <f>+VLOOKUP(B141,#REF!,2,FALSE)</f>
        <v>#REF!</v>
      </c>
      <c r="AM141" s="311" t="e">
        <f t="shared" si="25"/>
        <v>#REF!</v>
      </c>
      <c r="AN141" s="312" t="e">
        <f t="shared" si="24"/>
        <v>#REF!</v>
      </c>
    </row>
    <row r="142" spans="1:40" s="73" customFormat="1" x14ac:dyDescent="0.25">
      <c r="A142" s="303">
        <v>109</v>
      </c>
      <c r="B142" s="304" t="s">
        <v>962</v>
      </c>
      <c r="D142" s="74">
        <f>IFERROR(VLOOKUP(B142,'REQ. PINTADO'!B:C,2,0),0)</f>
        <v>0</v>
      </c>
      <c r="E142" s="305">
        <f t="shared" si="29"/>
        <v>664.59431220116198</v>
      </c>
      <c r="F142" s="103" t="s">
        <v>163</v>
      </c>
      <c r="G142" s="75" t="s">
        <v>147</v>
      </c>
      <c r="H142" s="90">
        <v>11.07</v>
      </c>
      <c r="I142" s="90">
        <v>63.39</v>
      </c>
      <c r="J142" s="76">
        <v>0.105</v>
      </c>
      <c r="K142" s="306">
        <v>20.93</v>
      </c>
      <c r="L142" s="78">
        <f t="shared" si="30"/>
        <v>27.686960900649911</v>
      </c>
      <c r="M142" s="58">
        <f>+VLOOKUP(F142,Material!$H$2:$M$17,6,FALSE)*H142*I142*(1+Material!$K$14)</f>
        <v>263.40367802300119</v>
      </c>
      <c r="N142" s="79" t="str">
        <f t="shared" si="26"/>
        <v>T5.0</v>
      </c>
      <c r="O142" s="80">
        <f>+VLOOKUP(N142,[3]Material!$A$3:$B$58,2,FALSE)</f>
        <v>5000</v>
      </c>
      <c r="P142" s="79" t="s">
        <v>42</v>
      </c>
      <c r="Q142" s="79" t="str">
        <f>+VLOOKUP(F142,[3]Material!$C$2:$E$12,2,FALSE)</f>
        <v>Cal 12</v>
      </c>
      <c r="R142" s="81">
        <f>+IF(P142="ACERO A36",VLOOKUP(Q142,'[3]Velocidades Std 1500 w'!$B$2:$F$15,5,FALSE),IF(P142="INOXIDABLE",VLOOKUP(Q142,'[3]Velocidades Std 1500 w'!$B$17:$F$28,5,FALSE),IF(P142="ALUMINIO",VLOOKUP(Q142,'[3]Velocidades Std 1500 w'!$B$30:$F$38,5,FALSE))))</f>
        <v>4.3859649122807014E-6</v>
      </c>
      <c r="S142" s="82">
        <f t="shared" si="31"/>
        <v>2.1929824561403508E-2</v>
      </c>
      <c r="T142" s="83">
        <f t="shared" si="32"/>
        <v>116.40191684210527</v>
      </c>
      <c r="U142" s="307">
        <f t="shared" si="33"/>
        <v>7372.1214000000009</v>
      </c>
      <c r="V142" s="80">
        <f t="shared" si="34"/>
        <v>161.66932894736843</v>
      </c>
      <c r="W142" s="98">
        <v>85</v>
      </c>
      <c r="X142" s="84">
        <f>+IF(P142="ACERO A36",VLOOKUP(Q142,'[3]Tiempo Objeto'!$B$2:$C$12,2,FALSE),IF(P142="INOXIDABLE",VLOOKUP(Q142,'[3]Tiempo Objeto'!$B$14:$C$22,2,FALSE),IF(P142="ALUMINIO",VLOOKUP(Q142,'[3]Tiempo Objeto'!$B$24:$C$32,2,FALSE))))</f>
        <v>0.6133333333333334</v>
      </c>
      <c r="Y142" s="84">
        <f t="shared" si="35"/>
        <v>52.13333333333334</v>
      </c>
      <c r="Z142" s="80">
        <f t="shared" si="36"/>
        <v>72.407407407407419</v>
      </c>
      <c r="AA142" s="100">
        <v>0</v>
      </c>
      <c r="AB142" s="86">
        <f>+AA142*Analisis!$J$6</f>
        <v>0</v>
      </c>
      <c r="AC142" s="100">
        <v>0</v>
      </c>
      <c r="AD142" s="85">
        <f t="shared" si="37"/>
        <v>0</v>
      </c>
      <c r="AE142" s="86">
        <f>+AC142*Analisis!$J$7</f>
        <v>0</v>
      </c>
      <c r="AF142" s="308">
        <f>+H142*0.0254*I142*0.0254*2*(1+[3]Analisis!$G$2)</f>
        <v>1.1318159621699999</v>
      </c>
      <c r="AG142" s="86">
        <f>+AF142*Analisis!$J$8</f>
        <v>120.59229596930359</v>
      </c>
      <c r="AH142" s="309">
        <f t="shared" si="27"/>
        <v>618.0727103470806</v>
      </c>
      <c r="AI142" s="86">
        <f>+AH142/(1-Analisis!G147)</f>
        <v>618.0727103470806</v>
      </c>
      <c r="AJ142" s="86">
        <f t="shared" si="38"/>
        <v>664.59431220116198</v>
      </c>
      <c r="AK142" s="86">
        <f t="shared" si="28"/>
        <v>0</v>
      </c>
      <c r="AL142" s="310" t="e">
        <f>+VLOOKUP(B142,#REF!,2,FALSE)</f>
        <v>#REF!</v>
      </c>
      <c r="AM142" s="311" t="e">
        <f t="shared" si="25"/>
        <v>#REF!</v>
      </c>
      <c r="AN142" s="312" t="e">
        <f t="shared" si="24"/>
        <v>#REF!</v>
      </c>
    </row>
    <row r="143" spans="1:40" s="73" customFormat="1" x14ac:dyDescent="0.25">
      <c r="A143" s="303">
        <v>110</v>
      </c>
      <c r="B143" s="304" t="s">
        <v>963</v>
      </c>
      <c r="D143" s="74">
        <f>IFERROR(VLOOKUP(B143,'REQ. PINTADO'!B:C,2,0),0)</f>
        <v>0</v>
      </c>
      <c r="E143" s="305">
        <f t="shared" si="29"/>
        <v>34.243942108847953</v>
      </c>
      <c r="F143" s="103" t="s">
        <v>163</v>
      </c>
      <c r="G143" s="75" t="s">
        <v>147</v>
      </c>
      <c r="H143" s="90">
        <v>4</v>
      </c>
      <c r="I143" s="90">
        <v>5</v>
      </c>
      <c r="J143" s="76">
        <v>0.105</v>
      </c>
      <c r="K143" s="306">
        <v>0.6</v>
      </c>
      <c r="L143" s="78">
        <f t="shared" si="30"/>
        <v>27.526746817013894</v>
      </c>
      <c r="M143" s="58">
        <f>+VLOOKUP(F143,Material!$H$2:$M$17,6,FALSE)*H143*I143*(1+Material!$K$14)</f>
        <v>7.5072945864583343</v>
      </c>
      <c r="N143" s="79" t="str">
        <f t="shared" si="26"/>
        <v>T5.0</v>
      </c>
      <c r="O143" s="80">
        <f>+VLOOKUP(N143,[3]Material!$A$3:$B$58,2,FALSE)</f>
        <v>5000</v>
      </c>
      <c r="P143" s="79" t="s">
        <v>42</v>
      </c>
      <c r="Q143" s="79" t="str">
        <f>+VLOOKUP(F143,[3]Material!$C$2:$E$12,2,FALSE)</f>
        <v>Cal 12</v>
      </c>
      <c r="R143" s="81">
        <f>+IF(P143="ACERO A36",VLOOKUP(Q143,'[3]Velocidades Std 1500 w'!$B$2:$F$15,5,FALSE),IF(P143="INOXIDABLE",VLOOKUP(Q143,'[3]Velocidades Std 1500 w'!$B$17:$F$28,5,FALSE),IF(P143="ALUMINIO",VLOOKUP(Q143,'[3]Velocidades Std 1500 w'!$B$30:$F$38,5,FALSE))))</f>
        <v>4.3859649122807014E-6</v>
      </c>
      <c r="S143" s="82">
        <f t="shared" si="31"/>
        <v>2.1929824561403508E-2</v>
      </c>
      <c r="T143" s="83">
        <f t="shared" si="32"/>
        <v>11.369842105263157</v>
      </c>
      <c r="U143" s="307">
        <f t="shared" si="33"/>
        <v>720.09</v>
      </c>
      <c r="V143" s="80">
        <f t="shared" si="34"/>
        <v>15.791447368421052</v>
      </c>
      <c r="W143" s="98">
        <v>6</v>
      </c>
      <c r="X143" s="84">
        <f>+IF(P143="ACERO A36",VLOOKUP(Q143,'[3]Tiempo Objeto'!$B$2:$C$12,2,FALSE),IF(P143="INOXIDABLE",VLOOKUP(Q143,'[3]Tiempo Objeto'!$B$14:$C$22,2,FALSE),IF(P143="ALUMINIO",VLOOKUP(Q143,'[3]Tiempo Objeto'!$B$24:$C$32,2,FALSE))))</f>
        <v>0.6133333333333334</v>
      </c>
      <c r="Y143" s="84">
        <f t="shared" si="35"/>
        <v>3.6800000000000006</v>
      </c>
      <c r="Z143" s="80">
        <f t="shared" si="36"/>
        <v>5.1111111111111125</v>
      </c>
      <c r="AA143" s="100">
        <v>0</v>
      </c>
      <c r="AB143" s="86">
        <f>+AA143*Analisis!$J$6</f>
        <v>0</v>
      </c>
      <c r="AC143" s="100">
        <v>0</v>
      </c>
      <c r="AD143" s="85">
        <f t="shared" si="37"/>
        <v>0</v>
      </c>
      <c r="AE143" s="86">
        <f>+AC143*Analisis!$J$7</f>
        <v>0</v>
      </c>
      <c r="AF143" s="308">
        <f>+H143*0.0254*I143*0.0254*2*(1+[3]Analisis!$G$2)</f>
        <v>3.2258000000000002E-2</v>
      </c>
      <c r="AG143" s="86">
        <f>+AF143*Analisis!$J$8</f>
        <v>3.4370130952380964</v>
      </c>
      <c r="AH143" s="309">
        <f t="shared" si="27"/>
        <v>31.846866161228593</v>
      </c>
      <c r="AI143" s="86">
        <f>+AH143/(1-Analisis!G148)</f>
        <v>31.846866161228593</v>
      </c>
      <c r="AJ143" s="86">
        <f t="shared" si="38"/>
        <v>34.243942108847953</v>
      </c>
      <c r="AK143" s="86">
        <f t="shared" si="28"/>
        <v>0</v>
      </c>
      <c r="AL143" s="310" t="e">
        <f>+VLOOKUP(B143,#REF!,2,FALSE)</f>
        <v>#REF!</v>
      </c>
      <c r="AM143" s="311" t="e">
        <f t="shared" si="25"/>
        <v>#REF!</v>
      </c>
      <c r="AN143" s="312" t="e">
        <f t="shared" si="24"/>
        <v>#REF!</v>
      </c>
    </row>
    <row r="144" spans="1:40" s="73" customFormat="1" x14ac:dyDescent="0.25">
      <c r="A144" s="303">
        <v>111</v>
      </c>
      <c r="B144" s="304" t="s">
        <v>964</v>
      </c>
      <c r="D144" s="74">
        <f>IFERROR(VLOOKUP(B144,'REQ. PINTADO'!B:C,2,0),0)</f>
        <v>0</v>
      </c>
      <c r="E144" s="305">
        <f t="shared" si="29"/>
        <v>37.922668677941978</v>
      </c>
      <c r="F144" s="103" t="s">
        <v>163</v>
      </c>
      <c r="G144" s="75" t="s">
        <v>147</v>
      </c>
      <c r="H144" s="90">
        <v>3.5</v>
      </c>
      <c r="I144" s="90">
        <v>4.5</v>
      </c>
      <c r="J144" s="76">
        <v>0.105</v>
      </c>
      <c r="K144" s="306">
        <v>0.47</v>
      </c>
      <c r="L144" s="78">
        <f t="shared" si="30"/>
        <v>27.673165683061846</v>
      </c>
      <c r="M144" s="58">
        <f>+VLOOKUP(F144,Material!$H$2:$M$17,6,FALSE)*H144*I144*(1+Material!$K$14)</f>
        <v>5.9119944868359386</v>
      </c>
      <c r="N144" s="79" t="str">
        <f t="shared" si="26"/>
        <v>T5.0</v>
      </c>
      <c r="O144" s="80">
        <f>+VLOOKUP(N144,[3]Material!$A$3:$B$58,2,FALSE)</f>
        <v>5000</v>
      </c>
      <c r="P144" s="79" t="s">
        <v>42</v>
      </c>
      <c r="Q144" s="79" t="str">
        <f>+VLOOKUP(F144,[3]Material!$C$2:$E$12,2,FALSE)</f>
        <v>Cal 12</v>
      </c>
      <c r="R144" s="81">
        <f>+IF(P144="ACERO A36",VLOOKUP(Q144,'[3]Velocidades Std 1500 w'!$B$2:$F$15,5,FALSE),IF(P144="INOXIDABLE",VLOOKUP(Q144,'[3]Velocidades Std 1500 w'!$B$17:$F$28,5,FALSE),IF(P144="ALUMINIO",VLOOKUP(Q144,'[3]Velocidades Std 1500 w'!$B$30:$F$38,5,FALSE))))</f>
        <v>4.3859649122807014E-6</v>
      </c>
      <c r="S144" s="82">
        <f t="shared" si="31"/>
        <v>2.1929824561403508E-2</v>
      </c>
      <c r="T144" s="83">
        <f t="shared" si="32"/>
        <v>13.054263157894734</v>
      </c>
      <c r="U144" s="307">
        <f t="shared" si="33"/>
        <v>826.77</v>
      </c>
      <c r="V144" s="80">
        <f t="shared" si="34"/>
        <v>18.130921052631578</v>
      </c>
      <c r="W144" s="98">
        <v>10</v>
      </c>
      <c r="X144" s="84">
        <f>+IF(P144="ACERO A36",VLOOKUP(Q144,'[3]Tiempo Objeto'!$B$2:$C$12,2,FALSE),IF(P144="INOXIDABLE",VLOOKUP(Q144,'[3]Tiempo Objeto'!$B$14:$C$22,2,FALSE),IF(P144="ALUMINIO",VLOOKUP(Q144,'[3]Tiempo Objeto'!$B$24:$C$32,2,FALSE))))</f>
        <v>0.6133333333333334</v>
      </c>
      <c r="Y144" s="84">
        <f t="shared" si="35"/>
        <v>6.1333333333333337</v>
      </c>
      <c r="Z144" s="80">
        <f t="shared" si="36"/>
        <v>8.518518518518519</v>
      </c>
      <c r="AA144" s="100">
        <v>0</v>
      </c>
      <c r="AB144" s="86">
        <f>+AA144*Analisis!$J$6</f>
        <v>0</v>
      </c>
      <c r="AC144" s="100">
        <v>0</v>
      </c>
      <c r="AD144" s="85">
        <f t="shared" si="37"/>
        <v>0</v>
      </c>
      <c r="AE144" s="86">
        <f>+AC144*Analisis!$J$7</f>
        <v>0</v>
      </c>
      <c r="AF144" s="308">
        <f>+H144*0.0254*I144*0.0254*2*(1+[3]Analisis!$G$2)</f>
        <v>2.5403174999999997E-2</v>
      </c>
      <c r="AG144" s="86">
        <f>+AF144*Analisis!$J$8</f>
        <v>2.7066478125000004</v>
      </c>
      <c r="AH144" s="309">
        <f t="shared" si="27"/>
        <v>35.268081870486036</v>
      </c>
      <c r="AI144" s="86">
        <f>+AH144/(1-Analisis!G149)</f>
        <v>35.268081870486036</v>
      </c>
      <c r="AJ144" s="86">
        <f t="shared" si="38"/>
        <v>37.922668677941978</v>
      </c>
      <c r="AK144" s="86">
        <f t="shared" si="28"/>
        <v>0</v>
      </c>
      <c r="AL144" s="310" t="e">
        <f>+VLOOKUP(B144,#REF!,2,FALSE)</f>
        <v>#REF!</v>
      </c>
      <c r="AM144" s="311" t="e">
        <f t="shared" si="25"/>
        <v>#REF!</v>
      </c>
      <c r="AN144" s="312" t="e">
        <f t="shared" si="24"/>
        <v>#REF!</v>
      </c>
    </row>
    <row r="145" spans="1:40" s="73" customFormat="1" x14ac:dyDescent="0.25">
      <c r="A145" s="303">
        <v>112</v>
      </c>
      <c r="B145" s="304" t="s">
        <v>965</v>
      </c>
      <c r="D145" s="74">
        <f>IFERROR(VLOOKUP(B145,'REQ. PINTADO'!B:C,2,0),0)</f>
        <v>0</v>
      </c>
      <c r="E145" s="305">
        <f t="shared" si="29"/>
        <v>190.1479725571069</v>
      </c>
      <c r="F145" s="103" t="s">
        <v>163</v>
      </c>
      <c r="G145" s="75" t="s">
        <v>147</v>
      </c>
      <c r="H145" s="90">
        <v>6.64</v>
      </c>
      <c r="I145" s="90">
        <v>11.14</v>
      </c>
      <c r="J145" s="76">
        <v>0.105</v>
      </c>
      <c r="K145" s="306">
        <v>2.21</v>
      </c>
      <c r="L145" s="78">
        <f t="shared" si="30"/>
        <v>27.639942778585397</v>
      </c>
      <c r="M145" s="58">
        <f>+VLOOKUP(F145,Material!$H$2:$M$17,6,FALSE)*H145*I145*(1+Material!$K$14)</f>
        <v>27.765578882124419</v>
      </c>
      <c r="N145" s="79" t="str">
        <f t="shared" si="26"/>
        <v>T5.0</v>
      </c>
      <c r="O145" s="80">
        <f>+VLOOKUP(N145,[3]Material!$A$3:$B$58,2,FALSE)</f>
        <v>5000</v>
      </c>
      <c r="P145" s="79" t="s">
        <v>42</v>
      </c>
      <c r="Q145" s="79" t="str">
        <f>+VLOOKUP(F145,[3]Material!$C$2:$E$12,2,FALSE)</f>
        <v>Cal 12</v>
      </c>
      <c r="R145" s="81">
        <f>+IF(P145="ACERO A36",VLOOKUP(Q145,'[3]Velocidades Std 1500 w'!$B$2:$F$15,5,FALSE),IF(P145="INOXIDABLE",VLOOKUP(Q145,'[3]Velocidades Std 1500 w'!$B$17:$F$28,5,FALSE),IF(P145="ALUMINIO",VLOOKUP(Q145,'[3]Velocidades Std 1500 w'!$B$30:$F$38,5,FALSE))))</f>
        <v>4.3859649122807014E-6</v>
      </c>
      <c r="S145" s="82">
        <f t="shared" si="31"/>
        <v>2.1929824561403508E-2</v>
      </c>
      <c r="T145" s="83">
        <f t="shared" si="32"/>
        <v>20.659424210526314</v>
      </c>
      <c r="U145" s="307">
        <f t="shared" si="33"/>
        <v>1308.4302</v>
      </c>
      <c r="V145" s="80">
        <f t="shared" si="34"/>
        <v>28.693644736842103</v>
      </c>
      <c r="W145" s="98">
        <v>9</v>
      </c>
      <c r="X145" s="84">
        <f>+IF(P145="ACERO A36",VLOOKUP(Q145,'[3]Tiempo Objeto'!$B$2:$C$12,2,FALSE),IF(P145="INOXIDABLE",VLOOKUP(Q145,'[3]Tiempo Objeto'!$B$14:$C$22,2,FALSE),IF(P145="ALUMINIO",VLOOKUP(Q145,'[3]Tiempo Objeto'!$B$24:$C$32,2,FALSE))))</f>
        <v>0.6133333333333334</v>
      </c>
      <c r="Y145" s="84">
        <f t="shared" si="35"/>
        <v>5.5200000000000005</v>
      </c>
      <c r="Z145" s="80">
        <f t="shared" si="36"/>
        <v>7.6666666666666679</v>
      </c>
      <c r="AA145" s="100">
        <v>4</v>
      </c>
      <c r="AB145" s="86">
        <f>+AA145*Analisis!$J$6</f>
        <v>100</v>
      </c>
      <c r="AC145" s="100">
        <v>0</v>
      </c>
      <c r="AD145" s="85">
        <f t="shared" si="37"/>
        <v>0</v>
      </c>
      <c r="AE145" s="86">
        <f>+AC145*Analisis!$J$7</f>
        <v>0</v>
      </c>
      <c r="AF145" s="308">
        <f>+H145*0.0254*I145*0.0254*2*(1+[3]Analisis!$G$2)</f>
        <v>0.11930556783999999</v>
      </c>
      <c r="AG145" s="86">
        <f>+AF145*Analisis!$J$8</f>
        <v>12.711724192476193</v>
      </c>
      <c r="AH145" s="309">
        <f t="shared" si="27"/>
        <v>176.8376144781094</v>
      </c>
      <c r="AI145" s="86">
        <f>+AH145/(1-Analisis!G150)</f>
        <v>176.8376144781094</v>
      </c>
      <c r="AJ145" s="86">
        <f t="shared" si="38"/>
        <v>190.1479725571069</v>
      </c>
      <c r="AK145" s="86">
        <f t="shared" si="28"/>
        <v>0</v>
      </c>
      <c r="AL145" s="310" t="e">
        <f>+VLOOKUP(B145,#REF!,2,FALSE)</f>
        <v>#REF!</v>
      </c>
      <c r="AM145" s="311" t="e">
        <f t="shared" si="25"/>
        <v>#REF!</v>
      </c>
      <c r="AN145" s="312" t="e">
        <f t="shared" si="24"/>
        <v>#REF!</v>
      </c>
    </row>
    <row r="146" spans="1:40" s="73" customFormat="1" x14ac:dyDescent="0.25">
      <c r="A146" s="303">
        <v>113</v>
      </c>
      <c r="B146" s="304" t="s">
        <v>966</v>
      </c>
      <c r="D146" s="74">
        <f>IFERROR(VLOOKUP(B146,'REQ. PINTADO'!B:C,2,0),0)</f>
        <v>0</v>
      </c>
      <c r="E146" s="305">
        <f t="shared" si="29"/>
        <v>1028.6629400488769</v>
      </c>
      <c r="F146" s="103" t="s">
        <v>163</v>
      </c>
      <c r="G146" s="75" t="s">
        <v>147</v>
      </c>
      <c r="H146" s="90">
        <v>31.84</v>
      </c>
      <c r="I146" s="90">
        <v>43.04</v>
      </c>
      <c r="J146" s="76">
        <v>0.105</v>
      </c>
      <c r="K146" s="306">
        <v>1</v>
      </c>
      <c r="L146" s="78">
        <f t="shared" si="30"/>
        <v>1131.6743300056864</v>
      </c>
      <c r="M146" s="58">
        <f>+VLOOKUP(F146,Material!$H$2:$M$17,6,FALSE)*H146*I146*(1+Material!$K$14)</f>
        <v>514.39742272985745</v>
      </c>
      <c r="N146" s="79" t="str">
        <f t="shared" si="26"/>
        <v>T5.0</v>
      </c>
      <c r="O146" s="80">
        <f>+VLOOKUP(N146,[3]Material!$A$3:$B$58,2,FALSE)</f>
        <v>5000</v>
      </c>
      <c r="P146" s="79" t="s">
        <v>42</v>
      </c>
      <c r="Q146" s="79" t="str">
        <f>+VLOOKUP(F146,[3]Material!$C$2:$E$12,2,FALSE)</f>
        <v>Cal 12</v>
      </c>
      <c r="R146" s="81">
        <f>+IF(P146="ACERO A36",VLOOKUP(Q146,'[3]Velocidades Std 1500 w'!$B$2:$F$15,5,FALSE),IF(P146="INOXIDABLE",VLOOKUP(Q146,'[3]Velocidades Std 1500 w'!$B$17:$F$28,5,FALSE),IF(P146="ALUMINIO",VLOOKUP(Q146,'[3]Velocidades Std 1500 w'!$B$30:$F$38,5,FALSE))))</f>
        <v>4.3859649122807014E-6</v>
      </c>
      <c r="S146" s="82">
        <f t="shared" si="31"/>
        <v>2.1929824561403508E-2</v>
      </c>
      <c r="T146" s="83">
        <f t="shared" si="32"/>
        <v>88.331039999999987</v>
      </c>
      <c r="U146" s="307">
        <f t="shared" si="33"/>
        <v>5594.2991999999995</v>
      </c>
      <c r="V146" s="80">
        <f t="shared" si="34"/>
        <v>122.68199999999999</v>
      </c>
      <c r="W146" s="98">
        <v>40</v>
      </c>
      <c r="X146" s="84">
        <f>+IF(P146="ACERO A36",VLOOKUP(Q146,'[3]Tiempo Objeto'!$B$2:$C$12,2,FALSE),IF(P146="INOXIDABLE",VLOOKUP(Q146,'[3]Tiempo Objeto'!$B$14:$C$22,2,FALSE),IF(P146="ALUMINIO",VLOOKUP(Q146,'[3]Tiempo Objeto'!$B$24:$C$32,2,FALSE))))</f>
        <v>0.6133333333333334</v>
      </c>
      <c r="Y146" s="84">
        <f t="shared" si="35"/>
        <v>24.533333333333335</v>
      </c>
      <c r="Z146" s="80">
        <f t="shared" si="36"/>
        <v>34.074074074074076</v>
      </c>
      <c r="AA146" s="100">
        <v>2</v>
      </c>
      <c r="AB146" s="86">
        <f>+AA146*Analisis!$J$6</f>
        <v>50</v>
      </c>
      <c r="AC146" s="100">
        <v>0</v>
      </c>
      <c r="AD146" s="85">
        <f t="shared" si="37"/>
        <v>0</v>
      </c>
      <c r="AE146" s="86">
        <f>+AC146*Analisis!$J$7</f>
        <v>0</v>
      </c>
      <c r="AF146" s="308">
        <f>+H146*0.0254*I146*0.0254*2*(1+[3]Analisis!$G$2)</f>
        <v>2.2103078374400003</v>
      </c>
      <c r="AG146" s="86">
        <f>+AF146*Analisis!$J$8</f>
        <v>235.5030374415239</v>
      </c>
      <c r="AH146" s="309">
        <f t="shared" si="27"/>
        <v>956.65653424545542</v>
      </c>
      <c r="AI146" s="86">
        <f>+AH146/(1-Analisis!G151)</f>
        <v>956.65653424545542</v>
      </c>
      <c r="AJ146" s="86">
        <f t="shared" si="38"/>
        <v>1028.6629400488769</v>
      </c>
      <c r="AK146" s="86">
        <f t="shared" si="28"/>
        <v>0</v>
      </c>
      <c r="AL146" s="310" t="e">
        <f>+VLOOKUP(B146,#REF!,2,FALSE)</f>
        <v>#REF!</v>
      </c>
      <c r="AM146" s="311" t="e">
        <f t="shared" si="25"/>
        <v>#REF!</v>
      </c>
      <c r="AN146" s="312" t="e">
        <f t="shared" si="24"/>
        <v>#REF!</v>
      </c>
    </row>
    <row r="147" spans="1:40" s="73" customFormat="1" x14ac:dyDescent="0.25">
      <c r="A147" s="303">
        <v>114</v>
      </c>
      <c r="B147" s="304" t="s">
        <v>967</v>
      </c>
      <c r="D147" s="74">
        <f>IFERROR(VLOOKUP(B147,'REQ. PINTADO'!B:C,2,0),0)</f>
        <v>0</v>
      </c>
      <c r="E147" s="305">
        <f t="shared" si="29"/>
        <v>154.65190667393884</v>
      </c>
      <c r="F147" s="103" t="s">
        <v>166</v>
      </c>
      <c r="G147" s="75" t="s">
        <v>147</v>
      </c>
      <c r="H147" s="90">
        <v>4</v>
      </c>
      <c r="I147" s="90">
        <v>21.88</v>
      </c>
      <c r="J147" s="76">
        <v>0.105</v>
      </c>
      <c r="K147" s="306">
        <v>1.49</v>
      </c>
      <c r="L147" s="78">
        <f t="shared" si="30"/>
        <v>29.288619558931021</v>
      </c>
      <c r="M147" s="58">
        <f>+VLOOKUP(F147,Material!$H$2:$M$17,6,FALSE)*H147*I147*(1+Material!$K$14)</f>
        <v>19.836383246730556</v>
      </c>
      <c r="N147" s="79" t="str">
        <f t="shared" si="26"/>
        <v>T5.0</v>
      </c>
      <c r="O147" s="80">
        <f>+VLOOKUP(N147,[3]Material!$A$3:$B$58,2,FALSE)</f>
        <v>5000</v>
      </c>
      <c r="P147" s="79" t="s">
        <v>42</v>
      </c>
      <c r="Q147" s="79" t="str">
        <f>+VLOOKUP(F147,[3]Material!$C$2:$E$12,2,FALSE)</f>
        <v>Cal 16</v>
      </c>
      <c r="R147" s="81">
        <f>+IF(P147="ACERO A36",VLOOKUP(Q147,'[3]Velocidades Std 1500 w'!$B$2:$F$15,5,FALSE),IF(P147="INOXIDABLE",VLOOKUP(Q147,'[3]Velocidades Std 1500 w'!$B$17:$F$28,5,FALSE),IF(P147="ALUMINIO",VLOOKUP(Q147,'[3]Velocidades Std 1500 w'!$B$30:$F$38,5,FALSE))))</f>
        <v>9.1575091575091579E-7</v>
      </c>
      <c r="S147" s="82">
        <f t="shared" si="31"/>
        <v>4.578754578754579E-3</v>
      </c>
      <c r="T147" s="83">
        <f t="shared" si="32"/>
        <v>5.2103215384615389</v>
      </c>
      <c r="U147" s="307">
        <f t="shared" si="33"/>
        <v>1580.4642000000001</v>
      </c>
      <c r="V147" s="80">
        <f t="shared" si="34"/>
        <v>7.2365576923076933</v>
      </c>
      <c r="W147" s="98">
        <v>5</v>
      </c>
      <c r="X147" s="84">
        <f>+IF(P147="ACERO A36",VLOOKUP(Q147,'[3]Tiempo Objeto'!$B$2:$C$12,2,FALSE),IF(P147="INOXIDABLE",VLOOKUP(Q147,'[3]Tiempo Objeto'!$B$14:$C$22,2,FALSE),IF(P147="ALUMINIO",VLOOKUP(Q147,'[3]Tiempo Objeto'!$B$24:$C$32,2,FALSE))))</f>
        <v>0.24666666666666667</v>
      </c>
      <c r="Y147" s="84">
        <f t="shared" si="35"/>
        <v>1.2333333333333334</v>
      </c>
      <c r="Z147" s="80">
        <f t="shared" si="36"/>
        <v>1.712962962962963</v>
      </c>
      <c r="AA147" s="100">
        <v>4</v>
      </c>
      <c r="AB147" s="86">
        <f>+AA147*Analisis!$J$6</f>
        <v>100</v>
      </c>
      <c r="AC147" s="100">
        <v>0</v>
      </c>
      <c r="AD147" s="85">
        <f t="shared" si="37"/>
        <v>0</v>
      </c>
      <c r="AE147" s="86">
        <f>+AC147*Analisis!$J$7</f>
        <v>0</v>
      </c>
      <c r="AF147" s="308">
        <f>+H147*0.0254*I147*0.0254*2*(1+[3]Analisis!$G$2)</f>
        <v>0.14116100799999998</v>
      </c>
      <c r="AG147" s="86">
        <f>+AF147*Analisis!$J$8</f>
        <v>15.040369304761906</v>
      </c>
      <c r="AH147" s="309">
        <f t="shared" si="27"/>
        <v>143.82627320676312</v>
      </c>
      <c r="AI147" s="86">
        <f>+AH147/(1-Analisis!G152)</f>
        <v>143.82627320676312</v>
      </c>
      <c r="AJ147" s="86">
        <f t="shared" si="38"/>
        <v>154.65190667393884</v>
      </c>
      <c r="AK147" s="86">
        <f t="shared" si="28"/>
        <v>0</v>
      </c>
      <c r="AL147" s="310" t="e">
        <f>+VLOOKUP(B147,#REF!,2,FALSE)</f>
        <v>#REF!</v>
      </c>
      <c r="AM147" s="311" t="e">
        <f t="shared" si="25"/>
        <v>#REF!</v>
      </c>
      <c r="AN147" s="312" t="e">
        <f t="shared" si="24"/>
        <v>#REF!</v>
      </c>
    </row>
    <row r="148" spans="1:40" s="73" customFormat="1" x14ac:dyDescent="0.25">
      <c r="A148" s="303">
        <v>115</v>
      </c>
      <c r="B148" s="304" t="s">
        <v>968</v>
      </c>
      <c r="D148" s="74">
        <f>IFERROR(VLOOKUP(B148,'REQ. PINTADO'!B:C,2,0),0)</f>
        <v>0</v>
      </c>
      <c r="E148" s="305">
        <f t="shared" si="29"/>
        <v>171.23552886306305</v>
      </c>
      <c r="F148" s="103" t="s">
        <v>166</v>
      </c>
      <c r="G148" s="75" t="s">
        <v>147</v>
      </c>
      <c r="H148" s="90">
        <v>4</v>
      </c>
      <c r="I148" s="90">
        <v>30.27</v>
      </c>
      <c r="J148" s="76">
        <v>0.105</v>
      </c>
      <c r="K148" s="306">
        <v>2.06</v>
      </c>
      <c r="L148" s="78">
        <f t="shared" si="30"/>
        <v>29.307788864520838</v>
      </c>
      <c r="M148" s="58">
        <f>+VLOOKUP(F148,Material!$H$2:$M$17,6,FALSE)*H148*I148*(1+Material!$K$14)</f>
        <v>27.442747754960418</v>
      </c>
      <c r="N148" s="79" t="str">
        <f t="shared" si="26"/>
        <v>T5.0</v>
      </c>
      <c r="O148" s="80">
        <f>+VLOOKUP(N148,[3]Material!$A$3:$B$58,2,FALSE)</f>
        <v>5000</v>
      </c>
      <c r="P148" s="79" t="s">
        <v>42</v>
      </c>
      <c r="Q148" s="79" t="str">
        <f>+VLOOKUP(F148,[3]Material!$C$2:$E$12,2,FALSE)</f>
        <v>Cal 16</v>
      </c>
      <c r="R148" s="81">
        <f>+IF(P148="ACERO A36",VLOOKUP(Q148,'[3]Velocidades Std 1500 w'!$B$2:$F$15,5,FALSE),IF(P148="INOXIDABLE",VLOOKUP(Q148,'[3]Velocidades Std 1500 w'!$B$17:$F$28,5,FALSE),IF(P148="ALUMINIO",VLOOKUP(Q148,'[3]Velocidades Std 1500 w'!$B$30:$F$38,5,FALSE))))</f>
        <v>9.1575091575091579E-7</v>
      </c>
      <c r="S148" s="82">
        <f t="shared" si="31"/>
        <v>4.578754578754579E-3</v>
      </c>
      <c r="T148" s="83">
        <f t="shared" si="32"/>
        <v>6.685670769230768</v>
      </c>
      <c r="U148" s="307">
        <f t="shared" si="33"/>
        <v>2027.9867999999997</v>
      </c>
      <c r="V148" s="80">
        <f t="shared" si="34"/>
        <v>9.2856538461538456</v>
      </c>
      <c r="W148" s="98">
        <v>5</v>
      </c>
      <c r="X148" s="84">
        <f>+IF(P148="ACERO A36",VLOOKUP(Q148,'[3]Tiempo Objeto'!$B$2:$C$12,2,FALSE),IF(P148="INOXIDABLE",VLOOKUP(Q148,'[3]Tiempo Objeto'!$B$14:$C$22,2,FALSE),IF(P148="ALUMINIO",VLOOKUP(Q148,'[3]Tiempo Objeto'!$B$24:$C$32,2,FALSE))))</f>
        <v>0.24666666666666667</v>
      </c>
      <c r="Y148" s="84">
        <f t="shared" si="35"/>
        <v>1.2333333333333334</v>
      </c>
      <c r="Z148" s="80">
        <f t="shared" si="36"/>
        <v>1.712962962962963</v>
      </c>
      <c r="AA148" s="100">
        <v>4</v>
      </c>
      <c r="AB148" s="86">
        <f>+AA148*Analisis!$J$6</f>
        <v>100</v>
      </c>
      <c r="AC148" s="100">
        <v>0</v>
      </c>
      <c r="AD148" s="85">
        <f t="shared" si="37"/>
        <v>0</v>
      </c>
      <c r="AE148" s="86">
        <f>+AC148*Analisis!$J$7</f>
        <v>0</v>
      </c>
      <c r="AF148" s="308">
        <f>+H148*0.0254*I148*0.0254*2*(1+[3]Analisis!$G$2)</f>
        <v>0.19528993199999997</v>
      </c>
      <c r="AG148" s="86">
        <f>+AF148*Analisis!$J$8</f>
        <v>20.807677278571433</v>
      </c>
      <c r="AH148" s="309">
        <f t="shared" si="27"/>
        <v>159.24904184264864</v>
      </c>
      <c r="AI148" s="86">
        <f>+AH148/(1-Analisis!G153)</f>
        <v>159.24904184264864</v>
      </c>
      <c r="AJ148" s="86">
        <f t="shared" si="38"/>
        <v>171.23552886306305</v>
      </c>
      <c r="AK148" s="86">
        <f t="shared" si="28"/>
        <v>0</v>
      </c>
      <c r="AL148" s="310" t="e">
        <f>+VLOOKUP(B148,#REF!,2,FALSE)</f>
        <v>#REF!</v>
      </c>
      <c r="AM148" s="311" t="e">
        <f t="shared" si="25"/>
        <v>#REF!</v>
      </c>
      <c r="AN148" s="312" t="e">
        <f t="shared" si="24"/>
        <v>#REF!</v>
      </c>
    </row>
    <row r="149" spans="1:40" s="73" customFormat="1" x14ac:dyDescent="0.25">
      <c r="A149" s="303"/>
      <c r="B149" s="304" t="s">
        <v>969</v>
      </c>
      <c r="D149" s="74">
        <f>IFERROR(VLOOKUP(B149,'REQ. PINTADO'!B:C,2,0),0)</f>
        <v>0</v>
      </c>
      <c r="E149" s="305">
        <f t="shared" si="29"/>
        <v>191.00146710993346</v>
      </c>
      <c r="F149" s="103" t="s">
        <v>166</v>
      </c>
      <c r="G149" s="75" t="s">
        <v>147</v>
      </c>
      <c r="H149" s="90">
        <v>4</v>
      </c>
      <c r="I149" s="90">
        <v>40.270000000000003</v>
      </c>
      <c r="J149" s="76">
        <v>0.105</v>
      </c>
      <c r="K149" s="306">
        <v>2.74</v>
      </c>
      <c r="L149" s="78">
        <f t="shared" si="30"/>
        <v>29.313584004337642</v>
      </c>
      <c r="M149" s="58">
        <f>+VLOOKUP(F149,Material!$H$2:$M$17,6,FALSE)*H149*I149*(1+Material!$K$14)</f>
        <v>36.508736441765976</v>
      </c>
      <c r="N149" s="79" t="str">
        <f t="shared" si="26"/>
        <v>T5.0</v>
      </c>
      <c r="O149" s="80">
        <f>+VLOOKUP(N149,[3]Material!$A$3:$B$58,2,FALSE)</f>
        <v>5000</v>
      </c>
      <c r="P149" s="79" t="s">
        <v>42</v>
      </c>
      <c r="Q149" s="79" t="str">
        <f>+VLOOKUP(F149,[3]Material!$C$2:$E$12,2,FALSE)</f>
        <v>Cal 16</v>
      </c>
      <c r="R149" s="81">
        <f>+IF(P149="ACERO A36",VLOOKUP(Q149,'[3]Velocidades Std 1500 w'!$B$2:$F$15,5,FALSE),IF(P149="INOXIDABLE",VLOOKUP(Q149,'[3]Velocidades Std 1500 w'!$B$17:$F$28,5,FALSE),IF(P149="ALUMINIO",VLOOKUP(Q149,'[3]Velocidades Std 1500 w'!$B$30:$F$38,5,FALSE))))</f>
        <v>9.1575091575091579E-7</v>
      </c>
      <c r="S149" s="82">
        <f t="shared" si="31"/>
        <v>4.578754578754579E-3</v>
      </c>
      <c r="T149" s="83">
        <f t="shared" si="32"/>
        <v>8.4441323076923087</v>
      </c>
      <c r="U149" s="307">
        <f t="shared" si="33"/>
        <v>2561.3868000000002</v>
      </c>
      <c r="V149" s="80">
        <f t="shared" si="34"/>
        <v>11.727961538461541</v>
      </c>
      <c r="W149" s="98">
        <v>5</v>
      </c>
      <c r="X149" s="84">
        <f>+IF(P149="ACERO A36",VLOOKUP(Q149,'[3]Tiempo Objeto'!$B$2:$C$12,2,FALSE),IF(P149="INOXIDABLE",VLOOKUP(Q149,'[3]Tiempo Objeto'!$B$14:$C$22,2,FALSE),IF(P149="ALUMINIO",VLOOKUP(Q149,'[3]Tiempo Objeto'!$B$24:$C$32,2,FALSE))))</f>
        <v>0.24666666666666667</v>
      </c>
      <c r="Y149" s="84">
        <f t="shared" si="35"/>
        <v>1.2333333333333334</v>
      </c>
      <c r="Z149" s="80">
        <f t="shared" si="36"/>
        <v>1.712962962962963</v>
      </c>
      <c r="AA149" s="100">
        <v>4</v>
      </c>
      <c r="AB149" s="86">
        <f>+AA149*Analisis!$J$6</f>
        <v>100</v>
      </c>
      <c r="AC149" s="100">
        <v>0</v>
      </c>
      <c r="AD149" s="85">
        <f t="shared" si="37"/>
        <v>0</v>
      </c>
      <c r="AE149" s="86">
        <f>+AC149*Analisis!$J$7</f>
        <v>0</v>
      </c>
      <c r="AF149" s="308">
        <f>+H149*0.0254*I149*0.0254*2*(1+[3]Analisis!$G$2)</f>
        <v>0.25980593200000002</v>
      </c>
      <c r="AG149" s="86">
        <f>+AF149*Analisis!$J$8</f>
        <v>27.68170346904763</v>
      </c>
      <c r="AH149" s="309">
        <f t="shared" si="27"/>
        <v>177.6313644122381</v>
      </c>
      <c r="AI149" s="86">
        <f>+AH149/(1-Analisis!G154)</f>
        <v>177.6313644122381</v>
      </c>
      <c r="AJ149" s="86">
        <f t="shared" si="38"/>
        <v>191.00146710993346</v>
      </c>
      <c r="AK149" s="86">
        <f t="shared" si="28"/>
        <v>0</v>
      </c>
      <c r="AL149" s="310" t="e">
        <f>+VLOOKUP(B149,#REF!,2,FALSE)</f>
        <v>#REF!</v>
      </c>
      <c r="AM149" s="311" t="e">
        <f t="shared" si="25"/>
        <v>#REF!</v>
      </c>
      <c r="AN149" s="312" t="e">
        <f t="shared" si="24"/>
        <v>#REF!</v>
      </c>
    </row>
    <row r="150" spans="1:40" s="73" customFormat="1" x14ac:dyDescent="0.25">
      <c r="A150" s="303"/>
      <c r="B150" s="304" t="s">
        <v>970</v>
      </c>
      <c r="D150" s="74">
        <f>IFERROR(VLOOKUP(B150,'REQ. PINTADO'!B:C,2,0),0)</f>
        <v>0</v>
      </c>
      <c r="E150" s="305">
        <f t="shared" si="29"/>
        <v>207.60485523730455</v>
      </c>
      <c r="F150" s="103" t="s">
        <v>166</v>
      </c>
      <c r="G150" s="75" t="s">
        <v>147</v>
      </c>
      <c r="H150" s="90">
        <v>4</v>
      </c>
      <c r="I150" s="90">
        <v>48.67</v>
      </c>
      <c r="J150" s="76">
        <v>0.105</v>
      </c>
      <c r="K150" s="306">
        <v>3.32</v>
      </c>
      <c r="L150" s="78">
        <f t="shared" si="30"/>
        <v>29.23890580274151</v>
      </c>
      <c r="M150" s="58">
        <f>+VLOOKUP(F150,Material!$H$2:$M$17,6,FALSE)*H150*I150*(1+Material!$K$14)</f>
        <v>44.124166938682635</v>
      </c>
      <c r="N150" s="79" t="str">
        <f t="shared" si="26"/>
        <v>T5.0</v>
      </c>
      <c r="O150" s="80">
        <f>+VLOOKUP(N150,[3]Material!$A$3:$B$58,2,FALSE)</f>
        <v>5000</v>
      </c>
      <c r="P150" s="79" t="s">
        <v>42</v>
      </c>
      <c r="Q150" s="79" t="str">
        <f>+VLOOKUP(F150,[3]Material!$C$2:$E$12,2,FALSE)</f>
        <v>Cal 16</v>
      </c>
      <c r="R150" s="81">
        <f>+IF(P150="ACERO A36",VLOOKUP(Q150,'[3]Velocidades Std 1500 w'!$B$2:$F$15,5,FALSE),IF(P150="INOXIDABLE",VLOOKUP(Q150,'[3]Velocidades Std 1500 w'!$B$17:$F$28,5,FALSE),IF(P150="ALUMINIO",VLOOKUP(Q150,'[3]Velocidades Std 1500 w'!$B$30:$F$38,5,FALSE))))</f>
        <v>9.1575091575091579E-7</v>
      </c>
      <c r="S150" s="82">
        <f t="shared" si="31"/>
        <v>4.578754578754579E-3</v>
      </c>
      <c r="T150" s="83">
        <f t="shared" si="32"/>
        <v>9.9212400000000009</v>
      </c>
      <c r="U150" s="307">
        <f t="shared" si="33"/>
        <v>3009.4428000000003</v>
      </c>
      <c r="V150" s="80">
        <f t="shared" si="34"/>
        <v>13.779500000000002</v>
      </c>
      <c r="W150" s="98">
        <v>5</v>
      </c>
      <c r="X150" s="84">
        <f>+IF(P150="ACERO A36",VLOOKUP(Q150,'[3]Tiempo Objeto'!$B$2:$C$12,2,FALSE),IF(P150="INOXIDABLE",VLOOKUP(Q150,'[3]Tiempo Objeto'!$B$14:$C$22,2,FALSE),IF(P150="ALUMINIO",VLOOKUP(Q150,'[3]Tiempo Objeto'!$B$24:$C$32,2,FALSE))))</f>
        <v>0.24666666666666667</v>
      </c>
      <c r="Y150" s="84">
        <f t="shared" si="35"/>
        <v>1.2333333333333334</v>
      </c>
      <c r="Z150" s="80">
        <f t="shared" si="36"/>
        <v>1.712962962962963</v>
      </c>
      <c r="AA150" s="100">
        <v>4</v>
      </c>
      <c r="AB150" s="86">
        <f>+AA150*Analisis!$J$6</f>
        <v>100</v>
      </c>
      <c r="AC150" s="100">
        <v>0</v>
      </c>
      <c r="AD150" s="85">
        <f t="shared" si="37"/>
        <v>0</v>
      </c>
      <c r="AE150" s="86">
        <f>+AC150*Analisis!$J$7</f>
        <v>0</v>
      </c>
      <c r="AF150" s="308">
        <f>+H150*0.0254*I150*0.0254*2*(1+[3]Analisis!$G$2)</f>
        <v>0.313999372</v>
      </c>
      <c r="AG150" s="86">
        <f>+AF150*Analisis!$J$8</f>
        <v>33.455885469047629</v>
      </c>
      <c r="AH150" s="309">
        <f t="shared" si="27"/>
        <v>193.07251537069322</v>
      </c>
      <c r="AI150" s="86">
        <f>+AH150/(1-Analisis!G155)</f>
        <v>193.07251537069322</v>
      </c>
      <c r="AJ150" s="86">
        <f t="shared" si="38"/>
        <v>207.60485523730455</v>
      </c>
      <c r="AK150" s="86">
        <f t="shared" si="28"/>
        <v>0</v>
      </c>
      <c r="AL150" s="310" t="e">
        <f>+VLOOKUP(B150,#REF!,2,FALSE)</f>
        <v>#REF!</v>
      </c>
      <c r="AM150" s="311" t="e">
        <f t="shared" si="25"/>
        <v>#REF!</v>
      </c>
      <c r="AN150" s="312" t="e">
        <f t="shared" si="24"/>
        <v>#REF!</v>
      </c>
    </row>
    <row r="151" spans="1:40" s="73" customFormat="1" x14ac:dyDescent="0.25">
      <c r="A151" s="303">
        <v>116</v>
      </c>
      <c r="B151" s="304" t="s">
        <v>971</v>
      </c>
      <c r="D151" s="74">
        <f>IFERROR(VLOOKUP(B151,'REQ. PINTADO'!B:C,2,0),0)</f>
        <v>0</v>
      </c>
      <c r="E151" s="305">
        <f t="shared" si="29"/>
        <v>402.2758082916697</v>
      </c>
      <c r="F151" s="103" t="s">
        <v>163</v>
      </c>
      <c r="G151" s="75" t="s">
        <v>147</v>
      </c>
      <c r="H151" s="90">
        <v>17.66</v>
      </c>
      <c r="I151" s="90">
        <v>21.64</v>
      </c>
      <c r="J151" s="76">
        <v>0.105</v>
      </c>
      <c r="K151" s="306">
        <v>11.4</v>
      </c>
      <c r="L151" s="78">
        <f t="shared" si="30"/>
        <v>27.683388494164184</v>
      </c>
      <c r="M151" s="58">
        <f>+VLOOKUP(F151,Material!$H$2:$M$17,6,FALSE)*H151*I151*(1+Material!$K$14)</f>
        <v>143.45028583339624</v>
      </c>
      <c r="N151" s="79" t="str">
        <f t="shared" si="26"/>
        <v>T5.0</v>
      </c>
      <c r="O151" s="80">
        <f>+VLOOKUP(N151,[3]Material!$A$3:$B$58,2,FALSE)</f>
        <v>5000</v>
      </c>
      <c r="P151" s="79" t="s">
        <v>42</v>
      </c>
      <c r="Q151" s="79" t="str">
        <f>+VLOOKUP(F151,[3]Material!$C$2:$E$12,2,FALSE)</f>
        <v>Cal 12</v>
      </c>
      <c r="R151" s="81">
        <f>+IF(P151="ACERO A36",VLOOKUP(Q151,'[3]Velocidades Std 1500 w'!$B$2:$F$15,5,FALSE),IF(P151="INOXIDABLE",VLOOKUP(Q151,'[3]Velocidades Std 1500 w'!$B$17:$F$28,5,FALSE),IF(P151="ALUMINIO",VLOOKUP(Q151,'[3]Velocidades Std 1500 w'!$B$30:$F$38,5,FALSE))))</f>
        <v>4.3859649122807014E-6</v>
      </c>
      <c r="S151" s="82">
        <f t="shared" si="31"/>
        <v>2.1929824561403508E-2</v>
      </c>
      <c r="T151" s="83">
        <f t="shared" si="32"/>
        <v>40.047110526315777</v>
      </c>
      <c r="U151" s="307">
        <f t="shared" si="33"/>
        <v>2536.3169999999996</v>
      </c>
      <c r="V151" s="80">
        <f t="shared" si="34"/>
        <v>55.620986842105253</v>
      </c>
      <c r="W151" s="98">
        <v>11</v>
      </c>
      <c r="X151" s="84">
        <f>+IF(P151="ACERO A36",VLOOKUP(Q151,'[3]Tiempo Objeto'!$B$2:$C$12,2,FALSE),IF(P151="INOXIDABLE",VLOOKUP(Q151,'[3]Tiempo Objeto'!$B$14:$C$22,2,FALSE),IF(P151="ALUMINIO",VLOOKUP(Q151,'[3]Tiempo Objeto'!$B$24:$C$32,2,FALSE))))</f>
        <v>0.6133333333333334</v>
      </c>
      <c r="Y151" s="84">
        <f t="shared" si="35"/>
        <v>6.746666666666667</v>
      </c>
      <c r="Z151" s="80">
        <f t="shared" si="36"/>
        <v>9.3703703703703702</v>
      </c>
      <c r="AA151" s="100">
        <v>4</v>
      </c>
      <c r="AB151" s="86">
        <f>+AA151*Analisis!$J$6</f>
        <v>100</v>
      </c>
      <c r="AC151" s="100">
        <v>0</v>
      </c>
      <c r="AD151" s="85">
        <f t="shared" si="37"/>
        <v>0</v>
      </c>
      <c r="AE151" s="86">
        <f>+AC151*Analisis!$J$7</f>
        <v>0</v>
      </c>
      <c r="AF151" s="308">
        <f>+H151*0.0254*I151*0.0254*2*(1+[3]Analisis!$G$2)</f>
        <v>0.61638973495999994</v>
      </c>
      <c r="AG151" s="86">
        <f>+AF151*Analisis!$J$8</f>
        <v>65.674858665380967</v>
      </c>
      <c r="AH151" s="309">
        <f t="shared" si="27"/>
        <v>374.11650171125279</v>
      </c>
      <c r="AI151" s="86">
        <f>+AH151/(1-Analisis!G156)</f>
        <v>374.11650171125279</v>
      </c>
      <c r="AJ151" s="86">
        <f t="shared" si="38"/>
        <v>402.2758082916697</v>
      </c>
      <c r="AK151" s="86">
        <f t="shared" si="28"/>
        <v>0</v>
      </c>
      <c r="AL151" s="310" t="e">
        <f>+VLOOKUP(B151,#REF!,2,FALSE)</f>
        <v>#REF!</v>
      </c>
      <c r="AM151" s="311" t="e">
        <f t="shared" si="25"/>
        <v>#REF!</v>
      </c>
      <c r="AN151" s="312" t="e">
        <f t="shared" si="24"/>
        <v>#REF!</v>
      </c>
    </row>
    <row r="152" spans="1:40" s="73" customFormat="1" x14ac:dyDescent="0.25">
      <c r="A152" s="303">
        <v>117</v>
      </c>
      <c r="B152" s="304" t="s">
        <v>972</v>
      </c>
      <c r="D152" s="74">
        <f>IFERROR(VLOOKUP(B152,'REQ. PINTADO'!B:C,2,0),0)</f>
        <v>0</v>
      </c>
      <c r="E152" s="305">
        <f t="shared" si="29"/>
        <v>518.76570641041405</v>
      </c>
      <c r="F152" s="103" t="s">
        <v>163</v>
      </c>
      <c r="G152" s="75" t="s">
        <v>147</v>
      </c>
      <c r="H152" s="90">
        <v>17.66</v>
      </c>
      <c r="I152" s="90">
        <v>31.64</v>
      </c>
      <c r="J152" s="76">
        <v>0.105</v>
      </c>
      <c r="K152" s="306">
        <v>16.66</v>
      </c>
      <c r="L152" s="78">
        <f t="shared" si="30"/>
        <v>27.696718695678953</v>
      </c>
      <c r="M152" s="58">
        <f>+VLOOKUP(F152,Material!$H$2:$M$17,6,FALSE)*H152*I152*(1+Material!$K$14)</f>
        <v>209.73969703182334</v>
      </c>
      <c r="N152" s="79" t="str">
        <f t="shared" si="26"/>
        <v>T5.0</v>
      </c>
      <c r="O152" s="80">
        <f>+VLOOKUP(N152,[3]Material!$A$3:$B$58,2,FALSE)</f>
        <v>5000</v>
      </c>
      <c r="P152" s="79" t="s">
        <v>42</v>
      </c>
      <c r="Q152" s="79" t="str">
        <f>+VLOOKUP(F152,[3]Material!$C$2:$E$12,2,FALSE)</f>
        <v>Cal 12</v>
      </c>
      <c r="R152" s="81">
        <f>+IF(P152="ACERO A36",VLOOKUP(Q152,'[3]Velocidades Std 1500 w'!$B$2:$F$15,5,FALSE),IF(P152="INOXIDABLE",VLOOKUP(Q152,'[3]Velocidades Std 1500 w'!$B$17:$F$28,5,FALSE),IF(P152="ALUMINIO",VLOOKUP(Q152,'[3]Velocidades Std 1500 w'!$B$30:$F$38,5,FALSE))))</f>
        <v>4.3859649122807014E-6</v>
      </c>
      <c r="S152" s="82">
        <f t="shared" si="31"/>
        <v>2.1929824561403508E-2</v>
      </c>
      <c r="T152" s="83">
        <f t="shared" si="32"/>
        <v>48.469215789473672</v>
      </c>
      <c r="U152" s="307">
        <f t="shared" si="33"/>
        <v>3069.7169999999996</v>
      </c>
      <c r="V152" s="80">
        <f t="shared" si="34"/>
        <v>67.318355263157883</v>
      </c>
      <c r="W152" s="98">
        <v>11</v>
      </c>
      <c r="X152" s="84">
        <f>+IF(P152="ACERO A36",VLOOKUP(Q152,'[3]Tiempo Objeto'!$B$2:$C$12,2,FALSE),IF(P152="INOXIDABLE",VLOOKUP(Q152,'[3]Tiempo Objeto'!$B$14:$C$22,2,FALSE),IF(P152="ALUMINIO",VLOOKUP(Q152,'[3]Tiempo Objeto'!$B$24:$C$32,2,FALSE))))</f>
        <v>0.6133333333333334</v>
      </c>
      <c r="Y152" s="84">
        <f t="shared" si="35"/>
        <v>6.746666666666667</v>
      </c>
      <c r="Z152" s="80">
        <f t="shared" si="36"/>
        <v>9.3703703703703702</v>
      </c>
      <c r="AA152" s="100">
        <v>4</v>
      </c>
      <c r="AB152" s="86">
        <f>+AA152*Analisis!$J$6</f>
        <v>100</v>
      </c>
      <c r="AC152" s="100">
        <v>0</v>
      </c>
      <c r="AD152" s="85">
        <f t="shared" si="37"/>
        <v>0</v>
      </c>
      <c r="AE152" s="86">
        <f>+AC152*Analisis!$J$7</f>
        <v>0</v>
      </c>
      <c r="AF152" s="308">
        <f>+H152*0.0254*I152*0.0254*2*(1+[3]Analisis!$G$2)</f>
        <v>0.9012278749599999</v>
      </c>
      <c r="AG152" s="86">
        <f>+AF152*Analisis!$J$8</f>
        <v>96.023684296333357</v>
      </c>
      <c r="AH152" s="309">
        <f t="shared" si="27"/>
        <v>482.45210696168499</v>
      </c>
      <c r="AI152" s="86">
        <f>+AH152/(1-Analisis!G157)</f>
        <v>482.45210696168499</v>
      </c>
      <c r="AJ152" s="86">
        <f t="shared" si="38"/>
        <v>518.76570641041405</v>
      </c>
      <c r="AK152" s="86">
        <f t="shared" si="28"/>
        <v>0</v>
      </c>
      <c r="AL152" s="310" t="e">
        <f>+VLOOKUP(B152,#REF!,2,FALSE)</f>
        <v>#REF!</v>
      </c>
      <c r="AM152" s="311" t="e">
        <f t="shared" si="25"/>
        <v>#REF!</v>
      </c>
      <c r="AN152" s="312" t="e">
        <f t="shared" si="24"/>
        <v>#REF!</v>
      </c>
    </row>
    <row r="153" spans="1:40" s="73" customFormat="1" x14ac:dyDescent="0.25">
      <c r="A153" s="303"/>
      <c r="B153" s="304" t="s">
        <v>973</v>
      </c>
      <c r="D153" s="74">
        <f>IFERROR(VLOOKUP(B153,'REQ. PINTADO'!B:C,2,0),0)</f>
        <v>0</v>
      </c>
      <c r="E153" s="305">
        <f t="shared" si="29"/>
        <v>472.2299897631795</v>
      </c>
      <c r="F153" s="103" t="s">
        <v>163</v>
      </c>
      <c r="G153" s="75" t="s">
        <v>147</v>
      </c>
      <c r="H153" s="90">
        <v>22.66</v>
      </c>
      <c r="I153" s="90">
        <v>21.64</v>
      </c>
      <c r="J153" s="76">
        <v>0.105</v>
      </c>
      <c r="K153" s="306">
        <v>14.62</v>
      </c>
      <c r="L153" s="78">
        <f t="shared" si="30"/>
        <v>27.697841928967094</v>
      </c>
      <c r="M153" s="58">
        <f>+VLOOKUP(F153,Material!$H$2:$M$17,6,FALSE)*H153*I153*(1+Material!$K$14)</f>
        <v>184.06474954613586</v>
      </c>
      <c r="N153" s="79" t="str">
        <f t="shared" si="26"/>
        <v>T5.0</v>
      </c>
      <c r="O153" s="80">
        <f>+VLOOKUP(N153,[3]Material!$A$3:$B$58,2,FALSE)</f>
        <v>5000</v>
      </c>
      <c r="P153" s="79" t="s">
        <v>42</v>
      </c>
      <c r="Q153" s="79" t="str">
        <f>+VLOOKUP(F153,[3]Material!$C$2:$E$12,2,FALSE)</f>
        <v>Cal 12</v>
      </c>
      <c r="R153" s="81">
        <f>+IF(P153="ACERO A36",VLOOKUP(Q153,'[3]Velocidades Std 1500 w'!$B$2:$F$15,5,FALSE),IF(P153="INOXIDABLE",VLOOKUP(Q153,'[3]Velocidades Std 1500 w'!$B$17:$F$28,5,FALSE),IF(P153="ALUMINIO",VLOOKUP(Q153,'[3]Velocidades Std 1500 w'!$B$30:$F$38,5,FALSE))))</f>
        <v>4.3859649122807014E-6</v>
      </c>
      <c r="S153" s="82">
        <f t="shared" si="31"/>
        <v>2.1929824561403508E-2</v>
      </c>
      <c r="T153" s="83">
        <f t="shared" si="32"/>
        <v>44.258163157894735</v>
      </c>
      <c r="U153" s="307">
        <f t="shared" si="33"/>
        <v>2803.0169999999998</v>
      </c>
      <c r="V153" s="80">
        <f t="shared" si="34"/>
        <v>61.469671052631568</v>
      </c>
      <c r="W153" s="98">
        <v>11</v>
      </c>
      <c r="X153" s="84">
        <f>+IF(P153="ACERO A36",VLOOKUP(Q153,'[3]Tiempo Objeto'!$B$2:$C$12,2,FALSE),IF(P153="INOXIDABLE",VLOOKUP(Q153,'[3]Tiempo Objeto'!$B$14:$C$22,2,FALSE),IF(P153="ALUMINIO",VLOOKUP(Q153,'[3]Tiempo Objeto'!$B$24:$C$32,2,FALSE))))</f>
        <v>0.6133333333333334</v>
      </c>
      <c r="Y153" s="84">
        <f t="shared" si="35"/>
        <v>6.746666666666667</v>
      </c>
      <c r="Z153" s="80">
        <f t="shared" si="36"/>
        <v>9.3703703703703702</v>
      </c>
      <c r="AA153" s="100">
        <v>4</v>
      </c>
      <c r="AB153" s="86">
        <f>+AA153*Analisis!$J$6</f>
        <v>100</v>
      </c>
      <c r="AC153" s="100">
        <v>0</v>
      </c>
      <c r="AD153" s="85">
        <f t="shared" si="37"/>
        <v>0</v>
      </c>
      <c r="AE153" s="86">
        <f>+AC153*Analisis!$J$7</f>
        <v>0</v>
      </c>
      <c r="AF153" s="308">
        <f>+H153*0.0254*I153*0.0254*2*(1+[3]Analisis!$G$2)</f>
        <v>0.79090551495999994</v>
      </c>
      <c r="AG153" s="86">
        <f>+AF153*Analisis!$J$8</f>
        <v>84.269099510619071</v>
      </c>
      <c r="AH153" s="309">
        <f t="shared" si="27"/>
        <v>439.17389047975689</v>
      </c>
      <c r="AI153" s="86">
        <f>+AH153/(1-Analisis!G158)</f>
        <v>439.17389047975689</v>
      </c>
      <c r="AJ153" s="86">
        <f t="shared" si="38"/>
        <v>472.2299897631795</v>
      </c>
      <c r="AK153" s="86">
        <f t="shared" si="28"/>
        <v>0</v>
      </c>
      <c r="AL153" s="310" t="e">
        <f>+VLOOKUP(B153,#REF!,2,FALSE)</f>
        <v>#REF!</v>
      </c>
      <c r="AM153" s="311" t="e">
        <f t="shared" si="25"/>
        <v>#REF!</v>
      </c>
      <c r="AN153" s="312" t="e">
        <f t="shared" si="24"/>
        <v>#REF!</v>
      </c>
    </row>
    <row r="154" spans="1:40" s="73" customFormat="1" x14ac:dyDescent="0.25">
      <c r="A154" s="303"/>
      <c r="B154" s="304" t="s">
        <v>974</v>
      </c>
      <c r="D154" s="74">
        <f>IFERROR(VLOOKUP(B154,'REQ. PINTADO'!B:C,2,0),0)</f>
        <v>0</v>
      </c>
      <c r="E154" s="305">
        <f t="shared" si="29"/>
        <v>618.14006982196781</v>
      </c>
      <c r="F154" s="103" t="s">
        <v>163</v>
      </c>
      <c r="G154" s="75" t="s">
        <v>147</v>
      </c>
      <c r="H154" s="90">
        <v>22.66</v>
      </c>
      <c r="I154" s="90">
        <v>31.64</v>
      </c>
      <c r="J154" s="76">
        <v>0.105</v>
      </c>
      <c r="K154" s="306">
        <v>21.38</v>
      </c>
      <c r="L154" s="78">
        <f t="shared" si="30"/>
        <v>27.692669497827843</v>
      </c>
      <c r="M154" s="58">
        <f>+VLOOKUP(F154,Material!$H$2:$M$17,6,FALSE)*H154*I154*(1+Material!$K$14)</f>
        <v>269.12239721070875</v>
      </c>
      <c r="N154" s="79" t="str">
        <f t="shared" si="26"/>
        <v>T5.0</v>
      </c>
      <c r="O154" s="80">
        <f>+VLOOKUP(N154,[3]Material!$A$3:$B$58,2,FALSE)</f>
        <v>5000</v>
      </c>
      <c r="P154" s="79" t="s">
        <v>42</v>
      </c>
      <c r="Q154" s="79" t="str">
        <f>+VLOOKUP(F154,[3]Material!$C$2:$E$12,2,FALSE)</f>
        <v>Cal 12</v>
      </c>
      <c r="R154" s="81">
        <f>+IF(P154="ACERO A36",VLOOKUP(Q154,'[3]Velocidades Std 1500 w'!$B$2:$F$15,5,FALSE),IF(P154="INOXIDABLE",VLOOKUP(Q154,'[3]Velocidades Std 1500 w'!$B$17:$F$28,5,FALSE),IF(P154="ALUMINIO",VLOOKUP(Q154,'[3]Velocidades Std 1500 w'!$B$30:$F$38,5,FALSE))))</f>
        <v>4.3859649122807014E-6</v>
      </c>
      <c r="S154" s="82">
        <f t="shared" si="31"/>
        <v>2.1929824561403508E-2</v>
      </c>
      <c r="T154" s="83">
        <f t="shared" si="32"/>
        <v>52.680268421052624</v>
      </c>
      <c r="U154" s="307">
        <f t="shared" si="33"/>
        <v>3336.4169999999995</v>
      </c>
      <c r="V154" s="80">
        <f t="shared" si="34"/>
        <v>73.167039473684198</v>
      </c>
      <c r="W154" s="98">
        <v>11</v>
      </c>
      <c r="X154" s="84">
        <f>+IF(P154="ACERO A36",VLOOKUP(Q154,'[3]Tiempo Objeto'!$B$2:$C$12,2,FALSE),IF(P154="INOXIDABLE",VLOOKUP(Q154,'[3]Tiempo Objeto'!$B$14:$C$22,2,FALSE),IF(P154="ALUMINIO",VLOOKUP(Q154,'[3]Tiempo Objeto'!$B$24:$C$32,2,FALSE))))</f>
        <v>0.6133333333333334</v>
      </c>
      <c r="Y154" s="84">
        <f t="shared" si="35"/>
        <v>6.746666666666667</v>
      </c>
      <c r="Z154" s="80">
        <f t="shared" si="36"/>
        <v>9.3703703703703702</v>
      </c>
      <c r="AA154" s="100">
        <v>4</v>
      </c>
      <c r="AB154" s="86">
        <f>+AA154*Analisis!$J$6</f>
        <v>100</v>
      </c>
      <c r="AC154" s="100">
        <v>0</v>
      </c>
      <c r="AD154" s="85">
        <f t="shared" si="37"/>
        <v>0</v>
      </c>
      <c r="AE154" s="86">
        <f>+AC154*Analisis!$J$7</f>
        <v>0</v>
      </c>
      <c r="AF154" s="308">
        <f>+H154*0.0254*I154*0.0254*2*(1+[3]Analisis!$G$2)</f>
        <v>1.1563886549599998</v>
      </c>
      <c r="AG154" s="86">
        <f>+AF154*Analisis!$J$8</f>
        <v>123.21045787966668</v>
      </c>
      <c r="AH154" s="309">
        <f t="shared" si="27"/>
        <v>574.87026493443</v>
      </c>
      <c r="AI154" s="86">
        <f>+AH154/(1-Analisis!G159)</f>
        <v>574.87026493443</v>
      </c>
      <c r="AJ154" s="86">
        <f t="shared" si="38"/>
        <v>618.14006982196781</v>
      </c>
      <c r="AK154" s="86">
        <f t="shared" si="28"/>
        <v>0</v>
      </c>
      <c r="AL154" s="310" t="e">
        <f>+VLOOKUP(B154,#REF!,2,FALSE)</f>
        <v>#REF!</v>
      </c>
      <c r="AM154" s="311" t="e">
        <f t="shared" si="25"/>
        <v>#REF!</v>
      </c>
      <c r="AN154" s="312" t="e">
        <f t="shared" si="24"/>
        <v>#REF!</v>
      </c>
    </row>
    <row r="155" spans="1:40" s="73" customFormat="1" x14ac:dyDescent="0.25">
      <c r="A155" s="303">
        <v>118</v>
      </c>
      <c r="B155" s="304" t="s">
        <v>975</v>
      </c>
      <c r="D155" s="74">
        <f>IFERROR(VLOOKUP(B155,'REQ. PINTADO'!B:C,2,0),0)</f>
        <v>0</v>
      </c>
      <c r="E155" s="305">
        <f t="shared" si="29"/>
        <v>488.07583236352008</v>
      </c>
      <c r="F155" s="103" t="s">
        <v>163</v>
      </c>
      <c r="G155" s="75" t="s">
        <v>147</v>
      </c>
      <c r="H155" s="90">
        <v>21.9</v>
      </c>
      <c r="I155" s="90">
        <v>26.07</v>
      </c>
      <c r="J155" s="76">
        <v>0.105</v>
      </c>
      <c r="K155" s="306">
        <v>17.03</v>
      </c>
      <c r="L155" s="78">
        <f t="shared" si="30"/>
        <v>27.68513471605084</v>
      </c>
      <c r="M155" s="58">
        <f>+VLOOKUP(F155,Material!$H$2:$M$17,6,FALSE)*H155*I155*(1+Material!$K$14)</f>
        <v>214.30811100652082</v>
      </c>
      <c r="N155" s="79" t="str">
        <f t="shared" si="26"/>
        <v>T5.0</v>
      </c>
      <c r="O155" s="80">
        <f>+VLOOKUP(N155,[3]Material!$A$3:$B$58,2,FALSE)</f>
        <v>5000</v>
      </c>
      <c r="P155" s="79" t="s">
        <v>42</v>
      </c>
      <c r="Q155" s="79" t="str">
        <f>+VLOOKUP(F155,[3]Material!$C$2:$E$12,2,FALSE)</f>
        <v>Cal 12</v>
      </c>
      <c r="R155" s="81">
        <f>+IF(P155="ACERO A36",VLOOKUP(Q155,'[3]Velocidades Std 1500 w'!$B$2:$F$15,5,FALSE),IF(P155="INOXIDABLE",VLOOKUP(Q155,'[3]Velocidades Std 1500 w'!$B$17:$F$28,5,FALSE),IF(P155="ALUMINIO",VLOOKUP(Q155,'[3]Velocidades Std 1500 w'!$B$30:$F$38,5,FALSE))))</f>
        <v>4.3859649122807014E-6</v>
      </c>
      <c r="S155" s="82">
        <f t="shared" si="31"/>
        <v>2.1929824561403508E-2</v>
      </c>
      <c r="T155" s="83">
        <f t="shared" si="32"/>
        <v>44.190786315789467</v>
      </c>
      <c r="U155" s="307">
        <f t="shared" si="33"/>
        <v>2798.7497999999996</v>
      </c>
      <c r="V155" s="80">
        <f t="shared" si="34"/>
        <v>61.376092105263147</v>
      </c>
      <c r="W155" s="98">
        <v>6</v>
      </c>
      <c r="X155" s="84">
        <f>+IF(P155="ACERO A36",VLOOKUP(Q155,'[3]Tiempo Objeto'!$B$2:$C$12,2,FALSE),IF(P155="INOXIDABLE",VLOOKUP(Q155,'[3]Tiempo Objeto'!$B$14:$C$22,2,FALSE),IF(P155="ALUMINIO",VLOOKUP(Q155,'[3]Tiempo Objeto'!$B$24:$C$32,2,FALSE))))</f>
        <v>0.6133333333333334</v>
      </c>
      <c r="Y155" s="84">
        <f t="shared" si="35"/>
        <v>3.6800000000000006</v>
      </c>
      <c r="Z155" s="80">
        <f t="shared" si="36"/>
        <v>5.1111111111111125</v>
      </c>
      <c r="AA155" s="100">
        <v>3</v>
      </c>
      <c r="AB155" s="86">
        <f>+AA155*Analisis!$J$6</f>
        <v>75</v>
      </c>
      <c r="AC155" s="100">
        <v>0</v>
      </c>
      <c r="AD155" s="85">
        <f t="shared" si="37"/>
        <v>0</v>
      </c>
      <c r="AE155" s="86">
        <f>+AC155*Analisis!$J$7</f>
        <v>0</v>
      </c>
      <c r="AF155" s="308">
        <f>+H155*0.0254*I155*0.0254*2*(1+[3]Analisis!$G$2)</f>
        <v>0.9208578356999999</v>
      </c>
      <c r="AG155" s="86">
        <f>+AF155*Analisis!$J$8</f>
        <v>98.115209875178593</v>
      </c>
      <c r="AH155" s="309">
        <f t="shared" si="27"/>
        <v>453.91052409807367</v>
      </c>
      <c r="AI155" s="86">
        <f>+AH155/(1-Analisis!G160)</f>
        <v>453.91052409807367</v>
      </c>
      <c r="AJ155" s="86">
        <f t="shared" si="38"/>
        <v>488.07583236352008</v>
      </c>
      <c r="AK155" s="86">
        <f t="shared" si="28"/>
        <v>0</v>
      </c>
      <c r="AL155" s="310" t="e">
        <f>+VLOOKUP(B155,#REF!,2,FALSE)</f>
        <v>#REF!</v>
      </c>
      <c r="AM155" s="311" t="e">
        <f t="shared" si="25"/>
        <v>#REF!</v>
      </c>
      <c r="AN155" s="312" t="e">
        <f t="shared" si="24"/>
        <v>#REF!</v>
      </c>
    </row>
    <row r="156" spans="1:40" s="73" customFormat="1" x14ac:dyDescent="0.25">
      <c r="A156" s="303">
        <v>119</v>
      </c>
      <c r="B156" s="304" t="s">
        <v>976</v>
      </c>
      <c r="D156" s="74">
        <f>IFERROR(VLOOKUP(B156,'REQ. PINTADO'!B:C,2,0),0)</f>
        <v>0</v>
      </c>
      <c r="E156" s="305">
        <f t="shared" si="29"/>
        <v>313.47050672624289</v>
      </c>
      <c r="F156" s="103" t="s">
        <v>163</v>
      </c>
      <c r="G156" s="75" t="s">
        <v>147</v>
      </c>
      <c r="H156" s="90">
        <v>11.38</v>
      </c>
      <c r="I156" s="90">
        <v>26.07</v>
      </c>
      <c r="J156" s="76">
        <v>0.105</v>
      </c>
      <c r="K156" s="306">
        <v>24.8</v>
      </c>
      <c r="L156" s="78">
        <f t="shared" si="30"/>
        <v>9.878881033950611</v>
      </c>
      <c r="M156" s="58">
        <f>+VLOOKUP(F156,Material!$H$2:$M$17,6,FALSE)*H156*I156*(1+Material!$K$14)</f>
        <v>111.36193165544324</v>
      </c>
      <c r="N156" s="79" t="str">
        <f t="shared" si="26"/>
        <v>T5.0</v>
      </c>
      <c r="O156" s="80">
        <f>+VLOOKUP(N156,[3]Material!$A$3:$B$58,2,FALSE)</f>
        <v>5000</v>
      </c>
      <c r="P156" s="79" t="s">
        <v>42</v>
      </c>
      <c r="Q156" s="79" t="str">
        <f>+VLOOKUP(F156,[3]Material!$C$2:$E$12,2,FALSE)</f>
        <v>Cal 12</v>
      </c>
      <c r="R156" s="81">
        <f>+IF(P156="ACERO A36",VLOOKUP(Q156,'[3]Velocidades Std 1500 w'!$B$2:$F$15,5,FALSE),IF(P156="INOXIDABLE",VLOOKUP(Q156,'[3]Velocidades Std 1500 w'!$B$17:$F$28,5,FALSE),IF(P156="ALUMINIO",VLOOKUP(Q156,'[3]Velocidades Std 1500 w'!$B$30:$F$38,5,FALSE))))</f>
        <v>4.3859649122807014E-6</v>
      </c>
      <c r="S156" s="82">
        <f t="shared" si="31"/>
        <v>2.1929824561403508E-2</v>
      </c>
      <c r="T156" s="83">
        <f t="shared" si="32"/>
        <v>35.330731578947358</v>
      </c>
      <c r="U156" s="307">
        <f t="shared" si="33"/>
        <v>2237.6129999999998</v>
      </c>
      <c r="V156" s="80">
        <f t="shared" si="34"/>
        <v>49.070460526315784</v>
      </c>
      <c r="W156" s="98">
        <v>6</v>
      </c>
      <c r="X156" s="84">
        <f>+IF(P156="ACERO A36",VLOOKUP(Q156,'[3]Tiempo Objeto'!$B$2:$C$12,2,FALSE),IF(P156="INOXIDABLE",VLOOKUP(Q156,'[3]Tiempo Objeto'!$B$14:$C$22,2,FALSE),IF(P156="ALUMINIO",VLOOKUP(Q156,'[3]Tiempo Objeto'!$B$24:$C$32,2,FALSE))))</f>
        <v>0.6133333333333334</v>
      </c>
      <c r="Y156" s="84">
        <f t="shared" si="35"/>
        <v>3.6800000000000006</v>
      </c>
      <c r="Z156" s="80">
        <f t="shared" si="36"/>
        <v>5.1111111111111125</v>
      </c>
      <c r="AA156" s="100">
        <v>3</v>
      </c>
      <c r="AB156" s="86">
        <f>+AA156*Analisis!$J$6</f>
        <v>75</v>
      </c>
      <c r="AC156" s="100">
        <v>0</v>
      </c>
      <c r="AD156" s="85">
        <f t="shared" si="37"/>
        <v>0</v>
      </c>
      <c r="AE156" s="86">
        <f>+AC156*Analisis!$J$7</f>
        <v>0</v>
      </c>
      <c r="AF156" s="308">
        <f>+H156*0.0254*I156*0.0254*2*(1+[3]Analisis!$G$2)</f>
        <v>0.47850968814</v>
      </c>
      <c r="AG156" s="86">
        <f>+AF156*Analisis!$J$8</f>
        <v>50.984067962535732</v>
      </c>
      <c r="AH156" s="309">
        <f t="shared" si="27"/>
        <v>291.52757125540586</v>
      </c>
      <c r="AI156" s="86">
        <f>+AH156/(1-Analisis!G161)</f>
        <v>291.52757125540586</v>
      </c>
      <c r="AJ156" s="86">
        <f t="shared" si="38"/>
        <v>313.47050672624289</v>
      </c>
      <c r="AK156" s="86">
        <f t="shared" si="28"/>
        <v>0</v>
      </c>
      <c r="AL156" s="310" t="e">
        <f>+VLOOKUP(B156,#REF!,2,FALSE)</f>
        <v>#REF!</v>
      </c>
      <c r="AM156" s="311" t="e">
        <f t="shared" si="25"/>
        <v>#REF!</v>
      </c>
      <c r="AN156" s="312" t="e">
        <f t="shared" si="24"/>
        <v>#REF!</v>
      </c>
    </row>
    <row r="157" spans="1:40" s="73" customFormat="1" x14ac:dyDescent="0.25">
      <c r="A157" s="303">
        <v>120</v>
      </c>
      <c r="B157" s="304" t="s">
        <v>977</v>
      </c>
      <c r="D157" s="74">
        <f>IFERROR(VLOOKUP(B157,'REQ. PINTADO'!B:C,2,0),0)</f>
        <v>0</v>
      </c>
      <c r="E157" s="305">
        <f t="shared" si="29"/>
        <v>224.68035158581134</v>
      </c>
      <c r="F157" s="103" t="s">
        <v>163</v>
      </c>
      <c r="G157" s="75" t="s">
        <v>147</v>
      </c>
      <c r="H157" s="90">
        <v>11.38</v>
      </c>
      <c r="I157" s="90">
        <v>21.9</v>
      </c>
      <c r="J157" s="76">
        <v>0.105</v>
      </c>
      <c r="K157" s="306">
        <v>7.43</v>
      </c>
      <c r="L157" s="78">
        <f t="shared" si="30"/>
        <v>27.699613305100286</v>
      </c>
      <c r="M157" s="58">
        <f>+VLOOKUP(F157,Material!$H$2:$M$17,6,FALSE)*H157*I157*(1+Material!$K$14)</f>
        <v>93.549148571315953</v>
      </c>
      <c r="N157" s="79" t="str">
        <f t="shared" si="26"/>
        <v>T5.0</v>
      </c>
      <c r="O157" s="80">
        <f>+VLOOKUP(N157,[3]Material!$A$3:$B$58,2,FALSE)</f>
        <v>5000</v>
      </c>
      <c r="P157" s="79" t="s">
        <v>42</v>
      </c>
      <c r="Q157" s="79" t="str">
        <f>+VLOOKUP(F157,[3]Material!$C$2:$E$12,2,FALSE)</f>
        <v>Cal 12</v>
      </c>
      <c r="R157" s="81">
        <f>+IF(P157="ACERO A36",VLOOKUP(Q157,'[3]Velocidades Std 1500 w'!$B$2:$F$15,5,FALSE),IF(P157="INOXIDABLE",VLOOKUP(Q157,'[3]Velocidades Std 1500 w'!$B$17:$F$28,5,FALSE),IF(P157="ALUMINIO",VLOOKUP(Q157,'[3]Velocidades Std 1500 w'!$B$30:$F$38,5,FALSE))))</f>
        <v>4.3859649122807014E-6</v>
      </c>
      <c r="S157" s="82">
        <f t="shared" si="31"/>
        <v>2.1929824561403508E-2</v>
      </c>
      <c r="T157" s="83">
        <f t="shared" si="32"/>
        <v>31.187055789473678</v>
      </c>
      <c r="U157" s="307">
        <f t="shared" si="33"/>
        <v>1975.1802</v>
      </c>
      <c r="V157" s="80">
        <f t="shared" si="34"/>
        <v>43.31535526315789</v>
      </c>
      <c r="W157" s="98">
        <v>5</v>
      </c>
      <c r="X157" s="84">
        <f>+IF(P157="ACERO A36",VLOOKUP(Q157,'[3]Tiempo Objeto'!$B$2:$C$12,2,FALSE),IF(P157="INOXIDABLE",VLOOKUP(Q157,'[3]Tiempo Objeto'!$B$14:$C$22,2,FALSE),IF(P157="ALUMINIO",VLOOKUP(Q157,'[3]Tiempo Objeto'!$B$24:$C$32,2,FALSE))))</f>
        <v>0.6133333333333334</v>
      </c>
      <c r="Y157" s="84">
        <f t="shared" si="35"/>
        <v>3.0666666666666669</v>
      </c>
      <c r="Z157" s="80">
        <f t="shared" si="36"/>
        <v>4.2592592592592595</v>
      </c>
      <c r="AA157" s="100">
        <v>1</v>
      </c>
      <c r="AB157" s="86">
        <f>+AA157*Analisis!$J$6</f>
        <v>25</v>
      </c>
      <c r="AC157" s="100">
        <v>0</v>
      </c>
      <c r="AD157" s="85">
        <f t="shared" si="37"/>
        <v>0</v>
      </c>
      <c r="AE157" s="86">
        <f>+AC157*Analisis!$J$7</f>
        <v>0</v>
      </c>
      <c r="AF157" s="308">
        <f>+H157*0.0254*I157*0.0254*2*(1+[3]Analisis!$G$2)</f>
        <v>0.4019701638</v>
      </c>
      <c r="AG157" s="86">
        <f>+AF157*Analisis!$J$8</f>
        <v>42.828963881071445</v>
      </c>
      <c r="AH157" s="309">
        <f t="shared" si="27"/>
        <v>208.95272697480453</v>
      </c>
      <c r="AI157" s="86">
        <f>+AH157/(1-Analisis!G162)</f>
        <v>208.95272697480453</v>
      </c>
      <c r="AJ157" s="86">
        <f t="shared" si="38"/>
        <v>224.68035158581134</v>
      </c>
      <c r="AK157" s="86">
        <f t="shared" si="28"/>
        <v>0</v>
      </c>
      <c r="AL157" s="310" t="e">
        <f>+VLOOKUP(B157,#REF!,2,FALSE)</f>
        <v>#REF!</v>
      </c>
      <c r="AM157" s="311" t="e">
        <f t="shared" si="25"/>
        <v>#REF!</v>
      </c>
      <c r="AN157" s="312" t="e">
        <f t="shared" si="24"/>
        <v>#REF!</v>
      </c>
    </row>
    <row r="158" spans="1:40" s="73" customFormat="1" x14ac:dyDescent="0.25">
      <c r="A158" s="303">
        <v>121</v>
      </c>
      <c r="B158" s="304" t="s">
        <v>978</v>
      </c>
      <c r="D158" s="74">
        <f>IFERROR(VLOOKUP(B158,'REQ. PINTADO'!B:C,2,0),0)</f>
        <v>0</v>
      </c>
      <c r="E158" s="305">
        <f t="shared" si="29"/>
        <v>304.21850118786011</v>
      </c>
      <c r="F158" s="103" t="s">
        <v>163</v>
      </c>
      <c r="G158" s="75" t="s">
        <v>147</v>
      </c>
      <c r="H158" s="90">
        <v>11.38</v>
      </c>
      <c r="I158" s="90">
        <v>31.9</v>
      </c>
      <c r="J158" s="76">
        <v>0.105</v>
      </c>
      <c r="K158" s="306">
        <v>10.8</v>
      </c>
      <c r="L158" s="78">
        <f t="shared" si="30"/>
        <v>27.757818563905609</v>
      </c>
      <c r="M158" s="58">
        <f>+VLOOKUP(F158,Material!$H$2:$M$17,6,FALSE)*H158*I158*(1+Material!$K$14)</f>
        <v>136.26565476826389</v>
      </c>
      <c r="N158" s="79" t="str">
        <f t="shared" si="26"/>
        <v>T5.0</v>
      </c>
      <c r="O158" s="80">
        <f>+VLOOKUP(N158,[3]Material!$A$3:$B$58,2,FALSE)</f>
        <v>5000</v>
      </c>
      <c r="P158" s="79" t="s">
        <v>42</v>
      </c>
      <c r="Q158" s="79" t="str">
        <f>+VLOOKUP(F158,[3]Material!$C$2:$E$12,2,FALSE)</f>
        <v>Cal 12</v>
      </c>
      <c r="R158" s="81">
        <f>+IF(P158="ACERO A36",VLOOKUP(Q158,'[3]Velocidades Std 1500 w'!$B$2:$F$15,5,FALSE),IF(P158="INOXIDABLE",VLOOKUP(Q158,'[3]Velocidades Std 1500 w'!$B$17:$F$28,5,FALSE),IF(P158="ALUMINIO",VLOOKUP(Q158,'[3]Velocidades Std 1500 w'!$B$30:$F$38,5,FALSE))))</f>
        <v>4.3859649122807014E-6</v>
      </c>
      <c r="S158" s="82">
        <f t="shared" si="31"/>
        <v>2.1929824561403508E-2</v>
      </c>
      <c r="T158" s="83">
        <f t="shared" si="32"/>
        <v>39.609161052631578</v>
      </c>
      <c r="U158" s="307">
        <f t="shared" si="33"/>
        <v>2508.5801999999999</v>
      </c>
      <c r="V158" s="80">
        <f t="shared" si="34"/>
        <v>55.012723684210521</v>
      </c>
      <c r="W158" s="98">
        <v>5</v>
      </c>
      <c r="X158" s="84">
        <f>+IF(P158="ACERO A36",VLOOKUP(Q158,'[3]Tiempo Objeto'!$B$2:$C$12,2,FALSE),IF(P158="INOXIDABLE",VLOOKUP(Q158,'[3]Tiempo Objeto'!$B$14:$C$22,2,FALSE),IF(P158="ALUMINIO",VLOOKUP(Q158,'[3]Tiempo Objeto'!$B$24:$C$32,2,FALSE))))</f>
        <v>0.6133333333333334</v>
      </c>
      <c r="Y158" s="84">
        <f t="shared" si="35"/>
        <v>3.0666666666666669</v>
      </c>
      <c r="Z158" s="80">
        <f t="shared" si="36"/>
        <v>4.2592592592592595</v>
      </c>
      <c r="AA158" s="100">
        <v>1</v>
      </c>
      <c r="AB158" s="86">
        <f>+AA158*Analisis!$J$6</f>
        <v>25</v>
      </c>
      <c r="AC158" s="100">
        <v>0</v>
      </c>
      <c r="AD158" s="85">
        <f t="shared" si="37"/>
        <v>0</v>
      </c>
      <c r="AE158" s="86">
        <f>+AC158*Analisis!$J$7</f>
        <v>0</v>
      </c>
      <c r="AF158" s="308">
        <f>+H158*0.0254*I158*0.0254*2*(1+[3]Analisis!$G$2)</f>
        <v>0.58551818379999998</v>
      </c>
      <c r="AG158" s="86">
        <f>+AF158*Analisis!$J$8</f>
        <v>62.385568392976204</v>
      </c>
      <c r="AH158" s="309">
        <f t="shared" si="27"/>
        <v>282.92320610470989</v>
      </c>
      <c r="AI158" s="86">
        <f>+AH158/(1-Analisis!G163)</f>
        <v>282.92320610470989</v>
      </c>
      <c r="AJ158" s="86">
        <f t="shared" si="38"/>
        <v>304.21850118786011</v>
      </c>
      <c r="AK158" s="86">
        <f t="shared" si="28"/>
        <v>0</v>
      </c>
      <c r="AL158" s="310" t="e">
        <f>+VLOOKUP(B158,#REF!,2,FALSE)</f>
        <v>#REF!</v>
      </c>
      <c r="AM158" s="311" t="e">
        <f t="shared" si="25"/>
        <v>#REF!</v>
      </c>
      <c r="AN158" s="312" t="e">
        <f t="shared" si="24"/>
        <v>#REF!</v>
      </c>
    </row>
    <row r="159" spans="1:40" s="73" customFormat="1" x14ac:dyDescent="0.25">
      <c r="A159" s="303">
        <v>122</v>
      </c>
      <c r="B159" s="304" t="s">
        <v>979</v>
      </c>
      <c r="D159" s="74">
        <f>IFERROR(VLOOKUP(B159,'REQ. PINTADO'!B:C,2,0),0)</f>
        <v>0</v>
      </c>
      <c r="E159" s="305">
        <f t="shared" si="29"/>
        <v>174.34824865855518</v>
      </c>
      <c r="F159" s="103" t="s">
        <v>163</v>
      </c>
      <c r="G159" s="75" t="s">
        <v>147</v>
      </c>
      <c r="H159" s="90">
        <v>6.14</v>
      </c>
      <c r="I159" s="90">
        <v>20.5</v>
      </c>
      <c r="J159" s="76">
        <v>0.105</v>
      </c>
      <c r="K159" s="306">
        <v>3.75</v>
      </c>
      <c r="L159" s="78">
        <f t="shared" si="30"/>
        <v>27.71833297486031</v>
      </c>
      <c r="M159" s="58">
        <f>+VLOOKUP(F159,Material!$H$2:$M$17,6,FALSE)*H159*I159*(1+Material!$K$14)</f>
        <v>47.24715847987553</v>
      </c>
      <c r="N159" s="79" t="str">
        <f t="shared" si="26"/>
        <v>T5.0</v>
      </c>
      <c r="O159" s="80">
        <f>+VLOOKUP(N159,[3]Material!$A$3:$B$58,2,FALSE)</f>
        <v>5000</v>
      </c>
      <c r="P159" s="79" t="s">
        <v>42</v>
      </c>
      <c r="Q159" s="79" t="str">
        <f>+VLOOKUP(F159,[3]Material!$C$2:$E$12,2,FALSE)</f>
        <v>Cal 12</v>
      </c>
      <c r="R159" s="81">
        <f>+IF(P159="ACERO A36",VLOOKUP(Q159,'[3]Velocidades Std 1500 w'!$B$2:$F$15,5,FALSE),IF(P159="INOXIDABLE",VLOOKUP(Q159,'[3]Velocidades Std 1500 w'!$B$17:$F$28,5,FALSE),IF(P159="ALUMINIO",VLOOKUP(Q159,'[3]Velocidades Std 1500 w'!$B$30:$F$38,5,FALSE))))</f>
        <v>4.3859649122807014E-6</v>
      </c>
      <c r="S159" s="82">
        <f t="shared" si="31"/>
        <v>2.1929824561403508E-2</v>
      </c>
      <c r="T159" s="83">
        <f t="shared" si="32"/>
        <v>26.858093684210527</v>
      </c>
      <c r="U159" s="307">
        <f t="shared" si="33"/>
        <v>1701.0126</v>
      </c>
      <c r="V159" s="80">
        <f t="shared" si="34"/>
        <v>37.30290789473684</v>
      </c>
      <c r="W159" s="98">
        <v>7</v>
      </c>
      <c r="X159" s="84">
        <f>+IF(P159="ACERO A36",VLOOKUP(Q159,'[3]Tiempo Objeto'!$B$2:$C$12,2,FALSE),IF(P159="INOXIDABLE",VLOOKUP(Q159,'[3]Tiempo Objeto'!$B$14:$C$22,2,FALSE),IF(P159="ALUMINIO",VLOOKUP(Q159,'[3]Tiempo Objeto'!$B$24:$C$32,2,FALSE))))</f>
        <v>0.6133333333333334</v>
      </c>
      <c r="Y159" s="84">
        <f t="shared" si="35"/>
        <v>4.2933333333333339</v>
      </c>
      <c r="Z159" s="80">
        <f t="shared" si="36"/>
        <v>5.9629629629629637</v>
      </c>
      <c r="AA159" s="100">
        <v>2</v>
      </c>
      <c r="AB159" s="86">
        <f>+AA159*Analisis!$J$6</f>
        <v>50</v>
      </c>
      <c r="AC159" s="100">
        <v>0</v>
      </c>
      <c r="AD159" s="85">
        <f t="shared" si="37"/>
        <v>0</v>
      </c>
      <c r="AE159" s="86">
        <f>+AC159*Analisis!$J$7</f>
        <v>0</v>
      </c>
      <c r="AF159" s="308">
        <f>+H159*0.0254*I159*0.0254*2*(1+[3]Analisis!$G$2)</f>
        <v>0.20301572299999998</v>
      </c>
      <c r="AG159" s="86">
        <f>+AF159*Analisis!$J$8</f>
        <v>21.630841914880957</v>
      </c>
      <c r="AH159" s="309">
        <f t="shared" si="27"/>
        <v>162.14387125245631</v>
      </c>
      <c r="AI159" s="86">
        <f>+AH159/(1-Analisis!G164)</f>
        <v>162.14387125245631</v>
      </c>
      <c r="AJ159" s="86">
        <f t="shared" si="38"/>
        <v>174.34824865855518</v>
      </c>
      <c r="AK159" s="86">
        <f t="shared" si="28"/>
        <v>0</v>
      </c>
      <c r="AL159" s="310" t="e">
        <f>+VLOOKUP(B159,#REF!,2,FALSE)</f>
        <v>#REF!</v>
      </c>
      <c r="AM159" s="311" t="e">
        <f t="shared" si="25"/>
        <v>#REF!</v>
      </c>
      <c r="AN159" s="312" t="e">
        <f t="shared" si="24"/>
        <v>#REF!</v>
      </c>
    </row>
    <row r="160" spans="1:40" s="73" customFormat="1" x14ac:dyDescent="0.25">
      <c r="A160" s="303">
        <v>123</v>
      </c>
      <c r="B160" s="304" t="s">
        <v>980</v>
      </c>
      <c r="D160" s="74">
        <f>IFERROR(VLOOKUP(B160,'REQ. PINTADO'!B:C,2,0),0)</f>
        <v>0</v>
      </c>
      <c r="E160" s="305">
        <f t="shared" si="29"/>
        <v>223.05404758743759</v>
      </c>
      <c r="F160" s="103" t="s">
        <v>163</v>
      </c>
      <c r="G160" s="75" t="s">
        <v>147</v>
      </c>
      <c r="H160" s="90">
        <v>6.14</v>
      </c>
      <c r="I160" s="90">
        <v>30.5</v>
      </c>
      <c r="J160" s="76">
        <v>0.105</v>
      </c>
      <c r="K160" s="306">
        <v>5.58</v>
      </c>
      <c r="L160" s="78">
        <f t="shared" si="30"/>
        <v>27.714698260334366</v>
      </c>
      <c r="M160" s="58">
        <f>+VLOOKUP(F160,Material!$H$2:$M$17,6,FALSE)*H160*I160*(1+Material!$K$14)</f>
        <v>70.294552860302616</v>
      </c>
      <c r="N160" s="79" t="str">
        <f t="shared" si="26"/>
        <v>T5.0</v>
      </c>
      <c r="O160" s="80">
        <f>+VLOOKUP(N160,[3]Material!$A$3:$B$58,2,FALSE)</f>
        <v>5000</v>
      </c>
      <c r="P160" s="79" t="s">
        <v>42</v>
      </c>
      <c r="Q160" s="79" t="str">
        <f>+VLOOKUP(F160,[3]Material!$C$2:$E$12,2,FALSE)</f>
        <v>Cal 12</v>
      </c>
      <c r="R160" s="81">
        <f>+IF(P160="ACERO A36",VLOOKUP(Q160,'[3]Velocidades Std 1500 w'!$B$2:$F$15,5,FALSE),IF(P160="INOXIDABLE",VLOOKUP(Q160,'[3]Velocidades Std 1500 w'!$B$17:$F$28,5,FALSE),IF(P160="ALUMINIO",VLOOKUP(Q160,'[3]Velocidades Std 1500 w'!$B$30:$F$38,5,FALSE))))</f>
        <v>4.3859649122807014E-6</v>
      </c>
      <c r="S160" s="82">
        <f t="shared" si="31"/>
        <v>2.1929824561403508E-2</v>
      </c>
      <c r="T160" s="83">
        <f t="shared" si="32"/>
        <v>35.280198947368419</v>
      </c>
      <c r="U160" s="307">
        <f t="shared" si="33"/>
        <v>2234.4125999999997</v>
      </c>
      <c r="V160" s="80">
        <f t="shared" si="34"/>
        <v>49.000276315789463</v>
      </c>
      <c r="W160" s="98">
        <v>7</v>
      </c>
      <c r="X160" s="84">
        <f>+IF(P160="ACERO A36",VLOOKUP(Q160,'[3]Tiempo Objeto'!$B$2:$C$12,2,FALSE),IF(P160="INOXIDABLE",VLOOKUP(Q160,'[3]Tiempo Objeto'!$B$14:$C$22,2,FALSE),IF(P160="ALUMINIO",VLOOKUP(Q160,'[3]Tiempo Objeto'!$B$24:$C$32,2,FALSE))))</f>
        <v>0.6133333333333334</v>
      </c>
      <c r="Y160" s="84">
        <f t="shared" si="35"/>
        <v>4.2933333333333339</v>
      </c>
      <c r="Z160" s="80">
        <f t="shared" si="36"/>
        <v>5.9629629629629637</v>
      </c>
      <c r="AA160" s="100">
        <v>2</v>
      </c>
      <c r="AB160" s="86">
        <f>+AA160*Analisis!$J$6</f>
        <v>50</v>
      </c>
      <c r="AC160" s="100">
        <v>0</v>
      </c>
      <c r="AD160" s="85">
        <f t="shared" si="37"/>
        <v>0</v>
      </c>
      <c r="AE160" s="86">
        <f>+AC160*Analisis!$J$7</f>
        <v>0</v>
      </c>
      <c r="AF160" s="308">
        <f>+H160*0.0254*I160*0.0254*2*(1+[3]Analisis!$G$2)</f>
        <v>0.30204778300000001</v>
      </c>
      <c r="AG160" s="86">
        <f>+AF160*Analisis!$J$8</f>
        <v>32.182472117261916</v>
      </c>
      <c r="AH160" s="309">
        <f t="shared" si="27"/>
        <v>207.44026425631694</v>
      </c>
      <c r="AI160" s="86">
        <f>+AH160/(1-Analisis!G165)</f>
        <v>207.44026425631694</v>
      </c>
      <c r="AJ160" s="86">
        <f t="shared" si="38"/>
        <v>223.05404758743759</v>
      </c>
      <c r="AK160" s="86">
        <f t="shared" si="28"/>
        <v>0</v>
      </c>
      <c r="AL160" s="310" t="e">
        <f>+VLOOKUP(B160,#REF!,2,FALSE)</f>
        <v>#REF!</v>
      </c>
      <c r="AM160" s="311" t="e">
        <f t="shared" si="25"/>
        <v>#REF!</v>
      </c>
      <c r="AN160" s="312" t="e">
        <f t="shared" si="24"/>
        <v>#REF!</v>
      </c>
    </row>
    <row r="161" spans="1:40" s="73" customFormat="1" x14ac:dyDescent="0.25">
      <c r="A161" s="303">
        <v>124</v>
      </c>
      <c r="B161" s="304" t="s">
        <v>981</v>
      </c>
      <c r="D161" s="74">
        <f>IFERROR(VLOOKUP(B161,'REQ. PINTADO'!B:C,2,0),0)</f>
        <v>0</v>
      </c>
      <c r="E161" s="305">
        <f t="shared" si="29"/>
        <v>244.94454623272046</v>
      </c>
      <c r="F161" s="103" t="s">
        <v>163</v>
      </c>
      <c r="G161" s="75" t="s">
        <v>147</v>
      </c>
      <c r="H161" s="90">
        <v>11.44</v>
      </c>
      <c r="I161" s="90">
        <v>20.5</v>
      </c>
      <c r="J161" s="76">
        <v>0.105</v>
      </c>
      <c r="K161" s="306">
        <v>6.99</v>
      </c>
      <c r="L161" s="78">
        <f t="shared" si="30"/>
        <v>27.706320444318013</v>
      </c>
      <c r="M161" s="58">
        <f>+VLOOKUP(F161,Material!$H$2:$M$17,6,FALSE)*H161*I161*(1+Material!$K$14)</f>
        <v>88.030536320810413</v>
      </c>
      <c r="N161" s="79" t="str">
        <f t="shared" si="26"/>
        <v>T5.0</v>
      </c>
      <c r="O161" s="80">
        <f>+VLOOKUP(N161,[3]Material!$A$3:$B$58,2,FALSE)</f>
        <v>5000</v>
      </c>
      <c r="P161" s="79" t="s">
        <v>42</v>
      </c>
      <c r="Q161" s="79" t="str">
        <f>+VLOOKUP(F161,[3]Material!$C$2:$E$12,2,FALSE)</f>
        <v>Cal 12</v>
      </c>
      <c r="R161" s="81">
        <f>+IF(P161="ACERO A36",VLOOKUP(Q161,'[3]Velocidades Std 1500 w'!$B$2:$F$15,5,FALSE),IF(P161="INOXIDABLE",VLOOKUP(Q161,'[3]Velocidades Std 1500 w'!$B$17:$F$28,5,FALSE),IF(P161="ALUMINIO",VLOOKUP(Q161,'[3]Velocidades Std 1500 w'!$B$30:$F$38,5,FALSE))))</f>
        <v>4.3859649122807014E-6</v>
      </c>
      <c r="S161" s="82">
        <f t="shared" si="31"/>
        <v>2.1929824561403508E-2</v>
      </c>
      <c r="T161" s="83">
        <f t="shared" si="32"/>
        <v>31.321809473684205</v>
      </c>
      <c r="U161" s="307">
        <f t="shared" si="33"/>
        <v>1983.7145999999998</v>
      </c>
      <c r="V161" s="80">
        <f t="shared" si="34"/>
        <v>43.502513157894732</v>
      </c>
      <c r="W161" s="98">
        <v>7</v>
      </c>
      <c r="X161" s="84">
        <f>+IF(P161="ACERO A36",VLOOKUP(Q161,'[3]Tiempo Objeto'!$B$2:$C$12,2,FALSE),IF(P161="INOXIDABLE",VLOOKUP(Q161,'[3]Tiempo Objeto'!$B$14:$C$22,2,FALSE),IF(P161="ALUMINIO",VLOOKUP(Q161,'[3]Tiempo Objeto'!$B$24:$C$32,2,FALSE))))</f>
        <v>0.6133333333333334</v>
      </c>
      <c r="Y161" s="84">
        <f t="shared" si="35"/>
        <v>4.2933333333333339</v>
      </c>
      <c r="Z161" s="80">
        <f t="shared" si="36"/>
        <v>5.9629629629629637</v>
      </c>
      <c r="AA161" s="100">
        <v>2</v>
      </c>
      <c r="AB161" s="86">
        <f>+AA161*Analisis!$J$6</f>
        <v>50</v>
      </c>
      <c r="AC161" s="100">
        <v>0</v>
      </c>
      <c r="AD161" s="85">
        <f t="shared" si="37"/>
        <v>0</v>
      </c>
      <c r="AE161" s="86">
        <f>+AC161*Analisis!$J$7</f>
        <v>0</v>
      </c>
      <c r="AF161" s="308">
        <f>+H161*0.0254*I161*0.0254*2*(1+[3]Analisis!$G$2)</f>
        <v>0.37825730800000001</v>
      </c>
      <c r="AG161" s="86">
        <f>+AF161*Analisis!$J$8</f>
        <v>40.302415554761922</v>
      </c>
      <c r="AH161" s="309">
        <f t="shared" si="27"/>
        <v>227.79842799643001</v>
      </c>
      <c r="AI161" s="86">
        <f>+AH161/(1-Analisis!G166)</f>
        <v>227.79842799643001</v>
      </c>
      <c r="AJ161" s="86">
        <f t="shared" si="38"/>
        <v>244.94454623272046</v>
      </c>
      <c r="AK161" s="86">
        <f t="shared" si="28"/>
        <v>0</v>
      </c>
      <c r="AL161" s="310" t="e">
        <f>+VLOOKUP(B161,#REF!,2,FALSE)</f>
        <v>#REF!</v>
      </c>
      <c r="AM161" s="311" t="e">
        <f t="shared" si="25"/>
        <v>#REF!</v>
      </c>
      <c r="AN161" s="312" t="e">
        <f t="shared" si="24"/>
        <v>#REF!</v>
      </c>
    </row>
    <row r="162" spans="1:40" s="73" customFormat="1" x14ac:dyDescent="0.25">
      <c r="A162" s="303">
        <v>125</v>
      </c>
      <c r="B162" s="304" t="s">
        <v>982</v>
      </c>
      <c r="D162" s="74">
        <f>IFERROR(VLOOKUP(B162,'REQ. PINTADO'!B:C,2,0),0)</f>
        <v>0</v>
      </c>
      <c r="E162" s="305">
        <f t="shared" si="29"/>
        <v>324.83573801804971</v>
      </c>
      <c r="F162" s="103" t="s">
        <v>163</v>
      </c>
      <c r="G162" s="75" t="s">
        <v>147</v>
      </c>
      <c r="H162" s="90">
        <v>11.44</v>
      </c>
      <c r="I162" s="90">
        <v>30.5</v>
      </c>
      <c r="J162" s="76">
        <v>0.105</v>
      </c>
      <c r="K162" s="306">
        <v>10.41</v>
      </c>
      <c r="L162" s="78">
        <f t="shared" si="30"/>
        <v>27.67905619421466</v>
      </c>
      <c r="M162" s="58">
        <f>+VLOOKUP(F162,Material!$H$2:$M$17,6,FALSE)*H162*I162*(1+Material!$K$14)</f>
        <v>130.97226135535209</v>
      </c>
      <c r="N162" s="79" t="str">
        <f t="shared" si="26"/>
        <v>T5.0</v>
      </c>
      <c r="O162" s="80">
        <f>+VLOOKUP(N162,[3]Material!$A$3:$B$58,2,FALSE)</f>
        <v>5000</v>
      </c>
      <c r="P162" s="79" t="s">
        <v>42</v>
      </c>
      <c r="Q162" s="79" t="str">
        <f>+VLOOKUP(F162,[3]Material!$C$2:$E$12,2,FALSE)</f>
        <v>Cal 12</v>
      </c>
      <c r="R162" s="81">
        <f>+IF(P162="ACERO A36",VLOOKUP(Q162,'[3]Velocidades Std 1500 w'!$B$2:$F$15,5,FALSE),IF(P162="INOXIDABLE",VLOOKUP(Q162,'[3]Velocidades Std 1500 w'!$B$17:$F$28,5,FALSE),IF(P162="ALUMINIO",VLOOKUP(Q162,'[3]Velocidades Std 1500 w'!$B$30:$F$38,5,FALSE))))</f>
        <v>4.3859649122807014E-6</v>
      </c>
      <c r="S162" s="82">
        <f t="shared" si="31"/>
        <v>2.1929824561403508E-2</v>
      </c>
      <c r="T162" s="83">
        <f t="shared" si="32"/>
        <v>39.7439147368421</v>
      </c>
      <c r="U162" s="307">
        <f t="shared" si="33"/>
        <v>2517.1145999999999</v>
      </c>
      <c r="V162" s="80">
        <f t="shared" si="34"/>
        <v>55.199881578947362</v>
      </c>
      <c r="W162" s="98">
        <v>7</v>
      </c>
      <c r="X162" s="84">
        <f>+IF(P162="ACERO A36",VLOOKUP(Q162,'[3]Tiempo Objeto'!$B$2:$C$12,2,FALSE),IF(P162="INOXIDABLE",VLOOKUP(Q162,'[3]Tiempo Objeto'!$B$14:$C$22,2,FALSE),IF(P162="ALUMINIO",VLOOKUP(Q162,'[3]Tiempo Objeto'!$B$24:$C$32,2,FALSE))))</f>
        <v>0.6133333333333334</v>
      </c>
      <c r="Y162" s="84">
        <f t="shared" si="35"/>
        <v>4.2933333333333339</v>
      </c>
      <c r="Z162" s="80">
        <f t="shared" si="36"/>
        <v>5.9629629629629637</v>
      </c>
      <c r="AA162" s="100">
        <v>2</v>
      </c>
      <c r="AB162" s="86">
        <f>+AA162*Analisis!$J$6</f>
        <v>50</v>
      </c>
      <c r="AC162" s="100">
        <v>0</v>
      </c>
      <c r="AD162" s="85">
        <f t="shared" si="37"/>
        <v>0</v>
      </c>
      <c r="AE162" s="86">
        <f>+AC162*Analisis!$J$7</f>
        <v>0</v>
      </c>
      <c r="AF162" s="308">
        <f>+H162*0.0254*I162*0.0254*2*(1+[3]Analisis!$G$2)</f>
        <v>0.56277306799999993</v>
      </c>
      <c r="AG162" s="86">
        <f>+AF162*Analisis!$J$8</f>
        <v>59.96213045952382</v>
      </c>
      <c r="AH162" s="309">
        <f t="shared" si="27"/>
        <v>302.0972363567862</v>
      </c>
      <c r="AI162" s="86">
        <f>+AH162/(1-Analisis!G167)</f>
        <v>302.0972363567862</v>
      </c>
      <c r="AJ162" s="86">
        <f t="shared" si="38"/>
        <v>324.83573801804971</v>
      </c>
      <c r="AK162" s="86">
        <f t="shared" si="28"/>
        <v>0</v>
      </c>
      <c r="AL162" s="310" t="e">
        <f>+VLOOKUP(B162,#REF!,2,FALSE)</f>
        <v>#REF!</v>
      </c>
      <c r="AM162" s="311" t="e">
        <f t="shared" si="25"/>
        <v>#REF!</v>
      </c>
      <c r="AN162" s="312" t="e">
        <f t="shared" si="24"/>
        <v>#REF!</v>
      </c>
    </row>
    <row r="163" spans="1:40" s="73" customFormat="1" x14ac:dyDescent="0.25">
      <c r="A163" s="303">
        <v>126</v>
      </c>
      <c r="B163" s="304" t="s">
        <v>983</v>
      </c>
      <c r="D163" s="74">
        <f>IFERROR(VLOOKUP(B163,'REQ. PINTADO'!B:C,2,0),0)</f>
        <v>0</v>
      </c>
      <c r="E163" s="305">
        <f t="shared" si="29"/>
        <v>2113.3052081216802</v>
      </c>
      <c r="F163" s="103" t="s">
        <v>163</v>
      </c>
      <c r="G163" s="75" t="s">
        <v>147</v>
      </c>
      <c r="H163" s="90">
        <v>29.34</v>
      </c>
      <c r="I163" s="90">
        <v>108</v>
      </c>
      <c r="J163" s="76">
        <v>0.105</v>
      </c>
      <c r="K163" s="306">
        <v>95</v>
      </c>
      <c r="L163" s="78">
        <f t="shared" si="30"/>
        <v>27.544595739160506</v>
      </c>
      <c r="M163" s="58">
        <f>+VLOOKUP(F163,Material!$H$2:$M$17,6,FALSE)*H163*I163*(1+Material!$K$14)</f>
        <v>1189.4257251001127</v>
      </c>
      <c r="N163" s="79" t="str">
        <f t="shared" si="26"/>
        <v>T5.0</v>
      </c>
      <c r="O163" s="80">
        <f>+VLOOKUP(N163,[3]Material!$A$3:$B$58,2,FALSE)</f>
        <v>5000</v>
      </c>
      <c r="P163" s="79" t="s">
        <v>42</v>
      </c>
      <c r="Q163" s="79" t="str">
        <f>+VLOOKUP(F163,[3]Material!$C$2:$E$12,2,FALSE)</f>
        <v>Cal 12</v>
      </c>
      <c r="R163" s="81">
        <f>+IF(P163="ACERO A36",VLOOKUP(Q163,'[3]Velocidades Std 1500 w'!$B$2:$F$15,5,FALSE),IF(P163="INOXIDABLE",VLOOKUP(Q163,'[3]Velocidades Std 1500 w'!$B$17:$F$28,5,FALSE),IF(P163="ALUMINIO",VLOOKUP(Q163,'[3]Velocidades Std 1500 w'!$B$30:$F$38,5,FALSE))))</f>
        <v>4.3859649122807014E-6</v>
      </c>
      <c r="S163" s="82">
        <f t="shared" si="31"/>
        <v>2.1929824561403508E-2</v>
      </c>
      <c r="T163" s="83">
        <f t="shared" si="32"/>
        <v>123.24908842105263</v>
      </c>
      <c r="U163" s="307">
        <f t="shared" si="33"/>
        <v>7805.7756000000008</v>
      </c>
      <c r="V163" s="80">
        <f t="shared" si="34"/>
        <v>171.17928947368421</v>
      </c>
      <c r="W163" s="98">
        <v>12</v>
      </c>
      <c r="X163" s="84">
        <f>+IF(P163="ACERO A36",VLOOKUP(Q163,'[3]Tiempo Objeto'!$B$2:$C$12,2,FALSE),IF(P163="INOXIDABLE",VLOOKUP(Q163,'[3]Tiempo Objeto'!$B$14:$C$22,2,FALSE),IF(P163="ALUMINIO",VLOOKUP(Q163,'[3]Tiempo Objeto'!$B$24:$C$32,2,FALSE))))</f>
        <v>0.6133333333333334</v>
      </c>
      <c r="Y163" s="84">
        <f t="shared" si="35"/>
        <v>7.3600000000000012</v>
      </c>
      <c r="Z163" s="80">
        <f t="shared" si="36"/>
        <v>10.222222222222225</v>
      </c>
      <c r="AA163" s="100">
        <v>2</v>
      </c>
      <c r="AB163" s="86">
        <f>+AA163*Analisis!$J$6</f>
        <v>50</v>
      </c>
      <c r="AC163" s="100">
        <v>0</v>
      </c>
      <c r="AD163" s="85">
        <f t="shared" si="37"/>
        <v>0</v>
      </c>
      <c r="AE163" s="86">
        <f>+AC163*Analisis!$J$7</f>
        <v>0</v>
      </c>
      <c r="AF163" s="308">
        <f>+H163*0.0254*I163*0.0254*2*(1+[3]Analisis!$G$2)</f>
        <v>5.1108284880000001</v>
      </c>
      <c r="AG163" s="86">
        <f>+AF163*Analisis!$J$8</f>
        <v>544.54660675714308</v>
      </c>
      <c r="AH163" s="309">
        <f t="shared" si="27"/>
        <v>1965.3738435531623</v>
      </c>
      <c r="AI163" s="86">
        <f>+AH163/(1-Analisis!G168)</f>
        <v>1965.3738435531623</v>
      </c>
      <c r="AJ163" s="86">
        <f t="shared" si="38"/>
        <v>2113.3052081216802</v>
      </c>
      <c r="AK163" s="86">
        <f t="shared" si="28"/>
        <v>0</v>
      </c>
      <c r="AL163" s="310" t="e">
        <f>+VLOOKUP(B163,#REF!,2,FALSE)</f>
        <v>#REF!</v>
      </c>
      <c r="AM163" s="311" t="e">
        <f t="shared" si="25"/>
        <v>#REF!</v>
      </c>
      <c r="AN163" s="312" t="e">
        <f t="shared" si="24"/>
        <v>#REF!</v>
      </c>
    </row>
    <row r="164" spans="1:40" s="73" customFormat="1" x14ac:dyDescent="0.25">
      <c r="A164" s="303">
        <v>127</v>
      </c>
      <c r="B164" s="304" t="s">
        <v>984</v>
      </c>
      <c r="D164" s="74">
        <f>IFERROR(VLOOKUP(B164,'REQ. PINTADO'!B:C,2,0),0)</f>
        <v>0</v>
      </c>
      <c r="E164" s="305">
        <f t="shared" si="29"/>
        <v>3381.5758094856551</v>
      </c>
      <c r="F164" s="103" t="s">
        <v>163</v>
      </c>
      <c r="G164" s="75" t="s">
        <v>147</v>
      </c>
      <c r="H164" s="90">
        <v>48</v>
      </c>
      <c r="I164" s="90">
        <v>110</v>
      </c>
      <c r="J164" s="76">
        <v>0.105</v>
      </c>
      <c r="K164" s="306">
        <v>155</v>
      </c>
      <c r="L164" s="78">
        <f t="shared" si="30"/>
        <v>28.130559327838718</v>
      </c>
      <c r="M164" s="58">
        <f>+VLOOKUP(F164,Material!$H$2:$M$17,6,FALSE)*H164*I164*(1+Material!$K$14)</f>
        <v>1981.9257708250007</v>
      </c>
      <c r="N164" s="79" t="str">
        <f t="shared" si="26"/>
        <v>T5.0</v>
      </c>
      <c r="O164" s="80">
        <f>+VLOOKUP(N164,[3]Material!$A$3:$B$58,2,FALSE)</f>
        <v>5000</v>
      </c>
      <c r="P164" s="79" t="s">
        <v>42</v>
      </c>
      <c r="Q164" s="79" t="str">
        <f>+VLOOKUP(F164,[3]Material!$C$2:$E$12,2,FALSE)</f>
        <v>Cal 12</v>
      </c>
      <c r="R164" s="81">
        <f>+IF(P164="ACERO A36",VLOOKUP(Q164,'[3]Velocidades Std 1500 w'!$B$2:$F$15,5,FALSE),IF(P164="INOXIDABLE",VLOOKUP(Q164,'[3]Velocidades Std 1500 w'!$B$17:$F$28,5,FALSE),IF(P164="ALUMINIO",VLOOKUP(Q164,'[3]Velocidades Std 1500 w'!$B$30:$F$38,5,FALSE))))</f>
        <v>4.3859649122807014E-6</v>
      </c>
      <c r="S164" s="82">
        <f t="shared" si="31"/>
        <v>2.1929824561403508E-2</v>
      </c>
      <c r="T164" s="83">
        <f t="shared" si="32"/>
        <v>140.64915789473685</v>
      </c>
      <c r="U164" s="307">
        <f t="shared" si="33"/>
        <v>8907.7800000000007</v>
      </c>
      <c r="V164" s="80">
        <f t="shared" si="34"/>
        <v>195.34605263157894</v>
      </c>
      <c r="W164" s="98">
        <v>12</v>
      </c>
      <c r="X164" s="84">
        <f>+IF(P164="ACERO A36",VLOOKUP(Q164,'[3]Tiempo Objeto'!$B$2:$C$12,2,FALSE),IF(P164="INOXIDABLE",VLOOKUP(Q164,'[3]Tiempo Objeto'!$B$14:$C$22,2,FALSE),IF(P164="ALUMINIO",VLOOKUP(Q164,'[3]Tiempo Objeto'!$B$24:$C$32,2,FALSE))))</f>
        <v>0.6133333333333334</v>
      </c>
      <c r="Y164" s="84">
        <f t="shared" si="35"/>
        <v>7.3600000000000012</v>
      </c>
      <c r="Z164" s="80">
        <f t="shared" si="36"/>
        <v>10.222222222222225</v>
      </c>
      <c r="AA164" s="100">
        <v>2</v>
      </c>
      <c r="AB164" s="86">
        <f>+AA164*Analisis!$J$6</f>
        <v>50</v>
      </c>
      <c r="AC164" s="100">
        <v>0</v>
      </c>
      <c r="AD164" s="85">
        <f t="shared" si="37"/>
        <v>0</v>
      </c>
      <c r="AE164" s="86">
        <f>+AC164*Analisis!$J$7</f>
        <v>0</v>
      </c>
      <c r="AF164" s="308">
        <f>+H164*0.0254*I164*0.0254*2*(1+[3]Analisis!$G$2)</f>
        <v>8.5161119999999997</v>
      </c>
      <c r="AG164" s="86">
        <f>+AF164*Analisis!$J$8</f>
        <v>907.37145714285737</v>
      </c>
      <c r="AH164" s="309">
        <f t="shared" si="27"/>
        <v>3144.865502821659</v>
      </c>
      <c r="AI164" s="86">
        <f>+AH164/(1-Analisis!G169)</f>
        <v>3144.865502821659</v>
      </c>
      <c r="AJ164" s="86">
        <f t="shared" si="38"/>
        <v>3381.5758094856551</v>
      </c>
      <c r="AK164" s="86">
        <f t="shared" si="28"/>
        <v>0</v>
      </c>
      <c r="AL164" s="310" t="e">
        <f>+VLOOKUP(B164,#REF!,2,FALSE)</f>
        <v>#REF!</v>
      </c>
      <c r="AM164" s="311" t="e">
        <f t="shared" si="25"/>
        <v>#REF!</v>
      </c>
      <c r="AN164" s="312" t="e">
        <f t="shared" si="24"/>
        <v>#REF!</v>
      </c>
    </row>
    <row r="165" spans="1:40" s="73" customFormat="1" x14ac:dyDescent="0.25">
      <c r="A165" s="303">
        <v>128</v>
      </c>
      <c r="B165" s="304" t="s">
        <v>985</v>
      </c>
      <c r="D165" s="74">
        <f>IFERROR(VLOOKUP(B165,'REQ. PINTADO'!B:C,2,0),0)</f>
        <v>0</v>
      </c>
      <c r="E165" s="305">
        <f t="shared" si="29"/>
        <v>2156.0767553188366</v>
      </c>
      <c r="F165" s="103" t="s">
        <v>163</v>
      </c>
      <c r="G165" s="75" t="s">
        <v>147</v>
      </c>
      <c r="H165" s="90">
        <v>30</v>
      </c>
      <c r="I165" s="90">
        <v>108</v>
      </c>
      <c r="J165" s="76">
        <v>0.105</v>
      </c>
      <c r="K165" s="306">
        <v>95</v>
      </c>
      <c r="L165" s="78">
        <f t="shared" si="30"/>
        <v>28.164208322250015</v>
      </c>
      <c r="M165" s="58">
        <f>+VLOOKUP(F165,Material!$H$2:$M$17,6,FALSE)*H165*I165*(1+Material!$K$14)</f>
        <v>1216.1817230062504</v>
      </c>
      <c r="N165" s="79" t="str">
        <f t="shared" si="26"/>
        <v>T5.0</v>
      </c>
      <c r="O165" s="80">
        <f>+VLOOKUP(N165,[3]Material!$A$3:$B$58,2,FALSE)</f>
        <v>5000</v>
      </c>
      <c r="P165" s="79" t="s">
        <v>42</v>
      </c>
      <c r="Q165" s="79" t="str">
        <f>+VLOOKUP(F165,[3]Material!$C$2:$E$12,2,FALSE)</f>
        <v>Cal 12</v>
      </c>
      <c r="R165" s="81">
        <f>+IF(P165="ACERO A36",VLOOKUP(Q165,'[3]Velocidades Std 1500 w'!$B$2:$F$15,5,FALSE),IF(P165="INOXIDABLE",VLOOKUP(Q165,'[3]Velocidades Std 1500 w'!$B$17:$F$28,5,FALSE),IF(P165="ALUMINIO",VLOOKUP(Q165,'[3]Velocidades Std 1500 w'!$B$30:$F$38,5,FALSE))))</f>
        <v>4.3859649122807014E-6</v>
      </c>
      <c r="S165" s="82">
        <f t="shared" si="31"/>
        <v>2.1929824561403508E-2</v>
      </c>
      <c r="T165" s="83">
        <f t="shared" si="32"/>
        <v>123.80494736842103</v>
      </c>
      <c r="U165" s="307">
        <f t="shared" si="33"/>
        <v>7840.98</v>
      </c>
      <c r="V165" s="80">
        <f t="shared" si="34"/>
        <v>171.95131578947365</v>
      </c>
      <c r="W165" s="98">
        <v>12</v>
      </c>
      <c r="X165" s="84">
        <f>+IF(P165="ACERO A36",VLOOKUP(Q165,'[3]Tiempo Objeto'!$B$2:$C$12,2,FALSE),IF(P165="INOXIDABLE",VLOOKUP(Q165,'[3]Tiempo Objeto'!$B$14:$C$22,2,FALSE),IF(P165="ALUMINIO",VLOOKUP(Q165,'[3]Tiempo Objeto'!$B$24:$C$32,2,FALSE))))</f>
        <v>0.6133333333333334</v>
      </c>
      <c r="Y165" s="84">
        <f t="shared" si="35"/>
        <v>7.3600000000000012</v>
      </c>
      <c r="Z165" s="80">
        <f t="shared" si="36"/>
        <v>10.222222222222225</v>
      </c>
      <c r="AA165" s="100">
        <v>2</v>
      </c>
      <c r="AB165" s="86">
        <f>+AA165*Analisis!$J$6</f>
        <v>50</v>
      </c>
      <c r="AC165" s="100">
        <v>0</v>
      </c>
      <c r="AD165" s="85">
        <f t="shared" si="37"/>
        <v>0</v>
      </c>
      <c r="AE165" s="86">
        <f>+AC165*Analisis!$J$7</f>
        <v>0</v>
      </c>
      <c r="AF165" s="308">
        <f>+H165*0.0254*I165*0.0254*2*(1+[3]Analisis!$G$2)</f>
        <v>5.2257960000000008</v>
      </c>
      <c r="AG165" s="86">
        <f>+AF165*Analisis!$J$8</f>
        <v>556.79612142857172</v>
      </c>
      <c r="AH165" s="309">
        <f t="shared" si="27"/>
        <v>2005.151382446518</v>
      </c>
      <c r="AI165" s="86">
        <f>+AH165/(1-Analisis!G170)</f>
        <v>2005.151382446518</v>
      </c>
      <c r="AJ165" s="86">
        <f t="shared" si="38"/>
        <v>2156.0767553188366</v>
      </c>
      <c r="AK165" s="86">
        <f t="shared" si="28"/>
        <v>0</v>
      </c>
      <c r="AL165" s="310" t="e">
        <f>+VLOOKUP(B165,#REF!,2,FALSE)</f>
        <v>#REF!</v>
      </c>
      <c r="AM165" s="311" t="e">
        <f t="shared" si="25"/>
        <v>#REF!</v>
      </c>
      <c r="AN165" s="312" t="e">
        <f t="shared" si="24"/>
        <v>#REF!</v>
      </c>
    </row>
    <row r="166" spans="1:40" s="73" customFormat="1" x14ac:dyDescent="0.25">
      <c r="A166" s="303">
        <v>129</v>
      </c>
      <c r="B166" s="304" t="s">
        <v>986</v>
      </c>
      <c r="D166" s="74">
        <f>IFERROR(VLOOKUP(B166,'REQ. PINTADO'!B:C,2,0),0)</f>
        <v>0</v>
      </c>
      <c r="E166" s="305">
        <f t="shared" si="29"/>
        <v>3257.7681225183223</v>
      </c>
      <c r="F166" s="103" t="s">
        <v>163</v>
      </c>
      <c r="G166" s="75" t="s">
        <v>147</v>
      </c>
      <c r="H166" s="90">
        <v>47</v>
      </c>
      <c r="I166" s="90">
        <v>108</v>
      </c>
      <c r="J166" s="76">
        <v>0.105</v>
      </c>
      <c r="K166" s="306">
        <v>95</v>
      </c>
      <c r="L166" s="78">
        <f t="shared" si="30"/>
        <v>44.123926371525016</v>
      </c>
      <c r="M166" s="58">
        <f>+VLOOKUP(F166,Material!$H$2:$M$17,6,FALSE)*H166*I166*(1+Material!$K$14)</f>
        <v>1905.3513660431254</v>
      </c>
      <c r="N166" s="79" t="str">
        <f t="shared" si="26"/>
        <v>T5.0</v>
      </c>
      <c r="O166" s="80">
        <f>+VLOOKUP(N166,[3]Material!$A$3:$B$58,2,FALSE)</f>
        <v>5000</v>
      </c>
      <c r="P166" s="79" t="s">
        <v>42</v>
      </c>
      <c r="Q166" s="79" t="str">
        <f>+VLOOKUP(F166,[3]Material!$C$2:$E$12,2,FALSE)</f>
        <v>Cal 12</v>
      </c>
      <c r="R166" s="81">
        <f>+IF(P166="ACERO A36",VLOOKUP(Q166,'[3]Velocidades Std 1500 w'!$B$2:$F$15,5,FALSE),IF(P166="INOXIDABLE",VLOOKUP(Q166,'[3]Velocidades Std 1500 w'!$B$17:$F$28,5,FALSE),IF(P166="ALUMINIO",VLOOKUP(Q166,'[3]Velocidades Std 1500 w'!$B$30:$F$38,5,FALSE))))</f>
        <v>4.3859649122807014E-6</v>
      </c>
      <c r="S166" s="82">
        <f t="shared" si="31"/>
        <v>2.1929824561403508E-2</v>
      </c>
      <c r="T166" s="83">
        <f t="shared" si="32"/>
        <v>138.12252631578943</v>
      </c>
      <c r="U166" s="307">
        <f t="shared" si="33"/>
        <v>8747.7599999999984</v>
      </c>
      <c r="V166" s="80">
        <f t="shared" si="34"/>
        <v>191.83684210526312</v>
      </c>
      <c r="W166" s="98">
        <v>12</v>
      </c>
      <c r="X166" s="84">
        <f>+IF(P166="ACERO A36",VLOOKUP(Q166,'[3]Tiempo Objeto'!$B$2:$C$12,2,FALSE),IF(P166="INOXIDABLE",VLOOKUP(Q166,'[3]Tiempo Objeto'!$B$14:$C$22,2,FALSE),IF(P166="ALUMINIO",VLOOKUP(Q166,'[3]Tiempo Objeto'!$B$24:$C$32,2,FALSE))))</f>
        <v>0.6133333333333334</v>
      </c>
      <c r="Y166" s="84">
        <f t="shared" si="35"/>
        <v>7.3600000000000012</v>
      </c>
      <c r="Z166" s="80">
        <f t="shared" si="36"/>
        <v>10.222222222222225</v>
      </c>
      <c r="AA166" s="100">
        <v>2</v>
      </c>
      <c r="AB166" s="86">
        <f>+AA166*Analisis!$J$6</f>
        <v>50</v>
      </c>
      <c r="AC166" s="100">
        <v>0</v>
      </c>
      <c r="AD166" s="85">
        <f t="shared" si="37"/>
        <v>0</v>
      </c>
      <c r="AE166" s="86">
        <f>+AC166*Analisis!$J$7</f>
        <v>0</v>
      </c>
      <c r="AF166" s="308">
        <f>+H166*0.0254*I166*0.0254*2*(1+[3]Analisis!$G$2)</f>
        <v>8.1870803999999993</v>
      </c>
      <c r="AG166" s="86">
        <f>+AF166*Analisis!$J$8</f>
        <v>872.31392357142875</v>
      </c>
      <c r="AH166" s="309">
        <f t="shared" si="27"/>
        <v>3029.7243539420397</v>
      </c>
      <c r="AI166" s="86">
        <f>+AH166/(1-Analisis!G171)</f>
        <v>3029.7243539420397</v>
      </c>
      <c r="AJ166" s="86">
        <f t="shared" si="38"/>
        <v>3257.7681225183223</v>
      </c>
      <c r="AK166" s="86">
        <f t="shared" si="28"/>
        <v>0</v>
      </c>
      <c r="AL166" s="310" t="e">
        <f>+VLOOKUP(B166,#REF!,2,FALSE)</f>
        <v>#REF!</v>
      </c>
      <c r="AM166" s="311" t="e">
        <f t="shared" si="25"/>
        <v>#REF!</v>
      </c>
      <c r="AN166" s="312" t="e">
        <f t="shared" si="24"/>
        <v>#REF!</v>
      </c>
    </row>
    <row r="167" spans="1:40" s="73" customFormat="1" x14ac:dyDescent="0.25">
      <c r="A167" s="303">
        <v>130</v>
      </c>
      <c r="B167" s="304" t="s">
        <v>987</v>
      </c>
      <c r="D167" s="74">
        <f>IFERROR(VLOOKUP(B167,'REQ. PINTADO'!B:C,2,0),0)</f>
        <v>0</v>
      </c>
      <c r="E167" s="305">
        <f t="shared" si="29"/>
        <v>62.167796503214277</v>
      </c>
      <c r="F167" s="103" t="s">
        <v>163</v>
      </c>
      <c r="G167" s="75" t="s">
        <v>147</v>
      </c>
      <c r="H167" s="90">
        <v>5</v>
      </c>
      <c r="I167" s="90">
        <v>2.92</v>
      </c>
      <c r="J167" s="76">
        <v>0.105</v>
      </c>
      <c r="K167" s="306">
        <v>0.44</v>
      </c>
      <c r="L167" s="78">
        <f t="shared" si="30"/>
        <v>27.401625240572919</v>
      </c>
      <c r="M167" s="58">
        <f>+VLOOKUP(F167,Material!$H$2:$M$17,6,FALSE)*H167*I167*(1+Material!$K$14)</f>
        <v>5.480325048114584</v>
      </c>
      <c r="N167" s="79" t="str">
        <f t="shared" si="26"/>
        <v>T5.0</v>
      </c>
      <c r="O167" s="80">
        <f>+VLOOKUP(N167,[3]Material!$A$3:$B$58,2,FALSE)</f>
        <v>5000</v>
      </c>
      <c r="P167" s="79" t="s">
        <v>42</v>
      </c>
      <c r="Q167" s="79" t="str">
        <f>+VLOOKUP(F167,[3]Material!$C$2:$E$12,2,FALSE)</f>
        <v>Cal 12</v>
      </c>
      <c r="R167" s="81">
        <f>+IF(P167="ACERO A36",VLOOKUP(Q167,'[3]Velocidades Std 1500 w'!$B$2:$F$15,5,FALSE),IF(P167="INOXIDABLE",VLOOKUP(Q167,'[3]Velocidades Std 1500 w'!$B$17:$F$28,5,FALSE),IF(P167="ALUMINIO",VLOOKUP(Q167,'[3]Velocidades Std 1500 w'!$B$30:$F$38,5,FALSE))))</f>
        <v>4.3859649122807014E-6</v>
      </c>
      <c r="S167" s="82">
        <f t="shared" si="31"/>
        <v>2.1929824561403508E-2</v>
      </c>
      <c r="T167" s="83">
        <f t="shared" si="32"/>
        <v>12.355228421052631</v>
      </c>
      <c r="U167" s="307">
        <f t="shared" si="33"/>
        <v>782.49779999999998</v>
      </c>
      <c r="V167" s="80">
        <f t="shared" si="34"/>
        <v>17.160039473684208</v>
      </c>
      <c r="W167" s="98">
        <v>9</v>
      </c>
      <c r="X167" s="84">
        <f>+IF(P167="ACERO A36",VLOOKUP(Q167,'[3]Tiempo Objeto'!$B$2:$C$12,2,FALSE),IF(P167="INOXIDABLE",VLOOKUP(Q167,'[3]Tiempo Objeto'!$B$14:$C$22,2,FALSE),IF(P167="ALUMINIO",VLOOKUP(Q167,'[3]Tiempo Objeto'!$B$24:$C$32,2,FALSE))))</f>
        <v>0.6133333333333334</v>
      </c>
      <c r="Y167" s="84">
        <f t="shared" si="35"/>
        <v>5.5200000000000005</v>
      </c>
      <c r="Z167" s="80">
        <f t="shared" si="36"/>
        <v>7.6666666666666679</v>
      </c>
      <c r="AA167" s="100">
        <v>1</v>
      </c>
      <c r="AB167" s="86">
        <f>+AA167*Analisis!$J$6</f>
        <v>25</v>
      </c>
      <c r="AC167" s="100">
        <v>0</v>
      </c>
      <c r="AD167" s="85">
        <f t="shared" si="37"/>
        <v>0</v>
      </c>
      <c r="AE167" s="86">
        <f>+AC167*Analisis!$J$7</f>
        <v>0</v>
      </c>
      <c r="AF167" s="308">
        <f>+H167*0.0254*I167*0.0254*2*(1+[3]Analisis!$G$2)</f>
        <v>2.3548340000000001E-2</v>
      </c>
      <c r="AG167" s="86">
        <f>+AF167*Analisis!$J$8</f>
        <v>2.5090195595238103</v>
      </c>
      <c r="AH167" s="309">
        <f t="shared" si="27"/>
        <v>57.816050747989273</v>
      </c>
      <c r="AI167" s="86">
        <f>+AH167/(1-Analisis!G172)</f>
        <v>57.816050747989273</v>
      </c>
      <c r="AJ167" s="86">
        <f t="shared" si="38"/>
        <v>62.167796503214277</v>
      </c>
      <c r="AK167" s="86">
        <f t="shared" si="28"/>
        <v>0</v>
      </c>
      <c r="AL167" s="310" t="e">
        <f>+VLOOKUP(B167,#REF!,2,FALSE)</f>
        <v>#REF!</v>
      </c>
      <c r="AM167" s="311" t="e">
        <f t="shared" si="25"/>
        <v>#REF!</v>
      </c>
      <c r="AN167" s="312" t="e">
        <f t="shared" si="24"/>
        <v>#REF!</v>
      </c>
    </row>
    <row r="168" spans="1:40" s="73" customFormat="1" x14ac:dyDescent="0.25">
      <c r="A168" s="303">
        <v>131</v>
      </c>
      <c r="B168" s="304" t="s">
        <v>988</v>
      </c>
      <c r="D168" s="74">
        <f>IFERROR(VLOOKUP(B168,'REQ. PINTADO'!B:C,2,0),0)</f>
        <v>0</v>
      </c>
      <c r="E168" s="305">
        <f t="shared" si="29"/>
        <v>12.374254807492383</v>
      </c>
      <c r="F168" s="103" t="s">
        <v>163</v>
      </c>
      <c r="G168" s="75" t="s">
        <v>147</v>
      </c>
      <c r="H168" s="90">
        <v>1</v>
      </c>
      <c r="I168" s="90">
        <v>3</v>
      </c>
      <c r="J168" s="76">
        <v>0.105</v>
      </c>
      <c r="K168" s="306">
        <v>0.09</v>
      </c>
      <c r="L168" s="78">
        <f t="shared" si="30"/>
        <v>27.526746817013898</v>
      </c>
      <c r="M168" s="58">
        <f>+VLOOKUP(F168,Material!$H$2:$M$17,6,FALSE)*H168*I168*(1+Material!$K$14)</f>
        <v>1.1260941879687503</v>
      </c>
      <c r="N168" s="79" t="str">
        <f t="shared" si="26"/>
        <v>T5.0</v>
      </c>
      <c r="O168" s="80">
        <f>+VLOOKUP(N168,[3]Material!$A$3:$B$58,2,FALSE)</f>
        <v>5000</v>
      </c>
      <c r="P168" s="79" t="s">
        <v>42</v>
      </c>
      <c r="Q168" s="79" t="str">
        <f>+VLOOKUP(F168,[3]Material!$C$2:$E$12,2,FALSE)</f>
        <v>Cal 12</v>
      </c>
      <c r="R168" s="81">
        <f>+IF(P168="ACERO A36",VLOOKUP(Q168,'[3]Velocidades Std 1500 w'!$B$2:$F$15,5,FALSE),IF(P168="INOXIDABLE",VLOOKUP(Q168,'[3]Velocidades Std 1500 w'!$B$17:$F$28,5,FALSE),IF(P168="ALUMINIO",VLOOKUP(Q168,'[3]Velocidades Std 1500 w'!$B$30:$F$38,5,FALSE))))</f>
        <v>4.3859649122807014E-6</v>
      </c>
      <c r="S168" s="82">
        <f t="shared" si="31"/>
        <v>2.1929824561403508E-2</v>
      </c>
      <c r="T168" s="83">
        <f t="shared" si="32"/>
        <v>5.2638157894736839</v>
      </c>
      <c r="U168" s="307">
        <f t="shared" si="33"/>
        <v>333.375</v>
      </c>
      <c r="V168" s="80">
        <f t="shared" si="34"/>
        <v>7.3108552631578947</v>
      </c>
      <c r="W168" s="98">
        <v>3</v>
      </c>
      <c r="X168" s="84">
        <f>+IF(P168="ACERO A36",VLOOKUP(Q168,'[3]Tiempo Objeto'!$B$2:$C$12,2,FALSE),IF(P168="INOXIDABLE",VLOOKUP(Q168,'[3]Tiempo Objeto'!$B$14:$C$22,2,FALSE),IF(P168="ALUMINIO",VLOOKUP(Q168,'[3]Tiempo Objeto'!$B$24:$C$32,2,FALSE))))</f>
        <v>0.6133333333333334</v>
      </c>
      <c r="Y168" s="84">
        <f t="shared" si="35"/>
        <v>1.8400000000000003</v>
      </c>
      <c r="Z168" s="80">
        <f t="shared" si="36"/>
        <v>2.5555555555555562</v>
      </c>
      <c r="AA168" s="100">
        <v>0</v>
      </c>
      <c r="AB168" s="86">
        <f>+AA168*Analisis!$J$6</f>
        <v>0</v>
      </c>
      <c r="AC168" s="100">
        <v>0</v>
      </c>
      <c r="AD168" s="85">
        <f t="shared" si="37"/>
        <v>0</v>
      </c>
      <c r="AE168" s="86">
        <f>+AC168*Analisis!$J$7</f>
        <v>0</v>
      </c>
      <c r="AF168" s="308">
        <f>+H168*0.0254*I168*0.0254*2*(1+[3]Analisis!$G$2)</f>
        <v>4.8386999999999987E-3</v>
      </c>
      <c r="AG168" s="86">
        <f>+AF168*Analisis!$J$8</f>
        <v>0.51555196428571426</v>
      </c>
      <c r="AH168" s="309">
        <f t="shared" si="27"/>
        <v>11.508056970967916</v>
      </c>
      <c r="AI168" s="86">
        <f>+AH168/(1-Analisis!G173)</f>
        <v>11.508056970967916</v>
      </c>
      <c r="AJ168" s="86">
        <f t="shared" si="38"/>
        <v>12.374254807492383</v>
      </c>
      <c r="AK168" s="86">
        <f t="shared" si="28"/>
        <v>0</v>
      </c>
      <c r="AL168" s="310" t="e">
        <f>+VLOOKUP(B168,#REF!,2,FALSE)</f>
        <v>#REF!</v>
      </c>
      <c r="AM168" s="311" t="e">
        <f t="shared" si="25"/>
        <v>#REF!</v>
      </c>
      <c r="AN168" s="312" t="e">
        <f t="shared" si="24"/>
        <v>#REF!</v>
      </c>
    </row>
    <row r="169" spans="1:40" s="73" customFormat="1" x14ac:dyDescent="0.25">
      <c r="A169" s="303">
        <v>132</v>
      </c>
      <c r="B169" s="304" t="s">
        <v>989</v>
      </c>
      <c r="D169" s="74">
        <f>IFERROR(VLOOKUP(B169,'REQ. PINTADO'!B:C,2,0),0)</f>
        <v>0</v>
      </c>
      <c r="E169" s="305">
        <f t="shared" si="29"/>
        <v>423.1189344698754</v>
      </c>
      <c r="F169" s="103" t="s">
        <v>164</v>
      </c>
      <c r="G169" s="75" t="s">
        <v>147</v>
      </c>
      <c r="H169" s="90">
        <v>12.56</v>
      </c>
      <c r="I169" s="90">
        <v>21.9</v>
      </c>
      <c r="J169" s="76">
        <v>0.105</v>
      </c>
      <c r="K169" s="306">
        <v>10.47</v>
      </c>
      <c r="L169" s="78">
        <f t="shared" si="30"/>
        <v>40.036874403056352</v>
      </c>
      <c r="M169" s="58">
        <f>+VLOOKUP(F169,Material!$H$2:$M$17,6,FALSE)*H169*I169*(1+Material!$K$14)</f>
        <v>190.53912499999998</v>
      </c>
      <c r="N169" s="79" t="str">
        <f t="shared" si="26"/>
        <v>T5.0</v>
      </c>
      <c r="O169" s="80">
        <f>+VLOOKUP(N169,[3]Material!$A$3:$B$58,2,FALSE)</f>
        <v>5000</v>
      </c>
      <c r="P169" s="79" t="s">
        <v>42</v>
      </c>
      <c r="Q169" s="79" t="str">
        <f>+VLOOKUP(F169,[3]Material!$C$2:$E$12,2,FALSE)</f>
        <v>Cal 10</v>
      </c>
      <c r="R169" s="81">
        <f>+IF(P169="ACERO A36",VLOOKUP(Q169,'[3]Velocidades Std 1500 w'!$B$2:$F$15,5,FALSE),IF(P169="INOXIDABLE",VLOOKUP(Q169,'[3]Velocidades Std 1500 w'!$B$17:$F$28,5,FALSE),IF(P169="ALUMINIO",VLOOKUP(Q169,'[3]Velocidades Std 1500 w'!$B$30:$F$38,5,FALSE))))</f>
        <v>6.1728395061728391E-6</v>
      </c>
      <c r="S169" s="82">
        <f t="shared" si="31"/>
        <v>3.0864197530864196E-2</v>
      </c>
      <c r="T169" s="83">
        <f t="shared" si="32"/>
        <v>60.404586666666667</v>
      </c>
      <c r="U169" s="307">
        <f t="shared" si="33"/>
        <v>2718.2064</v>
      </c>
      <c r="V169" s="80">
        <f t="shared" si="34"/>
        <v>83.895259259259262</v>
      </c>
      <c r="W169" s="98">
        <v>22</v>
      </c>
      <c r="X169" s="84">
        <f>+IF(P169="ACERO A36",VLOOKUP(Q169,'[3]Tiempo Objeto'!$B$2:$C$12,2,FALSE),IF(P169="INOXIDABLE",VLOOKUP(Q169,'[3]Tiempo Objeto'!$B$14:$C$22,2,FALSE),IF(P169="ALUMINIO",VLOOKUP(Q169,'[3]Tiempo Objeto'!$B$24:$C$32,2,FALSE))))</f>
        <v>0.71333333333333337</v>
      </c>
      <c r="Y169" s="84">
        <f t="shared" si="35"/>
        <v>15.693333333333335</v>
      </c>
      <c r="Z169" s="80">
        <f t="shared" si="36"/>
        <v>21.796296296296298</v>
      </c>
      <c r="AA169" s="100">
        <v>2</v>
      </c>
      <c r="AB169" s="86">
        <f>+AA169*Analisis!$J$6</f>
        <v>50</v>
      </c>
      <c r="AC169" s="100">
        <v>0</v>
      </c>
      <c r="AD169" s="85">
        <f t="shared" si="37"/>
        <v>0</v>
      </c>
      <c r="AE169" s="86">
        <f>+AC169*Analisis!$J$7</f>
        <v>0</v>
      </c>
      <c r="AF169" s="308">
        <f>+H169*0.0254*I169*0.0254*2*(1+[3]Analisis!$G$2)</f>
        <v>0.44365072559999991</v>
      </c>
      <c r="AG169" s="86">
        <f>+AF169*Analisis!$J$8</f>
        <v>47.269928501428573</v>
      </c>
      <c r="AH169" s="309">
        <f t="shared" si="27"/>
        <v>393.5006090569841</v>
      </c>
      <c r="AI169" s="86">
        <f>+AH169/(1-Analisis!G174)</f>
        <v>393.5006090569841</v>
      </c>
      <c r="AJ169" s="86">
        <f t="shared" si="38"/>
        <v>423.1189344698754</v>
      </c>
      <c r="AK169" s="86">
        <f t="shared" si="28"/>
        <v>0</v>
      </c>
      <c r="AL169" s="310" t="e">
        <f>+VLOOKUP(B169,#REF!,2,FALSE)</f>
        <v>#REF!</v>
      </c>
      <c r="AM169" s="311" t="e">
        <f t="shared" si="25"/>
        <v>#REF!</v>
      </c>
      <c r="AN169" s="312" t="e">
        <f t="shared" si="24"/>
        <v>#REF!</v>
      </c>
    </row>
    <row r="170" spans="1:40" s="73" customFormat="1" x14ac:dyDescent="0.25">
      <c r="A170" s="303">
        <v>133</v>
      </c>
      <c r="B170" s="304" t="s">
        <v>990</v>
      </c>
      <c r="D170" s="74">
        <f>IFERROR(VLOOKUP(B170,'REQ. PINTADO'!B:C,2,0),0)</f>
        <v>0</v>
      </c>
      <c r="E170" s="305">
        <f t="shared" si="29"/>
        <v>557.58299024162261</v>
      </c>
      <c r="F170" s="103" t="s">
        <v>164</v>
      </c>
      <c r="G170" s="75" t="s">
        <v>147</v>
      </c>
      <c r="H170" s="90">
        <v>12.56</v>
      </c>
      <c r="I170" s="90">
        <v>31.9</v>
      </c>
      <c r="J170" s="76">
        <v>0.105</v>
      </c>
      <c r="K170" s="306">
        <v>10.47</v>
      </c>
      <c r="L170" s="78">
        <f t="shared" si="30"/>
        <v>58.318552212671129</v>
      </c>
      <c r="M170" s="58">
        <f>+VLOOKUP(F170,Material!$H$2:$M$17,6,FALSE)*H170*I170*(1+Material!$K$14)</f>
        <v>277.54329166666668</v>
      </c>
      <c r="N170" s="79" t="str">
        <f t="shared" si="26"/>
        <v>T5.0</v>
      </c>
      <c r="O170" s="80">
        <f>+VLOOKUP(N170,[3]Material!$A$3:$B$58,2,FALSE)</f>
        <v>5000</v>
      </c>
      <c r="P170" s="79" t="s">
        <v>42</v>
      </c>
      <c r="Q170" s="79" t="str">
        <f>+VLOOKUP(F170,[3]Material!$C$2:$E$12,2,FALSE)</f>
        <v>Cal 10</v>
      </c>
      <c r="R170" s="81">
        <f>+IF(P170="ACERO A36",VLOOKUP(Q170,'[3]Velocidades Std 1500 w'!$B$2:$F$15,5,FALSE),IF(P170="INOXIDABLE",VLOOKUP(Q170,'[3]Velocidades Std 1500 w'!$B$17:$F$28,5,FALSE),IF(P170="ALUMINIO",VLOOKUP(Q170,'[3]Velocidades Std 1500 w'!$B$30:$F$38,5,FALSE))))</f>
        <v>6.1728395061728391E-6</v>
      </c>
      <c r="S170" s="82">
        <f t="shared" si="31"/>
        <v>3.0864197530864196E-2</v>
      </c>
      <c r="T170" s="83">
        <f t="shared" si="32"/>
        <v>72.257919999999999</v>
      </c>
      <c r="U170" s="307">
        <f t="shared" si="33"/>
        <v>3251.6064000000001</v>
      </c>
      <c r="V170" s="80">
        <f t="shared" si="34"/>
        <v>100.35822222222222</v>
      </c>
      <c r="W170" s="98">
        <v>22</v>
      </c>
      <c r="X170" s="84">
        <f>+IF(P170="ACERO A36",VLOOKUP(Q170,'[3]Tiempo Objeto'!$B$2:$C$12,2,FALSE),IF(P170="INOXIDABLE",VLOOKUP(Q170,'[3]Tiempo Objeto'!$B$14:$C$22,2,FALSE),IF(P170="ALUMINIO",VLOOKUP(Q170,'[3]Tiempo Objeto'!$B$24:$C$32,2,FALSE))))</f>
        <v>0.71333333333333337</v>
      </c>
      <c r="Y170" s="84">
        <f t="shared" si="35"/>
        <v>15.693333333333335</v>
      </c>
      <c r="Z170" s="80">
        <f t="shared" si="36"/>
        <v>21.796296296296298</v>
      </c>
      <c r="AA170" s="100">
        <v>2</v>
      </c>
      <c r="AB170" s="86">
        <f>+AA170*Analisis!$J$6</f>
        <v>50</v>
      </c>
      <c r="AC170" s="100">
        <v>0</v>
      </c>
      <c r="AD170" s="85">
        <f t="shared" si="37"/>
        <v>0</v>
      </c>
      <c r="AE170" s="86">
        <f>+AC170*Analisis!$J$7</f>
        <v>0</v>
      </c>
      <c r="AF170" s="308">
        <f>+H170*0.0254*I170*0.0254*2*(1+[3]Analisis!$G$2)</f>
        <v>0.64623096559999993</v>
      </c>
      <c r="AG170" s="86">
        <f>+AF170*Analisis!$J$8</f>
        <v>68.854370739523816</v>
      </c>
      <c r="AH170" s="309">
        <f t="shared" si="27"/>
        <v>518.55218092470898</v>
      </c>
      <c r="AI170" s="86">
        <f>+AH170/(1-Analisis!G175)</f>
        <v>518.55218092470898</v>
      </c>
      <c r="AJ170" s="86">
        <f t="shared" si="38"/>
        <v>557.58299024162261</v>
      </c>
      <c r="AK170" s="86">
        <f t="shared" si="28"/>
        <v>0</v>
      </c>
      <c r="AL170" s="310" t="e">
        <f>+VLOOKUP(B170,#REF!,2,FALSE)</f>
        <v>#REF!</v>
      </c>
      <c r="AM170" s="311" t="e">
        <f t="shared" si="25"/>
        <v>#REF!</v>
      </c>
      <c r="AN170" s="312" t="e">
        <f t="shared" si="24"/>
        <v>#REF!</v>
      </c>
    </row>
    <row r="171" spans="1:40" s="73" customFormat="1" x14ac:dyDescent="0.25">
      <c r="A171" s="303">
        <v>134</v>
      </c>
      <c r="B171" s="304" t="s">
        <v>991</v>
      </c>
      <c r="D171" s="74">
        <f>IFERROR(VLOOKUP(B171,'REQ. PINTADO'!B:C,2,0),0)</f>
        <v>0</v>
      </c>
      <c r="E171" s="305">
        <f t="shared" si="29"/>
        <v>252.625887998466</v>
      </c>
      <c r="F171" s="103" t="s">
        <v>165</v>
      </c>
      <c r="G171" s="75" t="s">
        <v>147</v>
      </c>
      <c r="H171" s="90">
        <v>8</v>
      </c>
      <c r="I171" s="90">
        <v>31.61</v>
      </c>
      <c r="J171" s="76">
        <v>0.105</v>
      </c>
      <c r="K171" s="306">
        <v>5.5</v>
      </c>
      <c r="L171" s="78">
        <f t="shared" si="30"/>
        <v>42.041300000000007</v>
      </c>
      <c r="M171" s="58">
        <f>+VLOOKUP(F171,Material!$H$2:$M$17,6,FALSE)*H171*I171*(1+Material!$K$14)</f>
        <v>105.10325000000002</v>
      </c>
      <c r="N171" s="79" t="str">
        <f t="shared" si="26"/>
        <v>T5.0</v>
      </c>
      <c r="O171" s="80">
        <f>+VLOOKUP(N171,[3]Material!$A$3:$B$58,2,FALSE)</f>
        <v>5000</v>
      </c>
      <c r="P171" s="79" t="s">
        <v>42</v>
      </c>
      <c r="Q171" s="79" t="str">
        <f>+VLOOKUP(F171,[3]Material!$C$2:$E$12,2,FALSE)</f>
        <v>Cal 14</v>
      </c>
      <c r="R171" s="81">
        <f>+IF(P171="ACERO A36",VLOOKUP(Q171,'[3]Velocidades Std 1500 w'!$B$2:$F$15,5,FALSE),IF(P171="INOXIDABLE",VLOOKUP(Q171,'[3]Velocidades Std 1500 w'!$B$17:$F$28,5,FALSE),IF(P171="ALUMINIO",VLOOKUP(Q171,'[3]Velocidades Std 1500 w'!$B$30:$F$38,5,FALSE))))</f>
        <v>2.0080321285140564E-6</v>
      </c>
      <c r="S171" s="82">
        <f t="shared" si="31"/>
        <v>1.0040160642570283E-2</v>
      </c>
      <c r="T171" s="83">
        <f t="shared" si="32"/>
        <v>29.154487228915666</v>
      </c>
      <c r="U171" s="307">
        <f t="shared" si="33"/>
        <v>4033.0374000000002</v>
      </c>
      <c r="V171" s="80">
        <f t="shared" si="34"/>
        <v>40.492343373493988</v>
      </c>
      <c r="W171" s="98">
        <v>48</v>
      </c>
      <c r="X171" s="84">
        <f>+IF(P171="ACERO A36",VLOOKUP(Q171,'[3]Tiempo Objeto'!$B$2:$C$12,2,FALSE),IF(P171="INOXIDABLE",VLOOKUP(Q171,'[3]Tiempo Objeto'!$B$14:$C$22,2,FALSE),IF(P171="ALUMINIO",VLOOKUP(Q171,'[3]Tiempo Objeto'!$B$24:$C$32,2,FALSE))))</f>
        <v>0.3133333333333333</v>
      </c>
      <c r="Y171" s="84">
        <f t="shared" si="35"/>
        <v>15.04</v>
      </c>
      <c r="Z171" s="80">
        <f t="shared" si="36"/>
        <v>20.888888888888889</v>
      </c>
      <c r="AA171" s="100">
        <v>1</v>
      </c>
      <c r="AB171" s="86">
        <f>+AA171*Analisis!$J$6</f>
        <v>25</v>
      </c>
      <c r="AC171" s="100">
        <v>0</v>
      </c>
      <c r="AD171" s="85">
        <f t="shared" si="37"/>
        <v>0</v>
      </c>
      <c r="AE171" s="86">
        <f>+AC171*Analisis!$J$7</f>
        <v>0</v>
      </c>
      <c r="AF171" s="308">
        <f>+H171*0.0254*I171*0.0254*2*(1+[3]Analisis!$G$2)</f>
        <v>0.40787015199999999</v>
      </c>
      <c r="AG171" s="86">
        <f>+AF171*Analisis!$J$8</f>
        <v>43.45759357619049</v>
      </c>
      <c r="AH171" s="309">
        <f t="shared" si="27"/>
        <v>234.94207583857337</v>
      </c>
      <c r="AI171" s="86">
        <f>+AH171/(1-Analisis!G176)</f>
        <v>234.94207583857337</v>
      </c>
      <c r="AJ171" s="86">
        <f t="shared" si="38"/>
        <v>252.625887998466</v>
      </c>
      <c r="AK171" s="86">
        <f t="shared" si="28"/>
        <v>0</v>
      </c>
      <c r="AL171" s="310" t="e">
        <f>+VLOOKUP(B171,#REF!,2,FALSE)</f>
        <v>#REF!</v>
      </c>
      <c r="AM171" s="311" t="e">
        <f t="shared" si="25"/>
        <v>#REF!</v>
      </c>
      <c r="AN171" s="312" t="e">
        <f t="shared" si="24"/>
        <v>#REF!</v>
      </c>
    </row>
    <row r="172" spans="1:40" s="73" customFormat="1" x14ac:dyDescent="0.25">
      <c r="A172" s="313">
        <v>135</v>
      </c>
      <c r="B172" s="314" t="s">
        <v>992</v>
      </c>
      <c r="D172" s="74">
        <f>IFERROR(VLOOKUP(B172,'REQ. PINTADO'!B:C,2,0),0)</f>
        <v>0</v>
      </c>
      <c r="E172" s="305">
        <f t="shared" si="29"/>
        <v>0</v>
      </c>
      <c r="F172" s="103" t="s">
        <v>165</v>
      </c>
      <c r="G172" s="75" t="s">
        <v>147</v>
      </c>
      <c r="H172" s="90">
        <v>0</v>
      </c>
      <c r="I172" s="90">
        <v>0</v>
      </c>
      <c r="J172" s="76">
        <v>0.105</v>
      </c>
      <c r="K172" s="306">
        <v>1</v>
      </c>
      <c r="L172" s="78">
        <f t="shared" si="30"/>
        <v>0</v>
      </c>
      <c r="M172" s="58">
        <f>+VLOOKUP(F172,Material!$H$2:$M$17,6,FALSE)*H172*I172*(1+Material!$K$14)</f>
        <v>0</v>
      </c>
      <c r="N172" s="79" t="str">
        <f t="shared" si="26"/>
        <v>T5.0</v>
      </c>
      <c r="O172" s="80">
        <f>+VLOOKUP(N172,[3]Material!$A$3:$B$58,2,FALSE)</f>
        <v>5000</v>
      </c>
      <c r="P172" s="79" t="s">
        <v>42</v>
      </c>
      <c r="Q172" s="79" t="str">
        <f>+VLOOKUP(F172,[3]Material!$C$2:$E$12,2,FALSE)</f>
        <v>Cal 14</v>
      </c>
      <c r="R172" s="81">
        <f>+IF(P172="ACERO A36",VLOOKUP(Q172,'[3]Velocidades Std 1500 w'!$B$2:$F$15,5,FALSE),IF(P172="INOXIDABLE",VLOOKUP(Q172,'[3]Velocidades Std 1500 w'!$B$17:$F$28,5,FALSE),IF(P172="ALUMINIO",VLOOKUP(Q172,'[3]Velocidades Std 1500 w'!$B$30:$F$38,5,FALSE))))</f>
        <v>2.0080321285140564E-6</v>
      </c>
      <c r="S172" s="82">
        <f t="shared" si="31"/>
        <v>1.0040160642570283E-2</v>
      </c>
      <c r="T172" s="83">
        <f t="shared" si="32"/>
        <v>0</v>
      </c>
      <c r="U172" s="307">
        <f t="shared" si="33"/>
        <v>0</v>
      </c>
      <c r="V172" s="80">
        <f t="shared" si="34"/>
        <v>0</v>
      </c>
      <c r="W172" s="98">
        <v>0</v>
      </c>
      <c r="X172" s="84">
        <f>+IF(P172="ACERO A36",VLOOKUP(Q172,'[3]Tiempo Objeto'!$B$2:$C$12,2,FALSE),IF(P172="INOXIDABLE",VLOOKUP(Q172,'[3]Tiempo Objeto'!$B$14:$C$22,2,FALSE),IF(P172="ALUMINIO",VLOOKUP(Q172,'[3]Tiempo Objeto'!$B$24:$C$32,2,FALSE))))</f>
        <v>0.3133333333333333</v>
      </c>
      <c r="Y172" s="84">
        <f t="shared" si="35"/>
        <v>0</v>
      </c>
      <c r="Z172" s="80">
        <f t="shared" si="36"/>
        <v>0</v>
      </c>
      <c r="AA172" s="100">
        <v>0</v>
      </c>
      <c r="AB172" s="86">
        <f>+AA172*Analisis!$J$6</f>
        <v>0</v>
      </c>
      <c r="AC172" s="100">
        <v>0</v>
      </c>
      <c r="AD172" s="85">
        <f t="shared" si="37"/>
        <v>0</v>
      </c>
      <c r="AE172" s="86">
        <f>+AC172*Analisis!$J$7</f>
        <v>0</v>
      </c>
      <c r="AF172" s="308">
        <f>+H172*0.0254*I172*0.0254*2*(1+[3]Analisis!$G$2)</f>
        <v>0</v>
      </c>
      <c r="AG172" s="86">
        <f>+AF172*Analisis!$J$8</f>
        <v>0</v>
      </c>
      <c r="AH172" s="309">
        <f t="shared" si="27"/>
        <v>0</v>
      </c>
      <c r="AI172" s="86">
        <f>+AH172/(1-Analisis!G177)</f>
        <v>0</v>
      </c>
      <c r="AJ172" s="86">
        <f t="shared" si="38"/>
        <v>0</v>
      </c>
      <c r="AK172" s="86">
        <f t="shared" si="28"/>
        <v>0</v>
      </c>
      <c r="AL172" s="310" t="e">
        <f>+VLOOKUP(B172,#REF!,2,FALSE)</f>
        <v>#REF!</v>
      </c>
      <c r="AM172" s="311" t="e">
        <f t="shared" si="25"/>
        <v>#REF!</v>
      </c>
      <c r="AN172" s="312" t="e">
        <f t="shared" si="24"/>
        <v>#REF!</v>
      </c>
    </row>
    <row r="173" spans="1:40" s="73" customFormat="1" x14ac:dyDescent="0.25">
      <c r="A173" s="303">
        <v>136</v>
      </c>
      <c r="B173" s="304" t="s">
        <v>993</v>
      </c>
      <c r="D173" s="74">
        <f>IFERROR(VLOOKUP(B173,'REQ. PINTADO'!B:C,2,0),0)</f>
        <v>0</v>
      </c>
      <c r="E173" s="305">
        <f t="shared" si="29"/>
        <v>710.66771799213166</v>
      </c>
      <c r="F173" s="103" t="s">
        <v>163</v>
      </c>
      <c r="G173" s="75" t="s">
        <v>147</v>
      </c>
      <c r="H173" s="90">
        <v>21.9</v>
      </c>
      <c r="I173" s="90">
        <v>43.04</v>
      </c>
      <c r="J173" s="76">
        <v>0.105</v>
      </c>
      <c r="K173" s="306">
        <v>28.11</v>
      </c>
      <c r="L173" s="78">
        <f t="shared" si="30"/>
        <v>27.690555931476727</v>
      </c>
      <c r="M173" s="58">
        <f>+VLOOKUP(F173,Material!$H$2:$M$17,6,FALSE)*H173*I173*(1+Material!$K$14)</f>
        <v>353.80978510627756</v>
      </c>
      <c r="N173" s="79" t="str">
        <f t="shared" si="26"/>
        <v>T5.0</v>
      </c>
      <c r="O173" s="80">
        <f>+VLOOKUP(N173,[3]Material!$A$3:$B$58,2,FALSE)</f>
        <v>5000</v>
      </c>
      <c r="P173" s="79" t="s">
        <v>42</v>
      </c>
      <c r="Q173" s="79" t="str">
        <f>+VLOOKUP(F173,[3]Material!$C$2:$E$12,2,FALSE)</f>
        <v>Cal 12</v>
      </c>
      <c r="R173" s="81">
        <f>+IF(P173="ACERO A36",VLOOKUP(Q173,'[3]Velocidades Std 1500 w'!$B$2:$F$15,5,FALSE),IF(P173="INOXIDABLE",VLOOKUP(Q173,'[3]Velocidades Std 1500 w'!$B$17:$F$28,5,FALSE),IF(P173="ALUMINIO",VLOOKUP(Q173,'[3]Velocidades Std 1500 w'!$B$30:$F$38,5,FALSE))))</f>
        <v>4.3859649122807014E-6</v>
      </c>
      <c r="S173" s="82">
        <f t="shared" si="31"/>
        <v>2.1929824561403508E-2</v>
      </c>
      <c r="T173" s="83">
        <f t="shared" si="32"/>
        <v>79.959467368421031</v>
      </c>
      <c r="U173" s="307">
        <f t="shared" si="33"/>
        <v>5064.0995999999996</v>
      </c>
      <c r="V173" s="80">
        <f t="shared" si="34"/>
        <v>111.05481578947366</v>
      </c>
      <c r="W173" s="98">
        <v>40</v>
      </c>
      <c r="X173" s="84">
        <f>+IF(P173="ACERO A36",VLOOKUP(Q173,'[3]Tiempo Objeto'!$B$2:$C$12,2,FALSE),IF(P173="INOXIDABLE",VLOOKUP(Q173,'[3]Tiempo Objeto'!$B$14:$C$22,2,FALSE),IF(P173="ALUMINIO",VLOOKUP(Q173,'[3]Tiempo Objeto'!$B$24:$C$32,2,FALSE))))</f>
        <v>0.6133333333333334</v>
      </c>
      <c r="Y173" s="84">
        <f t="shared" si="35"/>
        <v>24.533333333333335</v>
      </c>
      <c r="Z173" s="80">
        <f t="shared" si="36"/>
        <v>34.074074074074076</v>
      </c>
      <c r="AA173" s="100">
        <v>0</v>
      </c>
      <c r="AB173" s="86">
        <f>+AA173*Analisis!$J$6</f>
        <v>0</v>
      </c>
      <c r="AC173" s="100">
        <v>0</v>
      </c>
      <c r="AD173" s="85">
        <f t="shared" si="37"/>
        <v>0</v>
      </c>
      <c r="AE173" s="86">
        <f>+AC173*Analisis!$J$7</f>
        <v>0</v>
      </c>
      <c r="AF173" s="308">
        <f>+H173*0.0254*I173*0.0254*2*(1+[3]Analisis!$G$2)</f>
        <v>1.5202808303999999</v>
      </c>
      <c r="AG173" s="86">
        <f>+AF173*Analisis!$J$8</f>
        <v>161.98230276285719</v>
      </c>
      <c r="AH173" s="309">
        <f t="shared" si="27"/>
        <v>660.92097773268245</v>
      </c>
      <c r="AI173" s="86">
        <f>+AH173/(1-Analisis!G178)</f>
        <v>660.92097773268245</v>
      </c>
      <c r="AJ173" s="86">
        <f t="shared" si="38"/>
        <v>710.66771799213166</v>
      </c>
      <c r="AK173" s="86">
        <f t="shared" si="28"/>
        <v>0</v>
      </c>
      <c r="AL173" s="310" t="e">
        <f>+VLOOKUP(B173,#REF!,2,FALSE)</f>
        <v>#REF!</v>
      </c>
      <c r="AM173" s="311" t="e">
        <f t="shared" si="25"/>
        <v>#REF!</v>
      </c>
      <c r="AN173" s="312" t="e">
        <f t="shared" si="24"/>
        <v>#REF!</v>
      </c>
    </row>
    <row r="174" spans="1:40" s="73" customFormat="1" x14ac:dyDescent="0.25">
      <c r="A174" s="303">
        <v>137</v>
      </c>
      <c r="B174" s="304" t="s">
        <v>994</v>
      </c>
      <c r="D174" s="74">
        <f>IFERROR(VLOOKUP(B174,'REQ. PINTADO'!B:C,2,0),0)</f>
        <v>0</v>
      </c>
      <c r="E174" s="305">
        <f t="shared" si="29"/>
        <v>146.27390357086074</v>
      </c>
      <c r="F174" s="103" t="s">
        <v>163</v>
      </c>
      <c r="G174" s="75" t="s">
        <v>147</v>
      </c>
      <c r="H174" s="90">
        <v>8</v>
      </c>
      <c r="I174" s="90">
        <v>21.9</v>
      </c>
      <c r="J174" s="76">
        <v>0.105</v>
      </c>
      <c r="K174" s="306">
        <v>3.73</v>
      </c>
      <c r="L174" s="78">
        <f t="shared" si="30"/>
        <v>38.78835958987267</v>
      </c>
      <c r="M174" s="58">
        <f>+VLOOKUP(F174,Material!$H$2:$M$17,6,FALSE)*H174*I174*(1+Material!$K$14)</f>
        <v>65.763900577375011</v>
      </c>
      <c r="N174" s="79" t="str">
        <f t="shared" si="26"/>
        <v>T5.0</v>
      </c>
      <c r="O174" s="80">
        <f>+VLOOKUP(N174,[3]Material!$A$3:$B$58,2,FALSE)</f>
        <v>5000</v>
      </c>
      <c r="P174" s="79" t="s">
        <v>42</v>
      </c>
      <c r="Q174" s="79" t="str">
        <f>+VLOOKUP(F174,[3]Material!$C$2:$E$12,2,FALSE)</f>
        <v>Cal 12</v>
      </c>
      <c r="R174" s="81">
        <f>+IF(P174="ACERO A36",VLOOKUP(Q174,'[3]Velocidades Std 1500 w'!$B$2:$F$15,5,FALSE),IF(P174="INOXIDABLE",VLOOKUP(Q174,'[3]Velocidades Std 1500 w'!$B$17:$F$28,5,FALSE),IF(P174="ALUMINIO",VLOOKUP(Q174,'[3]Velocidades Std 1500 w'!$B$30:$F$38,5,FALSE))))</f>
        <v>4.3859649122807014E-6</v>
      </c>
      <c r="S174" s="82">
        <f t="shared" si="31"/>
        <v>2.1929824561403508E-2</v>
      </c>
      <c r="T174" s="83">
        <f t="shared" si="32"/>
        <v>27.077068421052626</v>
      </c>
      <c r="U174" s="307">
        <f t="shared" si="33"/>
        <v>1714.8809999999999</v>
      </c>
      <c r="V174" s="80">
        <f t="shared" si="34"/>
        <v>37.607039473684203</v>
      </c>
      <c r="W174" s="98">
        <v>3</v>
      </c>
      <c r="X174" s="84">
        <f>+IF(P174="ACERO A36",VLOOKUP(Q174,'[3]Tiempo Objeto'!$B$2:$C$12,2,FALSE),IF(P174="INOXIDABLE",VLOOKUP(Q174,'[3]Tiempo Objeto'!$B$14:$C$22,2,FALSE),IF(P174="ALUMINIO",VLOOKUP(Q174,'[3]Tiempo Objeto'!$B$24:$C$32,2,FALSE))))</f>
        <v>0.6133333333333334</v>
      </c>
      <c r="Y174" s="84">
        <f t="shared" si="35"/>
        <v>1.8400000000000003</v>
      </c>
      <c r="Z174" s="80">
        <f t="shared" si="36"/>
        <v>2.5555555555555562</v>
      </c>
      <c r="AA174" s="100">
        <v>0</v>
      </c>
      <c r="AB174" s="86">
        <f>+AA174*Analisis!$J$6</f>
        <v>0</v>
      </c>
      <c r="AC174" s="100">
        <v>0</v>
      </c>
      <c r="AD174" s="85">
        <f t="shared" si="37"/>
        <v>0</v>
      </c>
      <c r="AE174" s="86">
        <f>+AC174*Analisis!$J$7</f>
        <v>0</v>
      </c>
      <c r="AF174" s="308">
        <f>+H174*0.0254*I174*0.0254*2*(1+[3]Analisis!$G$2)</f>
        <v>0.28258007999999996</v>
      </c>
      <c r="AG174" s="86">
        <f>+AF174*Analisis!$J$8</f>
        <v>30.108234714285718</v>
      </c>
      <c r="AH174" s="309">
        <f t="shared" si="27"/>
        <v>136.03473032090048</v>
      </c>
      <c r="AI174" s="86">
        <f>+AH174/(1-Analisis!G179)</f>
        <v>136.03473032090048</v>
      </c>
      <c r="AJ174" s="86">
        <f t="shared" si="38"/>
        <v>146.27390357086074</v>
      </c>
      <c r="AK174" s="86">
        <f t="shared" si="28"/>
        <v>0</v>
      </c>
      <c r="AL174" s="310" t="e">
        <f>+VLOOKUP(B174,#REF!,2,FALSE)</f>
        <v>#REF!</v>
      </c>
      <c r="AM174" s="311" t="e">
        <f t="shared" si="25"/>
        <v>#REF!</v>
      </c>
      <c r="AN174" s="312" t="e">
        <f t="shared" si="24"/>
        <v>#REF!</v>
      </c>
    </row>
    <row r="175" spans="1:40" s="73" customFormat="1" x14ac:dyDescent="0.25">
      <c r="A175" s="303">
        <v>138</v>
      </c>
      <c r="B175" s="304" t="s">
        <v>995</v>
      </c>
      <c r="D175" s="74">
        <f>IFERROR(VLOOKUP(B175,'REQ. PINTADO'!B:C,2,0),0)</f>
        <v>0</v>
      </c>
      <c r="E175" s="305">
        <f t="shared" si="29"/>
        <v>261.78210949138793</v>
      </c>
      <c r="F175" s="103" t="s">
        <v>164</v>
      </c>
      <c r="G175" s="75" t="s">
        <v>147</v>
      </c>
      <c r="H175" s="90">
        <v>5.81</v>
      </c>
      <c r="I175" s="90">
        <v>21.9</v>
      </c>
      <c r="J175" s="76">
        <v>0.105</v>
      </c>
      <c r="K175" s="306">
        <v>4.88</v>
      </c>
      <c r="L175" s="78">
        <f t="shared" si="30"/>
        <v>39.735027535860652</v>
      </c>
      <c r="M175" s="58">
        <f>+VLOOKUP(F175,Material!$H$2:$M$17,6,FALSE)*H175*I175*(1+Material!$K$14)</f>
        <v>88.139515624999987</v>
      </c>
      <c r="N175" s="79" t="str">
        <f t="shared" si="26"/>
        <v>T5.0</v>
      </c>
      <c r="O175" s="80">
        <f>+VLOOKUP(N175,[3]Material!$A$3:$B$58,2,FALSE)</f>
        <v>5000</v>
      </c>
      <c r="P175" s="79" t="s">
        <v>42</v>
      </c>
      <c r="Q175" s="79" t="str">
        <f>+VLOOKUP(F175,[3]Material!$C$2:$E$12,2,FALSE)</f>
        <v>Cal 10</v>
      </c>
      <c r="R175" s="81">
        <f>+IF(P175="ACERO A36",VLOOKUP(Q175,'[3]Velocidades Std 1500 w'!$B$2:$F$15,5,FALSE),IF(P175="INOXIDABLE",VLOOKUP(Q175,'[3]Velocidades Std 1500 w'!$B$17:$F$28,5,FALSE),IF(P175="ALUMINIO",VLOOKUP(Q175,'[3]Velocidades Std 1500 w'!$B$30:$F$38,5,FALSE))))</f>
        <v>6.1728395061728391E-6</v>
      </c>
      <c r="S175" s="82">
        <f t="shared" si="31"/>
        <v>3.0864197530864196E-2</v>
      </c>
      <c r="T175" s="83">
        <f t="shared" si="32"/>
        <v>47.958586666666648</v>
      </c>
      <c r="U175" s="307">
        <f t="shared" si="33"/>
        <v>2158.1363999999994</v>
      </c>
      <c r="V175" s="80">
        <f t="shared" si="34"/>
        <v>66.609148148148122</v>
      </c>
      <c r="W175" s="98">
        <v>17</v>
      </c>
      <c r="X175" s="84">
        <f>+IF(P175="ACERO A36",VLOOKUP(Q175,'[3]Tiempo Objeto'!$B$2:$C$12,2,FALSE),IF(P175="INOXIDABLE",VLOOKUP(Q175,'[3]Tiempo Objeto'!$B$14:$C$22,2,FALSE),IF(P175="ALUMINIO",VLOOKUP(Q175,'[3]Tiempo Objeto'!$B$24:$C$32,2,FALSE))))</f>
        <v>0.71333333333333337</v>
      </c>
      <c r="Y175" s="84">
        <f t="shared" si="35"/>
        <v>12.126666666666667</v>
      </c>
      <c r="Z175" s="80">
        <f t="shared" si="36"/>
        <v>16.842592592592592</v>
      </c>
      <c r="AA175" s="100">
        <v>2</v>
      </c>
      <c r="AB175" s="86">
        <f>+AA175*Analisis!$J$6</f>
        <v>50</v>
      </c>
      <c r="AC175" s="100">
        <v>0</v>
      </c>
      <c r="AD175" s="85">
        <f t="shared" si="37"/>
        <v>0</v>
      </c>
      <c r="AE175" s="86">
        <f>+AC175*Analisis!$J$7</f>
        <v>0</v>
      </c>
      <c r="AF175" s="308">
        <f>+H175*0.0254*I175*0.0254*2*(1+[3]Analisis!$G$2)</f>
        <v>0.20522378309999995</v>
      </c>
      <c r="AG175" s="86">
        <f>+AF175*Analisis!$J$8</f>
        <v>21.866105461250001</v>
      </c>
      <c r="AH175" s="309">
        <f t="shared" si="27"/>
        <v>243.45736182699073</v>
      </c>
      <c r="AI175" s="86">
        <f>+AH175/(1-Analisis!G180)</f>
        <v>243.45736182699073</v>
      </c>
      <c r="AJ175" s="86">
        <f t="shared" si="38"/>
        <v>261.78210949138793</v>
      </c>
      <c r="AK175" s="86">
        <f t="shared" si="28"/>
        <v>0</v>
      </c>
      <c r="AL175" s="310" t="e">
        <f>+VLOOKUP(B175,#REF!,2,FALSE)</f>
        <v>#REF!</v>
      </c>
      <c r="AM175" s="311" t="e">
        <f t="shared" si="25"/>
        <v>#REF!</v>
      </c>
      <c r="AN175" s="312" t="e">
        <f t="shared" si="24"/>
        <v>#REF!</v>
      </c>
    </row>
    <row r="176" spans="1:40" s="73" customFormat="1" x14ac:dyDescent="0.25">
      <c r="A176" s="303">
        <v>139</v>
      </c>
      <c r="B176" s="304" t="s">
        <v>996</v>
      </c>
      <c r="D176" s="74">
        <f>IFERROR(VLOOKUP(B176,'REQ. PINTADO'!B:C,2,0),0)</f>
        <v>0</v>
      </c>
      <c r="E176" s="305">
        <f t="shared" si="29"/>
        <v>333.49591612719036</v>
      </c>
      <c r="F176" s="103" t="s">
        <v>164</v>
      </c>
      <c r="G176" s="75" t="s">
        <v>147</v>
      </c>
      <c r="H176" s="90">
        <v>5.81</v>
      </c>
      <c r="I176" s="90">
        <v>31.9</v>
      </c>
      <c r="J176" s="76">
        <v>0.105</v>
      </c>
      <c r="K176" s="306">
        <v>7.11</v>
      </c>
      <c r="L176" s="78">
        <f t="shared" si="30"/>
        <v>39.72558558954524</v>
      </c>
      <c r="M176" s="58">
        <f>+VLOOKUP(F176,Material!$H$2:$M$17,6,FALSE)*H176*I176*(1+Material!$K$14)</f>
        <v>128.38586979166666</v>
      </c>
      <c r="N176" s="79" t="str">
        <f t="shared" si="26"/>
        <v>T5.0</v>
      </c>
      <c r="O176" s="80">
        <f>+VLOOKUP(N176,[3]Material!$A$3:$B$58,2,FALSE)</f>
        <v>5000</v>
      </c>
      <c r="P176" s="79" t="s">
        <v>42</v>
      </c>
      <c r="Q176" s="79" t="str">
        <f>+VLOOKUP(F176,[3]Material!$C$2:$E$12,2,FALSE)</f>
        <v>Cal 10</v>
      </c>
      <c r="R176" s="81">
        <f>+IF(P176="ACERO A36",VLOOKUP(Q176,'[3]Velocidades Std 1500 w'!$B$2:$F$15,5,FALSE),IF(P176="INOXIDABLE",VLOOKUP(Q176,'[3]Velocidades Std 1500 w'!$B$17:$F$28,5,FALSE),IF(P176="ALUMINIO",VLOOKUP(Q176,'[3]Velocidades Std 1500 w'!$B$30:$F$38,5,FALSE))))</f>
        <v>6.1728395061728391E-6</v>
      </c>
      <c r="S176" s="82">
        <f t="shared" si="31"/>
        <v>3.0864197530864196E-2</v>
      </c>
      <c r="T176" s="83">
        <f t="shared" si="32"/>
        <v>59.811919999999994</v>
      </c>
      <c r="U176" s="307">
        <f t="shared" si="33"/>
        <v>2691.5364</v>
      </c>
      <c r="V176" s="80">
        <f t="shared" si="34"/>
        <v>83.072111111111099</v>
      </c>
      <c r="W176" s="98">
        <v>17</v>
      </c>
      <c r="X176" s="84">
        <f>+IF(P176="ACERO A36",VLOOKUP(Q176,'[3]Tiempo Objeto'!$B$2:$C$12,2,FALSE),IF(P176="INOXIDABLE",VLOOKUP(Q176,'[3]Tiempo Objeto'!$B$14:$C$22,2,FALSE),IF(P176="ALUMINIO",VLOOKUP(Q176,'[3]Tiempo Objeto'!$B$24:$C$32,2,FALSE))))</f>
        <v>0.71333333333333337</v>
      </c>
      <c r="Y176" s="84">
        <f t="shared" si="35"/>
        <v>12.126666666666667</v>
      </c>
      <c r="Z176" s="80">
        <f t="shared" si="36"/>
        <v>16.842592592592592</v>
      </c>
      <c r="AA176" s="100">
        <v>2</v>
      </c>
      <c r="AB176" s="86">
        <f>+AA176*Analisis!$J$6</f>
        <v>50</v>
      </c>
      <c r="AC176" s="100">
        <v>0</v>
      </c>
      <c r="AD176" s="85">
        <f t="shared" si="37"/>
        <v>0</v>
      </c>
      <c r="AE176" s="86">
        <f>+AC176*Analisis!$J$7</f>
        <v>0</v>
      </c>
      <c r="AF176" s="308">
        <f>+H176*0.0254*I176*0.0254*2*(1+[3]Analisis!$G$2)</f>
        <v>0.2989332730999999</v>
      </c>
      <c r="AG176" s="86">
        <f>+AF176*Analisis!$J$8</f>
        <v>31.850628502916667</v>
      </c>
      <c r="AH176" s="309">
        <f t="shared" si="27"/>
        <v>310.15120199828704</v>
      </c>
      <c r="AI176" s="86">
        <f>+AH176/(1-Analisis!G181)</f>
        <v>310.15120199828704</v>
      </c>
      <c r="AJ176" s="86">
        <f t="shared" si="38"/>
        <v>333.49591612719036</v>
      </c>
      <c r="AK176" s="86">
        <f t="shared" si="28"/>
        <v>0</v>
      </c>
      <c r="AL176" s="310" t="e">
        <f>+VLOOKUP(B176,#REF!,2,FALSE)</f>
        <v>#REF!</v>
      </c>
      <c r="AM176" s="311" t="e">
        <f t="shared" si="25"/>
        <v>#REF!</v>
      </c>
      <c r="AN176" s="312" t="e">
        <f t="shared" si="24"/>
        <v>#REF!</v>
      </c>
    </row>
    <row r="177" spans="1:40" s="73" customFormat="1" x14ac:dyDescent="0.25">
      <c r="A177" s="303">
        <v>140</v>
      </c>
      <c r="B177" s="304" t="s">
        <v>997</v>
      </c>
      <c r="D177" s="74">
        <f>IFERROR(VLOOKUP(B177,'REQ. PINTADO'!B:C,2,0),0)</f>
        <v>0</v>
      </c>
      <c r="E177" s="305">
        <f t="shared" si="29"/>
        <v>182.14217032446678</v>
      </c>
      <c r="F177" s="103" t="s">
        <v>163</v>
      </c>
      <c r="G177" s="75" t="s">
        <v>147</v>
      </c>
      <c r="H177" s="90">
        <v>4.5</v>
      </c>
      <c r="I177" s="90">
        <v>21.9</v>
      </c>
      <c r="J177" s="76">
        <v>0.105</v>
      </c>
      <c r="K177" s="306">
        <v>2.79</v>
      </c>
      <c r="L177" s="78">
        <f t="shared" si="30"/>
        <v>29.169472030287309</v>
      </c>
      <c r="M177" s="58">
        <f>+VLOOKUP(F177,Material!$H$2:$M$17,6,FALSE)*H177*I177*(1+Material!$K$14)</f>
        <v>36.992194074773444</v>
      </c>
      <c r="N177" s="79" t="str">
        <f t="shared" si="26"/>
        <v>T5.0</v>
      </c>
      <c r="O177" s="80">
        <f>+VLOOKUP(N177,[3]Material!$A$3:$B$58,2,FALSE)</f>
        <v>5000</v>
      </c>
      <c r="P177" s="79" t="s">
        <v>42</v>
      </c>
      <c r="Q177" s="79" t="str">
        <f>+VLOOKUP(F177,[3]Material!$C$2:$E$12,2,FALSE)</f>
        <v>Cal 12</v>
      </c>
      <c r="R177" s="81">
        <f>+IF(P177="ACERO A36",VLOOKUP(Q177,'[3]Velocidades Std 1500 w'!$B$2:$F$15,5,FALSE),IF(P177="INOXIDABLE",VLOOKUP(Q177,'[3]Velocidades Std 1500 w'!$B$17:$F$28,5,FALSE),IF(P177="ALUMINIO",VLOOKUP(Q177,'[3]Velocidades Std 1500 w'!$B$30:$F$38,5,FALSE))))</f>
        <v>4.3859649122807014E-6</v>
      </c>
      <c r="S177" s="82">
        <f t="shared" si="31"/>
        <v>2.1929824561403508E-2</v>
      </c>
      <c r="T177" s="83">
        <f t="shared" si="32"/>
        <v>34.867515789473678</v>
      </c>
      <c r="U177" s="307">
        <f t="shared" si="33"/>
        <v>2208.2759999999998</v>
      </c>
      <c r="V177" s="80">
        <f t="shared" si="34"/>
        <v>48.427105263157891</v>
      </c>
      <c r="W177" s="98">
        <v>20</v>
      </c>
      <c r="X177" s="84">
        <f>+IF(P177="ACERO A36",VLOOKUP(Q177,'[3]Tiempo Objeto'!$B$2:$C$12,2,FALSE),IF(P177="INOXIDABLE",VLOOKUP(Q177,'[3]Tiempo Objeto'!$B$14:$C$22,2,FALSE),IF(P177="ALUMINIO",VLOOKUP(Q177,'[3]Tiempo Objeto'!$B$24:$C$32,2,FALSE))))</f>
        <v>0.6133333333333334</v>
      </c>
      <c r="Y177" s="84">
        <f t="shared" si="35"/>
        <v>12.266666666666667</v>
      </c>
      <c r="Z177" s="80">
        <f t="shared" si="36"/>
        <v>17.037037037037038</v>
      </c>
      <c r="AA177" s="100">
        <v>2</v>
      </c>
      <c r="AB177" s="86">
        <f>+AA177*Analisis!$J$6</f>
        <v>50</v>
      </c>
      <c r="AC177" s="100">
        <v>0</v>
      </c>
      <c r="AD177" s="85">
        <f t="shared" si="37"/>
        <v>0</v>
      </c>
      <c r="AE177" s="86">
        <f>+AC177*Analisis!$J$7</f>
        <v>0</v>
      </c>
      <c r="AF177" s="308">
        <f>+H177*0.0254*I177*0.0254*2*(1+[3]Analisis!$G$2)</f>
        <v>0.15895129499999996</v>
      </c>
      <c r="AG177" s="86">
        <f>+AF177*Analisis!$J$8</f>
        <v>16.935882026785716</v>
      </c>
      <c r="AH177" s="309">
        <f t="shared" si="27"/>
        <v>169.39221840175409</v>
      </c>
      <c r="AI177" s="86">
        <f>+AH177/(1-Analisis!G182)</f>
        <v>169.39221840175409</v>
      </c>
      <c r="AJ177" s="86">
        <f t="shared" si="38"/>
        <v>182.14217032446678</v>
      </c>
      <c r="AK177" s="86">
        <f t="shared" si="28"/>
        <v>0</v>
      </c>
      <c r="AL177" s="310" t="e">
        <f>+VLOOKUP(B177,#REF!,2,FALSE)</f>
        <v>#REF!</v>
      </c>
      <c r="AM177" s="311" t="e">
        <f t="shared" si="25"/>
        <v>#REF!</v>
      </c>
      <c r="AN177" s="312" t="e">
        <f t="shared" si="24"/>
        <v>#REF!</v>
      </c>
    </row>
    <row r="178" spans="1:40" s="73" customFormat="1" x14ac:dyDescent="0.25">
      <c r="A178" s="303">
        <v>141</v>
      </c>
      <c r="B178" s="304" t="s">
        <v>998</v>
      </c>
      <c r="D178" s="74">
        <f>IFERROR(VLOOKUP(B178,'REQ. PINTADO'!B:C,2,0),0)</f>
        <v>0</v>
      </c>
      <c r="E178" s="305">
        <f t="shared" si="29"/>
        <v>221.19814957701476</v>
      </c>
      <c r="F178" s="103" t="s">
        <v>163</v>
      </c>
      <c r="G178" s="75" t="s">
        <v>147</v>
      </c>
      <c r="H178" s="90">
        <v>4.5</v>
      </c>
      <c r="I178" s="90">
        <v>31.9</v>
      </c>
      <c r="J178" s="76">
        <v>0.105</v>
      </c>
      <c r="K178" s="306">
        <v>4.0599999999999996</v>
      </c>
      <c r="L178" s="78">
        <f t="shared" si="30"/>
        <v>29.198013588046887</v>
      </c>
      <c r="M178" s="58">
        <f>+VLOOKUP(F178,Material!$H$2:$M$17,6,FALSE)*H178*I178*(1+Material!$K$14)</f>
        <v>53.883606894304698</v>
      </c>
      <c r="N178" s="79" t="str">
        <f t="shared" si="26"/>
        <v>T5.0</v>
      </c>
      <c r="O178" s="80">
        <f>+VLOOKUP(N178,[3]Material!$A$3:$B$58,2,FALSE)</f>
        <v>5000</v>
      </c>
      <c r="P178" s="79" t="s">
        <v>42</v>
      </c>
      <c r="Q178" s="79" t="str">
        <f>+VLOOKUP(F178,[3]Material!$C$2:$E$12,2,FALSE)</f>
        <v>Cal 12</v>
      </c>
      <c r="R178" s="81">
        <f>+IF(P178="ACERO A36",VLOOKUP(Q178,'[3]Velocidades Std 1500 w'!$B$2:$F$15,5,FALSE),IF(P178="INOXIDABLE",VLOOKUP(Q178,'[3]Velocidades Std 1500 w'!$B$17:$F$28,5,FALSE),IF(P178="ALUMINIO",VLOOKUP(Q178,'[3]Velocidades Std 1500 w'!$B$30:$F$38,5,FALSE))))</f>
        <v>4.3859649122807014E-6</v>
      </c>
      <c r="S178" s="82">
        <f t="shared" si="31"/>
        <v>2.1929824561403508E-2</v>
      </c>
      <c r="T178" s="83">
        <f t="shared" si="32"/>
        <v>43.289621052631574</v>
      </c>
      <c r="U178" s="307">
        <f t="shared" si="33"/>
        <v>2741.6759999999999</v>
      </c>
      <c r="V178" s="80">
        <f t="shared" si="34"/>
        <v>60.124473684210521</v>
      </c>
      <c r="W178" s="98">
        <v>20</v>
      </c>
      <c r="X178" s="84">
        <f>+IF(P178="ACERO A36",VLOOKUP(Q178,'[3]Tiempo Objeto'!$B$2:$C$12,2,FALSE),IF(P178="INOXIDABLE",VLOOKUP(Q178,'[3]Tiempo Objeto'!$B$14:$C$22,2,FALSE),IF(P178="ALUMINIO",VLOOKUP(Q178,'[3]Tiempo Objeto'!$B$24:$C$32,2,FALSE))))</f>
        <v>0.6133333333333334</v>
      </c>
      <c r="Y178" s="84">
        <f t="shared" si="35"/>
        <v>12.266666666666667</v>
      </c>
      <c r="Z178" s="80">
        <f t="shared" si="36"/>
        <v>17.037037037037038</v>
      </c>
      <c r="AA178" s="100">
        <v>2</v>
      </c>
      <c r="AB178" s="86">
        <f>+AA178*Analisis!$J$6</f>
        <v>50</v>
      </c>
      <c r="AC178" s="100">
        <v>0</v>
      </c>
      <c r="AD178" s="85">
        <f t="shared" si="37"/>
        <v>0</v>
      </c>
      <c r="AE178" s="86">
        <f>+AC178*Analisis!$J$7</f>
        <v>0</v>
      </c>
      <c r="AF178" s="308">
        <f>+H178*0.0254*I178*0.0254*2*(1+[3]Analisis!$G$2)</f>
        <v>0.23153179499999996</v>
      </c>
      <c r="AG178" s="86">
        <f>+AF178*Analisis!$J$8</f>
        <v>24.669161491071431</v>
      </c>
      <c r="AH178" s="309">
        <f t="shared" si="27"/>
        <v>205.71427910662371</v>
      </c>
      <c r="AI178" s="86">
        <f>+AH178/(1-Analisis!G183)</f>
        <v>205.71427910662371</v>
      </c>
      <c r="AJ178" s="86">
        <f t="shared" si="38"/>
        <v>221.19814957701476</v>
      </c>
      <c r="AK178" s="86">
        <f t="shared" si="28"/>
        <v>0</v>
      </c>
      <c r="AL178" s="310" t="e">
        <f>+VLOOKUP(B178,#REF!,2,FALSE)</f>
        <v>#REF!</v>
      </c>
      <c r="AM178" s="311" t="e">
        <f t="shared" si="25"/>
        <v>#REF!</v>
      </c>
      <c r="AN178" s="312" t="e">
        <f t="shared" si="24"/>
        <v>#REF!</v>
      </c>
    </row>
    <row r="179" spans="1:40" s="73" customFormat="1" x14ac:dyDescent="0.25">
      <c r="A179" s="303">
        <v>142</v>
      </c>
      <c r="B179" s="304" t="s">
        <v>999</v>
      </c>
      <c r="D179" s="74">
        <f>IFERROR(VLOOKUP(B179,'REQ. PINTADO'!B:C,2,0),0)</f>
        <v>0</v>
      </c>
      <c r="E179" s="305">
        <f t="shared" si="29"/>
        <v>229.17635506442912</v>
      </c>
      <c r="F179" s="103" t="s">
        <v>165</v>
      </c>
      <c r="G179" s="75" t="s">
        <v>147</v>
      </c>
      <c r="H179" s="90">
        <v>8</v>
      </c>
      <c r="I179" s="90">
        <v>31.9</v>
      </c>
      <c r="J179" s="76">
        <v>0.105</v>
      </c>
      <c r="K179" s="306">
        <v>5.44</v>
      </c>
      <c r="L179" s="78">
        <f t="shared" si="30"/>
        <v>42.89494485294118</v>
      </c>
      <c r="M179" s="58">
        <f>+VLOOKUP(F179,Material!$H$2:$M$17,6,FALSE)*H179*I179*(1+Material!$K$14)</f>
        <v>106.06750000000001</v>
      </c>
      <c r="N179" s="79" t="str">
        <f t="shared" si="26"/>
        <v>T5.0</v>
      </c>
      <c r="O179" s="80">
        <f>+VLOOKUP(N179,[3]Material!$A$3:$B$58,2,FALSE)</f>
        <v>5000</v>
      </c>
      <c r="P179" s="79" t="s">
        <v>42</v>
      </c>
      <c r="Q179" s="79" t="str">
        <f>+VLOOKUP(F179,[3]Material!$C$2:$E$12,2,FALSE)</f>
        <v>Cal 14</v>
      </c>
      <c r="R179" s="81">
        <f>+IF(P179="ACERO A36",VLOOKUP(Q179,'[3]Velocidades Std 1500 w'!$B$2:$F$15,5,FALSE),IF(P179="INOXIDABLE",VLOOKUP(Q179,'[3]Velocidades Std 1500 w'!$B$17:$F$28,5,FALSE),IF(P179="ALUMINIO",VLOOKUP(Q179,'[3]Velocidades Std 1500 w'!$B$30:$F$38,5,FALSE))))</f>
        <v>2.0080321285140564E-6</v>
      </c>
      <c r="S179" s="82">
        <f t="shared" si="31"/>
        <v>1.0040160642570283E-2</v>
      </c>
      <c r="T179" s="83">
        <f t="shared" si="32"/>
        <v>29.84469397590362</v>
      </c>
      <c r="U179" s="307">
        <f t="shared" si="33"/>
        <v>4128.5160000000005</v>
      </c>
      <c r="V179" s="80">
        <f t="shared" si="34"/>
        <v>41.450963855421698</v>
      </c>
      <c r="W179" s="98">
        <v>50</v>
      </c>
      <c r="X179" s="84">
        <f>+IF(P179="ACERO A36",VLOOKUP(Q179,'[3]Tiempo Objeto'!$B$2:$C$12,2,FALSE),IF(P179="INOXIDABLE",VLOOKUP(Q179,'[3]Tiempo Objeto'!$B$14:$C$22,2,FALSE),IF(P179="ALUMINIO",VLOOKUP(Q179,'[3]Tiempo Objeto'!$B$24:$C$32,2,FALSE))))</f>
        <v>0.3133333333333333</v>
      </c>
      <c r="Y179" s="84">
        <f t="shared" si="35"/>
        <v>15.666666666666664</v>
      </c>
      <c r="Z179" s="80">
        <f t="shared" si="36"/>
        <v>21.75925925925926</v>
      </c>
      <c r="AA179" s="100">
        <v>0</v>
      </c>
      <c r="AB179" s="86">
        <f>+AA179*Analisis!$J$6</f>
        <v>0</v>
      </c>
      <c r="AC179" s="100">
        <v>0</v>
      </c>
      <c r="AD179" s="85">
        <f t="shared" si="37"/>
        <v>0</v>
      </c>
      <c r="AE179" s="86">
        <f>+AC179*Analisis!$J$7</f>
        <v>0</v>
      </c>
      <c r="AF179" s="308">
        <f>+H179*0.0254*I179*0.0254*2*(1+[3]Analisis!$G$2)</f>
        <v>0.41161207999999999</v>
      </c>
      <c r="AG179" s="86">
        <f>+AF179*Analisis!$J$8</f>
        <v>43.856287095238109</v>
      </c>
      <c r="AH179" s="309">
        <f t="shared" si="27"/>
        <v>213.13401020991907</v>
      </c>
      <c r="AI179" s="86">
        <f>+AH179/(1-Analisis!G184)</f>
        <v>213.13401020991907</v>
      </c>
      <c r="AJ179" s="86">
        <f t="shared" si="38"/>
        <v>229.17635506442912</v>
      </c>
      <c r="AK179" s="86">
        <f t="shared" si="28"/>
        <v>0</v>
      </c>
      <c r="AL179" s="310" t="e">
        <f>+VLOOKUP(B179,#REF!,2,FALSE)</f>
        <v>#REF!</v>
      </c>
      <c r="AM179" s="311" t="e">
        <f t="shared" si="25"/>
        <v>#REF!</v>
      </c>
      <c r="AN179" s="312" t="e">
        <f t="shared" si="24"/>
        <v>#REF!</v>
      </c>
    </row>
    <row r="180" spans="1:40" s="73" customFormat="1" x14ac:dyDescent="0.25">
      <c r="A180" s="303">
        <v>143</v>
      </c>
      <c r="B180" s="304" t="s">
        <v>1000</v>
      </c>
      <c r="D180" s="74">
        <f>IFERROR(VLOOKUP(B180,'REQ. PINTADO'!B:C,2,0),0)</f>
        <v>0</v>
      </c>
      <c r="E180" s="305">
        <f t="shared" si="29"/>
        <v>990.36103879551274</v>
      </c>
      <c r="F180" s="103" t="s">
        <v>163</v>
      </c>
      <c r="G180" s="75" t="s">
        <v>147</v>
      </c>
      <c r="H180" s="90">
        <v>31.9</v>
      </c>
      <c r="I180" s="90">
        <v>43.04</v>
      </c>
      <c r="J180" s="76">
        <v>0.105</v>
      </c>
      <c r="K180" s="306">
        <v>1</v>
      </c>
      <c r="L180" s="78">
        <f t="shared" si="30"/>
        <v>1133.8068821350942</v>
      </c>
      <c r="M180" s="58">
        <f>+VLOOKUP(F180,Material!$H$2:$M$17,6,FALSE)*H180*I180*(1+Material!$K$14)</f>
        <v>515.3667646068609</v>
      </c>
      <c r="N180" s="79" t="str">
        <f t="shared" si="26"/>
        <v>T5.0</v>
      </c>
      <c r="O180" s="80">
        <f>+VLOOKUP(N180,[3]Material!$A$3:$B$58,2,FALSE)</f>
        <v>5000</v>
      </c>
      <c r="P180" s="79" t="s">
        <v>42</v>
      </c>
      <c r="Q180" s="79" t="str">
        <f>+VLOOKUP(F180,[3]Material!$C$2:$E$12,2,FALSE)</f>
        <v>Cal 12</v>
      </c>
      <c r="R180" s="81">
        <f>+IF(P180="ACERO A36",VLOOKUP(Q180,'[3]Velocidades Std 1500 w'!$B$2:$F$15,5,FALSE),IF(P180="INOXIDABLE",VLOOKUP(Q180,'[3]Velocidades Std 1500 w'!$B$17:$F$28,5,FALSE),IF(P180="ALUMINIO",VLOOKUP(Q180,'[3]Velocidades Std 1500 w'!$B$30:$F$38,5,FALSE))))</f>
        <v>4.3859649122807014E-6</v>
      </c>
      <c r="S180" s="82">
        <f t="shared" si="31"/>
        <v>2.1929824561403508E-2</v>
      </c>
      <c r="T180" s="83">
        <f t="shared" si="32"/>
        <v>83.959967368421047</v>
      </c>
      <c r="U180" s="307">
        <f t="shared" si="33"/>
        <v>5317.4645999999993</v>
      </c>
      <c r="V180" s="80">
        <f t="shared" si="34"/>
        <v>116.61106578947366</v>
      </c>
      <c r="W180" s="98">
        <v>33</v>
      </c>
      <c r="X180" s="84">
        <f>+IF(P180="ACERO A36",VLOOKUP(Q180,'[3]Tiempo Objeto'!$B$2:$C$12,2,FALSE),IF(P180="INOXIDABLE",VLOOKUP(Q180,'[3]Tiempo Objeto'!$B$14:$C$22,2,FALSE),IF(P180="ALUMINIO",VLOOKUP(Q180,'[3]Tiempo Objeto'!$B$24:$C$32,2,FALSE))))</f>
        <v>0.6133333333333334</v>
      </c>
      <c r="Y180" s="84">
        <f t="shared" si="35"/>
        <v>20.240000000000002</v>
      </c>
      <c r="Z180" s="80">
        <f t="shared" si="36"/>
        <v>28.111111111111114</v>
      </c>
      <c r="AA180" s="100">
        <v>1</v>
      </c>
      <c r="AB180" s="86">
        <f>+AA180*Analisis!$J$6</f>
        <v>25</v>
      </c>
      <c r="AC180" s="100">
        <v>0</v>
      </c>
      <c r="AD180" s="85">
        <f t="shared" si="37"/>
        <v>0</v>
      </c>
      <c r="AE180" s="86">
        <f>+AC180*Analisis!$J$7</f>
        <v>0</v>
      </c>
      <c r="AF180" s="308">
        <f>+H180*0.0254*I180*0.0254*2*(1+[3]Analisis!$G$2)</f>
        <v>2.2144729904</v>
      </c>
      <c r="AG180" s="86">
        <f>+AF180*Analisis!$J$8</f>
        <v>235.94682457238102</v>
      </c>
      <c r="AH180" s="309">
        <f t="shared" si="27"/>
        <v>921.03576607982677</v>
      </c>
      <c r="AI180" s="86">
        <f>+AH180/(1-Analisis!G185)</f>
        <v>921.03576607982677</v>
      </c>
      <c r="AJ180" s="86">
        <f t="shared" si="38"/>
        <v>990.36103879551274</v>
      </c>
      <c r="AK180" s="86">
        <f t="shared" si="28"/>
        <v>0</v>
      </c>
      <c r="AL180" s="310" t="e">
        <f>+VLOOKUP(B180,#REF!,2,FALSE)</f>
        <v>#REF!</v>
      </c>
      <c r="AM180" s="311" t="e">
        <f t="shared" si="25"/>
        <v>#REF!</v>
      </c>
      <c r="AN180" s="312" t="e">
        <f t="shared" si="24"/>
        <v>#REF!</v>
      </c>
    </row>
    <row r="181" spans="1:40" s="73" customFormat="1" x14ac:dyDescent="0.25">
      <c r="A181" s="303">
        <v>144</v>
      </c>
      <c r="B181" s="304" t="s">
        <v>1001</v>
      </c>
      <c r="D181" s="74">
        <f>IFERROR(VLOOKUP(B181,'REQ. PINTADO'!B:C,2,0),0)</f>
        <v>0</v>
      </c>
      <c r="E181" s="305">
        <f t="shared" si="29"/>
        <v>1461.2452825494315</v>
      </c>
      <c r="F181" s="103" t="s">
        <v>163</v>
      </c>
      <c r="G181" s="75" t="s">
        <v>147</v>
      </c>
      <c r="H181" s="90">
        <v>24.15</v>
      </c>
      <c r="I181" s="90">
        <v>88.54</v>
      </c>
      <c r="J181" s="76">
        <v>0.105</v>
      </c>
      <c r="K181" s="306">
        <v>1</v>
      </c>
      <c r="L181" s="78">
        <f t="shared" si="30"/>
        <v>1765.7645592227582</v>
      </c>
      <c r="M181" s="58">
        <f>+VLOOKUP(F181,Material!$H$2:$M$17,6,FALSE)*H181*I181*(1+Material!$K$14)</f>
        <v>802.62025419216275</v>
      </c>
      <c r="N181" s="79" t="str">
        <f t="shared" si="26"/>
        <v>T5.0</v>
      </c>
      <c r="O181" s="80">
        <f>+VLOOKUP(N181,[3]Material!$A$3:$B$58,2,FALSE)</f>
        <v>5000</v>
      </c>
      <c r="P181" s="79" t="s">
        <v>42</v>
      </c>
      <c r="Q181" s="79" t="str">
        <f>+VLOOKUP(F181,[3]Material!$C$2:$E$12,2,FALSE)</f>
        <v>Cal 12</v>
      </c>
      <c r="R181" s="81">
        <f>+IF(P181="ACERO A36",VLOOKUP(Q181,'[3]Velocidades Std 1500 w'!$B$2:$F$15,5,FALSE),IF(P181="INOXIDABLE",VLOOKUP(Q181,'[3]Velocidades Std 1500 w'!$B$17:$F$28,5,FALSE),IF(P181="ALUMINIO",VLOOKUP(Q181,'[3]Velocidades Std 1500 w'!$B$30:$F$38,5,FALSE))))</f>
        <v>4.3859649122807014E-6</v>
      </c>
      <c r="S181" s="82">
        <f t="shared" si="31"/>
        <v>2.1929824561403508E-2</v>
      </c>
      <c r="T181" s="83">
        <f t="shared" si="32"/>
        <v>115.7534147368421</v>
      </c>
      <c r="U181" s="307">
        <f t="shared" si="33"/>
        <v>7331.0495999999994</v>
      </c>
      <c r="V181" s="80">
        <f t="shared" si="34"/>
        <v>160.76863157894735</v>
      </c>
      <c r="W181" s="98">
        <v>33</v>
      </c>
      <c r="X181" s="84">
        <f>+IF(P181="ACERO A36",VLOOKUP(Q181,'[3]Tiempo Objeto'!$B$2:$C$12,2,FALSE),IF(P181="INOXIDABLE",VLOOKUP(Q181,'[3]Tiempo Objeto'!$B$14:$C$22,2,FALSE),IF(P181="ALUMINIO",VLOOKUP(Q181,'[3]Tiempo Objeto'!$B$24:$C$32,2,FALSE))))</f>
        <v>0.6133333333333334</v>
      </c>
      <c r="Y181" s="84">
        <f t="shared" si="35"/>
        <v>20.240000000000002</v>
      </c>
      <c r="Z181" s="80">
        <f t="shared" si="36"/>
        <v>28.111111111111114</v>
      </c>
      <c r="AA181" s="100">
        <v>0</v>
      </c>
      <c r="AB181" s="86">
        <f>+AA181*Analisis!$J$6</f>
        <v>0</v>
      </c>
      <c r="AC181" s="100">
        <v>0</v>
      </c>
      <c r="AD181" s="85">
        <f t="shared" si="37"/>
        <v>0</v>
      </c>
      <c r="AE181" s="86">
        <f>+AC181*Analisis!$J$7</f>
        <v>0</v>
      </c>
      <c r="AF181" s="308">
        <f>+H181*0.0254*I181*0.0254*2*(1+[3]Analisis!$G$2)</f>
        <v>3.4487689088999995</v>
      </c>
      <c r="AG181" s="86">
        <f>+AF181*Analisis!$J$8</f>
        <v>367.45811588875006</v>
      </c>
      <c r="AH181" s="309">
        <f t="shared" si="27"/>
        <v>1358.9581127709712</v>
      </c>
      <c r="AI181" s="86">
        <f>+AH181/(1-Analisis!G186)</f>
        <v>1358.9581127709712</v>
      </c>
      <c r="AJ181" s="86">
        <f t="shared" si="38"/>
        <v>1461.2452825494315</v>
      </c>
      <c r="AK181" s="86">
        <f t="shared" si="28"/>
        <v>0</v>
      </c>
      <c r="AL181" s="310" t="e">
        <f>+VLOOKUP(B181,#REF!,2,FALSE)</f>
        <v>#REF!</v>
      </c>
      <c r="AM181" s="311" t="e">
        <f t="shared" si="25"/>
        <v>#REF!</v>
      </c>
      <c r="AN181" s="312" t="e">
        <f t="shared" si="24"/>
        <v>#REF!</v>
      </c>
    </row>
    <row r="182" spans="1:40" s="73" customFormat="1" x14ac:dyDescent="0.25">
      <c r="A182" s="303">
        <v>145</v>
      </c>
      <c r="B182" s="304" t="s">
        <v>1002</v>
      </c>
      <c r="D182" s="74">
        <f>IFERROR(VLOOKUP(B182,'REQ. PINTADO'!B:C,2,0),0)</f>
        <v>0</v>
      </c>
      <c r="E182" s="305">
        <f t="shared" si="29"/>
        <v>281.41273276299739</v>
      </c>
      <c r="F182" s="103" t="s">
        <v>166</v>
      </c>
      <c r="G182" s="75" t="s">
        <v>147</v>
      </c>
      <c r="H182" s="90">
        <v>13.98</v>
      </c>
      <c r="I182" s="90">
        <v>20.21</v>
      </c>
      <c r="J182" s="76">
        <v>0.105</v>
      </c>
      <c r="K182" s="306">
        <v>4.8099999999999996</v>
      </c>
      <c r="L182" s="78">
        <f t="shared" si="30"/>
        <v>29.289116455918016</v>
      </c>
      <c r="M182" s="58">
        <f>+VLOOKUP(F182,Material!$H$2:$M$17,6,FALSE)*H182*I182*(1+Material!$K$14)</f>
        <v>64.03665916043893</v>
      </c>
      <c r="N182" s="79" t="str">
        <f t="shared" si="26"/>
        <v>T5.0</v>
      </c>
      <c r="O182" s="80">
        <f>+VLOOKUP(N182,[3]Material!$A$3:$B$58,2,FALSE)</f>
        <v>5000</v>
      </c>
      <c r="P182" s="79" t="s">
        <v>42</v>
      </c>
      <c r="Q182" s="79" t="str">
        <f>+VLOOKUP(F182,[3]Material!$C$2:$E$12,2,FALSE)</f>
        <v>Cal 16</v>
      </c>
      <c r="R182" s="81">
        <f>+IF(P182="ACERO A36",VLOOKUP(Q182,'[3]Velocidades Std 1500 w'!$B$2:$F$15,5,FALSE),IF(P182="INOXIDABLE",VLOOKUP(Q182,'[3]Velocidades Std 1500 w'!$B$17:$F$28,5,FALSE),IF(P182="ALUMINIO",VLOOKUP(Q182,'[3]Velocidades Std 1500 w'!$B$30:$F$38,5,FALSE))))</f>
        <v>9.1575091575091579E-7</v>
      </c>
      <c r="S182" s="82">
        <f t="shared" si="31"/>
        <v>4.578754578754579E-3</v>
      </c>
      <c r="T182" s="83">
        <f t="shared" si="32"/>
        <v>9.9687184615384616</v>
      </c>
      <c r="U182" s="307">
        <f t="shared" si="33"/>
        <v>3023.8445999999999</v>
      </c>
      <c r="V182" s="80">
        <f t="shared" si="34"/>
        <v>13.845442307692307</v>
      </c>
      <c r="W182" s="98">
        <v>30</v>
      </c>
      <c r="X182" s="84">
        <f>+IF(P182="ACERO A36",VLOOKUP(Q182,'[3]Tiempo Objeto'!$B$2:$C$12,2,FALSE),IF(P182="INOXIDABLE",VLOOKUP(Q182,'[3]Tiempo Objeto'!$B$14:$C$22,2,FALSE),IF(P182="ALUMINIO",VLOOKUP(Q182,'[3]Tiempo Objeto'!$B$24:$C$32,2,FALSE))))</f>
        <v>0.24666666666666667</v>
      </c>
      <c r="Y182" s="84">
        <f t="shared" si="35"/>
        <v>7.4</v>
      </c>
      <c r="Z182" s="80">
        <f t="shared" si="36"/>
        <v>10.277777777777779</v>
      </c>
      <c r="AA182" s="100">
        <v>5</v>
      </c>
      <c r="AB182" s="86">
        <f>+AA182*Analisis!$J$6</f>
        <v>125</v>
      </c>
      <c r="AC182" s="100">
        <v>0</v>
      </c>
      <c r="AD182" s="85">
        <f t="shared" si="37"/>
        <v>0</v>
      </c>
      <c r="AE182" s="86">
        <f>+AC182*Analisis!$J$7</f>
        <v>0</v>
      </c>
      <c r="AF182" s="308">
        <f>+H182*0.0254*I182*0.0254*2*(1+[3]Analisis!$G$2)</f>
        <v>0.45570199181999999</v>
      </c>
      <c r="AG182" s="86">
        <f>+AF182*Analisis!$J$8</f>
        <v>48.553962223678582</v>
      </c>
      <c r="AH182" s="309">
        <f t="shared" si="27"/>
        <v>261.71384146958758</v>
      </c>
      <c r="AI182" s="86">
        <f>+AH182/(1-Analisis!G187)</f>
        <v>261.71384146958758</v>
      </c>
      <c r="AJ182" s="86">
        <f t="shared" si="38"/>
        <v>281.41273276299739</v>
      </c>
      <c r="AK182" s="86">
        <f t="shared" si="28"/>
        <v>0</v>
      </c>
      <c r="AL182" s="310" t="e">
        <f>+VLOOKUP(B182,#REF!,2,FALSE)</f>
        <v>#REF!</v>
      </c>
      <c r="AM182" s="311" t="e">
        <f t="shared" si="25"/>
        <v>#REF!</v>
      </c>
      <c r="AN182" s="312" t="e">
        <f t="shared" si="24"/>
        <v>#REF!</v>
      </c>
    </row>
    <row r="183" spans="1:40" s="73" customFormat="1" x14ac:dyDescent="0.25">
      <c r="A183" s="303">
        <v>146</v>
      </c>
      <c r="B183" s="304" t="s">
        <v>1003</v>
      </c>
      <c r="D183" s="74">
        <f>IFERROR(VLOOKUP(B183,'REQ. PINTADO'!B:C,2,0),0)</f>
        <v>0</v>
      </c>
      <c r="E183" s="305">
        <f t="shared" si="29"/>
        <v>217.07740878823046</v>
      </c>
      <c r="F183" s="103" t="s">
        <v>163</v>
      </c>
      <c r="G183" s="75" t="s">
        <v>147</v>
      </c>
      <c r="H183" s="90">
        <v>6.97</v>
      </c>
      <c r="I183" s="90">
        <v>21.9</v>
      </c>
      <c r="J183" s="76">
        <v>0.105</v>
      </c>
      <c r="K183" s="306">
        <v>4.5</v>
      </c>
      <c r="L183" s="78">
        <f t="shared" si="30"/>
        <v>28.011768095929678</v>
      </c>
      <c r="M183" s="58">
        <f>+VLOOKUP(F183,Material!$H$2:$M$17,6,FALSE)*H183*I183*(1+Material!$K$14)</f>
        <v>57.296798378037977</v>
      </c>
      <c r="N183" s="79" t="str">
        <f t="shared" si="26"/>
        <v>T5.0</v>
      </c>
      <c r="O183" s="80">
        <f>+VLOOKUP(N183,[3]Material!$A$3:$B$58,2,FALSE)</f>
        <v>5000</v>
      </c>
      <c r="P183" s="79" t="s">
        <v>42</v>
      </c>
      <c r="Q183" s="79" t="str">
        <f>+VLOOKUP(F183,[3]Material!$C$2:$E$12,2,FALSE)</f>
        <v>Cal 12</v>
      </c>
      <c r="R183" s="81">
        <f>+IF(P183="ACERO A36",VLOOKUP(Q183,'[3]Velocidades Std 1500 w'!$B$2:$F$15,5,FALSE),IF(P183="INOXIDABLE",VLOOKUP(Q183,'[3]Velocidades Std 1500 w'!$B$17:$F$28,5,FALSE),IF(P183="ALUMINIO",VLOOKUP(Q183,'[3]Velocidades Std 1500 w'!$B$30:$F$38,5,FALSE))))</f>
        <v>4.3859649122807014E-6</v>
      </c>
      <c r="S183" s="82">
        <f t="shared" si="31"/>
        <v>2.1929824561403508E-2</v>
      </c>
      <c r="T183" s="83">
        <f t="shared" si="32"/>
        <v>36.947775789473674</v>
      </c>
      <c r="U183" s="307">
        <f t="shared" si="33"/>
        <v>2340.0257999999994</v>
      </c>
      <c r="V183" s="80">
        <f t="shared" si="34"/>
        <v>51.316355263157881</v>
      </c>
      <c r="W183" s="98">
        <v>20</v>
      </c>
      <c r="X183" s="84">
        <f>+IF(P183="ACERO A36",VLOOKUP(Q183,'[3]Tiempo Objeto'!$B$2:$C$12,2,FALSE),IF(P183="INOXIDABLE",VLOOKUP(Q183,'[3]Tiempo Objeto'!$B$14:$C$22,2,FALSE),IF(P183="ALUMINIO",VLOOKUP(Q183,'[3]Tiempo Objeto'!$B$24:$C$32,2,FALSE))))</f>
        <v>0.6133333333333334</v>
      </c>
      <c r="Y183" s="84">
        <f t="shared" si="35"/>
        <v>12.266666666666667</v>
      </c>
      <c r="Z183" s="80">
        <f t="shared" si="36"/>
        <v>17.037037037037038</v>
      </c>
      <c r="AA183" s="100">
        <v>2</v>
      </c>
      <c r="AB183" s="86">
        <f>+AA183*Analisis!$J$6</f>
        <v>50</v>
      </c>
      <c r="AC183" s="100">
        <v>0</v>
      </c>
      <c r="AD183" s="85">
        <f t="shared" si="37"/>
        <v>0</v>
      </c>
      <c r="AE183" s="86">
        <f>+AC183*Analisis!$J$7</f>
        <v>0</v>
      </c>
      <c r="AF183" s="308">
        <f>+H183*0.0254*I183*0.0254*2*(1+[3]Analisis!$G$2)</f>
        <v>0.24619789469999992</v>
      </c>
      <c r="AG183" s="86">
        <f>+AF183*Analisis!$J$8</f>
        <v>26.231799494821427</v>
      </c>
      <c r="AH183" s="309">
        <f t="shared" si="27"/>
        <v>201.88199017305431</v>
      </c>
      <c r="AI183" s="86">
        <f>+AH183/(1-Analisis!G188)</f>
        <v>201.88199017305431</v>
      </c>
      <c r="AJ183" s="86">
        <f t="shared" si="38"/>
        <v>217.07740878823046</v>
      </c>
      <c r="AK183" s="86">
        <f t="shared" si="28"/>
        <v>0</v>
      </c>
      <c r="AL183" s="310" t="e">
        <f>+VLOOKUP(B183,#REF!,2,FALSE)</f>
        <v>#REF!</v>
      </c>
      <c r="AM183" s="311" t="e">
        <f t="shared" si="25"/>
        <v>#REF!</v>
      </c>
      <c r="AN183" s="312" t="e">
        <f t="shared" si="24"/>
        <v>#REF!</v>
      </c>
    </row>
    <row r="184" spans="1:40" s="73" customFormat="1" x14ac:dyDescent="0.25">
      <c r="A184" s="303">
        <v>147</v>
      </c>
      <c r="B184" s="304" t="s">
        <v>1004</v>
      </c>
      <c r="D184" s="74">
        <f>IFERROR(VLOOKUP(B184,'REQ. PINTADO'!B:C,2,0),0)</f>
        <v>0</v>
      </c>
      <c r="E184" s="305">
        <f t="shared" si="29"/>
        <v>270.66695791916021</v>
      </c>
      <c r="F184" s="103" t="s">
        <v>163</v>
      </c>
      <c r="G184" s="75" t="s">
        <v>147</v>
      </c>
      <c r="H184" s="90">
        <v>6.97</v>
      </c>
      <c r="I184" s="90">
        <v>31.9</v>
      </c>
      <c r="J184" s="76">
        <v>0.105</v>
      </c>
      <c r="K184" s="306">
        <v>6.6</v>
      </c>
      <c r="L184" s="78">
        <f t="shared" si="30"/>
        <v>27.81990667061509</v>
      </c>
      <c r="M184" s="58">
        <f>+VLOOKUP(F184,Material!$H$2:$M$17,6,FALSE)*H184*I184*(1+Material!$K$14)</f>
        <v>83.459720011845263</v>
      </c>
      <c r="N184" s="79" t="str">
        <f t="shared" si="26"/>
        <v>T5.0</v>
      </c>
      <c r="O184" s="80">
        <f>+VLOOKUP(N184,[3]Material!$A$3:$B$58,2,FALSE)</f>
        <v>5000</v>
      </c>
      <c r="P184" s="79" t="s">
        <v>42</v>
      </c>
      <c r="Q184" s="79" t="str">
        <f>+VLOOKUP(F184,[3]Material!$C$2:$E$12,2,FALSE)</f>
        <v>Cal 12</v>
      </c>
      <c r="R184" s="81">
        <f>+IF(P184="ACERO A36",VLOOKUP(Q184,'[3]Velocidades Std 1500 w'!$B$2:$F$15,5,FALSE),IF(P184="INOXIDABLE",VLOOKUP(Q184,'[3]Velocidades Std 1500 w'!$B$17:$F$28,5,FALSE),IF(P184="ALUMINIO",VLOOKUP(Q184,'[3]Velocidades Std 1500 w'!$B$30:$F$38,5,FALSE))))</f>
        <v>4.3859649122807014E-6</v>
      </c>
      <c r="S184" s="82">
        <f t="shared" si="31"/>
        <v>2.1929824561403508E-2</v>
      </c>
      <c r="T184" s="83">
        <f t="shared" si="32"/>
        <v>45.36988105263157</v>
      </c>
      <c r="U184" s="307">
        <f t="shared" si="33"/>
        <v>2873.4257999999995</v>
      </c>
      <c r="V184" s="80">
        <f t="shared" si="34"/>
        <v>63.013723684210511</v>
      </c>
      <c r="W184" s="98">
        <v>20</v>
      </c>
      <c r="X184" s="84">
        <f>+IF(P184="ACERO A36",VLOOKUP(Q184,'[3]Tiempo Objeto'!$B$2:$C$12,2,FALSE),IF(P184="INOXIDABLE",VLOOKUP(Q184,'[3]Tiempo Objeto'!$B$14:$C$22,2,FALSE),IF(P184="ALUMINIO",VLOOKUP(Q184,'[3]Tiempo Objeto'!$B$24:$C$32,2,FALSE))))</f>
        <v>0.6133333333333334</v>
      </c>
      <c r="Y184" s="84">
        <f t="shared" si="35"/>
        <v>12.266666666666667</v>
      </c>
      <c r="Z184" s="80">
        <f t="shared" si="36"/>
        <v>17.037037037037038</v>
      </c>
      <c r="AA184" s="100">
        <v>2</v>
      </c>
      <c r="AB184" s="86">
        <f>+AA184*Analisis!$J$6</f>
        <v>50</v>
      </c>
      <c r="AC184" s="100">
        <v>0</v>
      </c>
      <c r="AD184" s="85">
        <f t="shared" si="37"/>
        <v>0</v>
      </c>
      <c r="AE184" s="86">
        <f>+AC184*Analisis!$J$7</f>
        <v>0</v>
      </c>
      <c r="AF184" s="308">
        <f>+H184*0.0254*I184*0.0254*2*(1+[3]Analisis!$G$2)</f>
        <v>0.3586170246999999</v>
      </c>
      <c r="AG184" s="86">
        <f>+AF184*Analisis!$J$8</f>
        <v>38.209790131726194</v>
      </c>
      <c r="AH184" s="309">
        <f t="shared" si="27"/>
        <v>251.72027086481899</v>
      </c>
      <c r="AI184" s="86">
        <f>+AH184/(1-Analisis!G189)</f>
        <v>251.72027086481899</v>
      </c>
      <c r="AJ184" s="86">
        <f t="shared" si="38"/>
        <v>270.66695791916021</v>
      </c>
      <c r="AK184" s="86">
        <f t="shared" si="28"/>
        <v>0</v>
      </c>
      <c r="AL184" s="310" t="e">
        <f>+VLOOKUP(B184,#REF!,2,FALSE)</f>
        <v>#REF!</v>
      </c>
      <c r="AM184" s="311" t="e">
        <f t="shared" si="25"/>
        <v>#REF!</v>
      </c>
      <c r="AN184" s="312" t="e">
        <f t="shared" si="24"/>
        <v>#REF!</v>
      </c>
    </row>
    <row r="185" spans="1:40" s="73" customFormat="1" x14ac:dyDescent="0.25">
      <c r="A185" s="303">
        <v>148</v>
      </c>
      <c r="B185" s="304" t="s">
        <v>1005</v>
      </c>
      <c r="D185" s="74">
        <f>IFERROR(VLOOKUP(B185,'REQ. PINTADO'!B:C,2,0),0)</f>
        <v>0</v>
      </c>
      <c r="E185" s="305">
        <f t="shared" si="29"/>
        <v>224.08185766230116</v>
      </c>
      <c r="F185" s="103" t="s">
        <v>163</v>
      </c>
      <c r="G185" s="75" t="s">
        <v>147</v>
      </c>
      <c r="H185" s="90">
        <v>21.9</v>
      </c>
      <c r="I185" s="90">
        <v>8.84</v>
      </c>
      <c r="J185" s="76">
        <v>0.105</v>
      </c>
      <c r="K185" s="306">
        <v>5.77</v>
      </c>
      <c r="L185" s="78">
        <f t="shared" si="30"/>
        <v>27.707459671334256</v>
      </c>
      <c r="M185" s="58">
        <f>+VLOOKUP(F185,Material!$H$2:$M$17,6,FALSE)*H185*I185*(1+Material!$K$14)</f>
        <v>72.669110137999382</v>
      </c>
      <c r="N185" s="79" t="str">
        <f t="shared" si="26"/>
        <v>T5.0</v>
      </c>
      <c r="O185" s="80">
        <f>+VLOOKUP(N185,[3]Material!$A$3:$B$58,2,FALSE)</f>
        <v>5000</v>
      </c>
      <c r="P185" s="79" t="s">
        <v>42</v>
      </c>
      <c r="Q185" s="79" t="str">
        <f>+VLOOKUP(F185,[3]Material!$C$2:$E$12,2,FALSE)</f>
        <v>Cal 12</v>
      </c>
      <c r="R185" s="81">
        <f>+IF(P185="ACERO A36",VLOOKUP(Q185,'[3]Velocidades Std 1500 w'!$B$2:$F$15,5,FALSE),IF(P185="INOXIDABLE",VLOOKUP(Q185,'[3]Velocidades Std 1500 w'!$B$17:$F$28,5,FALSE),IF(P185="ALUMINIO",VLOOKUP(Q185,'[3]Velocidades Std 1500 w'!$B$30:$F$38,5,FALSE))))</f>
        <v>4.3859649122807014E-6</v>
      </c>
      <c r="S185" s="82">
        <f t="shared" si="31"/>
        <v>2.1929824561403508E-2</v>
      </c>
      <c r="T185" s="83">
        <f t="shared" si="32"/>
        <v>41.049341052631576</v>
      </c>
      <c r="U185" s="307">
        <f t="shared" si="33"/>
        <v>2599.7916</v>
      </c>
      <c r="V185" s="80">
        <f t="shared" si="34"/>
        <v>57.012973684210522</v>
      </c>
      <c r="W185" s="98">
        <v>24</v>
      </c>
      <c r="X185" s="84">
        <f>+IF(P185="ACERO A36",VLOOKUP(Q185,'[3]Tiempo Objeto'!$B$2:$C$12,2,FALSE),IF(P185="INOXIDABLE",VLOOKUP(Q185,'[3]Tiempo Objeto'!$B$14:$C$22,2,FALSE),IF(P185="ALUMINIO",VLOOKUP(Q185,'[3]Tiempo Objeto'!$B$24:$C$32,2,FALSE))))</f>
        <v>0.6133333333333334</v>
      </c>
      <c r="Y185" s="84">
        <f t="shared" si="35"/>
        <v>14.720000000000002</v>
      </c>
      <c r="Z185" s="80">
        <f t="shared" si="36"/>
        <v>20.44444444444445</v>
      </c>
      <c r="AA185" s="100">
        <v>1</v>
      </c>
      <c r="AB185" s="86">
        <f>+AA185*Analisis!$J$6</f>
        <v>25</v>
      </c>
      <c r="AC185" s="100">
        <v>0</v>
      </c>
      <c r="AD185" s="85">
        <f t="shared" si="37"/>
        <v>0</v>
      </c>
      <c r="AE185" s="86">
        <f>+AC185*Analisis!$J$7</f>
        <v>0</v>
      </c>
      <c r="AF185" s="308">
        <f>+H185*0.0254*I185*0.0254*2*(1+[3]Analisis!$G$2)</f>
        <v>0.31225098839999993</v>
      </c>
      <c r="AG185" s="86">
        <f>+AF185*Analisis!$J$8</f>
        <v>33.269599359285714</v>
      </c>
      <c r="AH185" s="309">
        <f t="shared" si="27"/>
        <v>208.39612762594007</v>
      </c>
      <c r="AI185" s="86">
        <f>+AH185/(1-Analisis!G190)</f>
        <v>208.39612762594007</v>
      </c>
      <c r="AJ185" s="86">
        <f t="shared" si="38"/>
        <v>224.08185766230116</v>
      </c>
      <c r="AK185" s="86">
        <f t="shared" si="28"/>
        <v>0</v>
      </c>
      <c r="AL185" s="310" t="e">
        <f>+VLOOKUP(B185,#REF!,2,FALSE)</f>
        <v>#REF!</v>
      </c>
      <c r="AM185" s="311" t="e">
        <f t="shared" si="25"/>
        <v>#REF!</v>
      </c>
      <c r="AN185" s="312" t="e">
        <f t="shared" si="24"/>
        <v>#REF!</v>
      </c>
    </row>
    <row r="186" spans="1:40" s="73" customFormat="1" x14ac:dyDescent="0.25">
      <c r="A186" s="303">
        <v>149</v>
      </c>
      <c r="B186" s="304" t="s">
        <v>1006</v>
      </c>
      <c r="D186" s="74">
        <f>IFERROR(VLOOKUP(B186,'REQ. PINTADO'!B:C,2,0),0)</f>
        <v>0</v>
      </c>
      <c r="E186" s="305">
        <f t="shared" si="29"/>
        <v>288.67455483880747</v>
      </c>
      <c r="F186" s="103" t="s">
        <v>163</v>
      </c>
      <c r="G186" s="75" t="s">
        <v>147</v>
      </c>
      <c r="H186" s="90">
        <v>31.9</v>
      </c>
      <c r="I186" s="90">
        <v>8.84</v>
      </c>
      <c r="J186" s="76">
        <v>0.105</v>
      </c>
      <c r="K186" s="306">
        <v>5.77</v>
      </c>
      <c r="L186" s="78">
        <f t="shared" si="30"/>
        <v>40.35926774043665</v>
      </c>
      <c r="M186" s="58">
        <f>+VLOOKUP(F186,Material!$H$2:$M$17,6,FALSE)*H186*I186*(1+Material!$K$14)</f>
        <v>105.85135221014521</v>
      </c>
      <c r="N186" s="79" t="str">
        <f t="shared" si="26"/>
        <v>T5.0</v>
      </c>
      <c r="O186" s="80">
        <f>+VLOOKUP(N186,[3]Material!$A$3:$B$58,2,FALSE)</f>
        <v>5000</v>
      </c>
      <c r="P186" s="79" t="s">
        <v>42</v>
      </c>
      <c r="Q186" s="79" t="str">
        <f>+VLOOKUP(F186,[3]Material!$C$2:$E$12,2,FALSE)</f>
        <v>Cal 12</v>
      </c>
      <c r="R186" s="81">
        <f>+IF(P186="ACERO A36",VLOOKUP(Q186,'[3]Velocidades Std 1500 w'!$B$2:$F$15,5,FALSE),IF(P186="INOXIDABLE",VLOOKUP(Q186,'[3]Velocidades Std 1500 w'!$B$17:$F$28,5,FALSE),IF(P186="ALUMINIO",VLOOKUP(Q186,'[3]Velocidades Std 1500 w'!$B$30:$F$38,5,FALSE))))</f>
        <v>4.3859649122807014E-6</v>
      </c>
      <c r="S186" s="82">
        <f t="shared" si="31"/>
        <v>2.1929824561403508E-2</v>
      </c>
      <c r="T186" s="83">
        <f t="shared" si="32"/>
        <v>49.471446315789464</v>
      </c>
      <c r="U186" s="307">
        <f t="shared" si="33"/>
        <v>3133.1915999999997</v>
      </c>
      <c r="V186" s="80">
        <f t="shared" si="34"/>
        <v>68.710342105263152</v>
      </c>
      <c r="W186" s="98">
        <v>24</v>
      </c>
      <c r="X186" s="84">
        <f>+IF(P186="ACERO A36",VLOOKUP(Q186,'[3]Tiempo Objeto'!$B$2:$C$12,2,FALSE),IF(P186="INOXIDABLE",VLOOKUP(Q186,'[3]Tiempo Objeto'!$B$14:$C$22,2,FALSE),IF(P186="ALUMINIO",VLOOKUP(Q186,'[3]Tiempo Objeto'!$B$24:$C$32,2,FALSE))))</f>
        <v>0.6133333333333334</v>
      </c>
      <c r="Y186" s="84">
        <f t="shared" si="35"/>
        <v>14.720000000000002</v>
      </c>
      <c r="Z186" s="80">
        <f t="shared" si="36"/>
        <v>20.44444444444445</v>
      </c>
      <c r="AA186" s="100">
        <v>1</v>
      </c>
      <c r="AB186" s="86">
        <f>+AA186*Analisis!$J$6</f>
        <v>25</v>
      </c>
      <c r="AC186" s="100">
        <v>0</v>
      </c>
      <c r="AD186" s="85">
        <f t="shared" si="37"/>
        <v>0</v>
      </c>
      <c r="AE186" s="86">
        <f>+AC186*Analisis!$J$7</f>
        <v>0</v>
      </c>
      <c r="AF186" s="308">
        <f>+H186*0.0254*I186*0.0254*2*(1+[3]Analisis!$G$2)</f>
        <v>0.4548313484</v>
      </c>
      <c r="AG186" s="86">
        <f>+AF186*Analisis!$J$8</f>
        <v>48.461197240238107</v>
      </c>
      <c r="AH186" s="309">
        <f t="shared" si="27"/>
        <v>268.46733600009094</v>
      </c>
      <c r="AI186" s="86">
        <f>+AH186/(1-Analisis!G191)</f>
        <v>268.46733600009094</v>
      </c>
      <c r="AJ186" s="86">
        <f t="shared" si="38"/>
        <v>288.67455483880747</v>
      </c>
      <c r="AK186" s="86">
        <f t="shared" si="28"/>
        <v>0</v>
      </c>
      <c r="AL186" s="310" t="e">
        <f>+VLOOKUP(B186,#REF!,2,FALSE)</f>
        <v>#REF!</v>
      </c>
      <c r="AM186" s="311" t="e">
        <f t="shared" si="25"/>
        <v>#REF!</v>
      </c>
      <c r="AN186" s="312" t="e">
        <f t="shared" si="24"/>
        <v>#REF!</v>
      </c>
    </row>
    <row r="187" spans="1:40" s="73" customFormat="1" x14ac:dyDescent="0.25">
      <c r="A187" s="303">
        <v>150</v>
      </c>
      <c r="B187" s="304" t="s">
        <v>1007</v>
      </c>
      <c r="D187" s="74">
        <f>IFERROR(VLOOKUP(B187,'REQ. PINTADO'!B:C,2,0),0)</f>
        <v>0</v>
      </c>
      <c r="E187" s="305">
        <f t="shared" si="29"/>
        <v>125.12301358136489</v>
      </c>
      <c r="F187" s="103" t="s">
        <v>163</v>
      </c>
      <c r="G187" s="75" t="s">
        <v>147</v>
      </c>
      <c r="H187" s="90">
        <v>4.17</v>
      </c>
      <c r="I187" s="90">
        <v>21.55</v>
      </c>
      <c r="J187" s="76">
        <v>0.105</v>
      </c>
      <c r="K187" s="306">
        <v>2.68</v>
      </c>
      <c r="L187" s="78">
        <f t="shared" si="30"/>
        <v>27.690109842433525</v>
      </c>
      <c r="M187" s="58">
        <f>+VLOOKUP(F187,Material!$H$2:$M$17,6,FALSE)*H187*I187*(1+Material!$K$14)</f>
        <v>33.731588353509927</v>
      </c>
      <c r="N187" s="79" t="str">
        <f t="shared" si="26"/>
        <v>T5.0</v>
      </c>
      <c r="O187" s="80">
        <f>+VLOOKUP(N187,[3]Material!$A$3:$B$58,2,FALSE)</f>
        <v>5000</v>
      </c>
      <c r="P187" s="79" t="s">
        <v>42</v>
      </c>
      <c r="Q187" s="79" t="str">
        <f>+VLOOKUP(F187,[3]Material!$C$2:$E$12,2,FALSE)</f>
        <v>Cal 12</v>
      </c>
      <c r="R187" s="81">
        <f>+IF(P187="ACERO A36",VLOOKUP(Q187,'[3]Velocidades Std 1500 w'!$B$2:$F$15,5,FALSE),IF(P187="INOXIDABLE",VLOOKUP(Q187,'[3]Velocidades Std 1500 w'!$B$17:$F$28,5,FALSE),IF(P187="ALUMINIO",VLOOKUP(Q187,'[3]Velocidades Std 1500 w'!$B$30:$F$38,5,FALSE))))</f>
        <v>4.3859649122807014E-6</v>
      </c>
      <c r="S187" s="82">
        <f t="shared" si="31"/>
        <v>2.1929824561403508E-2</v>
      </c>
      <c r="T187" s="83">
        <f t="shared" si="32"/>
        <v>26.083259999999996</v>
      </c>
      <c r="U187" s="307">
        <f t="shared" si="33"/>
        <v>1651.9397999999999</v>
      </c>
      <c r="V187" s="80">
        <f t="shared" si="34"/>
        <v>36.226749999999996</v>
      </c>
      <c r="W187" s="98">
        <v>7</v>
      </c>
      <c r="X187" s="84">
        <f>+IF(P187="ACERO A36",VLOOKUP(Q187,'[3]Tiempo Objeto'!$B$2:$C$12,2,FALSE),IF(P187="INOXIDABLE",VLOOKUP(Q187,'[3]Tiempo Objeto'!$B$14:$C$22,2,FALSE),IF(P187="ALUMINIO",VLOOKUP(Q187,'[3]Tiempo Objeto'!$B$24:$C$32,2,FALSE))))</f>
        <v>0.6133333333333334</v>
      </c>
      <c r="Y187" s="84">
        <f t="shared" si="35"/>
        <v>4.2933333333333339</v>
      </c>
      <c r="Z187" s="80">
        <f t="shared" si="36"/>
        <v>5.9629629629629637</v>
      </c>
      <c r="AA187" s="100">
        <v>1</v>
      </c>
      <c r="AB187" s="86">
        <f>+AA187*Analisis!$J$6</f>
        <v>25</v>
      </c>
      <c r="AC187" s="100">
        <v>0</v>
      </c>
      <c r="AD187" s="85">
        <f t="shared" si="37"/>
        <v>0</v>
      </c>
      <c r="AE187" s="86">
        <f>+AC187*Analisis!$J$7</f>
        <v>0</v>
      </c>
      <c r="AF187" s="308">
        <f>+H187*0.0254*I187*0.0254*2*(1+[3]Analisis!$G$2)</f>
        <v>0.14494083915</v>
      </c>
      <c r="AG187" s="86">
        <f>+AF187*Analisis!$J$8</f>
        <v>15.443101314196433</v>
      </c>
      <c r="AH187" s="309">
        <f t="shared" si="27"/>
        <v>116.36440263066933</v>
      </c>
      <c r="AI187" s="86">
        <f>+AH187/(1-Analisis!G192)</f>
        <v>116.36440263066933</v>
      </c>
      <c r="AJ187" s="86">
        <f t="shared" si="38"/>
        <v>125.12301358136489</v>
      </c>
      <c r="AK187" s="86">
        <f t="shared" si="28"/>
        <v>0</v>
      </c>
      <c r="AL187" s="310" t="e">
        <f>+VLOOKUP(B187,#REF!,2,FALSE)</f>
        <v>#REF!</v>
      </c>
      <c r="AM187" s="311" t="e">
        <f t="shared" si="25"/>
        <v>#REF!</v>
      </c>
      <c r="AN187" s="312" t="e">
        <f t="shared" si="24"/>
        <v>#REF!</v>
      </c>
    </row>
    <row r="188" spans="1:40" s="73" customFormat="1" x14ac:dyDescent="0.25">
      <c r="A188" s="303">
        <v>151</v>
      </c>
      <c r="B188" s="304" t="s">
        <v>1008</v>
      </c>
      <c r="D188" s="74">
        <f>IFERROR(VLOOKUP(B188,'REQ. PINTADO'!B:C,2,0),0)</f>
        <v>0</v>
      </c>
      <c r="E188" s="305">
        <f t="shared" si="29"/>
        <v>136.85786263673828</v>
      </c>
      <c r="F188" s="103" t="s">
        <v>165</v>
      </c>
      <c r="G188" s="75" t="s">
        <v>147</v>
      </c>
      <c r="H188" s="90">
        <v>4.17</v>
      </c>
      <c r="I188" s="90">
        <v>31.55</v>
      </c>
      <c r="J188" s="76">
        <v>0.105</v>
      </c>
      <c r="K188" s="306">
        <v>3.92</v>
      </c>
      <c r="L188" s="78">
        <f t="shared" si="30"/>
        <v>30.688361049107151</v>
      </c>
      <c r="M188" s="58">
        <f>+VLOOKUP(F188,Material!$H$2:$M$17,6,FALSE)*H188*I188*(1+Material!$K$14)</f>
        <v>54.681079687500009</v>
      </c>
      <c r="N188" s="79" t="str">
        <f t="shared" si="26"/>
        <v>T5.0</v>
      </c>
      <c r="O188" s="80">
        <f>+VLOOKUP(N188,[3]Material!$A$3:$B$58,2,FALSE)</f>
        <v>5000</v>
      </c>
      <c r="P188" s="79" t="s">
        <v>42</v>
      </c>
      <c r="Q188" s="79" t="str">
        <f>+VLOOKUP(F188,[3]Material!$C$2:$E$12,2,FALSE)</f>
        <v>Cal 14</v>
      </c>
      <c r="R188" s="81">
        <f>+IF(P188="ACERO A36",VLOOKUP(Q188,'[3]Velocidades Std 1500 w'!$B$2:$F$15,5,FALSE),IF(P188="INOXIDABLE",VLOOKUP(Q188,'[3]Velocidades Std 1500 w'!$B$17:$F$28,5,FALSE),IF(P188="ALUMINIO",VLOOKUP(Q188,'[3]Velocidades Std 1500 w'!$B$30:$F$38,5,FALSE))))</f>
        <v>2.0080321285140564E-6</v>
      </c>
      <c r="S188" s="82">
        <f t="shared" si="31"/>
        <v>1.0040160642570283E-2</v>
      </c>
      <c r="T188" s="83">
        <f t="shared" si="32"/>
        <v>15.797637108433735</v>
      </c>
      <c r="U188" s="307">
        <f t="shared" si="33"/>
        <v>2185.3397999999997</v>
      </c>
      <c r="V188" s="80">
        <f t="shared" si="34"/>
        <v>21.941162650602411</v>
      </c>
      <c r="W188" s="98">
        <v>7</v>
      </c>
      <c r="X188" s="84">
        <f>+IF(P188="ACERO A36",VLOOKUP(Q188,'[3]Tiempo Objeto'!$B$2:$C$12,2,FALSE),IF(P188="INOXIDABLE",VLOOKUP(Q188,'[3]Tiempo Objeto'!$B$14:$C$22,2,FALSE),IF(P188="ALUMINIO",VLOOKUP(Q188,'[3]Tiempo Objeto'!$B$24:$C$32,2,FALSE))))</f>
        <v>0.3133333333333333</v>
      </c>
      <c r="Y188" s="84">
        <f t="shared" si="35"/>
        <v>2.1933333333333329</v>
      </c>
      <c r="Z188" s="80">
        <f t="shared" si="36"/>
        <v>3.0462962962962958</v>
      </c>
      <c r="AA188" s="100">
        <v>1</v>
      </c>
      <c r="AB188" s="86">
        <f>+AA188*Analisis!$J$6</f>
        <v>25</v>
      </c>
      <c r="AC188" s="100">
        <v>0</v>
      </c>
      <c r="AD188" s="85">
        <f t="shared" si="37"/>
        <v>0</v>
      </c>
      <c r="AE188" s="86">
        <f>+AC188*Analisis!$J$7</f>
        <v>0</v>
      </c>
      <c r="AF188" s="308">
        <f>+H188*0.0254*I188*0.0254*2*(1+[3]Analisis!$G$2)</f>
        <v>0.21219876915000002</v>
      </c>
      <c r="AG188" s="86">
        <f>+AF188*Analisis!$J$8</f>
        <v>22.609273617767865</v>
      </c>
      <c r="AH188" s="309">
        <f t="shared" si="27"/>
        <v>127.27781225216658</v>
      </c>
      <c r="AI188" s="86">
        <f>+AH188/(1-Analisis!G193)</f>
        <v>127.27781225216658</v>
      </c>
      <c r="AJ188" s="86">
        <f t="shared" si="38"/>
        <v>136.85786263673828</v>
      </c>
      <c r="AK188" s="86">
        <f t="shared" si="28"/>
        <v>0</v>
      </c>
      <c r="AL188" s="310" t="e">
        <f>+VLOOKUP(B188,#REF!,2,FALSE)</f>
        <v>#REF!</v>
      </c>
      <c r="AM188" s="311" t="e">
        <f t="shared" si="25"/>
        <v>#REF!</v>
      </c>
      <c r="AN188" s="312" t="e">
        <f t="shared" si="24"/>
        <v>#REF!</v>
      </c>
    </row>
    <row r="189" spans="1:40" s="73" customFormat="1" x14ac:dyDescent="0.25">
      <c r="A189" s="303">
        <v>152</v>
      </c>
      <c r="B189" s="304" t="s">
        <v>1009</v>
      </c>
      <c r="D189" s="74">
        <f>IFERROR(VLOOKUP(B189,'REQ. PINTADO'!B:C,2,0),0)</f>
        <v>0</v>
      </c>
      <c r="E189" s="305">
        <f t="shared" si="29"/>
        <v>323.68803690322727</v>
      </c>
      <c r="F189" s="103" t="s">
        <v>166</v>
      </c>
      <c r="G189" s="75" t="s">
        <v>147</v>
      </c>
      <c r="H189" s="90">
        <v>13.93</v>
      </c>
      <c r="I189" s="90">
        <v>27.61</v>
      </c>
      <c r="J189" s="76">
        <v>0.105</v>
      </c>
      <c r="K189" s="306">
        <v>6.55</v>
      </c>
      <c r="L189" s="78">
        <f t="shared" si="30"/>
        <v>29.278854761290944</v>
      </c>
      <c r="M189" s="58">
        <f>+VLOOKUP(F189,Material!$H$2:$M$17,6,FALSE)*H189*I189*(1+Material!$K$14)</f>
        <v>87.171135766570757</v>
      </c>
      <c r="N189" s="79" t="str">
        <f t="shared" si="26"/>
        <v>T5.0</v>
      </c>
      <c r="O189" s="80">
        <f>+VLOOKUP(N189,[3]Material!$A$3:$B$58,2,FALSE)</f>
        <v>5000</v>
      </c>
      <c r="P189" s="79" t="s">
        <v>42</v>
      </c>
      <c r="Q189" s="79" t="str">
        <f>+VLOOKUP(F189,[3]Material!$C$2:$E$12,2,FALSE)</f>
        <v>Cal 16</v>
      </c>
      <c r="R189" s="81">
        <f>+IF(P189="ACERO A36",VLOOKUP(Q189,'[3]Velocidades Std 1500 w'!$B$2:$F$15,5,FALSE),IF(P189="INOXIDABLE",VLOOKUP(Q189,'[3]Velocidades Std 1500 w'!$B$17:$F$28,5,FALSE),IF(P189="ALUMINIO",VLOOKUP(Q189,'[3]Velocidades Std 1500 w'!$B$30:$F$38,5,FALSE))))</f>
        <v>9.1575091575091579E-7</v>
      </c>
      <c r="S189" s="82">
        <f t="shared" si="31"/>
        <v>4.578754578754579E-3</v>
      </c>
      <c r="T189" s="83">
        <f t="shared" si="32"/>
        <v>10.46988</v>
      </c>
      <c r="U189" s="307">
        <f t="shared" si="33"/>
        <v>3175.8635999999997</v>
      </c>
      <c r="V189" s="80">
        <f t="shared" si="34"/>
        <v>14.541499999999999</v>
      </c>
      <c r="W189" s="98">
        <v>24</v>
      </c>
      <c r="X189" s="84">
        <f>+IF(P189="ACERO A36",VLOOKUP(Q189,'[3]Tiempo Objeto'!$B$2:$C$12,2,FALSE),IF(P189="INOXIDABLE",VLOOKUP(Q189,'[3]Tiempo Objeto'!$B$14:$C$22,2,FALSE),IF(P189="ALUMINIO",VLOOKUP(Q189,'[3]Tiempo Objeto'!$B$24:$C$32,2,FALSE))))</f>
        <v>0.24666666666666667</v>
      </c>
      <c r="Y189" s="84">
        <f t="shared" si="35"/>
        <v>5.92</v>
      </c>
      <c r="Z189" s="80">
        <f t="shared" si="36"/>
        <v>8.2222222222222214</v>
      </c>
      <c r="AA189" s="100">
        <v>5</v>
      </c>
      <c r="AB189" s="86">
        <f>+AA189*Analisis!$J$6</f>
        <v>125</v>
      </c>
      <c r="AC189" s="100">
        <v>0</v>
      </c>
      <c r="AD189" s="85">
        <f t="shared" si="37"/>
        <v>0</v>
      </c>
      <c r="AE189" s="86">
        <f>+AC189*Analisis!$J$7</f>
        <v>0</v>
      </c>
      <c r="AF189" s="308">
        <f>+H189*0.0254*I189*0.0254*2*(1+[3]Analisis!$G$2)</f>
        <v>0.62033311416999992</v>
      </c>
      <c r="AG189" s="86">
        <f>+AF189*Analisis!$J$8</f>
        <v>66.095016331208342</v>
      </c>
      <c r="AH189" s="309">
        <f t="shared" si="27"/>
        <v>301.02987432000134</v>
      </c>
      <c r="AI189" s="86">
        <f>+AH189/(1-Analisis!G194)</f>
        <v>301.02987432000134</v>
      </c>
      <c r="AJ189" s="86">
        <f t="shared" si="38"/>
        <v>323.68803690322727</v>
      </c>
      <c r="AK189" s="86">
        <f t="shared" si="28"/>
        <v>0</v>
      </c>
      <c r="AL189" s="310" t="e">
        <f>+VLOOKUP(B189,#REF!,2,FALSE)</f>
        <v>#REF!</v>
      </c>
      <c r="AM189" s="311" t="e">
        <f t="shared" si="25"/>
        <v>#REF!</v>
      </c>
      <c r="AN189" s="312" t="e">
        <f t="shared" si="24"/>
        <v>#REF!</v>
      </c>
    </row>
    <row r="190" spans="1:40" s="73" customFormat="1" x14ac:dyDescent="0.25">
      <c r="A190" s="303">
        <v>153</v>
      </c>
      <c r="B190" s="304" t="s">
        <v>1010</v>
      </c>
      <c r="D190" s="74">
        <f>IFERROR(VLOOKUP(B190,'REQ. PINTADO'!B:C,2,0),0)</f>
        <v>0</v>
      </c>
      <c r="E190" s="305">
        <f t="shared" si="29"/>
        <v>230.84085180071912</v>
      </c>
      <c r="F190" s="103" t="s">
        <v>163</v>
      </c>
      <c r="G190" s="75" t="s">
        <v>147</v>
      </c>
      <c r="H190" s="90">
        <v>8.1</v>
      </c>
      <c r="I190" s="90">
        <v>32</v>
      </c>
      <c r="J190" s="76">
        <v>0.105</v>
      </c>
      <c r="K190" s="306">
        <v>7.73</v>
      </c>
      <c r="L190" s="78">
        <f t="shared" si="30"/>
        <v>27.690554107257441</v>
      </c>
      <c r="M190" s="58">
        <f>+VLOOKUP(F190,Material!$H$2:$M$17,6,FALSE)*H190*I190*(1+Material!$K$14)</f>
        <v>97.294537840500013</v>
      </c>
      <c r="N190" s="79" t="str">
        <f t="shared" si="26"/>
        <v>T5.0</v>
      </c>
      <c r="O190" s="80">
        <f>+VLOOKUP(N190,[3]Material!$A$3:$B$58,2,FALSE)</f>
        <v>5000</v>
      </c>
      <c r="P190" s="79" t="s">
        <v>42</v>
      </c>
      <c r="Q190" s="79" t="str">
        <f>+VLOOKUP(F190,[3]Material!$C$2:$E$12,2,FALSE)</f>
        <v>Cal 12</v>
      </c>
      <c r="R190" s="81">
        <f>+IF(P190="ACERO A36",VLOOKUP(Q190,'[3]Velocidades Std 1500 w'!$B$2:$F$15,5,FALSE),IF(P190="INOXIDABLE",VLOOKUP(Q190,'[3]Velocidades Std 1500 w'!$B$17:$F$28,5,FALSE),IF(P190="ALUMINIO",VLOOKUP(Q190,'[3]Velocidades Std 1500 w'!$B$30:$F$38,5,FALSE))))</f>
        <v>4.3859649122807014E-6</v>
      </c>
      <c r="S190" s="82">
        <f t="shared" si="31"/>
        <v>2.1929824561403508E-2</v>
      </c>
      <c r="T190" s="83">
        <f t="shared" si="32"/>
        <v>43.247510526315786</v>
      </c>
      <c r="U190" s="307">
        <f t="shared" si="33"/>
        <v>2739.009</v>
      </c>
      <c r="V190" s="80">
        <f t="shared" si="34"/>
        <v>60.065986842105261</v>
      </c>
      <c r="W190" s="98">
        <v>15</v>
      </c>
      <c r="X190" s="84">
        <f>+IF(P190="ACERO A36",VLOOKUP(Q190,'[3]Tiempo Objeto'!$B$2:$C$12,2,FALSE),IF(P190="INOXIDABLE",VLOOKUP(Q190,'[3]Tiempo Objeto'!$B$14:$C$22,2,FALSE),IF(P190="ALUMINIO",VLOOKUP(Q190,'[3]Tiempo Objeto'!$B$24:$C$32,2,FALSE))))</f>
        <v>0.6133333333333334</v>
      </c>
      <c r="Y190" s="84">
        <f t="shared" si="35"/>
        <v>9.2000000000000011</v>
      </c>
      <c r="Z190" s="80">
        <f t="shared" si="36"/>
        <v>12.77777777777778</v>
      </c>
      <c r="AA190" s="100">
        <v>0</v>
      </c>
      <c r="AB190" s="86">
        <f>+AA190*Analisis!$J$6</f>
        <v>0</v>
      </c>
      <c r="AC190" s="100">
        <v>0</v>
      </c>
      <c r="AD190" s="85">
        <f t="shared" si="37"/>
        <v>0</v>
      </c>
      <c r="AE190" s="86">
        <f>+AC190*Analisis!$J$7</f>
        <v>0</v>
      </c>
      <c r="AF190" s="308">
        <f>+H190*0.0254*I190*0.0254*2*(1+[3]Analisis!$G$2)</f>
        <v>0.41806367999999994</v>
      </c>
      <c r="AG190" s="86">
        <f>+AF190*Analisis!$J$8</f>
        <v>44.543689714285719</v>
      </c>
      <c r="AH190" s="309">
        <f t="shared" si="27"/>
        <v>214.68199217466878</v>
      </c>
      <c r="AI190" s="86">
        <f>+AH190/(1-Analisis!G195)</f>
        <v>214.68199217466878</v>
      </c>
      <c r="AJ190" s="86">
        <f t="shared" si="38"/>
        <v>230.84085180071912</v>
      </c>
      <c r="AK190" s="86">
        <f t="shared" si="28"/>
        <v>0</v>
      </c>
      <c r="AL190" s="310" t="e">
        <f>+VLOOKUP(B190,#REF!,2,FALSE)</f>
        <v>#REF!</v>
      </c>
      <c r="AM190" s="311" t="e">
        <f t="shared" si="25"/>
        <v>#REF!</v>
      </c>
      <c r="AN190" s="312" t="e">
        <f t="shared" si="24"/>
        <v>#REF!</v>
      </c>
    </row>
    <row r="191" spans="1:40" s="73" customFormat="1" x14ac:dyDescent="0.25">
      <c r="A191" s="303">
        <v>154</v>
      </c>
      <c r="B191" s="304" t="s">
        <v>1011</v>
      </c>
      <c r="D191" s="74">
        <f>IFERROR(VLOOKUP(B191,'REQ. PINTADO'!B:C,2,0),0)</f>
        <v>0</v>
      </c>
      <c r="E191" s="305">
        <f t="shared" si="29"/>
        <v>234.14225888359732</v>
      </c>
      <c r="F191" s="103" t="s">
        <v>163</v>
      </c>
      <c r="G191" s="75" t="s">
        <v>147</v>
      </c>
      <c r="H191" s="90">
        <v>8.1</v>
      </c>
      <c r="I191" s="90">
        <v>34.4</v>
      </c>
      <c r="J191" s="76">
        <v>0.105</v>
      </c>
      <c r="K191" s="306">
        <v>8.31</v>
      </c>
      <c r="L191" s="78">
        <f t="shared" si="30"/>
        <v>27.689721058096566</v>
      </c>
      <c r="M191" s="58">
        <f>+VLOOKUP(F191,Material!$H$2:$M$17,6,FALSE)*H191*I191*(1+Material!$K$14)</f>
        <v>104.59162817853749</v>
      </c>
      <c r="N191" s="79" t="str">
        <f t="shared" si="26"/>
        <v>T5.0</v>
      </c>
      <c r="O191" s="80">
        <f>+VLOOKUP(N191,[3]Material!$A$3:$B$58,2,FALSE)</f>
        <v>5000</v>
      </c>
      <c r="P191" s="79" t="s">
        <v>42</v>
      </c>
      <c r="Q191" s="79" t="str">
        <f>+VLOOKUP(F191,[3]Material!$C$2:$E$12,2,FALSE)</f>
        <v>Cal 12</v>
      </c>
      <c r="R191" s="81">
        <f>+IF(P191="ACERO A36",VLOOKUP(Q191,'[3]Velocidades Std 1500 w'!$B$2:$F$15,5,FALSE),IF(P191="INOXIDABLE",VLOOKUP(Q191,'[3]Velocidades Std 1500 w'!$B$17:$F$28,5,FALSE),IF(P191="ALUMINIO",VLOOKUP(Q191,'[3]Velocidades Std 1500 w'!$B$30:$F$38,5,FALSE))))</f>
        <v>4.3859649122807014E-6</v>
      </c>
      <c r="S191" s="82">
        <f t="shared" si="31"/>
        <v>2.1929824561403508E-2</v>
      </c>
      <c r="T191" s="83">
        <f t="shared" si="32"/>
        <v>41.478868421052631</v>
      </c>
      <c r="U191" s="307">
        <f t="shared" si="33"/>
        <v>2626.9949999999999</v>
      </c>
      <c r="V191" s="80">
        <f t="shared" si="34"/>
        <v>57.609539473684208</v>
      </c>
      <c r="W191" s="98">
        <v>9</v>
      </c>
      <c r="X191" s="84">
        <f>+IF(P191="ACERO A36",VLOOKUP(Q191,'[3]Tiempo Objeto'!$B$2:$C$12,2,FALSE),IF(P191="INOXIDABLE",VLOOKUP(Q191,'[3]Tiempo Objeto'!$B$14:$C$22,2,FALSE),IF(P191="ALUMINIO",VLOOKUP(Q191,'[3]Tiempo Objeto'!$B$24:$C$32,2,FALSE))))</f>
        <v>0.6133333333333334</v>
      </c>
      <c r="Y191" s="84">
        <f t="shared" si="35"/>
        <v>5.5200000000000005</v>
      </c>
      <c r="Z191" s="80">
        <f t="shared" si="36"/>
        <v>7.6666666666666679</v>
      </c>
      <c r="AA191" s="100">
        <v>0</v>
      </c>
      <c r="AB191" s="86">
        <f>+AA191*Analisis!$J$6</f>
        <v>0</v>
      </c>
      <c r="AC191" s="100">
        <v>0</v>
      </c>
      <c r="AD191" s="85">
        <f t="shared" si="37"/>
        <v>0</v>
      </c>
      <c r="AE191" s="86">
        <f>+AC191*Analisis!$J$7</f>
        <v>0</v>
      </c>
      <c r="AF191" s="308">
        <f>+H191*0.0254*I191*0.0254*2*(1+[3]Analisis!$G$2)</f>
        <v>0.44941845599999986</v>
      </c>
      <c r="AG191" s="86">
        <f>+AF191*Analisis!$J$8</f>
        <v>47.884466442857139</v>
      </c>
      <c r="AH191" s="309">
        <f t="shared" si="27"/>
        <v>217.75230076174549</v>
      </c>
      <c r="AI191" s="86">
        <f>+AH191/(1-Analisis!G196)</f>
        <v>217.75230076174549</v>
      </c>
      <c r="AJ191" s="86">
        <f t="shared" si="38"/>
        <v>234.14225888359732</v>
      </c>
      <c r="AK191" s="86">
        <f t="shared" si="28"/>
        <v>0</v>
      </c>
      <c r="AL191" s="310" t="e">
        <f>+VLOOKUP(B191,#REF!,2,FALSE)</f>
        <v>#REF!</v>
      </c>
      <c r="AM191" s="311" t="e">
        <f t="shared" si="25"/>
        <v>#REF!</v>
      </c>
      <c r="AN191" s="312" t="e">
        <f t="shared" si="24"/>
        <v>#REF!</v>
      </c>
    </row>
    <row r="192" spans="1:40" s="73" customFormat="1" x14ac:dyDescent="0.25">
      <c r="A192" s="303">
        <v>155</v>
      </c>
      <c r="B192" s="304" t="s">
        <v>1012</v>
      </c>
      <c r="D192" s="74">
        <f>IFERROR(VLOOKUP(B192,'REQ. PINTADO'!B:C,2,0),0)</f>
        <v>0</v>
      </c>
      <c r="E192" s="305">
        <f t="shared" si="29"/>
        <v>3048.9061501817814</v>
      </c>
      <c r="F192" s="103" t="s">
        <v>163</v>
      </c>
      <c r="G192" s="75" t="s">
        <v>147</v>
      </c>
      <c r="H192" s="90">
        <v>34.14</v>
      </c>
      <c r="I192" s="90">
        <v>89</v>
      </c>
      <c r="J192" s="76">
        <v>0.105</v>
      </c>
      <c r="K192" s="306">
        <v>90.14</v>
      </c>
      <c r="L192" s="78">
        <f t="shared" si="30"/>
        <v>27.836338739834936</v>
      </c>
      <c r="M192" s="58">
        <f>+VLOOKUP(F192,Material!$H$2:$M$17,6,FALSE)*H192*I192*(1+Material!$K$14)</f>
        <v>1140.5307154585096</v>
      </c>
      <c r="N192" s="79" t="str">
        <f t="shared" si="26"/>
        <v>T5.0</v>
      </c>
      <c r="O192" s="80">
        <f>+VLOOKUP(N192,[3]Material!$A$3:$B$58,2,FALSE)</f>
        <v>5000</v>
      </c>
      <c r="P192" s="79" t="s">
        <v>42</v>
      </c>
      <c r="Q192" s="79" t="str">
        <f>+VLOOKUP(F192,[3]Material!$C$2:$E$12,2,FALSE)</f>
        <v>Cal 12</v>
      </c>
      <c r="R192" s="81">
        <f>+IF(P192="ACERO A36",VLOOKUP(Q192,'[3]Velocidades Std 1500 w'!$B$2:$F$15,5,FALSE),IF(P192="INOXIDABLE",VLOOKUP(Q192,'[3]Velocidades Std 1500 w'!$B$17:$F$28,5,FALSE),IF(P192="ALUMINIO",VLOOKUP(Q192,'[3]Velocidades Std 1500 w'!$B$30:$F$38,5,FALSE))))</f>
        <v>4.3859649122807014E-6</v>
      </c>
      <c r="S192" s="82">
        <f t="shared" si="31"/>
        <v>2.1929824561403508E-2</v>
      </c>
      <c r="T192" s="83">
        <f t="shared" si="32"/>
        <v>141.60927789473683</v>
      </c>
      <c r="U192" s="307">
        <f t="shared" si="33"/>
        <v>8968.5875999999989</v>
      </c>
      <c r="V192" s="80">
        <f t="shared" si="34"/>
        <v>196.6795526315789</v>
      </c>
      <c r="W192" s="98">
        <v>60</v>
      </c>
      <c r="X192" s="84">
        <f>+IF(P192="ACERO A36",VLOOKUP(Q192,'[3]Tiempo Objeto'!$B$2:$C$12,2,FALSE),IF(P192="INOXIDABLE",VLOOKUP(Q192,'[3]Tiempo Objeto'!$B$14:$C$22,2,FALSE),IF(P192="ALUMINIO",VLOOKUP(Q192,'[3]Tiempo Objeto'!$B$24:$C$32,2,FALSE))))</f>
        <v>0.6133333333333334</v>
      </c>
      <c r="Y192" s="84">
        <f t="shared" si="35"/>
        <v>36.800000000000004</v>
      </c>
      <c r="Z192" s="80">
        <f t="shared" si="36"/>
        <v>51.111111111111121</v>
      </c>
      <c r="AA192" s="100">
        <v>2</v>
      </c>
      <c r="AB192" s="86">
        <f>+AA192*Analisis!$J$6</f>
        <v>50</v>
      </c>
      <c r="AC192" s="100">
        <v>35</v>
      </c>
      <c r="AD192" s="85">
        <f t="shared" si="37"/>
        <v>1050</v>
      </c>
      <c r="AE192" s="86">
        <f>+AC192*Analisis!$J$7</f>
        <v>875</v>
      </c>
      <c r="AF192" s="308">
        <f>+H192*0.0254*I192*0.0254*2*(1+[3]Analisis!$G$2)</f>
        <v>4.9007321339999983</v>
      </c>
      <c r="AG192" s="86">
        <f>+AF192*Analisis!$J$8</f>
        <v>522.16134046785714</v>
      </c>
      <c r="AH192" s="309">
        <f t="shared" si="27"/>
        <v>2835.4827196690567</v>
      </c>
      <c r="AI192" s="86">
        <f>+AH192/(1-Analisis!G197)</f>
        <v>2835.4827196690567</v>
      </c>
      <c r="AJ192" s="86">
        <f t="shared" si="38"/>
        <v>3048.9061501817814</v>
      </c>
      <c r="AK192" s="86">
        <f t="shared" si="28"/>
        <v>0</v>
      </c>
      <c r="AL192" s="310" t="e">
        <f>+VLOOKUP(B192,#REF!,2,FALSE)</f>
        <v>#REF!</v>
      </c>
      <c r="AM192" s="311" t="e">
        <f t="shared" si="25"/>
        <v>#REF!</v>
      </c>
      <c r="AN192" s="312" t="e">
        <f t="shared" si="24"/>
        <v>#REF!</v>
      </c>
    </row>
    <row r="193" spans="1:40" s="73" customFormat="1" x14ac:dyDescent="0.25">
      <c r="A193" s="303">
        <v>156</v>
      </c>
      <c r="B193" s="304" t="s">
        <v>1013</v>
      </c>
      <c r="D193" s="74">
        <f>IFERROR(VLOOKUP(B193,'REQ. PINTADO'!B:C,2,0),0)</f>
        <v>0</v>
      </c>
      <c r="E193" s="305">
        <f t="shared" si="29"/>
        <v>211.97629268955882</v>
      </c>
      <c r="F193" s="103" t="s">
        <v>163</v>
      </c>
      <c r="G193" s="75" t="s">
        <v>147</v>
      </c>
      <c r="H193" s="90">
        <v>4.78</v>
      </c>
      <c r="I193" s="90">
        <v>21.9</v>
      </c>
      <c r="J193" s="76">
        <v>0.105</v>
      </c>
      <c r="K193" s="306">
        <v>3.12</v>
      </c>
      <c r="L193" s="78">
        <f t="shared" si="30"/>
        <v>27.707258752871621</v>
      </c>
      <c r="M193" s="58">
        <f>+VLOOKUP(F193,Material!$H$2:$M$17,6,FALSE)*H193*I193*(1+Material!$K$14)</f>
        <v>39.293930594981568</v>
      </c>
      <c r="N193" s="79" t="str">
        <f t="shared" si="26"/>
        <v>T5.0</v>
      </c>
      <c r="O193" s="80">
        <f>+VLOOKUP(N193,[3]Material!$A$3:$B$58,2,FALSE)</f>
        <v>5000</v>
      </c>
      <c r="P193" s="79" t="s">
        <v>42</v>
      </c>
      <c r="Q193" s="79" t="str">
        <f>+VLOOKUP(F193,[3]Material!$C$2:$E$12,2,FALSE)</f>
        <v>Cal 12</v>
      </c>
      <c r="R193" s="81">
        <f>+IF(P193="ACERO A36",VLOOKUP(Q193,'[3]Velocidades Std 1500 w'!$B$2:$F$15,5,FALSE),IF(P193="INOXIDABLE",VLOOKUP(Q193,'[3]Velocidades Std 1500 w'!$B$17:$F$28,5,FALSE),IF(P193="ALUMINIO",VLOOKUP(Q193,'[3]Velocidades Std 1500 w'!$B$30:$F$38,5,FALSE))))</f>
        <v>4.3859649122807014E-6</v>
      </c>
      <c r="S193" s="82">
        <f t="shared" si="31"/>
        <v>2.1929824561403508E-2</v>
      </c>
      <c r="T193" s="83">
        <f t="shared" si="32"/>
        <v>25.628466315789471</v>
      </c>
      <c r="U193" s="307">
        <f t="shared" si="33"/>
        <v>1623.1361999999999</v>
      </c>
      <c r="V193" s="80">
        <f t="shared" si="34"/>
        <v>35.595092105263156</v>
      </c>
      <c r="W193" s="98">
        <v>5</v>
      </c>
      <c r="X193" s="84">
        <f>+IF(P193="ACERO A36",VLOOKUP(Q193,'[3]Tiempo Objeto'!$B$2:$C$12,2,FALSE),IF(P193="INOXIDABLE",VLOOKUP(Q193,'[3]Tiempo Objeto'!$B$14:$C$22,2,FALSE),IF(P193="ALUMINIO",VLOOKUP(Q193,'[3]Tiempo Objeto'!$B$24:$C$32,2,FALSE))))</f>
        <v>0.6133333333333334</v>
      </c>
      <c r="Y193" s="84">
        <f t="shared" si="35"/>
        <v>3.0666666666666669</v>
      </c>
      <c r="Z193" s="80">
        <f t="shared" si="36"/>
        <v>4.2592592592592595</v>
      </c>
      <c r="AA193" s="100">
        <v>4</v>
      </c>
      <c r="AB193" s="86">
        <f>+AA193*Analisis!$J$6</f>
        <v>100</v>
      </c>
      <c r="AC193" s="100">
        <v>0</v>
      </c>
      <c r="AD193" s="85">
        <f t="shared" si="37"/>
        <v>0</v>
      </c>
      <c r="AE193" s="86">
        <f>+AC193*Analisis!$J$7</f>
        <v>0</v>
      </c>
      <c r="AF193" s="308">
        <f>+H193*0.0254*I193*0.0254*2*(1+[3]Analisis!$G$2)</f>
        <v>0.16884159779999997</v>
      </c>
      <c r="AG193" s="86">
        <f>+AF193*Analisis!$J$8</f>
        <v>17.989670241785717</v>
      </c>
      <c r="AH193" s="309">
        <f t="shared" si="27"/>
        <v>197.13795220128969</v>
      </c>
      <c r="AI193" s="86">
        <f>+AH193/(1-Analisis!G198)</f>
        <v>197.13795220128969</v>
      </c>
      <c r="AJ193" s="86">
        <f t="shared" si="38"/>
        <v>211.97629268955882</v>
      </c>
      <c r="AK193" s="86">
        <f t="shared" si="28"/>
        <v>0</v>
      </c>
      <c r="AL193" s="310" t="e">
        <f>+VLOOKUP(B193,#REF!,2,FALSE)</f>
        <v>#REF!</v>
      </c>
      <c r="AM193" s="311" t="e">
        <f t="shared" si="25"/>
        <v>#REF!</v>
      </c>
      <c r="AN193" s="312" t="e">
        <f t="shared" si="24"/>
        <v>#REF!</v>
      </c>
    </row>
    <row r="194" spans="1:40" s="73" customFormat="1" x14ac:dyDescent="0.25">
      <c r="A194" s="303">
        <v>157</v>
      </c>
      <c r="B194" s="304" t="s">
        <v>1014</v>
      </c>
      <c r="D194" s="74">
        <f>IFERROR(VLOOKUP(B194,'REQ. PINTADO'!B:C,2,0),0)</f>
        <v>0</v>
      </c>
      <c r="E194" s="305">
        <f t="shared" si="29"/>
        <v>252.67980213074924</v>
      </c>
      <c r="F194" s="103" t="s">
        <v>163</v>
      </c>
      <c r="G194" s="75" t="s">
        <v>147</v>
      </c>
      <c r="H194" s="90">
        <v>4.78</v>
      </c>
      <c r="I194" s="90">
        <v>31.9</v>
      </c>
      <c r="J194" s="76">
        <v>0.105</v>
      </c>
      <c r="K194" s="306">
        <v>4.55</v>
      </c>
      <c r="L194" s="78">
        <f t="shared" si="30"/>
        <v>27.674725768034595</v>
      </c>
      <c r="M194" s="58">
        <f>+VLOOKUP(F194,Material!$H$2:$M$17,6,FALSE)*H194*I194*(1+Material!$K$14)</f>
        <v>57.236364656616992</v>
      </c>
      <c r="N194" s="79" t="str">
        <f t="shared" si="26"/>
        <v>T5.0</v>
      </c>
      <c r="O194" s="80">
        <f>+VLOOKUP(N194,[3]Material!$A$3:$B$58,2,FALSE)</f>
        <v>5000</v>
      </c>
      <c r="P194" s="79" t="s">
        <v>42</v>
      </c>
      <c r="Q194" s="79" t="str">
        <f>+VLOOKUP(F194,[3]Material!$C$2:$E$12,2,FALSE)</f>
        <v>Cal 12</v>
      </c>
      <c r="R194" s="81">
        <f>+IF(P194="ACERO A36",VLOOKUP(Q194,'[3]Velocidades Std 1500 w'!$B$2:$F$15,5,FALSE),IF(P194="INOXIDABLE",VLOOKUP(Q194,'[3]Velocidades Std 1500 w'!$B$17:$F$28,5,FALSE),IF(P194="ALUMINIO",VLOOKUP(Q194,'[3]Velocidades Std 1500 w'!$B$30:$F$38,5,FALSE))))</f>
        <v>4.3859649122807014E-6</v>
      </c>
      <c r="S194" s="82">
        <f t="shared" si="31"/>
        <v>2.1929824561403508E-2</v>
      </c>
      <c r="T194" s="83">
        <f t="shared" si="32"/>
        <v>34.050571578947363</v>
      </c>
      <c r="U194" s="307">
        <f t="shared" si="33"/>
        <v>2156.5362</v>
      </c>
      <c r="V194" s="80">
        <f t="shared" si="34"/>
        <v>47.292460526315786</v>
      </c>
      <c r="W194" s="98">
        <v>5</v>
      </c>
      <c r="X194" s="84">
        <f>+IF(P194="ACERO A36",VLOOKUP(Q194,'[3]Tiempo Objeto'!$B$2:$C$12,2,FALSE),IF(P194="INOXIDABLE",VLOOKUP(Q194,'[3]Tiempo Objeto'!$B$14:$C$22,2,FALSE),IF(P194="ALUMINIO",VLOOKUP(Q194,'[3]Tiempo Objeto'!$B$24:$C$32,2,FALSE))))</f>
        <v>0.6133333333333334</v>
      </c>
      <c r="Y194" s="84">
        <f t="shared" si="35"/>
        <v>3.0666666666666669</v>
      </c>
      <c r="Z194" s="80">
        <f t="shared" si="36"/>
        <v>4.2592592592592595</v>
      </c>
      <c r="AA194" s="100">
        <v>4</v>
      </c>
      <c r="AB194" s="86">
        <f>+AA194*Analisis!$J$6</f>
        <v>100</v>
      </c>
      <c r="AC194" s="100">
        <v>0</v>
      </c>
      <c r="AD194" s="85">
        <f t="shared" si="37"/>
        <v>0</v>
      </c>
      <c r="AE194" s="86">
        <f>+AC194*Analisis!$J$7</f>
        <v>0</v>
      </c>
      <c r="AF194" s="308">
        <f>+H194*0.0254*I194*0.0254*2*(1+[3]Analisis!$G$2)</f>
        <v>0.24593821779999997</v>
      </c>
      <c r="AG194" s="86">
        <f>+AF194*Analisis!$J$8</f>
        <v>26.204131539404766</v>
      </c>
      <c r="AH194" s="309">
        <f t="shared" si="27"/>
        <v>234.99221598159679</v>
      </c>
      <c r="AI194" s="86">
        <f>+AH194/(1-Analisis!G199)</f>
        <v>234.99221598159679</v>
      </c>
      <c r="AJ194" s="86">
        <f t="shared" si="38"/>
        <v>252.67980213074924</v>
      </c>
      <c r="AK194" s="86">
        <f t="shared" si="28"/>
        <v>0</v>
      </c>
      <c r="AL194" s="310" t="e">
        <f>+VLOOKUP(B194,#REF!,2,FALSE)</f>
        <v>#REF!</v>
      </c>
      <c r="AM194" s="311" t="e">
        <f t="shared" si="25"/>
        <v>#REF!</v>
      </c>
      <c r="AN194" s="312" t="e">
        <f t="shared" ref="AN194:AN257" si="39">+AM194/AL194</f>
        <v>#REF!</v>
      </c>
    </row>
    <row r="195" spans="1:40" s="73" customFormat="1" x14ac:dyDescent="0.25">
      <c r="A195" s="303">
        <v>158</v>
      </c>
      <c r="B195" s="304" t="s">
        <v>1015</v>
      </c>
      <c r="D195" s="74">
        <f>IFERROR(VLOOKUP(B195,'REQ. PINTADO'!B:C,2,0),0)</f>
        <v>0</v>
      </c>
      <c r="E195" s="305">
        <f t="shared" si="29"/>
        <v>636.02017224014321</v>
      </c>
      <c r="F195" s="103" t="s">
        <v>163</v>
      </c>
      <c r="G195" s="75" t="s">
        <v>147</v>
      </c>
      <c r="H195" s="90">
        <v>6.18</v>
      </c>
      <c r="I195" s="90">
        <v>95</v>
      </c>
      <c r="J195" s="76">
        <v>0.105</v>
      </c>
      <c r="K195" s="306">
        <v>17.5</v>
      </c>
      <c r="L195" s="78">
        <f t="shared" si="30"/>
        <v>27.704490953603759</v>
      </c>
      <c r="M195" s="58">
        <f>+VLOOKUP(F195,Material!$H$2:$M$17,6,FALSE)*H195*I195*(1+Material!$K$14)</f>
        <v>220.37663258548443</v>
      </c>
      <c r="N195" s="79" t="str">
        <f t="shared" si="26"/>
        <v>T5.0</v>
      </c>
      <c r="O195" s="80">
        <f>+VLOOKUP(N195,[3]Material!$A$3:$B$58,2,FALSE)</f>
        <v>5000</v>
      </c>
      <c r="P195" s="79" t="s">
        <v>42</v>
      </c>
      <c r="Q195" s="79" t="str">
        <f>+VLOOKUP(F195,[3]Material!$C$2:$E$12,2,FALSE)</f>
        <v>Cal 12</v>
      </c>
      <c r="R195" s="81">
        <f>+IF(P195="ACERO A36",VLOOKUP(Q195,'[3]Velocidades Std 1500 w'!$B$2:$F$15,5,FALSE),IF(P195="INOXIDABLE",VLOOKUP(Q195,'[3]Velocidades Std 1500 w'!$B$17:$F$28,5,FALSE),IF(P195="ALUMINIO",VLOOKUP(Q195,'[3]Velocidades Std 1500 w'!$B$30:$F$38,5,FALSE))))</f>
        <v>4.3859649122807014E-6</v>
      </c>
      <c r="S195" s="82">
        <f t="shared" si="31"/>
        <v>2.1929824561403508E-2</v>
      </c>
      <c r="T195" s="83">
        <f t="shared" si="32"/>
        <v>104.16459789473684</v>
      </c>
      <c r="U195" s="307">
        <f t="shared" si="33"/>
        <v>6597.0912000000008</v>
      </c>
      <c r="V195" s="80">
        <f t="shared" si="34"/>
        <v>144.67305263157897</v>
      </c>
      <c r="W195" s="98">
        <v>30</v>
      </c>
      <c r="X195" s="84">
        <f>+IF(P195="ACERO A36",VLOOKUP(Q195,'[3]Tiempo Objeto'!$B$2:$C$12,2,FALSE),IF(P195="INOXIDABLE",VLOOKUP(Q195,'[3]Tiempo Objeto'!$B$14:$C$22,2,FALSE),IF(P195="ALUMINIO",VLOOKUP(Q195,'[3]Tiempo Objeto'!$B$24:$C$32,2,FALSE))))</f>
        <v>0.6133333333333334</v>
      </c>
      <c r="Y195" s="84">
        <f t="shared" si="35"/>
        <v>18.400000000000002</v>
      </c>
      <c r="Z195" s="80">
        <f t="shared" si="36"/>
        <v>25.555555555555561</v>
      </c>
      <c r="AA195" s="100">
        <v>4</v>
      </c>
      <c r="AB195" s="86">
        <f>+AA195*Analisis!$J$6</f>
        <v>100</v>
      </c>
      <c r="AC195" s="100">
        <v>0</v>
      </c>
      <c r="AD195" s="85">
        <f t="shared" si="37"/>
        <v>0</v>
      </c>
      <c r="AE195" s="86">
        <f>+AC195*Analisis!$J$7</f>
        <v>0</v>
      </c>
      <c r="AF195" s="308">
        <f>+H195*0.0254*I195*0.0254*2*(1+[3]Analisis!$G$2)</f>
        <v>0.94693358999999977</v>
      </c>
      <c r="AG195" s="86">
        <f>+AF195*Analisis!$J$8</f>
        <v>100.89351941071429</v>
      </c>
      <c r="AH195" s="309">
        <f t="shared" si="27"/>
        <v>591.49876018333316</v>
      </c>
      <c r="AI195" s="86">
        <f>+AH195/(1-Analisis!G200)</f>
        <v>591.49876018333316</v>
      </c>
      <c r="AJ195" s="86">
        <f t="shared" si="38"/>
        <v>636.02017224014321</v>
      </c>
      <c r="AK195" s="86">
        <f t="shared" si="28"/>
        <v>0</v>
      </c>
      <c r="AL195" s="310" t="e">
        <f>+VLOOKUP(B195,#REF!,2,FALSE)</f>
        <v>#REF!</v>
      </c>
      <c r="AM195" s="311" t="e">
        <f t="shared" ref="AM195:AM258" si="40">+AL195-E195</f>
        <v>#REF!</v>
      </c>
      <c r="AN195" s="312" t="e">
        <f t="shared" si="39"/>
        <v>#REF!</v>
      </c>
    </row>
    <row r="196" spans="1:40" s="73" customFormat="1" x14ac:dyDescent="0.25">
      <c r="A196" s="313">
        <v>159</v>
      </c>
      <c r="B196" s="314" t="s">
        <v>1016</v>
      </c>
      <c r="D196" s="74">
        <f>IFERROR(VLOOKUP(B196,'REQ. PINTADO'!B:C,2,0),0)</f>
        <v>0</v>
      </c>
      <c r="E196" s="305">
        <f t="shared" si="29"/>
        <v>77.200171402969787</v>
      </c>
      <c r="F196" s="103" t="s">
        <v>146</v>
      </c>
      <c r="G196" s="75" t="s">
        <v>147</v>
      </c>
      <c r="H196" s="90">
        <v>2</v>
      </c>
      <c r="I196" s="90">
        <v>4</v>
      </c>
      <c r="J196" s="76">
        <v>0.105</v>
      </c>
      <c r="K196" s="306">
        <v>1</v>
      </c>
      <c r="L196" s="78">
        <f t="shared" si="30"/>
        <v>40.6388888888889</v>
      </c>
      <c r="M196" s="58">
        <f>+VLOOKUP(F196,Material!$H$2:$M$17,6,FALSE)*H196*I196*(1+Material!$K$14)</f>
        <v>18.472222222222225</v>
      </c>
      <c r="N196" s="79" t="str">
        <f t="shared" ref="N196:N259" si="41">+N195</f>
        <v>T5.0</v>
      </c>
      <c r="O196" s="80">
        <f>+VLOOKUP(N196,[3]Material!$A$3:$B$58,2,FALSE)</f>
        <v>5000</v>
      </c>
      <c r="P196" s="79" t="s">
        <v>42</v>
      </c>
      <c r="Q196" s="79" t="str">
        <f>+VLOOKUP(F196,[3]Material!$C$2:$E$12,2,FALSE)</f>
        <v>1/4´´</v>
      </c>
      <c r="R196" s="81">
        <f>+IF(P196="ACERO A36",VLOOKUP(Q196,'[3]Velocidades Std 1500 w'!$B$2:$F$15,5,FALSE),IF(P196="INOXIDABLE",VLOOKUP(Q196,'[3]Velocidades Std 1500 w'!$B$17:$F$28,5,FALSE),IF(P196="ALUMINIO",VLOOKUP(Q196,'[3]Velocidades Std 1500 w'!$B$30:$F$38,5,FALSE))))</f>
        <v>1.0416666666666666E-5</v>
      </c>
      <c r="S196" s="82">
        <f t="shared" si="31"/>
        <v>5.2083333333333329E-2</v>
      </c>
      <c r="T196" s="83">
        <f t="shared" si="32"/>
        <v>27.003374999999998</v>
      </c>
      <c r="U196" s="307">
        <f t="shared" si="33"/>
        <v>720.09</v>
      </c>
      <c r="V196" s="80">
        <f t="shared" si="34"/>
        <v>37.504687499999996</v>
      </c>
      <c r="W196" s="98">
        <v>10</v>
      </c>
      <c r="X196" s="84">
        <f>+IF(P196="ACERO A36",VLOOKUP(Q196,'[3]Tiempo Objeto'!$B$2:$C$12,2,FALSE),IF(P196="INOXIDABLE",VLOOKUP(Q196,'[3]Tiempo Objeto'!$B$14:$C$22,2,FALSE),IF(P196="ALUMINIO",VLOOKUP(Q196,'[3]Tiempo Objeto'!$B$24:$C$32,2,FALSE))))</f>
        <v>1.04</v>
      </c>
      <c r="Y196" s="84">
        <f t="shared" si="35"/>
        <v>10.4</v>
      </c>
      <c r="Z196" s="80">
        <f t="shared" si="36"/>
        <v>14.444444444444445</v>
      </c>
      <c r="AA196" s="100">
        <v>0</v>
      </c>
      <c r="AB196" s="86">
        <f>+AA196*Analisis!$J$6</f>
        <v>0</v>
      </c>
      <c r="AC196" s="100">
        <v>0</v>
      </c>
      <c r="AD196" s="85">
        <f t="shared" si="37"/>
        <v>0</v>
      </c>
      <c r="AE196" s="86">
        <f>+AC196*Analisis!$J$7</f>
        <v>0</v>
      </c>
      <c r="AF196" s="308">
        <f>+H196*0.0254*I196*0.0254*2*(1+[3]Analisis!$G$2)</f>
        <v>1.29032E-2</v>
      </c>
      <c r="AG196" s="86">
        <f>+AF196*Analisis!$J$8</f>
        <v>1.3748052380952385</v>
      </c>
      <c r="AH196" s="309">
        <f t="shared" si="27"/>
        <v>71.796159404761895</v>
      </c>
      <c r="AI196" s="86">
        <f>+AH196/(1-Analisis!G201)</f>
        <v>71.796159404761895</v>
      </c>
      <c r="AJ196" s="86">
        <f t="shared" si="38"/>
        <v>77.200171402969787</v>
      </c>
      <c r="AK196" s="86">
        <f t="shared" si="28"/>
        <v>0</v>
      </c>
      <c r="AL196" s="310" t="e">
        <f>+VLOOKUP(B196,#REF!,2,FALSE)</f>
        <v>#REF!</v>
      </c>
      <c r="AM196" s="311" t="e">
        <f t="shared" si="40"/>
        <v>#REF!</v>
      </c>
      <c r="AN196" s="312" t="e">
        <f t="shared" si="39"/>
        <v>#REF!</v>
      </c>
    </row>
    <row r="197" spans="1:40" s="73" customFormat="1" x14ac:dyDescent="0.25">
      <c r="A197" s="303">
        <v>160</v>
      </c>
      <c r="B197" s="304" t="s">
        <v>1017</v>
      </c>
      <c r="D197" s="74">
        <f>IFERROR(VLOOKUP(B197,'REQ. PINTADO'!B:C,2,0),0)</f>
        <v>0</v>
      </c>
      <c r="E197" s="305">
        <f t="shared" si="29"/>
        <v>1837.1483729957072</v>
      </c>
      <c r="F197" s="103" t="s">
        <v>163</v>
      </c>
      <c r="G197" s="75" t="s">
        <v>147</v>
      </c>
      <c r="H197" s="90">
        <v>20.85</v>
      </c>
      <c r="I197" s="90">
        <v>92</v>
      </c>
      <c r="J197" s="76">
        <v>0.105</v>
      </c>
      <c r="K197" s="306">
        <v>58</v>
      </c>
      <c r="L197" s="78">
        <f t="shared" si="30"/>
        <v>27.311278833308307</v>
      </c>
      <c r="M197" s="58">
        <f>+VLOOKUP(F197,Material!$H$2:$M$17,6,FALSE)*H197*I197*(1+Material!$K$14)</f>
        <v>720.02462378721896</v>
      </c>
      <c r="N197" s="79" t="str">
        <f t="shared" si="41"/>
        <v>T5.0</v>
      </c>
      <c r="O197" s="80">
        <f>+VLOOKUP(N197,[3]Material!$A$3:$B$58,2,FALSE)</f>
        <v>5000</v>
      </c>
      <c r="P197" s="79" t="s">
        <v>42</v>
      </c>
      <c r="Q197" s="79" t="str">
        <f>+VLOOKUP(F197,[3]Material!$C$2:$E$12,2,FALSE)</f>
        <v>Cal 12</v>
      </c>
      <c r="R197" s="81">
        <f>+IF(P197="ACERO A36",VLOOKUP(Q197,'[3]Velocidades Std 1500 w'!$B$2:$F$15,5,FALSE),IF(P197="INOXIDABLE",VLOOKUP(Q197,'[3]Velocidades Std 1500 w'!$B$17:$F$28,5,FALSE),IF(P197="ALUMINIO",VLOOKUP(Q197,'[3]Velocidades Std 1500 w'!$B$30:$F$38,5,FALSE))))</f>
        <v>4.3859649122807014E-6</v>
      </c>
      <c r="S197" s="82">
        <f t="shared" si="31"/>
        <v>2.1929824561403508E-2</v>
      </c>
      <c r="T197" s="83">
        <f t="shared" si="32"/>
        <v>113.99319473684211</v>
      </c>
      <c r="U197" s="307">
        <f t="shared" si="33"/>
        <v>7219.5690000000004</v>
      </c>
      <c r="V197" s="80">
        <f t="shared" si="34"/>
        <v>158.32388157894738</v>
      </c>
      <c r="W197" s="98">
        <v>30</v>
      </c>
      <c r="X197" s="84">
        <f>+IF(P197="ACERO A36",VLOOKUP(Q197,'[3]Tiempo Objeto'!$B$2:$C$12,2,FALSE),IF(P197="INOXIDABLE",VLOOKUP(Q197,'[3]Tiempo Objeto'!$B$14:$C$22,2,FALSE),IF(P197="ALUMINIO",VLOOKUP(Q197,'[3]Tiempo Objeto'!$B$24:$C$32,2,FALSE))))</f>
        <v>0.6133333333333334</v>
      </c>
      <c r="Y197" s="84">
        <f t="shared" si="35"/>
        <v>18.400000000000002</v>
      </c>
      <c r="Z197" s="80">
        <f t="shared" si="36"/>
        <v>25.555555555555561</v>
      </c>
      <c r="AA197" s="100">
        <v>4</v>
      </c>
      <c r="AB197" s="86">
        <f>+AA197*Analisis!$J$6</f>
        <v>100</v>
      </c>
      <c r="AC197" s="100">
        <v>15</v>
      </c>
      <c r="AD197" s="85">
        <f t="shared" si="37"/>
        <v>450</v>
      </c>
      <c r="AE197" s="86">
        <f>+AC197*Analisis!$J$7</f>
        <v>375</v>
      </c>
      <c r="AF197" s="308">
        <f>+H197*0.0254*I197*0.0254*2*(1+[3]Analisis!$G$2)</f>
        <v>3.0938647799999996</v>
      </c>
      <c r="AG197" s="86">
        <f>+AF197*Analisis!$J$8</f>
        <v>329.64392596428576</v>
      </c>
      <c r="AH197" s="309">
        <f t="shared" si="27"/>
        <v>1708.5479868860075</v>
      </c>
      <c r="AI197" s="86">
        <f>+AH197/(1-Analisis!G202)</f>
        <v>1708.5479868860075</v>
      </c>
      <c r="AJ197" s="86">
        <f t="shared" si="38"/>
        <v>1837.1483729957072</v>
      </c>
      <c r="AK197" s="86">
        <f t="shared" si="28"/>
        <v>0</v>
      </c>
      <c r="AL197" s="310" t="e">
        <f>+VLOOKUP(B197,#REF!,2,FALSE)</f>
        <v>#REF!</v>
      </c>
      <c r="AM197" s="311" t="e">
        <f t="shared" si="40"/>
        <v>#REF!</v>
      </c>
      <c r="AN197" s="312" t="e">
        <f t="shared" si="39"/>
        <v>#REF!</v>
      </c>
    </row>
    <row r="198" spans="1:40" s="73" customFormat="1" x14ac:dyDescent="0.25">
      <c r="A198" s="303"/>
      <c r="B198" s="304" t="s">
        <v>1018</v>
      </c>
      <c r="D198" s="74">
        <f>IFERROR(VLOOKUP(B198,'REQ. PINTADO'!B:C,2,0),0)</f>
        <v>0</v>
      </c>
      <c r="E198" s="305">
        <f t="shared" si="29"/>
        <v>2391.0575361990286</v>
      </c>
      <c r="F198" s="103" t="s">
        <v>163</v>
      </c>
      <c r="G198" s="75" t="s">
        <v>147</v>
      </c>
      <c r="H198" s="90">
        <v>30.85</v>
      </c>
      <c r="I198" s="90">
        <v>92</v>
      </c>
      <c r="J198" s="76">
        <v>0.105</v>
      </c>
      <c r="K198" s="306">
        <v>87</v>
      </c>
      <c r="L198" s="78">
        <f t="shared" si="30"/>
        <v>26.940142350361665</v>
      </c>
      <c r="M198" s="58">
        <f>+VLOOKUP(F198,Material!$H$2:$M$17,6,FALSE)*H198*I198*(1+Material!$K$14)</f>
        <v>1065.3601747643022</v>
      </c>
      <c r="N198" s="79" t="str">
        <f t="shared" si="41"/>
        <v>T5.0</v>
      </c>
      <c r="O198" s="80">
        <f>+VLOOKUP(N198,[3]Material!$A$3:$B$58,2,FALSE)</f>
        <v>5000</v>
      </c>
      <c r="P198" s="79" t="s">
        <v>42</v>
      </c>
      <c r="Q198" s="79" t="str">
        <f>+VLOOKUP(F198,[3]Material!$C$2:$E$12,2,FALSE)</f>
        <v>Cal 12</v>
      </c>
      <c r="R198" s="81">
        <f>+IF(P198="ACERO A36",VLOOKUP(Q198,'[3]Velocidades Std 1500 w'!$B$2:$F$15,5,FALSE),IF(P198="INOXIDABLE",VLOOKUP(Q198,'[3]Velocidades Std 1500 w'!$B$17:$F$28,5,FALSE),IF(P198="ALUMINIO",VLOOKUP(Q198,'[3]Velocidades Std 1500 w'!$B$30:$F$38,5,FALSE))))</f>
        <v>4.3859649122807014E-6</v>
      </c>
      <c r="S198" s="82">
        <f t="shared" si="31"/>
        <v>2.1929824561403508E-2</v>
      </c>
      <c r="T198" s="83">
        <f t="shared" si="32"/>
        <v>122.4153</v>
      </c>
      <c r="U198" s="307">
        <f t="shared" si="33"/>
        <v>7752.9690000000001</v>
      </c>
      <c r="V198" s="80">
        <f t="shared" si="34"/>
        <v>170.02124999999998</v>
      </c>
      <c r="W198" s="98">
        <v>30</v>
      </c>
      <c r="X198" s="84">
        <f>+IF(P198="ACERO A36",VLOOKUP(Q198,'[3]Tiempo Objeto'!$B$2:$C$12,2,FALSE),IF(P198="INOXIDABLE",VLOOKUP(Q198,'[3]Tiempo Objeto'!$B$14:$C$22,2,FALSE),IF(P198="ALUMINIO",VLOOKUP(Q198,'[3]Tiempo Objeto'!$B$24:$C$32,2,FALSE))))</f>
        <v>0.6133333333333334</v>
      </c>
      <c r="Y198" s="84">
        <f t="shared" si="35"/>
        <v>18.400000000000002</v>
      </c>
      <c r="Z198" s="80">
        <f t="shared" si="36"/>
        <v>25.555555555555561</v>
      </c>
      <c r="AA198" s="100">
        <v>4</v>
      </c>
      <c r="AB198" s="86">
        <f>+AA198*Analisis!$J$6</f>
        <v>100</v>
      </c>
      <c r="AC198" s="100">
        <v>15</v>
      </c>
      <c r="AD198" s="85">
        <f t="shared" si="37"/>
        <v>450</v>
      </c>
      <c r="AE198" s="86">
        <f>+AC198*Analisis!$J$7</f>
        <v>375</v>
      </c>
      <c r="AF198" s="308">
        <f>+H198*0.0254*I198*0.0254*2*(1+[3]Analisis!$G$2)</f>
        <v>4.5777327799999998</v>
      </c>
      <c r="AG198" s="86">
        <f>+AF198*Analisis!$J$8</f>
        <v>487.74652834523823</v>
      </c>
      <c r="AH198" s="309">
        <f t="shared" si="27"/>
        <v>2223.6835086650963</v>
      </c>
      <c r="AI198" s="86">
        <f>+AH198/(1-Analisis!G203)</f>
        <v>2223.6835086650963</v>
      </c>
      <c r="AJ198" s="86">
        <f t="shared" si="38"/>
        <v>2391.0575361990286</v>
      </c>
      <c r="AK198" s="86">
        <f t="shared" si="28"/>
        <v>0</v>
      </c>
      <c r="AL198" s="310" t="e">
        <f>+VLOOKUP(B198,#REF!,2,FALSE)</f>
        <v>#REF!</v>
      </c>
      <c r="AM198" s="311" t="e">
        <f t="shared" si="40"/>
        <v>#REF!</v>
      </c>
      <c r="AN198" s="312" t="e">
        <f t="shared" si="39"/>
        <v>#REF!</v>
      </c>
    </row>
    <row r="199" spans="1:40" s="73" customFormat="1" x14ac:dyDescent="0.25">
      <c r="A199" s="315"/>
      <c r="B199" s="1" t="s">
        <v>855</v>
      </c>
      <c r="D199" s="74">
        <f>IFERROR(VLOOKUP(B199,'REQ. PINTADO'!B:C,2,0),0)</f>
        <v>0</v>
      </c>
      <c r="E199" s="305">
        <f t="shared" si="29"/>
        <v>159.13656368963586</v>
      </c>
      <c r="F199" s="103" t="s">
        <v>163</v>
      </c>
      <c r="G199" s="75" t="s">
        <v>147</v>
      </c>
      <c r="H199" s="90">
        <v>21.94</v>
      </c>
      <c r="I199" s="90">
        <v>5.55</v>
      </c>
      <c r="J199" s="76">
        <v>0.105</v>
      </c>
      <c r="K199" s="306">
        <v>3.72</v>
      </c>
      <c r="L199" s="78">
        <f t="shared" si="30"/>
        <v>27.031043384413959</v>
      </c>
      <c r="M199" s="58">
        <f>+VLOOKUP(F199,Material!$H$2:$M$17,6,FALSE)*H199*I199*(1+Material!$K$14)</f>
        <v>45.707036995463604</v>
      </c>
      <c r="N199" s="79" t="str">
        <f t="shared" si="41"/>
        <v>T5.0</v>
      </c>
      <c r="O199" s="80">
        <f>+VLOOKUP(N199,[3]Material!$A$3:$B$58,2,FALSE)</f>
        <v>5000</v>
      </c>
      <c r="P199" s="79" t="s">
        <v>42</v>
      </c>
      <c r="Q199" s="79" t="str">
        <f>+VLOOKUP(F199,[3]Material!$C$2:$E$12,2,FALSE)</f>
        <v>Cal 12</v>
      </c>
      <c r="R199" s="81">
        <f>+IF(P199="ACERO A36",VLOOKUP(Q199,'[3]Velocidades Std 1500 w'!$B$2:$F$15,5,FALSE),IF(P199="INOXIDABLE",VLOOKUP(Q199,'[3]Velocidades Std 1500 w'!$B$17:$F$28,5,FALSE),IF(P199="ALUMINIO",VLOOKUP(Q199,'[3]Velocidades Std 1500 w'!$B$30:$F$38,5,FALSE))))</f>
        <v>4.3859649122807014E-6</v>
      </c>
      <c r="S199" s="82">
        <f t="shared" si="31"/>
        <v>2.1929824561403508E-2</v>
      </c>
      <c r="T199" s="83">
        <f t="shared" si="32"/>
        <v>31.995577894736837</v>
      </c>
      <c r="U199" s="307">
        <f t="shared" si="33"/>
        <v>2026.3866</v>
      </c>
      <c r="V199" s="80">
        <f t="shared" si="34"/>
        <v>44.438302631578949</v>
      </c>
      <c r="W199" s="98">
        <v>14</v>
      </c>
      <c r="X199" s="84">
        <f>+IF(P199="ACERO A36",VLOOKUP(Q199,'[3]Tiempo Objeto'!$B$2:$C$12,2,FALSE),IF(P199="INOXIDABLE",VLOOKUP(Q199,'[3]Tiempo Objeto'!$B$14:$C$22,2,FALSE),IF(P199="ALUMINIO",VLOOKUP(Q199,'[3]Tiempo Objeto'!$B$24:$C$32,2,FALSE))))</f>
        <v>0.6133333333333334</v>
      </c>
      <c r="Y199" s="84">
        <f t="shared" si="35"/>
        <v>8.5866666666666678</v>
      </c>
      <c r="Z199" s="80">
        <f t="shared" si="36"/>
        <v>11.925925925925927</v>
      </c>
      <c r="AA199" s="100">
        <v>1</v>
      </c>
      <c r="AB199" s="86">
        <f>+AA199*Analisis!$J$6</f>
        <v>25</v>
      </c>
      <c r="AC199" s="100">
        <v>0</v>
      </c>
      <c r="AD199" s="85">
        <f t="shared" si="37"/>
        <v>0</v>
      </c>
      <c r="AE199" s="86">
        <f>+AC199*Analisis!$J$7</f>
        <v>0</v>
      </c>
      <c r="AF199" s="308">
        <f>+H199*0.0254*I199*0.0254*2*(1+[3]Analisis!$G$2)</f>
        <v>0.19639799429999996</v>
      </c>
      <c r="AG199" s="86">
        <f>+AF199*Analisis!$J$8</f>
        <v>20.925738678392861</v>
      </c>
      <c r="AH199" s="309">
        <f t="shared" si="27"/>
        <v>147.99700423136133</v>
      </c>
      <c r="AI199" s="86">
        <f>+AH199/(1-Analisis!G204)</f>
        <v>147.99700423136133</v>
      </c>
      <c r="AJ199" s="86">
        <f t="shared" si="38"/>
        <v>159.13656368963586</v>
      </c>
      <c r="AK199" s="86">
        <f t="shared" si="28"/>
        <v>0</v>
      </c>
      <c r="AL199" s="310" t="e">
        <f>+VLOOKUP(B199,#REF!,2,FALSE)</f>
        <v>#REF!</v>
      </c>
      <c r="AM199" s="311" t="e">
        <f t="shared" si="40"/>
        <v>#REF!</v>
      </c>
      <c r="AN199" s="312" t="e">
        <f t="shared" si="39"/>
        <v>#REF!</v>
      </c>
    </row>
    <row r="200" spans="1:40" s="73" customFormat="1" ht="17.25" customHeight="1" x14ac:dyDescent="0.25">
      <c r="A200" s="316">
        <v>161</v>
      </c>
      <c r="B200" s="317" t="s">
        <v>1019</v>
      </c>
      <c r="D200" s="74">
        <f>IFERROR(VLOOKUP(B200,'REQ. PINTADO'!B:C,2,0),0)</f>
        <v>0</v>
      </c>
      <c r="E200" s="305">
        <f t="shared" si="29"/>
        <v>2392.9388853205032</v>
      </c>
      <c r="F200" s="103" t="s">
        <v>165</v>
      </c>
      <c r="G200" s="75" t="s">
        <v>147</v>
      </c>
      <c r="H200" s="90">
        <v>30.85</v>
      </c>
      <c r="I200" s="90">
        <v>91.58</v>
      </c>
      <c r="J200" s="76">
        <v>0.105</v>
      </c>
      <c r="K200" s="306">
        <v>86.17</v>
      </c>
      <c r="L200" s="78">
        <f t="shared" si="30"/>
        <v>29.979477406580017</v>
      </c>
      <c r="M200" s="58">
        <f>+VLOOKUP(F200,Material!$H$2:$M$17,6,FALSE)*H200*I200*(1+Material!$K$14)</f>
        <v>1174.241621875</v>
      </c>
      <c r="N200" s="79" t="str">
        <f t="shared" si="41"/>
        <v>T5.0</v>
      </c>
      <c r="O200" s="80">
        <f>+VLOOKUP(N200,[3]Material!$A$3:$B$58,2,FALSE)</f>
        <v>5000</v>
      </c>
      <c r="P200" s="79" t="s">
        <v>42</v>
      </c>
      <c r="Q200" s="79" t="str">
        <f>+VLOOKUP(F200,[3]Material!$C$2:$E$12,2,FALSE)</f>
        <v>Cal 14</v>
      </c>
      <c r="R200" s="81">
        <f>+IF(P200="ACERO A36",VLOOKUP(Q200,'[3]Velocidades Std 1500 w'!$B$2:$F$15,5,FALSE),IF(P200="INOXIDABLE",VLOOKUP(Q200,'[3]Velocidades Std 1500 w'!$B$17:$F$28,5,FALSE),IF(P200="ALUMINIO",VLOOKUP(Q200,'[3]Velocidades Std 1500 w'!$B$30:$F$38,5,FALSE))))</f>
        <v>2.0080321285140564E-6</v>
      </c>
      <c r="S200" s="82">
        <f t="shared" si="31"/>
        <v>1.0040160642570283E-2</v>
      </c>
      <c r="T200" s="83">
        <f t="shared" si="32"/>
        <v>55.88361108433736</v>
      </c>
      <c r="U200" s="307">
        <f t="shared" si="33"/>
        <v>7730.5662000000002</v>
      </c>
      <c r="V200" s="80">
        <f t="shared" si="34"/>
        <v>77.616126506024116</v>
      </c>
      <c r="W200" s="98">
        <v>30</v>
      </c>
      <c r="X200" s="84">
        <f>+IF(P200="ACERO A36",VLOOKUP(Q200,'[3]Tiempo Objeto'!$B$2:$C$12,2,FALSE),IF(P200="INOXIDABLE",VLOOKUP(Q200,'[3]Tiempo Objeto'!$B$14:$C$22,2,FALSE),IF(P200="ALUMINIO",VLOOKUP(Q200,'[3]Tiempo Objeto'!$B$24:$C$32,2,FALSE))))</f>
        <v>0.3133333333333333</v>
      </c>
      <c r="Y200" s="84">
        <f t="shared" si="35"/>
        <v>9.3999999999999986</v>
      </c>
      <c r="Z200" s="80">
        <f t="shared" si="36"/>
        <v>13.055555555555554</v>
      </c>
      <c r="AA200" s="100">
        <v>4</v>
      </c>
      <c r="AB200" s="86">
        <f>+AA200*Analisis!$J$6</f>
        <v>100</v>
      </c>
      <c r="AC200" s="100">
        <v>15</v>
      </c>
      <c r="AD200" s="85">
        <f t="shared" si="37"/>
        <v>450</v>
      </c>
      <c r="AE200" s="86">
        <f>+AC200*Analisis!$J$7</f>
        <v>375</v>
      </c>
      <c r="AF200" s="308">
        <f>+H200*0.0254*I200*0.0254*2*(1+[3]Analisis!$G$2)</f>
        <v>4.5568344346999998</v>
      </c>
      <c r="AG200" s="86">
        <f>+AF200*Analisis!$J$8</f>
        <v>485.5198594114882</v>
      </c>
      <c r="AH200" s="309">
        <f t="shared" si="27"/>
        <v>2225.4331633480679</v>
      </c>
      <c r="AI200" s="86">
        <f>+AH200/(1-Analisis!G205)</f>
        <v>2225.4331633480679</v>
      </c>
      <c r="AJ200" s="86">
        <f t="shared" si="38"/>
        <v>2392.9388853205032</v>
      </c>
      <c r="AK200" s="86">
        <f t="shared" si="28"/>
        <v>0</v>
      </c>
      <c r="AL200" s="310" t="e">
        <f>+VLOOKUP(B200,#REF!,2,FALSE)</f>
        <v>#REF!</v>
      </c>
      <c r="AM200" s="311" t="e">
        <f t="shared" si="40"/>
        <v>#REF!</v>
      </c>
      <c r="AN200" s="312" t="e">
        <f t="shared" si="39"/>
        <v>#REF!</v>
      </c>
    </row>
    <row r="201" spans="1:40" s="73" customFormat="1" x14ac:dyDescent="0.25">
      <c r="A201" s="303">
        <v>162</v>
      </c>
      <c r="B201" s="304" t="s">
        <v>1018</v>
      </c>
      <c r="D201" s="74">
        <f>IFERROR(VLOOKUP(B201,'REQ. PINTADO'!B:C,2,0),0)</f>
        <v>0</v>
      </c>
      <c r="E201" s="305">
        <f t="shared" si="29"/>
        <v>1808.6747710003965</v>
      </c>
      <c r="F201" s="103" t="s">
        <v>165</v>
      </c>
      <c r="G201" s="75" t="s">
        <v>147</v>
      </c>
      <c r="H201" s="90">
        <v>20.85</v>
      </c>
      <c r="I201" s="90">
        <v>91.58</v>
      </c>
      <c r="J201" s="76">
        <v>0.105</v>
      </c>
      <c r="K201" s="306">
        <v>58.24</v>
      </c>
      <c r="L201" s="78">
        <f t="shared" si="30"/>
        <v>29.978484600360584</v>
      </c>
      <c r="M201" s="58">
        <f>+VLOOKUP(F201,Material!$H$2:$M$17,6,FALSE)*H201*I201*(1+Material!$K$14)</f>
        <v>793.6122468750001</v>
      </c>
      <c r="N201" s="79" t="str">
        <f t="shared" si="41"/>
        <v>T5.0</v>
      </c>
      <c r="O201" s="80">
        <f>+VLOOKUP(N201,[3]Material!$A$3:$B$58,2,FALSE)</f>
        <v>5000</v>
      </c>
      <c r="P201" s="79" t="s">
        <v>42</v>
      </c>
      <c r="Q201" s="79" t="str">
        <f>+VLOOKUP(F201,[3]Material!$C$2:$E$12,2,FALSE)</f>
        <v>Cal 14</v>
      </c>
      <c r="R201" s="81">
        <f>+IF(P201="ACERO A36",VLOOKUP(Q201,'[3]Velocidades Std 1500 w'!$B$2:$F$15,5,FALSE),IF(P201="INOXIDABLE",VLOOKUP(Q201,'[3]Velocidades Std 1500 w'!$B$17:$F$28,5,FALSE),IF(P201="ALUMINIO",VLOOKUP(Q201,'[3]Velocidades Std 1500 w'!$B$30:$F$38,5,FALSE))))</f>
        <v>2.0080321285140564E-6</v>
      </c>
      <c r="S201" s="82">
        <f t="shared" si="31"/>
        <v>1.0040160642570283E-2</v>
      </c>
      <c r="T201" s="83">
        <f t="shared" si="32"/>
        <v>52.02770746987953</v>
      </c>
      <c r="U201" s="307">
        <f t="shared" si="33"/>
        <v>7197.1662000000006</v>
      </c>
      <c r="V201" s="80">
        <f t="shared" si="34"/>
        <v>72.260704819277123</v>
      </c>
      <c r="W201" s="98">
        <v>30</v>
      </c>
      <c r="X201" s="84">
        <f>+IF(P201="ACERO A36",VLOOKUP(Q201,'[3]Tiempo Objeto'!$B$2:$C$12,2,FALSE),IF(P201="INOXIDABLE",VLOOKUP(Q201,'[3]Tiempo Objeto'!$B$14:$C$22,2,FALSE),IF(P201="ALUMINIO",VLOOKUP(Q201,'[3]Tiempo Objeto'!$B$24:$C$32,2,FALSE))))</f>
        <v>0.3133333333333333</v>
      </c>
      <c r="Y201" s="84">
        <f t="shared" si="35"/>
        <v>9.3999999999999986</v>
      </c>
      <c r="Z201" s="80">
        <f t="shared" si="36"/>
        <v>13.055555555555554</v>
      </c>
      <c r="AA201" s="100">
        <v>4</v>
      </c>
      <c r="AB201" s="86">
        <f>+AA201*Analisis!$J$6</f>
        <v>100</v>
      </c>
      <c r="AC201" s="100">
        <v>15</v>
      </c>
      <c r="AD201" s="85">
        <f t="shared" si="37"/>
        <v>450</v>
      </c>
      <c r="AE201" s="86">
        <f>+AC201*Analisis!$J$7</f>
        <v>375</v>
      </c>
      <c r="AF201" s="308">
        <f>+H201*0.0254*I201*0.0254*2*(1+[3]Analisis!$G$2)</f>
        <v>3.0797406146999999</v>
      </c>
      <c r="AG201" s="86">
        <f>+AF201*Analisis!$J$8</f>
        <v>328.13902978053579</v>
      </c>
      <c r="AH201" s="309">
        <f t="shared" si="27"/>
        <v>1682.0675370303686</v>
      </c>
      <c r="AI201" s="86">
        <f>+AH201/(1-Analisis!G206)</f>
        <v>1682.0675370303686</v>
      </c>
      <c r="AJ201" s="86">
        <f t="shared" si="38"/>
        <v>1808.6747710003965</v>
      </c>
      <c r="AK201" s="86">
        <f t="shared" si="28"/>
        <v>0</v>
      </c>
      <c r="AL201" s="310" t="e">
        <f>+VLOOKUP(B201,#REF!,2,FALSE)</f>
        <v>#REF!</v>
      </c>
      <c r="AM201" s="311" t="e">
        <f t="shared" si="40"/>
        <v>#REF!</v>
      </c>
      <c r="AN201" s="312" t="e">
        <f t="shared" si="39"/>
        <v>#REF!</v>
      </c>
    </row>
    <row r="202" spans="1:40" s="73" customFormat="1" x14ac:dyDescent="0.25">
      <c r="A202" s="303"/>
      <c r="B202" s="304" t="s">
        <v>1017</v>
      </c>
      <c r="D202" s="74">
        <f>IFERROR(VLOOKUP(B202,'REQ. PINTADO'!B:C,2,0),0)</f>
        <v>0</v>
      </c>
      <c r="E202" s="305">
        <f t="shared" si="29"/>
        <v>0</v>
      </c>
      <c r="F202" s="103" t="s">
        <v>165</v>
      </c>
      <c r="G202" s="75" t="s">
        <v>147</v>
      </c>
      <c r="H202" s="90">
        <v>0</v>
      </c>
      <c r="I202" s="90">
        <v>0</v>
      </c>
      <c r="J202" s="76">
        <v>0.105</v>
      </c>
      <c r="K202" s="306">
        <v>1</v>
      </c>
      <c r="L202" s="78">
        <f t="shared" si="30"/>
        <v>0</v>
      </c>
      <c r="M202" s="58">
        <f>+VLOOKUP(F202,Material!$H$2:$M$17,6,FALSE)*H202*I202*(1+Material!$K$14)</f>
        <v>0</v>
      </c>
      <c r="N202" s="79" t="str">
        <f t="shared" si="41"/>
        <v>T5.0</v>
      </c>
      <c r="O202" s="80">
        <f>+VLOOKUP(N202,[3]Material!$A$3:$B$58,2,FALSE)</f>
        <v>5000</v>
      </c>
      <c r="P202" s="79" t="s">
        <v>42</v>
      </c>
      <c r="Q202" s="79" t="str">
        <f>+VLOOKUP(F202,[3]Material!$C$2:$E$12,2,FALSE)</f>
        <v>Cal 14</v>
      </c>
      <c r="R202" s="81">
        <f>+IF(P202="ACERO A36",VLOOKUP(Q202,'[3]Velocidades Std 1500 w'!$B$2:$F$15,5,FALSE),IF(P202="INOXIDABLE",VLOOKUP(Q202,'[3]Velocidades Std 1500 w'!$B$17:$F$28,5,FALSE),IF(P202="ALUMINIO",VLOOKUP(Q202,'[3]Velocidades Std 1500 w'!$B$30:$F$38,5,FALSE))))</f>
        <v>2.0080321285140564E-6</v>
      </c>
      <c r="S202" s="82">
        <f t="shared" si="31"/>
        <v>1.0040160642570283E-2</v>
      </c>
      <c r="T202" s="83">
        <f t="shared" si="32"/>
        <v>0</v>
      </c>
      <c r="U202" s="307">
        <f t="shared" si="33"/>
        <v>0</v>
      </c>
      <c r="V202" s="80">
        <f t="shared" si="34"/>
        <v>0</v>
      </c>
      <c r="W202" s="98">
        <v>0</v>
      </c>
      <c r="X202" s="84">
        <f>+IF(P202="ACERO A36",VLOOKUP(Q202,'[3]Tiempo Objeto'!$B$2:$C$12,2,FALSE),IF(P202="INOXIDABLE",VLOOKUP(Q202,'[3]Tiempo Objeto'!$B$14:$C$22,2,FALSE),IF(P202="ALUMINIO",VLOOKUP(Q202,'[3]Tiempo Objeto'!$B$24:$C$32,2,FALSE))))</f>
        <v>0.3133333333333333</v>
      </c>
      <c r="Y202" s="84">
        <f t="shared" si="35"/>
        <v>0</v>
      </c>
      <c r="Z202" s="80">
        <f t="shared" si="36"/>
        <v>0</v>
      </c>
      <c r="AA202" s="100">
        <v>0</v>
      </c>
      <c r="AB202" s="86">
        <f>+AA202*Analisis!$J$6</f>
        <v>0</v>
      </c>
      <c r="AC202" s="100">
        <v>0</v>
      </c>
      <c r="AD202" s="85">
        <f t="shared" si="37"/>
        <v>0</v>
      </c>
      <c r="AE202" s="86">
        <f>+AC202*Analisis!$J$7</f>
        <v>0</v>
      </c>
      <c r="AF202" s="308">
        <f>+H202*0.0254*I202*0.0254*2*(1+[3]Analisis!$G$2)</f>
        <v>0</v>
      </c>
      <c r="AG202" s="86">
        <f>+AF202*Analisis!$J$8</f>
        <v>0</v>
      </c>
      <c r="AH202" s="309">
        <f t="shared" ref="AH202:AH265" si="42">+AE202+AB202+Z202+V202+M202+AG202</f>
        <v>0</v>
      </c>
      <c r="AI202" s="86">
        <f>+AH202/(1-Analisis!G207)</f>
        <v>0</v>
      </c>
      <c r="AJ202" s="86">
        <f t="shared" si="38"/>
        <v>0</v>
      </c>
      <c r="AK202" s="86">
        <f t="shared" ref="AK202:AK265" si="43">+AJ202*D202</f>
        <v>0</v>
      </c>
      <c r="AL202" s="310" t="e">
        <f>+VLOOKUP(B202,#REF!,2,FALSE)</f>
        <v>#REF!</v>
      </c>
      <c r="AM202" s="311" t="e">
        <f t="shared" si="40"/>
        <v>#REF!</v>
      </c>
      <c r="AN202" s="312" t="e">
        <f t="shared" si="39"/>
        <v>#REF!</v>
      </c>
    </row>
    <row r="203" spans="1:40" s="73" customFormat="1" x14ac:dyDescent="0.25">
      <c r="A203" s="316">
        <v>163</v>
      </c>
      <c r="B203" s="317" t="s">
        <v>1019</v>
      </c>
      <c r="D203" s="74">
        <f>IFERROR(VLOOKUP(B203,'REQ. PINTADO'!B:C,2,0),0)</f>
        <v>0</v>
      </c>
      <c r="E203" s="305">
        <f t="shared" si="29"/>
        <v>0</v>
      </c>
      <c r="F203" s="103" t="s">
        <v>165</v>
      </c>
      <c r="G203" s="75" t="s">
        <v>147</v>
      </c>
      <c r="H203" s="90">
        <v>0</v>
      </c>
      <c r="I203" s="90">
        <v>0</v>
      </c>
      <c r="J203" s="76">
        <v>0.105</v>
      </c>
      <c r="K203" s="306">
        <v>1</v>
      </c>
      <c r="L203" s="78">
        <f t="shared" si="30"/>
        <v>0</v>
      </c>
      <c r="M203" s="58">
        <f>+VLOOKUP(F203,Material!$H$2:$M$17,6,FALSE)*H203*I203*(1+Material!$K$14)</f>
        <v>0</v>
      </c>
      <c r="N203" s="79" t="str">
        <f t="shared" si="41"/>
        <v>T5.0</v>
      </c>
      <c r="O203" s="80">
        <f>+VLOOKUP(N203,[3]Material!$A$3:$B$58,2,FALSE)</f>
        <v>5000</v>
      </c>
      <c r="P203" s="79" t="s">
        <v>42</v>
      </c>
      <c r="Q203" s="79" t="str">
        <f>+VLOOKUP(F203,[3]Material!$C$2:$E$12,2,FALSE)</f>
        <v>Cal 14</v>
      </c>
      <c r="R203" s="81">
        <f>+IF(P203="ACERO A36",VLOOKUP(Q203,'[3]Velocidades Std 1500 w'!$B$2:$F$15,5,FALSE),IF(P203="INOXIDABLE",VLOOKUP(Q203,'[3]Velocidades Std 1500 w'!$B$17:$F$28,5,FALSE),IF(P203="ALUMINIO",VLOOKUP(Q203,'[3]Velocidades Std 1500 w'!$B$30:$F$38,5,FALSE))))</f>
        <v>2.0080321285140564E-6</v>
      </c>
      <c r="S203" s="82">
        <f t="shared" si="31"/>
        <v>1.0040160642570283E-2</v>
      </c>
      <c r="T203" s="83">
        <f t="shared" si="32"/>
        <v>0</v>
      </c>
      <c r="U203" s="307">
        <f t="shared" si="33"/>
        <v>0</v>
      </c>
      <c r="V203" s="80">
        <f t="shared" si="34"/>
        <v>0</v>
      </c>
      <c r="W203" s="98">
        <v>0</v>
      </c>
      <c r="X203" s="84">
        <f>+IF(P203="ACERO A36",VLOOKUP(Q203,'[3]Tiempo Objeto'!$B$2:$C$12,2,FALSE),IF(P203="INOXIDABLE",VLOOKUP(Q203,'[3]Tiempo Objeto'!$B$14:$C$22,2,FALSE),IF(P203="ALUMINIO",VLOOKUP(Q203,'[3]Tiempo Objeto'!$B$24:$C$32,2,FALSE))))</f>
        <v>0.3133333333333333</v>
      </c>
      <c r="Y203" s="84">
        <f t="shared" si="35"/>
        <v>0</v>
      </c>
      <c r="Z203" s="80">
        <f t="shared" si="36"/>
        <v>0</v>
      </c>
      <c r="AA203" s="100">
        <v>0</v>
      </c>
      <c r="AB203" s="86">
        <f>+AA203*Analisis!$J$6</f>
        <v>0</v>
      </c>
      <c r="AC203" s="100">
        <v>0</v>
      </c>
      <c r="AD203" s="85">
        <f t="shared" si="37"/>
        <v>0</v>
      </c>
      <c r="AE203" s="86">
        <f>+AC203*Analisis!$J$7</f>
        <v>0</v>
      </c>
      <c r="AF203" s="308">
        <f>+H203*0.0254*I203*0.0254*2*(1+[3]Analisis!$G$2)</f>
        <v>0</v>
      </c>
      <c r="AG203" s="86">
        <f>+AF203*Analisis!$J$8</f>
        <v>0</v>
      </c>
      <c r="AH203" s="309">
        <f t="shared" si="42"/>
        <v>0</v>
      </c>
      <c r="AI203" s="86">
        <f>+AH203/(1-Analisis!G208)</f>
        <v>0</v>
      </c>
      <c r="AJ203" s="86">
        <f t="shared" si="38"/>
        <v>0</v>
      </c>
      <c r="AK203" s="86">
        <f t="shared" si="43"/>
        <v>0</v>
      </c>
      <c r="AL203" s="310" t="e">
        <f>+VLOOKUP(B203,#REF!,2,FALSE)</f>
        <v>#REF!</v>
      </c>
      <c r="AM203" s="311" t="e">
        <f t="shared" si="40"/>
        <v>#REF!</v>
      </c>
      <c r="AN203" s="312" t="e">
        <f t="shared" si="39"/>
        <v>#REF!</v>
      </c>
    </row>
    <row r="204" spans="1:40" s="73" customFormat="1" x14ac:dyDescent="0.25">
      <c r="A204" s="316">
        <v>164</v>
      </c>
      <c r="B204" s="317" t="s">
        <v>1020</v>
      </c>
      <c r="D204" s="74">
        <f>IFERROR(VLOOKUP(B204,'REQ. PINTADO'!B:C,2,0),0)</f>
        <v>0</v>
      </c>
      <c r="E204" s="305">
        <f t="shared" si="29"/>
        <v>0</v>
      </c>
      <c r="F204" s="103" t="s">
        <v>165</v>
      </c>
      <c r="G204" s="75" t="s">
        <v>147</v>
      </c>
      <c r="H204" s="90">
        <v>0</v>
      </c>
      <c r="I204" s="90">
        <v>0</v>
      </c>
      <c r="J204" s="76">
        <v>0.105</v>
      </c>
      <c r="K204" s="306">
        <v>1</v>
      </c>
      <c r="L204" s="78">
        <f t="shared" si="30"/>
        <v>0</v>
      </c>
      <c r="M204" s="58">
        <f>+VLOOKUP(F204,Material!$H$2:$M$17,6,FALSE)*H204*I204*(1+Material!$K$14)</f>
        <v>0</v>
      </c>
      <c r="N204" s="79" t="str">
        <f t="shared" si="41"/>
        <v>T5.0</v>
      </c>
      <c r="O204" s="80">
        <f>+VLOOKUP(N204,[3]Material!$A$3:$B$58,2,FALSE)</f>
        <v>5000</v>
      </c>
      <c r="P204" s="79" t="s">
        <v>42</v>
      </c>
      <c r="Q204" s="79" t="str">
        <f>+VLOOKUP(F204,[3]Material!$C$2:$E$12,2,FALSE)</f>
        <v>Cal 14</v>
      </c>
      <c r="R204" s="81">
        <f>+IF(P204="ACERO A36",VLOOKUP(Q204,'[3]Velocidades Std 1500 w'!$B$2:$F$15,5,FALSE),IF(P204="INOXIDABLE",VLOOKUP(Q204,'[3]Velocidades Std 1500 w'!$B$17:$F$28,5,FALSE),IF(P204="ALUMINIO",VLOOKUP(Q204,'[3]Velocidades Std 1500 w'!$B$30:$F$38,5,FALSE))))</f>
        <v>2.0080321285140564E-6</v>
      </c>
      <c r="S204" s="82">
        <f t="shared" si="31"/>
        <v>1.0040160642570283E-2</v>
      </c>
      <c r="T204" s="83">
        <f t="shared" si="32"/>
        <v>0</v>
      </c>
      <c r="U204" s="307">
        <f t="shared" si="33"/>
        <v>0</v>
      </c>
      <c r="V204" s="80">
        <f t="shared" si="34"/>
        <v>0</v>
      </c>
      <c r="W204" s="98">
        <v>0</v>
      </c>
      <c r="X204" s="84">
        <f>+IF(P204="ACERO A36",VLOOKUP(Q204,'[3]Tiempo Objeto'!$B$2:$C$12,2,FALSE),IF(P204="INOXIDABLE",VLOOKUP(Q204,'[3]Tiempo Objeto'!$B$14:$C$22,2,FALSE),IF(P204="ALUMINIO",VLOOKUP(Q204,'[3]Tiempo Objeto'!$B$24:$C$32,2,FALSE))))</f>
        <v>0.3133333333333333</v>
      </c>
      <c r="Y204" s="84">
        <f t="shared" si="35"/>
        <v>0</v>
      </c>
      <c r="Z204" s="80">
        <f t="shared" si="36"/>
        <v>0</v>
      </c>
      <c r="AA204" s="100">
        <v>0</v>
      </c>
      <c r="AB204" s="86">
        <f>+AA204*Analisis!$J$6</f>
        <v>0</v>
      </c>
      <c r="AC204" s="100">
        <v>0</v>
      </c>
      <c r="AD204" s="85">
        <f t="shared" si="37"/>
        <v>0</v>
      </c>
      <c r="AE204" s="86">
        <f>+AC204*Analisis!$J$7</f>
        <v>0</v>
      </c>
      <c r="AF204" s="308">
        <f>+H204*0.0254*I204*0.0254*2*(1+[3]Analisis!$G$2)</f>
        <v>0</v>
      </c>
      <c r="AG204" s="86">
        <f>+AF204*Analisis!$J$8</f>
        <v>0</v>
      </c>
      <c r="AH204" s="309">
        <f t="shared" si="42"/>
        <v>0</v>
      </c>
      <c r="AI204" s="86">
        <f>+AH204/(1-Analisis!G209)</f>
        <v>0</v>
      </c>
      <c r="AJ204" s="86">
        <f t="shared" si="38"/>
        <v>0</v>
      </c>
      <c r="AK204" s="86">
        <f t="shared" si="43"/>
        <v>0</v>
      </c>
      <c r="AL204" s="310" t="e">
        <f>+VLOOKUP(B204,#REF!,2,FALSE)</f>
        <v>#REF!</v>
      </c>
      <c r="AM204" s="311" t="e">
        <f t="shared" si="40"/>
        <v>#REF!</v>
      </c>
      <c r="AN204" s="312" t="e">
        <f t="shared" si="39"/>
        <v>#REF!</v>
      </c>
    </row>
    <row r="205" spans="1:40" s="73" customFormat="1" x14ac:dyDescent="0.25">
      <c r="A205" s="303">
        <v>165</v>
      </c>
      <c r="B205" s="304" t="s">
        <v>1021</v>
      </c>
      <c r="D205" s="74">
        <f>IFERROR(VLOOKUP(B205,'REQ. PINTADO'!B:C,2,0),0)</f>
        <v>0</v>
      </c>
      <c r="E205" s="305">
        <f t="shared" si="29"/>
        <v>829.85713419634328</v>
      </c>
      <c r="F205" s="103" t="s">
        <v>165</v>
      </c>
      <c r="G205" s="75" t="s">
        <v>147</v>
      </c>
      <c r="H205" s="90">
        <v>25.65</v>
      </c>
      <c r="I205" s="90">
        <v>40.99</v>
      </c>
      <c r="J205" s="76">
        <v>0.105</v>
      </c>
      <c r="K205" s="306">
        <v>22.4</v>
      </c>
      <c r="L205" s="78">
        <f t="shared" si="30"/>
        <v>42.918211230468764</v>
      </c>
      <c r="M205" s="58">
        <f>+VLOOKUP(F205,Material!$H$2:$M$17,6,FALSE)*H205*I205*(1+Material!$K$14)</f>
        <v>436.98542343750006</v>
      </c>
      <c r="N205" s="79" t="str">
        <f t="shared" si="41"/>
        <v>T5.0</v>
      </c>
      <c r="O205" s="80">
        <f>+VLOOKUP(N205,[3]Material!$A$3:$B$58,2,FALSE)</f>
        <v>5000</v>
      </c>
      <c r="P205" s="79" t="s">
        <v>42</v>
      </c>
      <c r="Q205" s="79" t="str">
        <f>+VLOOKUP(F205,[3]Material!$C$2:$E$12,2,FALSE)</f>
        <v>Cal 14</v>
      </c>
      <c r="R205" s="81">
        <f>+IF(P205="ACERO A36",VLOOKUP(Q205,'[3]Velocidades Std 1500 w'!$B$2:$F$15,5,FALSE),IF(P205="INOXIDABLE",VLOOKUP(Q205,'[3]Velocidades Std 1500 w'!$B$17:$F$28,5,FALSE),IF(P205="ALUMINIO",VLOOKUP(Q205,'[3]Velocidades Std 1500 w'!$B$30:$F$38,5,FALSE))))</f>
        <v>2.0080321285140564E-6</v>
      </c>
      <c r="S205" s="82">
        <f t="shared" si="31"/>
        <v>1.0040160642570283E-2</v>
      </c>
      <c r="T205" s="83">
        <f t="shared" si="32"/>
        <v>32.057982650602412</v>
      </c>
      <c r="U205" s="307">
        <f t="shared" si="33"/>
        <v>4434.6876000000002</v>
      </c>
      <c r="V205" s="80">
        <f t="shared" si="34"/>
        <v>44.524975903614468</v>
      </c>
      <c r="W205" s="98">
        <v>22</v>
      </c>
      <c r="X205" s="84">
        <f>+IF(P205="ACERO A36",VLOOKUP(Q205,'[3]Tiempo Objeto'!$B$2:$C$12,2,FALSE),IF(P205="INOXIDABLE",VLOOKUP(Q205,'[3]Tiempo Objeto'!$B$14:$C$22,2,FALSE),IF(P205="ALUMINIO",VLOOKUP(Q205,'[3]Tiempo Objeto'!$B$24:$C$32,2,FALSE))))</f>
        <v>0.3133333333333333</v>
      </c>
      <c r="Y205" s="84">
        <f t="shared" si="35"/>
        <v>6.8933333333333326</v>
      </c>
      <c r="Z205" s="80">
        <f t="shared" si="36"/>
        <v>9.5740740740740726</v>
      </c>
      <c r="AA205" s="100">
        <v>4</v>
      </c>
      <c r="AB205" s="86">
        <f>+AA205*Analisis!$J$6</f>
        <v>100</v>
      </c>
      <c r="AC205" s="100">
        <v>0</v>
      </c>
      <c r="AD205" s="85">
        <f t="shared" si="37"/>
        <v>0</v>
      </c>
      <c r="AE205" s="86">
        <f>+AC205*Analisis!$J$7</f>
        <v>0</v>
      </c>
      <c r="AF205" s="308">
        <f>+H205*0.0254*I205*0.0254*2*(1+[3]Analisis!$G$2)</f>
        <v>1.6957925761499997</v>
      </c>
      <c r="AG205" s="86">
        <f>+AF205*Analisis!$J$8</f>
        <v>180.68266138741075</v>
      </c>
      <c r="AH205" s="309">
        <f t="shared" si="42"/>
        <v>771.76713480259923</v>
      </c>
      <c r="AI205" s="86">
        <f>+AH205/(1-Analisis!G210)</f>
        <v>771.76713480259923</v>
      </c>
      <c r="AJ205" s="86">
        <f t="shared" si="38"/>
        <v>829.85713419634328</v>
      </c>
      <c r="AK205" s="86">
        <f t="shared" si="43"/>
        <v>0</v>
      </c>
      <c r="AL205" s="310" t="e">
        <f>+VLOOKUP(B205,#REF!,2,FALSE)</f>
        <v>#REF!</v>
      </c>
      <c r="AM205" s="311" t="e">
        <f t="shared" si="40"/>
        <v>#REF!</v>
      </c>
      <c r="AN205" s="312" t="e">
        <f t="shared" si="39"/>
        <v>#REF!</v>
      </c>
    </row>
    <row r="206" spans="1:40" s="73" customFormat="1" x14ac:dyDescent="0.25">
      <c r="A206" s="303">
        <v>166</v>
      </c>
      <c r="B206" s="304" t="s">
        <v>1022</v>
      </c>
      <c r="D206" s="74">
        <f>IFERROR(VLOOKUP(B206,'REQ. PINTADO'!B:C,2,0),0)</f>
        <v>0</v>
      </c>
      <c r="E206" s="305">
        <f t="shared" si="29"/>
        <v>364.96780779401161</v>
      </c>
      <c r="F206" s="103" t="s">
        <v>165</v>
      </c>
      <c r="G206" s="75" t="s">
        <v>147</v>
      </c>
      <c r="H206" s="90">
        <v>9.51</v>
      </c>
      <c r="I206" s="90">
        <v>40.99</v>
      </c>
      <c r="J206" s="76">
        <v>0.105</v>
      </c>
      <c r="K206" s="306">
        <v>8.31</v>
      </c>
      <c r="L206" s="78">
        <f t="shared" si="30"/>
        <v>42.89253901173285</v>
      </c>
      <c r="M206" s="58">
        <f>+VLOOKUP(F206,Material!$H$2:$M$17,6,FALSE)*H206*I206*(1+Material!$K$14)</f>
        <v>162.01681781249999</v>
      </c>
      <c r="N206" s="79" t="str">
        <f t="shared" si="41"/>
        <v>T5.0</v>
      </c>
      <c r="O206" s="80">
        <f>+VLOOKUP(N206,[3]Material!$A$3:$B$58,2,FALSE)</f>
        <v>5000</v>
      </c>
      <c r="P206" s="79" t="s">
        <v>42</v>
      </c>
      <c r="Q206" s="79" t="str">
        <f>+VLOOKUP(F206,[3]Material!$C$2:$E$12,2,FALSE)</f>
        <v>Cal 14</v>
      </c>
      <c r="R206" s="81">
        <f>+IF(P206="ACERO A36",VLOOKUP(Q206,'[3]Velocidades Std 1500 w'!$B$2:$F$15,5,FALSE),IF(P206="INOXIDABLE",VLOOKUP(Q206,'[3]Velocidades Std 1500 w'!$B$17:$F$28,5,FALSE),IF(P206="ALUMINIO",VLOOKUP(Q206,'[3]Velocidades Std 1500 w'!$B$30:$F$38,5,FALSE))))</f>
        <v>2.0080321285140564E-6</v>
      </c>
      <c r="S206" s="82">
        <f t="shared" si="31"/>
        <v>1.0040160642570283E-2</v>
      </c>
      <c r="T206" s="83">
        <f t="shared" si="32"/>
        <v>22.364240963855423</v>
      </c>
      <c r="U206" s="307">
        <f t="shared" si="33"/>
        <v>3093.72</v>
      </c>
      <c r="V206" s="80">
        <f t="shared" si="34"/>
        <v>31.061445783132534</v>
      </c>
      <c r="W206" s="98">
        <v>10</v>
      </c>
      <c r="X206" s="84">
        <f>+IF(P206="ACERO A36",VLOOKUP(Q206,'[3]Tiempo Objeto'!$B$2:$C$12,2,FALSE),IF(P206="INOXIDABLE",VLOOKUP(Q206,'[3]Tiempo Objeto'!$B$14:$C$22,2,FALSE),IF(P206="ALUMINIO",VLOOKUP(Q206,'[3]Tiempo Objeto'!$B$24:$C$32,2,FALSE))))</f>
        <v>0.3133333333333333</v>
      </c>
      <c r="Y206" s="84">
        <f t="shared" si="35"/>
        <v>3.1333333333333329</v>
      </c>
      <c r="Z206" s="80">
        <f t="shared" si="36"/>
        <v>4.3518518518518512</v>
      </c>
      <c r="AA206" s="100">
        <v>3</v>
      </c>
      <c r="AB206" s="86">
        <f>+AA206*Analisis!$J$6</f>
        <v>75</v>
      </c>
      <c r="AC206" s="100">
        <v>0</v>
      </c>
      <c r="AD206" s="85">
        <f t="shared" si="37"/>
        <v>0</v>
      </c>
      <c r="AE206" s="86">
        <f>+AC206*Analisis!$J$7</f>
        <v>0</v>
      </c>
      <c r="AF206" s="308">
        <f>+H206*0.0254*I206*0.0254*2*(1+[3]Analisis!$G$2)</f>
        <v>0.62873245220999996</v>
      </c>
      <c r="AG206" s="86">
        <f>+AF206*Analisis!$J$8</f>
        <v>66.989945800946444</v>
      </c>
      <c r="AH206" s="309">
        <f t="shared" si="42"/>
        <v>339.42006124843078</v>
      </c>
      <c r="AI206" s="86">
        <f>+AH206/(1-Analisis!G211)</f>
        <v>339.42006124843078</v>
      </c>
      <c r="AJ206" s="86">
        <f t="shared" si="38"/>
        <v>364.96780779401161</v>
      </c>
      <c r="AK206" s="86">
        <f t="shared" si="43"/>
        <v>0</v>
      </c>
      <c r="AL206" s="310" t="e">
        <f>+VLOOKUP(B206,#REF!,2,FALSE)</f>
        <v>#REF!</v>
      </c>
      <c r="AM206" s="311" t="e">
        <f t="shared" si="40"/>
        <v>#REF!</v>
      </c>
      <c r="AN206" s="312" t="e">
        <f t="shared" si="39"/>
        <v>#REF!</v>
      </c>
    </row>
    <row r="207" spans="1:40" s="73" customFormat="1" x14ac:dyDescent="0.25">
      <c r="A207" s="303">
        <v>167</v>
      </c>
      <c r="B207" s="304" t="s">
        <v>994</v>
      </c>
      <c r="D207" s="74">
        <f>IFERROR(VLOOKUP(B207,'REQ. PINTADO'!B:C,2,0),0)</f>
        <v>0</v>
      </c>
      <c r="E207" s="305">
        <f t="shared" si="29"/>
        <v>164.78382778171917</v>
      </c>
      <c r="F207" s="103" t="s">
        <v>165</v>
      </c>
      <c r="G207" s="75" t="s">
        <v>147</v>
      </c>
      <c r="H207" s="90">
        <v>21.9</v>
      </c>
      <c r="I207" s="90">
        <v>8</v>
      </c>
      <c r="J207" s="76">
        <v>0.105</v>
      </c>
      <c r="K207" s="306">
        <v>3.73</v>
      </c>
      <c r="L207" s="78">
        <f t="shared" si="30"/>
        <v>42.948659517426279</v>
      </c>
      <c r="M207" s="58">
        <f>+VLOOKUP(F207,Material!$H$2:$M$17,6,FALSE)*H207*I207*(1+Material!$K$14)</f>
        <v>72.81750000000001</v>
      </c>
      <c r="N207" s="79" t="str">
        <f t="shared" si="41"/>
        <v>T5.0</v>
      </c>
      <c r="O207" s="80">
        <f>+VLOOKUP(N207,[3]Material!$A$3:$B$58,2,FALSE)</f>
        <v>5000</v>
      </c>
      <c r="P207" s="79" t="s">
        <v>42</v>
      </c>
      <c r="Q207" s="79" t="str">
        <f>+VLOOKUP(F207,[3]Material!$C$2:$E$12,2,FALSE)</f>
        <v>Cal 14</v>
      </c>
      <c r="R207" s="81">
        <f>+IF(P207="ACERO A36",VLOOKUP(Q207,'[3]Velocidades Std 1500 w'!$B$2:$F$15,5,FALSE),IF(P207="INOXIDABLE",VLOOKUP(Q207,'[3]Velocidades Std 1500 w'!$B$17:$F$28,5,FALSE),IF(P207="ALUMINIO",VLOOKUP(Q207,'[3]Velocidades Std 1500 w'!$B$30:$F$38,5,FALSE))))</f>
        <v>2.0080321285140564E-6</v>
      </c>
      <c r="S207" s="82">
        <f t="shared" si="31"/>
        <v>1.0040160642570283E-2</v>
      </c>
      <c r="T207" s="83">
        <f t="shared" si="32"/>
        <v>23.386055421686748</v>
      </c>
      <c r="U207" s="307">
        <f t="shared" si="33"/>
        <v>3235.0709999999999</v>
      </c>
      <c r="V207" s="80">
        <f t="shared" si="34"/>
        <v>32.480632530120488</v>
      </c>
      <c r="W207" s="98">
        <v>41</v>
      </c>
      <c r="X207" s="84">
        <f>+IF(P207="ACERO A36",VLOOKUP(Q207,'[3]Tiempo Objeto'!$B$2:$C$12,2,FALSE),IF(P207="INOXIDABLE",VLOOKUP(Q207,'[3]Tiempo Objeto'!$B$14:$C$22,2,FALSE),IF(P207="ALUMINIO",VLOOKUP(Q207,'[3]Tiempo Objeto'!$B$24:$C$32,2,FALSE))))</f>
        <v>0.3133333333333333</v>
      </c>
      <c r="Y207" s="84">
        <f t="shared" si="35"/>
        <v>12.846666666666666</v>
      </c>
      <c r="Z207" s="80">
        <f t="shared" si="36"/>
        <v>17.842592592592592</v>
      </c>
      <c r="AA207" s="100">
        <v>0</v>
      </c>
      <c r="AB207" s="86">
        <f>+AA207*Analisis!$J$6</f>
        <v>0</v>
      </c>
      <c r="AC207" s="100">
        <v>0</v>
      </c>
      <c r="AD207" s="85">
        <f t="shared" si="37"/>
        <v>0</v>
      </c>
      <c r="AE207" s="86">
        <f>+AC207*Analisis!$J$7</f>
        <v>0</v>
      </c>
      <c r="AF207" s="308">
        <f>+H207*0.0254*I207*0.0254*2*(1+[3]Analisis!$G$2)</f>
        <v>0.28258007999999996</v>
      </c>
      <c r="AG207" s="86">
        <f>+AF207*Analisis!$J$8</f>
        <v>30.108234714285718</v>
      </c>
      <c r="AH207" s="309">
        <f t="shared" si="42"/>
        <v>153.24895983699881</v>
      </c>
      <c r="AI207" s="86">
        <f>+AH207/(1-Analisis!G212)</f>
        <v>153.24895983699881</v>
      </c>
      <c r="AJ207" s="86">
        <f t="shared" si="38"/>
        <v>164.78382778171917</v>
      </c>
      <c r="AK207" s="86">
        <f t="shared" si="43"/>
        <v>0</v>
      </c>
      <c r="AL207" s="310" t="e">
        <f>+VLOOKUP(B207,#REF!,2,FALSE)</f>
        <v>#REF!</v>
      </c>
      <c r="AM207" s="311" t="e">
        <f t="shared" si="40"/>
        <v>#REF!</v>
      </c>
      <c r="AN207" s="312" t="e">
        <f t="shared" si="39"/>
        <v>#REF!</v>
      </c>
    </row>
    <row r="208" spans="1:40" s="73" customFormat="1" x14ac:dyDescent="0.25">
      <c r="A208" s="303">
        <v>168</v>
      </c>
      <c r="B208" s="304" t="s">
        <v>1023</v>
      </c>
      <c r="D208" s="74">
        <f>IFERROR(VLOOKUP(B208,'REQ. PINTADO'!B:C,2,0),0)</f>
        <v>0</v>
      </c>
      <c r="E208" s="305">
        <f t="shared" si="29"/>
        <v>114.61984414580174</v>
      </c>
      <c r="F208" s="103" t="s">
        <v>165</v>
      </c>
      <c r="G208" s="75" t="s">
        <v>147</v>
      </c>
      <c r="H208" s="90">
        <v>5.37</v>
      </c>
      <c r="I208" s="90">
        <v>17.25</v>
      </c>
      <c r="J208" s="76">
        <v>0.105</v>
      </c>
      <c r="K208" s="306">
        <v>1.9730000000000001</v>
      </c>
      <c r="L208" s="78">
        <f t="shared" si="30"/>
        <v>42.929975766599092</v>
      </c>
      <c r="M208" s="58">
        <f>+VLOOKUP(F208,Material!$H$2:$M$17,6,FALSE)*H208*I208*(1+Material!$K$14)</f>
        <v>38.500382812500007</v>
      </c>
      <c r="N208" s="79" t="str">
        <f t="shared" si="41"/>
        <v>T5.0</v>
      </c>
      <c r="O208" s="80">
        <f>+VLOOKUP(N208,[3]Material!$A$3:$B$58,2,FALSE)</f>
        <v>5000</v>
      </c>
      <c r="P208" s="79" t="s">
        <v>42</v>
      </c>
      <c r="Q208" s="79" t="str">
        <f>+VLOOKUP(F208,[3]Material!$C$2:$E$12,2,FALSE)</f>
        <v>Cal 14</v>
      </c>
      <c r="R208" s="81">
        <f>+IF(P208="ACERO A36",VLOOKUP(Q208,'[3]Velocidades Std 1500 w'!$B$2:$F$15,5,FALSE),IF(P208="INOXIDABLE",VLOOKUP(Q208,'[3]Velocidades Std 1500 w'!$B$17:$F$28,5,FALSE),IF(P208="ALUMINIO",VLOOKUP(Q208,'[3]Velocidades Std 1500 w'!$B$30:$F$38,5,FALSE))))</f>
        <v>2.0080321285140564E-6</v>
      </c>
      <c r="S208" s="82">
        <f t="shared" si="31"/>
        <v>1.0040160642570283E-2</v>
      </c>
      <c r="T208" s="83">
        <f t="shared" si="32"/>
        <v>13.92752385542169</v>
      </c>
      <c r="U208" s="307">
        <f t="shared" si="33"/>
        <v>1926.6408000000004</v>
      </c>
      <c r="V208" s="80">
        <f t="shared" si="34"/>
        <v>19.343783132530127</v>
      </c>
      <c r="W208" s="98">
        <v>18</v>
      </c>
      <c r="X208" s="84">
        <f>+IF(P208="ACERO A36",VLOOKUP(Q208,'[3]Tiempo Objeto'!$B$2:$C$12,2,FALSE),IF(P208="INOXIDABLE",VLOOKUP(Q208,'[3]Tiempo Objeto'!$B$14:$C$22,2,FALSE),IF(P208="ALUMINIO",VLOOKUP(Q208,'[3]Tiempo Objeto'!$B$24:$C$32,2,FALSE))))</f>
        <v>0.3133333333333333</v>
      </c>
      <c r="Y208" s="84">
        <f t="shared" si="35"/>
        <v>5.64</v>
      </c>
      <c r="Z208" s="80">
        <f t="shared" si="36"/>
        <v>7.833333333333333</v>
      </c>
      <c r="AA208" s="100">
        <v>1</v>
      </c>
      <c r="AB208" s="86">
        <f>+AA208*Analisis!$J$6</f>
        <v>25</v>
      </c>
      <c r="AC208" s="100">
        <v>0</v>
      </c>
      <c r="AD208" s="85">
        <f t="shared" si="37"/>
        <v>0</v>
      </c>
      <c r="AE208" s="86">
        <f>+AC208*Analisis!$J$7</f>
        <v>0</v>
      </c>
      <c r="AF208" s="308">
        <f>+H208*0.0254*I208*0.0254*2*(1+[3]Analisis!$G$2)</f>
        <v>0.14940695925</v>
      </c>
      <c r="AG208" s="86">
        <f>+AF208*Analisis!$J$8</f>
        <v>15.918955777232147</v>
      </c>
      <c r="AH208" s="309">
        <f t="shared" si="42"/>
        <v>106.59645505559561</v>
      </c>
      <c r="AI208" s="86">
        <f>+AH208/(1-Analisis!G213)</f>
        <v>106.59645505559561</v>
      </c>
      <c r="AJ208" s="86">
        <f t="shared" si="38"/>
        <v>114.61984414580174</v>
      </c>
      <c r="AK208" s="86">
        <f t="shared" si="43"/>
        <v>0</v>
      </c>
      <c r="AL208" s="310" t="e">
        <f>+VLOOKUP(B208,#REF!,2,FALSE)</f>
        <v>#REF!</v>
      </c>
      <c r="AM208" s="311" t="e">
        <f t="shared" si="40"/>
        <v>#REF!</v>
      </c>
      <c r="AN208" s="312" t="e">
        <f t="shared" si="39"/>
        <v>#REF!</v>
      </c>
    </row>
    <row r="209" spans="1:40" s="73" customFormat="1" x14ac:dyDescent="0.25">
      <c r="A209" s="303">
        <v>169</v>
      </c>
      <c r="B209" s="304" t="s">
        <v>1024</v>
      </c>
      <c r="D209" s="74">
        <f>IFERROR(VLOOKUP(B209,'REQ. PINTADO'!B:C,2,0),0)</f>
        <v>0</v>
      </c>
      <c r="E209" s="305">
        <f t="shared" si="29"/>
        <v>859.98202724194073</v>
      </c>
      <c r="F209" s="103" t="s">
        <v>165</v>
      </c>
      <c r="G209" s="75" t="s">
        <v>147</v>
      </c>
      <c r="H209" s="90">
        <v>13.68</v>
      </c>
      <c r="I209" s="90">
        <v>88.54</v>
      </c>
      <c r="J209" s="76">
        <v>0.105</v>
      </c>
      <c r="K209" s="306">
        <v>36.1</v>
      </c>
      <c r="L209" s="78">
        <f t="shared" si="30"/>
        <v>30.679110000000009</v>
      </c>
      <c r="M209" s="58">
        <f>+VLOOKUP(F209,Material!$H$2:$M$17,6,FALSE)*H209*I209*(1+Material!$K$14)</f>
        <v>503.41630500000014</v>
      </c>
      <c r="N209" s="79" t="str">
        <f t="shared" si="41"/>
        <v>T5.0</v>
      </c>
      <c r="O209" s="80">
        <f>+VLOOKUP(N209,[3]Material!$A$3:$B$58,2,FALSE)</f>
        <v>5000</v>
      </c>
      <c r="P209" s="79" t="s">
        <v>42</v>
      </c>
      <c r="Q209" s="79" t="str">
        <f>+VLOOKUP(F209,[3]Material!$C$2:$E$12,2,FALSE)</f>
        <v>Cal 14</v>
      </c>
      <c r="R209" s="81">
        <f>+IF(P209="ACERO A36",VLOOKUP(Q209,'[3]Velocidades Std 1500 w'!$B$2:$F$15,5,FALSE),IF(P209="INOXIDABLE",VLOOKUP(Q209,'[3]Velocidades Std 1500 w'!$B$17:$F$28,5,FALSE),IF(P209="ALUMINIO",VLOOKUP(Q209,'[3]Velocidades Std 1500 w'!$B$30:$F$38,5,FALSE))))</f>
        <v>2.0080321285140564E-6</v>
      </c>
      <c r="S209" s="82">
        <f t="shared" si="31"/>
        <v>1.0040160642570283E-2</v>
      </c>
      <c r="T209" s="83">
        <f t="shared" si="32"/>
        <v>50.982757590361452</v>
      </c>
      <c r="U209" s="307">
        <f t="shared" si="33"/>
        <v>7052.6148000000003</v>
      </c>
      <c r="V209" s="80">
        <f t="shared" si="34"/>
        <v>70.809385542168684</v>
      </c>
      <c r="W209" s="98">
        <v>40</v>
      </c>
      <c r="X209" s="84">
        <f>+IF(P209="ACERO A36",VLOOKUP(Q209,'[3]Tiempo Objeto'!$B$2:$C$12,2,FALSE),IF(P209="INOXIDABLE",VLOOKUP(Q209,'[3]Tiempo Objeto'!$B$14:$C$22,2,FALSE),IF(P209="ALUMINIO",VLOOKUP(Q209,'[3]Tiempo Objeto'!$B$24:$C$32,2,FALSE))))</f>
        <v>0.3133333333333333</v>
      </c>
      <c r="Y209" s="84">
        <f t="shared" si="35"/>
        <v>12.533333333333331</v>
      </c>
      <c r="Z209" s="80">
        <f t="shared" si="36"/>
        <v>17.407407407407405</v>
      </c>
      <c r="AA209" s="100">
        <v>0</v>
      </c>
      <c r="AB209" s="86">
        <f>+AA209*Analisis!$J$6</f>
        <v>0</v>
      </c>
      <c r="AC209" s="100">
        <v>0</v>
      </c>
      <c r="AD209" s="85">
        <f t="shared" si="37"/>
        <v>0</v>
      </c>
      <c r="AE209" s="86">
        <f>+AC209*Analisis!$J$7</f>
        <v>0</v>
      </c>
      <c r="AF209" s="308">
        <f>+H209*0.0254*I209*0.0254*2*(1+[3]Analisis!$G$2)</f>
        <v>1.95358835088</v>
      </c>
      <c r="AG209" s="86">
        <f>+AF209*Analisis!$J$8</f>
        <v>208.15018738542864</v>
      </c>
      <c r="AH209" s="309">
        <f t="shared" si="42"/>
        <v>799.78328533500485</v>
      </c>
      <c r="AI209" s="86">
        <f>+AH209/(1-Analisis!G214)</f>
        <v>799.78328533500485</v>
      </c>
      <c r="AJ209" s="86">
        <f t="shared" si="38"/>
        <v>859.98202724194073</v>
      </c>
      <c r="AK209" s="86">
        <f t="shared" si="43"/>
        <v>0</v>
      </c>
      <c r="AL209" s="310" t="e">
        <f>+VLOOKUP(B209,#REF!,2,FALSE)</f>
        <v>#REF!</v>
      </c>
      <c r="AM209" s="311" t="e">
        <f t="shared" si="40"/>
        <v>#REF!</v>
      </c>
      <c r="AN209" s="312" t="e">
        <f t="shared" si="39"/>
        <v>#REF!</v>
      </c>
    </row>
    <row r="210" spans="1:40" s="73" customFormat="1" x14ac:dyDescent="0.25">
      <c r="A210" s="303"/>
      <c r="B210" s="304" t="s">
        <v>1025</v>
      </c>
      <c r="D210" s="74">
        <f>IFERROR(VLOOKUP(B210,'REQ. PINTADO'!B:C,2,0),0)</f>
        <v>0</v>
      </c>
      <c r="E210" s="305">
        <f t="shared" si="29"/>
        <v>859.98202724194073</v>
      </c>
      <c r="F210" s="103" t="s">
        <v>165</v>
      </c>
      <c r="G210" s="75" t="s">
        <v>147</v>
      </c>
      <c r="H210" s="90">
        <v>13.68</v>
      </c>
      <c r="I210" s="90">
        <v>88.54</v>
      </c>
      <c r="J210" s="76">
        <v>0.105</v>
      </c>
      <c r="K210" s="306">
        <v>36.1</v>
      </c>
      <c r="L210" s="78">
        <f t="shared" si="30"/>
        <v>30.679110000000009</v>
      </c>
      <c r="M210" s="58">
        <f>+VLOOKUP(F210,Material!$H$2:$M$17,6,FALSE)*H210*I210*(1+Material!$K$14)</f>
        <v>503.41630500000014</v>
      </c>
      <c r="N210" s="79" t="str">
        <f t="shared" si="41"/>
        <v>T5.0</v>
      </c>
      <c r="O210" s="80">
        <f>+VLOOKUP(N210,[3]Material!$A$3:$B$58,2,FALSE)</f>
        <v>5000</v>
      </c>
      <c r="P210" s="79" t="s">
        <v>42</v>
      </c>
      <c r="Q210" s="79" t="str">
        <f>+VLOOKUP(F210,[3]Material!$C$2:$E$12,2,FALSE)</f>
        <v>Cal 14</v>
      </c>
      <c r="R210" s="81">
        <f>+IF(P210="ACERO A36",VLOOKUP(Q210,'[3]Velocidades Std 1500 w'!$B$2:$F$15,5,FALSE),IF(P210="INOXIDABLE",VLOOKUP(Q210,'[3]Velocidades Std 1500 w'!$B$17:$F$28,5,FALSE),IF(P210="ALUMINIO",VLOOKUP(Q210,'[3]Velocidades Std 1500 w'!$B$30:$F$38,5,FALSE))))</f>
        <v>2.0080321285140564E-6</v>
      </c>
      <c r="S210" s="82">
        <f t="shared" si="31"/>
        <v>1.0040160642570283E-2</v>
      </c>
      <c r="T210" s="83">
        <f t="shared" si="32"/>
        <v>50.982757590361452</v>
      </c>
      <c r="U210" s="307">
        <f t="shared" si="33"/>
        <v>7052.6148000000003</v>
      </c>
      <c r="V210" s="80">
        <f t="shared" si="34"/>
        <v>70.809385542168684</v>
      </c>
      <c r="W210" s="98">
        <v>40</v>
      </c>
      <c r="X210" s="84">
        <f>+IF(P210="ACERO A36",VLOOKUP(Q210,'[3]Tiempo Objeto'!$B$2:$C$12,2,FALSE),IF(P210="INOXIDABLE",VLOOKUP(Q210,'[3]Tiempo Objeto'!$B$14:$C$22,2,FALSE),IF(P210="ALUMINIO",VLOOKUP(Q210,'[3]Tiempo Objeto'!$B$24:$C$32,2,FALSE))))</f>
        <v>0.3133333333333333</v>
      </c>
      <c r="Y210" s="84">
        <f t="shared" si="35"/>
        <v>12.533333333333331</v>
      </c>
      <c r="Z210" s="80">
        <f t="shared" si="36"/>
        <v>17.407407407407405</v>
      </c>
      <c r="AA210" s="100">
        <v>0</v>
      </c>
      <c r="AB210" s="86">
        <f>+AA210*Analisis!$J$6</f>
        <v>0</v>
      </c>
      <c r="AC210" s="100">
        <v>0</v>
      </c>
      <c r="AD210" s="85">
        <f t="shared" si="37"/>
        <v>0</v>
      </c>
      <c r="AE210" s="86">
        <f>+AC210*Analisis!$J$7</f>
        <v>0</v>
      </c>
      <c r="AF210" s="308">
        <f>+H210*0.0254*I210*0.0254*2*(1+[3]Analisis!$G$2)</f>
        <v>1.95358835088</v>
      </c>
      <c r="AG210" s="86">
        <f>+AF210*Analisis!$J$8</f>
        <v>208.15018738542864</v>
      </c>
      <c r="AH210" s="309">
        <f t="shared" si="42"/>
        <v>799.78328533500485</v>
      </c>
      <c r="AI210" s="86">
        <f>+AH210/(1-Analisis!G215)</f>
        <v>799.78328533500485</v>
      </c>
      <c r="AJ210" s="86">
        <f t="shared" si="38"/>
        <v>859.98202724194073</v>
      </c>
      <c r="AK210" s="86">
        <f t="shared" si="43"/>
        <v>0</v>
      </c>
      <c r="AL210" s="310" t="e">
        <f>+VLOOKUP(B210,#REF!,2,FALSE)</f>
        <v>#REF!</v>
      </c>
      <c r="AM210" s="311" t="e">
        <f t="shared" si="40"/>
        <v>#REF!</v>
      </c>
      <c r="AN210" s="312" t="e">
        <f t="shared" si="39"/>
        <v>#REF!</v>
      </c>
    </row>
    <row r="211" spans="1:40" s="73" customFormat="1" x14ac:dyDescent="0.25">
      <c r="A211" s="303"/>
      <c r="B211" s="304" t="s">
        <v>1026</v>
      </c>
      <c r="D211" s="74">
        <f>IFERROR(VLOOKUP(B211,'REQ. PINTADO'!B:C,2,0),0)</f>
        <v>0</v>
      </c>
      <c r="E211" s="305">
        <f t="shared" si="29"/>
        <v>1115.9544831398557</v>
      </c>
      <c r="F211" s="103" t="s">
        <v>165</v>
      </c>
      <c r="G211" s="75" t="s">
        <v>147</v>
      </c>
      <c r="H211" s="90">
        <v>18.21</v>
      </c>
      <c r="I211" s="90">
        <v>88.54</v>
      </c>
      <c r="J211" s="76">
        <v>0.105</v>
      </c>
      <c r="K211" s="306">
        <v>48.08</v>
      </c>
      <c r="L211" s="78">
        <f t="shared" si="30"/>
        <v>30.662626146526634</v>
      </c>
      <c r="M211" s="58">
        <f>+VLOOKUP(F211,Material!$H$2:$M$17,6,FALSE)*H211*I211*(1+Material!$K$14)</f>
        <v>670.11775687500017</v>
      </c>
      <c r="N211" s="79" t="str">
        <f t="shared" si="41"/>
        <v>T5.0</v>
      </c>
      <c r="O211" s="80">
        <f>+VLOOKUP(N211,[3]Material!$A$3:$B$58,2,FALSE)</f>
        <v>5000</v>
      </c>
      <c r="P211" s="79" t="s">
        <v>42</v>
      </c>
      <c r="Q211" s="79" t="str">
        <f>+VLOOKUP(F211,[3]Material!$C$2:$E$12,2,FALSE)</f>
        <v>Cal 14</v>
      </c>
      <c r="R211" s="81">
        <f>+IF(P211="ACERO A36",VLOOKUP(Q211,'[3]Velocidades Std 1500 w'!$B$2:$F$15,5,FALSE),IF(P211="INOXIDABLE",VLOOKUP(Q211,'[3]Velocidades Std 1500 w'!$B$17:$F$28,5,FALSE),IF(P211="ALUMINIO",VLOOKUP(Q211,'[3]Velocidades Std 1500 w'!$B$30:$F$38,5,FALSE))))</f>
        <v>2.0080321285140564E-6</v>
      </c>
      <c r="S211" s="82">
        <f t="shared" si="31"/>
        <v>1.0040160642570283E-2</v>
      </c>
      <c r="T211" s="83">
        <f t="shared" si="32"/>
        <v>52.729481927710843</v>
      </c>
      <c r="U211" s="307">
        <f t="shared" si="33"/>
        <v>7294.2449999999999</v>
      </c>
      <c r="V211" s="80">
        <f t="shared" si="34"/>
        <v>73.235391566265065</v>
      </c>
      <c r="W211" s="98">
        <v>40</v>
      </c>
      <c r="X211" s="84">
        <f>+IF(P211="ACERO A36",VLOOKUP(Q211,'[3]Tiempo Objeto'!$B$2:$C$12,2,FALSE),IF(P211="INOXIDABLE",VLOOKUP(Q211,'[3]Tiempo Objeto'!$B$14:$C$22,2,FALSE),IF(P211="ALUMINIO",VLOOKUP(Q211,'[3]Tiempo Objeto'!$B$24:$C$32,2,FALSE))))</f>
        <v>0.3133333333333333</v>
      </c>
      <c r="Y211" s="84">
        <f t="shared" si="35"/>
        <v>12.533333333333331</v>
      </c>
      <c r="Z211" s="80">
        <f t="shared" si="36"/>
        <v>17.407407407407405</v>
      </c>
      <c r="AA211" s="100">
        <v>0</v>
      </c>
      <c r="AB211" s="86">
        <f>+AA211*Analisis!$J$6</f>
        <v>0</v>
      </c>
      <c r="AC211" s="100">
        <v>0</v>
      </c>
      <c r="AD211" s="85">
        <f t="shared" si="37"/>
        <v>0</v>
      </c>
      <c r="AE211" s="86">
        <f>+AC211*Analisis!$J$7</f>
        <v>0</v>
      </c>
      <c r="AF211" s="308">
        <f>+H211*0.0254*I211*0.0254*2*(1+[3]Analisis!$G$2)</f>
        <v>2.6005002828600006</v>
      </c>
      <c r="AG211" s="86">
        <f>+AF211*Analisis!$J$8</f>
        <v>277.07711347139298</v>
      </c>
      <c r="AH211" s="309">
        <f t="shared" si="42"/>
        <v>1037.8376693200657</v>
      </c>
      <c r="AI211" s="86">
        <f>+AH211/(1-Analisis!G216)</f>
        <v>1037.8376693200657</v>
      </c>
      <c r="AJ211" s="86">
        <f t="shared" si="38"/>
        <v>1115.9544831398557</v>
      </c>
      <c r="AK211" s="86">
        <f t="shared" si="43"/>
        <v>0</v>
      </c>
      <c r="AL211" s="310" t="e">
        <f>+VLOOKUP(B211,#REF!,2,FALSE)</f>
        <v>#REF!</v>
      </c>
      <c r="AM211" s="311" t="e">
        <f t="shared" si="40"/>
        <v>#REF!</v>
      </c>
      <c r="AN211" s="312" t="e">
        <f t="shared" si="39"/>
        <v>#REF!</v>
      </c>
    </row>
    <row r="212" spans="1:40" s="73" customFormat="1" x14ac:dyDescent="0.25">
      <c r="A212" s="303"/>
      <c r="B212" s="304" t="s">
        <v>1027</v>
      </c>
      <c r="D212" s="74">
        <f>IFERROR(VLOOKUP(B212,'REQ. PINTADO'!B:C,2,0),0)</f>
        <v>0</v>
      </c>
      <c r="E212" s="305">
        <f t="shared" si="29"/>
        <v>1115.9544831398557</v>
      </c>
      <c r="F212" s="103" t="s">
        <v>165</v>
      </c>
      <c r="G212" s="75" t="s">
        <v>147</v>
      </c>
      <c r="H212" s="90">
        <v>18.21</v>
      </c>
      <c r="I212" s="90">
        <v>88.54</v>
      </c>
      <c r="J212" s="76">
        <v>0.105</v>
      </c>
      <c r="K212" s="306">
        <v>48.08</v>
      </c>
      <c r="L212" s="78">
        <f t="shared" si="30"/>
        <v>30.662626146526634</v>
      </c>
      <c r="M212" s="58">
        <f>+VLOOKUP(F212,Material!$H$2:$M$17,6,FALSE)*H212*I212*(1+Material!$K$14)</f>
        <v>670.11775687500017</v>
      </c>
      <c r="N212" s="79" t="str">
        <f t="shared" si="41"/>
        <v>T5.0</v>
      </c>
      <c r="O212" s="80">
        <f>+VLOOKUP(N212,[3]Material!$A$3:$B$58,2,FALSE)</f>
        <v>5000</v>
      </c>
      <c r="P212" s="79" t="s">
        <v>42</v>
      </c>
      <c r="Q212" s="79" t="str">
        <f>+VLOOKUP(F212,[3]Material!$C$2:$E$12,2,FALSE)</f>
        <v>Cal 14</v>
      </c>
      <c r="R212" s="81">
        <f>+IF(P212="ACERO A36",VLOOKUP(Q212,'[3]Velocidades Std 1500 w'!$B$2:$F$15,5,FALSE),IF(P212="INOXIDABLE",VLOOKUP(Q212,'[3]Velocidades Std 1500 w'!$B$17:$F$28,5,FALSE),IF(P212="ALUMINIO",VLOOKUP(Q212,'[3]Velocidades Std 1500 w'!$B$30:$F$38,5,FALSE))))</f>
        <v>2.0080321285140564E-6</v>
      </c>
      <c r="S212" s="82">
        <f t="shared" si="31"/>
        <v>1.0040160642570283E-2</v>
      </c>
      <c r="T212" s="83">
        <f t="shared" si="32"/>
        <v>52.729481927710843</v>
      </c>
      <c r="U212" s="307">
        <f t="shared" si="33"/>
        <v>7294.2449999999999</v>
      </c>
      <c r="V212" s="80">
        <f t="shared" si="34"/>
        <v>73.235391566265065</v>
      </c>
      <c r="W212" s="98">
        <v>40</v>
      </c>
      <c r="X212" s="84">
        <f>+IF(P212="ACERO A36",VLOOKUP(Q212,'[3]Tiempo Objeto'!$B$2:$C$12,2,FALSE),IF(P212="INOXIDABLE",VLOOKUP(Q212,'[3]Tiempo Objeto'!$B$14:$C$22,2,FALSE),IF(P212="ALUMINIO",VLOOKUP(Q212,'[3]Tiempo Objeto'!$B$24:$C$32,2,FALSE))))</f>
        <v>0.3133333333333333</v>
      </c>
      <c r="Y212" s="84">
        <f t="shared" si="35"/>
        <v>12.533333333333331</v>
      </c>
      <c r="Z212" s="80">
        <f t="shared" si="36"/>
        <v>17.407407407407405</v>
      </c>
      <c r="AA212" s="100">
        <v>0</v>
      </c>
      <c r="AB212" s="86">
        <f>+AA212*Analisis!$J$6</f>
        <v>0</v>
      </c>
      <c r="AC212" s="100">
        <v>0</v>
      </c>
      <c r="AD212" s="85">
        <f t="shared" si="37"/>
        <v>0</v>
      </c>
      <c r="AE212" s="86">
        <f>+AC212*Analisis!$J$7</f>
        <v>0</v>
      </c>
      <c r="AF212" s="308">
        <f>+H212*0.0254*I212*0.0254*2*(1+[3]Analisis!$G$2)</f>
        <v>2.6005002828600006</v>
      </c>
      <c r="AG212" s="86">
        <f>+AF212*Analisis!$J$8</f>
        <v>277.07711347139298</v>
      </c>
      <c r="AH212" s="309">
        <f t="shared" si="42"/>
        <v>1037.8376693200657</v>
      </c>
      <c r="AI212" s="86">
        <f>+AH212/(1-Analisis!G217)</f>
        <v>1037.8376693200657</v>
      </c>
      <c r="AJ212" s="86">
        <f t="shared" si="38"/>
        <v>1115.9544831398557</v>
      </c>
      <c r="AK212" s="86">
        <f t="shared" si="43"/>
        <v>0</v>
      </c>
      <c r="AL212" s="310" t="e">
        <f>+VLOOKUP(B212,#REF!,2,FALSE)</f>
        <v>#REF!</v>
      </c>
      <c r="AM212" s="311" t="e">
        <f t="shared" si="40"/>
        <v>#REF!</v>
      </c>
      <c r="AN212" s="312" t="e">
        <f t="shared" si="39"/>
        <v>#REF!</v>
      </c>
    </row>
    <row r="213" spans="1:40" s="73" customFormat="1" x14ac:dyDescent="0.25">
      <c r="A213" s="303">
        <v>170</v>
      </c>
      <c r="B213" s="304" t="s">
        <v>1028</v>
      </c>
      <c r="D213" s="74">
        <f>IFERROR(VLOOKUP(B213,'REQ. PINTADO'!B:C,2,0),0)</f>
        <v>0</v>
      </c>
      <c r="E213" s="305">
        <f t="shared" si="29"/>
        <v>200.75572891256527</v>
      </c>
      <c r="F213" s="103" t="s">
        <v>165</v>
      </c>
      <c r="G213" s="75" t="s">
        <v>147</v>
      </c>
      <c r="H213" s="90">
        <v>2.4700000000000002</v>
      </c>
      <c r="I213" s="90">
        <v>88.26</v>
      </c>
      <c r="J213" s="76">
        <v>0.105</v>
      </c>
      <c r="K213" s="306">
        <v>4.6399999999999997</v>
      </c>
      <c r="L213" s="78">
        <f t="shared" si="30"/>
        <v>42.960293453663809</v>
      </c>
      <c r="M213" s="58">
        <f>+VLOOKUP(F213,Material!$H$2:$M$17,6,FALSE)*H213*I213*(1+Material!$K$14)</f>
        <v>90.607164375000025</v>
      </c>
      <c r="N213" s="79" t="str">
        <f t="shared" si="41"/>
        <v>T5.0</v>
      </c>
      <c r="O213" s="80">
        <f>+VLOOKUP(N213,[3]Material!$A$3:$B$58,2,FALSE)</f>
        <v>5000</v>
      </c>
      <c r="P213" s="79" t="s">
        <v>42</v>
      </c>
      <c r="Q213" s="79" t="str">
        <f>+VLOOKUP(F213,[3]Material!$C$2:$E$12,2,FALSE)</f>
        <v>Cal 14</v>
      </c>
      <c r="R213" s="81">
        <f>+IF(P213="ACERO A36",VLOOKUP(Q213,'[3]Velocidades Std 1500 w'!$B$2:$F$15,5,FALSE),IF(P213="INOXIDABLE",VLOOKUP(Q213,'[3]Velocidades Std 1500 w'!$B$17:$F$28,5,FALSE),IF(P213="ALUMINIO",VLOOKUP(Q213,'[3]Velocidades Std 1500 w'!$B$30:$F$38,5,FALSE))))</f>
        <v>2.0080321285140564E-6</v>
      </c>
      <c r="S213" s="82">
        <f t="shared" si="31"/>
        <v>1.0040160642570283E-2</v>
      </c>
      <c r="T213" s="83">
        <f t="shared" si="32"/>
        <v>38.454926746987951</v>
      </c>
      <c r="U213" s="307">
        <f t="shared" si="33"/>
        <v>5319.5981999999995</v>
      </c>
      <c r="V213" s="80">
        <f t="shared" si="34"/>
        <v>53.409620481927718</v>
      </c>
      <c r="W213" s="98">
        <v>12</v>
      </c>
      <c r="X213" s="84">
        <f>+IF(P213="ACERO A36",VLOOKUP(Q213,'[3]Tiempo Objeto'!$B$2:$C$12,2,FALSE),IF(P213="INOXIDABLE",VLOOKUP(Q213,'[3]Tiempo Objeto'!$B$14:$C$22,2,FALSE),IF(P213="ALUMINIO",VLOOKUP(Q213,'[3]Tiempo Objeto'!$B$24:$C$32,2,FALSE))))</f>
        <v>0.3133333333333333</v>
      </c>
      <c r="Y213" s="84">
        <f t="shared" si="35"/>
        <v>3.76</v>
      </c>
      <c r="Z213" s="80">
        <f t="shared" si="36"/>
        <v>5.2222222222222223</v>
      </c>
      <c r="AA213" s="100">
        <v>0</v>
      </c>
      <c r="AB213" s="86">
        <f>+AA213*Analisis!$J$6</f>
        <v>0</v>
      </c>
      <c r="AC213" s="100">
        <v>0</v>
      </c>
      <c r="AD213" s="85">
        <f t="shared" si="37"/>
        <v>0</v>
      </c>
      <c r="AE213" s="86">
        <f>+AC213*Analisis!$J$7</f>
        <v>0</v>
      </c>
      <c r="AF213" s="308">
        <f>+H213*0.0254*I213*0.0254*2*(1+[3]Analisis!$G$2)</f>
        <v>0.35161574838000004</v>
      </c>
      <c r="AG213" s="86">
        <f>+AF213*Analisis!$J$8</f>
        <v>37.463820809535733</v>
      </c>
      <c r="AH213" s="309">
        <f t="shared" si="42"/>
        <v>186.7028278886857</v>
      </c>
      <c r="AI213" s="86">
        <f>+AH213/(1-Analisis!G218)</f>
        <v>186.7028278886857</v>
      </c>
      <c r="AJ213" s="86">
        <f t="shared" si="38"/>
        <v>200.75572891256527</v>
      </c>
      <c r="AK213" s="86">
        <f t="shared" si="43"/>
        <v>0</v>
      </c>
      <c r="AL213" s="310" t="e">
        <f>+VLOOKUP(B213,#REF!,2,FALSE)</f>
        <v>#REF!</v>
      </c>
      <c r="AM213" s="311" t="e">
        <f t="shared" si="40"/>
        <v>#REF!</v>
      </c>
      <c r="AN213" s="312" t="e">
        <f t="shared" si="39"/>
        <v>#REF!</v>
      </c>
    </row>
    <row r="214" spans="1:40" s="73" customFormat="1" x14ac:dyDescent="0.25">
      <c r="A214" s="303"/>
      <c r="B214" s="304" t="s">
        <v>1029</v>
      </c>
      <c r="D214" s="74">
        <f>IFERROR(VLOOKUP(B214,'REQ. PINTADO'!B:C,2,0),0)</f>
        <v>0</v>
      </c>
      <c r="E214" s="305">
        <f t="shared" si="29"/>
        <v>244.12920252829596</v>
      </c>
      <c r="F214" s="103" t="s">
        <v>165</v>
      </c>
      <c r="G214" s="75" t="s">
        <v>147</v>
      </c>
      <c r="H214" s="90">
        <v>3.24</v>
      </c>
      <c r="I214" s="90">
        <v>88.26</v>
      </c>
      <c r="J214" s="76">
        <v>0.105</v>
      </c>
      <c r="K214" s="306">
        <v>6.09</v>
      </c>
      <c r="L214" s="78">
        <f t="shared" si="30"/>
        <v>42.935446551724162</v>
      </c>
      <c r="M214" s="58">
        <f>+VLOOKUP(F214,Material!$H$2:$M$17,6,FALSE)*H214*I214*(1+Material!$K$14)</f>
        <v>118.85312250000004</v>
      </c>
      <c r="N214" s="79" t="str">
        <f t="shared" si="41"/>
        <v>T5.0</v>
      </c>
      <c r="O214" s="80">
        <f>+VLOOKUP(N214,[3]Material!$A$3:$B$58,2,FALSE)</f>
        <v>5000</v>
      </c>
      <c r="P214" s="79" t="s">
        <v>42</v>
      </c>
      <c r="Q214" s="79" t="str">
        <f>+VLOOKUP(F214,[3]Material!$C$2:$E$12,2,FALSE)</f>
        <v>Cal 14</v>
      </c>
      <c r="R214" s="81">
        <f>+IF(P214="ACERO A36",VLOOKUP(Q214,'[3]Velocidades Std 1500 w'!$B$2:$F$15,5,FALSE),IF(P214="INOXIDABLE",VLOOKUP(Q214,'[3]Velocidades Std 1500 w'!$B$17:$F$28,5,FALSE),IF(P214="ALUMINIO",VLOOKUP(Q214,'[3]Velocidades Std 1500 w'!$B$30:$F$38,5,FALSE))))</f>
        <v>2.0080321285140564E-6</v>
      </c>
      <c r="S214" s="82">
        <f t="shared" si="31"/>
        <v>1.0040160642570283E-2</v>
      </c>
      <c r="T214" s="83">
        <f t="shared" si="32"/>
        <v>38.751831325301211</v>
      </c>
      <c r="U214" s="307">
        <f t="shared" si="33"/>
        <v>5360.67</v>
      </c>
      <c r="V214" s="80">
        <f t="shared" si="34"/>
        <v>53.821987951807237</v>
      </c>
      <c r="W214" s="98">
        <v>12</v>
      </c>
      <c r="X214" s="84">
        <f>+IF(P214="ACERO A36",VLOOKUP(Q214,'[3]Tiempo Objeto'!$B$2:$C$12,2,FALSE),IF(P214="INOXIDABLE",VLOOKUP(Q214,'[3]Tiempo Objeto'!$B$14:$C$22,2,FALSE),IF(P214="ALUMINIO",VLOOKUP(Q214,'[3]Tiempo Objeto'!$B$24:$C$32,2,FALSE))))</f>
        <v>0.3133333333333333</v>
      </c>
      <c r="Y214" s="84">
        <f t="shared" si="35"/>
        <v>3.76</v>
      </c>
      <c r="Z214" s="80">
        <f t="shared" si="36"/>
        <v>5.2222222222222223</v>
      </c>
      <c r="AA214" s="100">
        <v>0</v>
      </c>
      <c r="AB214" s="86">
        <f>+AA214*Analisis!$J$6</f>
        <v>0</v>
      </c>
      <c r="AC214" s="100">
        <v>0</v>
      </c>
      <c r="AD214" s="85">
        <f t="shared" si="37"/>
        <v>0</v>
      </c>
      <c r="AE214" s="86">
        <f>+AC214*Analisis!$J$7</f>
        <v>0</v>
      </c>
      <c r="AF214" s="308">
        <f>+H214*0.0254*I214*0.0254*2*(1+[3]Analisis!$G$2)</f>
        <v>0.46122875496000004</v>
      </c>
      <c r="AG214" s="86">
        <f>+AF214*Analisis!$J$8</f>
        <v>49.142825677285735</v>
      </c>
      <c r="AH214" s="309">
        <f t="shared" si="42"/>
        <v>227.04015835131523</v>
      </c>
      <c r="AI214" s="86">
        <f>+AH214/(1-Analisis!G219)</f>
        <v>227.04015835131523</v>
      </c>
      <c r="AJ214" s="86">
        <f t="shared" si="38"/>
        <v>244.12920252829596</v>
      </c>
      <c r="AK214" s="86">
        <f t="shared" si="43"/>
        <v>0</v>
      </c>
      <c r="AL214" s="310" t="e">
        <f>+VLOOKUP(B214,#REF!,2,FALSE)</f>
        <v>#REF!</v>
      </c>
      <c r="AM214" s="311" t="e">
        <f t="shared" si="40"/>
        <v>#REF!</v>
      </c>
      <c r="AN214" s="312" t="e">
        <f t="shared" si="39"/>
        <v>#REF!</v>
      </c>
    </row>
    <row r="215" spans="1:40" s="73" customFormat="1" x14ac:dyDescent="0.25">
      <c r="A215" s="303">
        <v>171</v>
      </c>
      <c r="B215" s="304" t="s">
        <v>1030</v>
      </c>
      <c r="D215" s="74">
        <f>IFERROR(VLOOKUP(B215,'REQ. PINTADO'!B:C,2,0),0)</f>
        <v>0</v>
      </c>
      <c r="E215" s="305">
        <f t="shared" si="29"/>
        <v>2707.2077162751903</v>
      </c>
      <c r="F215" s="103" t="s">
        <v>163</v>
      </c>
      <c r="G215" s="75" t="s">
        <v>147</v>
      </c>
      <c r="H215" s="90">
        <v>32.28</v>
      </c>
      <c r="I215" s="90">
        <v>88.54</v>
      </c>
      <c r="J215" s="76">
        <v>0.105</v>
      </c>
      <c r="K215" s="306">
        <v>85.22</v>
      </c>
      <c r="L215" s="78">
        <f t="shared" si="30"/>
        <v>27.695400953085812</v>
      </c>
      <c r="M215" s="58">
        <f>+VLOOKUP(F215,Material!$H$2:$M$17,6,FALSE)*H215*I215*(1+Material!$K$14)</f>
        <v>1072.8191223736239</v>
      </c>
      <c r="N215" s="79" t="str">
        <f t="shared" si="41"/>
        <v>T5.0</v>
      </c>
      <c r="O215" s="80">
        <f>+VLOOKUP(N215,[3]Material!$A$3:$B$58,2,FALSE)</f>
        <v>5000</v>
      </c>
      <c r="P215" s="79" t="s">
        <v>42</v>
      </c>
      <c r="Q215" s="79" t="str">
        <f>+VLOOKUP(F215,[3]Material!$C$2:$E$12,2,FALSE)</f>
        <v>Cal 12</v>
      </c>
      <c r="R215" s="81">
        <f>+IF(P215="ACERO A36",VLOOKUP(Q215,'[3]Velocidades Std 1500 w'!$B$2:$F$15,5,FALSE),IF(P215="INOXIDABLE",VLOOKUP(Q215,'[3]Velocidades Std 1500 w'!$B$17:$F$28,5,FALSE),IF(P215="ALUMINIO",VLOOKUP(Q215,'[3]Velocidades Std 1500 w'!$B$30:$F$38,5,FALSE))))</f>
        <v>4.3859649122807014E-6</v>
      </c>
      <c r="S215" s="82">
        <f t="shared" si="31"/>
        <v>2.1929824561403508E-2</v>
      </c>
      <c r="T215" s="83">
        <f t="shared" si="32"/>
        <v>142.81363894736842</v>
      </c>
      <c r="U215" s="307">
        <f t="shared" si="33"/>
        <v>9044.8637999999992</v>
      </c>
      <c r="V215" s="80">
        <f t="shared" si="34"/>
        <v>198.35227631578945</v>
      </c>
      <c r="W215" s="98">
        <v>65</v>
      </c>
      <c r="X215" s="84">
        <f>+IF(P215="ACERO A36",VLOOKUP(Q215,'[3]Tiempo Objeto'!$B$2:$C$12,2,FALSE),IF(P215="INOXIDABLE",VLOOKUP(Q215,'[3]Tiempo Objeto'!$B$14:$C$22,2,FALSE),IF(P215="ALUMINIO",VLOOKUP(Q215,'[3]Tiempo Objeto'!$B$24:$C$32,2,FALSE))))</f>
        <v>0.6133333333333334</v>
      </c>
      <c r="Y215" s="84">
        <f t="shared" si="35"/>
        <v>39.866666666666674</v>
      </c>
      <c r="Z215" s="80">
        <f t="shared" si="36"/>
        <v>55.370370370370381</v>
      </c>
      <c r="AA215" s="100">
        <v>4</v>
      </c>
      <c r="AB215" s="86">
        <f>+AA215*Analisis!$J$6</f>
        <v>100</v>
      </c>
      <c r="AC215" s="100">
        <v>24</v>
      </c>
      <c r="AD215" s="85">
        <f t="shared" si="37"/>
        <v>720</v>
      </c>
      <c r="AE215" s="86">
        <f>+AC215*Analisis!$J$7</f>
        <v>600</v>
      </c>
      <c r="AF215" s="308">
        <f>+H215*0.0254*I215*0.0254*2*(1+[3]Analisis!$G$2)</f>
        <v>4.6097830384799998</v>
      </c>
      <c r="AG215" s="86">
        <f>+AF215*Analisis!$J$8</f>
        <v>491.16140707614301</v>
      </c>
      <c r="AH215" s="309">
        <f t="shared" si="42"/>
        <v>2517.7031761359267</v>
      </c>
      <c r="AI215" s="86">
        <f>+AH215/(1-Analisis!G220)</f>
        <v>2517.7031761359267</v>
      </c>
      <c r="AJ215" s="86">
        <f t="shared" si="38"/>
        <v>2707.2077162751903</v>
      </c>
      <c r="AK215" s="86">
        <f t="shared" si="43"/>
        <v>0</v>
      </c>
      <c r="AL215" s="310" t="e">
        <f>+VLOOKUP(B215,#REF!,2,FALSE)</f>
        <v>#REF!</v>
      </c>
      <c r="AM215" s="311" t="e">
        <f t="shared" si="40"/>
        <v>#REF!</v>
      </c>
      <c r="AN215" s="312" t="e">
        <f t="shared" si="39"/>
        <v>#REF!</v>
      </c>
    </row>
    <row r="216" spans="1:40" s="73" customFormat="1" x14ac:dyDescent="0.25">
      <c r="A216" s="303"/>
      <c r="B216" s="304" t="s">
        <v>1031</v>
      </c>
      <c r="D216" s="74">
        <f>IFERROR(VLOOKUP(B216,'REQ. PINTADO'!B:C,2,0),0)</f>
        <v>0</v>
      </c>
      <c r="E216" s="305">
        <f t="shared" si="29"/>
        <v>2707.2077162751903</v>
      </c>
      <c r="F216" s="103" t="s">
        <v>163</v>
      </c>
      <c r="G216" s="75" t="s">
        <v>147</v>
      </c>
      <c r="H216" s="90">
        <v>32.28</v>
      </c>
      <c r="I216" s="90">
        <v>88.54</v>
      </c>
      <c r="J216" s="76">
        <v>0.105</v>
      </c>
      <c r="K216" s="306">
        <v>85.22</v>
      </c>
      <c r="L216" s="78">
        <f t="shared" si="30"/>
        <v>27.695400953085812</v>
      </c>
      <c r="M216" s="58">
        <f>+VLOOKUP(F216,Material!$H$2:$M$17,6,FALSE)*H216*I216*(1+Material!$K$14)</f>
        <v>1072.8191223736239</v>
      </c>
      <c r="N216" s="79" t="str">
        <f t="shared" si="41"/>
        <v>T5.0</v>
      </c>
      <c r="O216" s="80">
        <f>+VLOOKUP(N216,[3]Material!$A$3:$B$58,2,FALSE)</f>
        <v>5000</v>
      </c>
      <c r="P216" s="79" t="s">
        <v>42</v>
      </c>
      <c r="Q216" s="79" t="str">
        <f>+VLOOKUP(F216,[3]Material!$C$2:$E$12,2,FALSE)</f>
        <v>Cal 12</v>
      </c>
      <c r="R216" s="81">
        <f>+IF(P216="ACERO A36",VLOOKUP(Q216,'[3]Velocidades Std 1500 w'!$B$2:$F$15,5,FALSE),IF(P216="INOXIDABLE",VLOOKUP(Q216,'[3]Velocidades Std 1500 w'!$B$17:$F$28,5,FALSE),IF(P216="ALUMINIO",VLOOKUP(Q216,'[3]Velocidades Std 1500 w'!$B$30:$F$38,5,FALSE))))</f>
        <v>4.3859649122807014E-6</v>
      </c>
      <c r="S216" s="82">
        <f t="shared" si="31"/>
        <v>2.1929824561403508E-2</v>
      </c>
      <c r="T216" s="83">
        <f t="shared" si="32"/>
        <v>142.81363894736842</v>
      </c>
      <c r="U216" s="307">
        <f t="shared" si="33"/>
        <v>9044.8637999999992</v>
      </c>
      <c r="V216" s="80">
        <f t="shared" ref="V216:V279" si="44">+U216*S216</f>
        <v>198.35227631578945</v>
      </c>
      <c r="W216" s="98">
        <v>65</v>
      </c>
      <c r="X216" s="84">
        <f>+IF(P216="ACERO A36",VLOOKUP(Q216,'[3]Tiempo Objeto'!$B$2:$C$12,2,FALSE),IF(P216="INOXIDABLE",VLOOKUP(Q216,'[3]Tiempo Objeto'!$B$14:$C$22,2,FALSE),IF(P216="ALUMINIO",VLOOKUP(Q216,'[3]Tiempo Objeto'!$B$24:$C$32,2,FALSE))))</f>
        <v>0.6133333333333334</v>
      </c>
      <c r="Y216" s="84">
        <f t="shared" si="35"/>
        <v>39.866666666666674</v>
      </c>
      <c r="Z216" s="80">
        <f t="shared" si="36"/>
        <v>55.370370370370381</v>
      </c>
      <c r="AA216" s="100">
        <v>4</v>
      </c>
      <c r="AB216" s="86">
        <f>+AA216*Analisis!$J$6</f>
        <v>100</v>
      </c>
      <c r="AC216" s="100">
        <v>24</v>
      </c>
      <c r="AD216" s="85">
        <f t="shared" si="37"/>
        <v>720</v>
      </c>
      <c r="AE216" s="86">
        <f>+AC216*Analisis!$J$7</f>
        <v>600</v>
      </c>
      <c r="AF216" s="308">
        <f>+H216*0.0254*I216*0.0254*2*(1+[3]Analisis!$G$2)</f>
        <v>4.6097830384799998</v>
      </c>
      <c r="AG216" s="86">
        <f>+AF216*Analisis!$J$8</f>
        <v>491.16140707614301</v>
      </c>
      <c r="AH216" s="309">
        <f t="shared" si="42"/>
        <v>2517.7031761359267</v>
      </c>
      <c r="AI216" s="86">
        <f>+AH216/(1-Analisis!G221)</f>
        <v>2517.7031761359267</v>
      </c>
      <c r="AJ216" s="86">
        <f t="shared" si="38"/>
        <v>2707.2077162751903</v>
      </c>
      <c r="AK216" s="86">
        <f t="shared" si="43"/>
        <v>0</v>
      </c>
      <c r="AL216" s="310" t="e">
        <f>+VLOOKUP(B216,#REF!,2,FALSE)</f>
        <v>#REF!</v>
      </c>
      <c r="AM216" s="311" t="e">
        <f t="shared" si="40"/>
        <v>#REF!</v>
      </c>
      <c r="AN216" s="312" t="e">
        <f t="shared" si="39"/>
        <v>#REF!</v>
      </c>
    </row>
    <row r="217" spans="1:40" s="73" customFormat="1" x14ac:dyDescent="0.25">
      <c r="A217" s="303"/>
      <c r="B217" s="304" t="s">
        <v>1032</v>
      </c>
      <c r="D217" s="74">
        <f>IFERROR(VLOOKUP(B217,'REQ. PINTADO'!B:C,2,0),0)</f>
        <v>0</v>
      </c>
      <c r="E217" s="305">
        <f t="shared" si="29"/>
        <v>2707.2077162751903</v>
      </c>
      <c r="F217" s="103" t="s">
        <v>163</v>
      </c>
      <c r="G217" s="75" t="s">
        <v>147</v>
      </c>
      <c r="H217" s="90">
        <v>32.28</v>
      </c>
      <c r="I217" s="90">
        <v>88.54</v>
      </c>
      <c r="J217" s="76">
        <v>0.105</v>
      </c>
      <c r="K217" s="306">
        <v>85.22</v>
      </c>
      <c r="L217" s="78">
        <f t="shared" si="30"/>
        <v>27.695400953085812</v>
      </c>
      <c r="M217" s="58">
        <f>+VLOOKUP(F217,Material!$H$2:$M$17,6,FALSE)*H217*I217*(1+Material!$K$14)</f>
        <v>1072.8191223736239</v>
      </c>
      <c r="N217" s="79" t="str">
        <f t="shared" si="41"/>
        <v>T5.0</v>
      </c>
      <c r="O217" s="80">
        <f>+VLOOKUP(N217,[3]Material!$A$3:$B$58,2,FALSE)</f>
        <v>5000</v>
      </c>
      <c r="P217" s="79" t="s">
        <v>42</v>
      </c>
      <c r="Q217" s="79" t="str">
        <f>+VLOOKUP(F217,[3]Material!$C$2:$E$12,2,FALSE)</f>
        <v>Cal 12</v>
      </c>
      <c r="R217" s="81">
        <f>+IF(P217="ACERO A36",VLOOKUP(Q217,'[3]Velocidades Std 1500 w'!$B$2:$F$15,5,FALSE),IF(P217="INOXIDABLE",VLOOKUP(Q217,'[3]Velocidades Std 1500 w'!$B$17:$F$28,5,FALSE),IF(P217="ALUMINIO",VLOOKUP(Q217,'[3]Velocidades Std 1500 w'!$B$30:$F$38,5,FALSE))))</f>
        <v>4.3859649122807014E-6</v>
      </c>
      <c r="S217" s="82">
        <f t="shared" si="31"/>
        <v>2.1929824561403508E-2</v>
      </c>
      <c r="T217" s="83">
        <f t="shared" si="32"/>
        <v>142.81363894736842</v>
      </c>
      <c r="U217" s="307">
        <f t="shared" si="33"/>
        <v>9044.8637999999992</v>
      </c>
      <c r="V217" s="80">
        <f t="shared" si="44"/>
        <v>198.35227631578945</v>
      </c>
      <c r="W217" s="98">
        <v>65</v>
      </c>
      <c r="X217" s="84">
        <f>+IF(P217="ACERO A36",VLOOKUP(Q217,'[3]Tiempo Objeto'!$B$2:$C$12,2,FALSE),IF(P217="INOXIDABLE",VLOOKUP(Q217,'[3]Tiempo Objeto'!$B$14:$C$22,2,FALSE),IF(P217="ALUMINIO",VLOOKUP(Q217,'[3]Tiempo Objeto'!$B$24:$C$32,2,FALSE))))</f>
        <v>0.6133333333333334</v>
      </c>
      <c r="Y217" s="84">
        <f t="shared" si="35"/>
        <v>39.866666666666674</v>
      </c>
      <c r="Z217" s="80">
        <f t="shared" si="36"/>
        <v>55.370370370370381</v>
      </c>
      <c r="AA217" s="100">
        <v>4</v>
      </c>
      <c r="AB217" s="86">
        <f>+AA217*Analisis!$J$6</f>
        <v>100</v>
      </c>
      <c r="AC217" s="100">
        <v>24</v>
      </c>
      <c r="AD217" s="85">
        <f t="shared" si="37"/>
        <v>720</v>
      </c>
      <c r="AE217" s="86">
        <f>+AC217*Analisis!$J$7</f>
        <v>600</v>
      </c>
      <c r="AF217" s="308">
        <f>+H217*0.0254*I217*0.0254*2*(1+[3]Analisis!$G$2)</f>
        <v>4.6097830384799998</v>
      </c>
      <c r="AG217" s="86">
        <f>+AF217*Analisis!$J$8</f>
        <v>491.16140707614301</v>
      </c>
      <c r="AH217" s="309">
        <f t="shared" si="42"/>
        <v>2517.7031761359267</v>
      </c>
      <c r="AI217" s="86">
        <f>+AH217/(1-Analisis!G222)</f>
        <v>2517.7031761359267</v>
      </c>
      <c r="AJ217" s="86">
        <f t="shared" si="38"/>
        <v>2707.2077162751903</v>
      </c>
      <c r="AK217" s="86">
        <f t="shared" si="43"/>
        <v>0</v>
      </c>
      <c r="AL217" s="310" t="e">
        <f>+VLOOKUP(B217,#REF!,2,FALSE)</f>
        <v>#REF!</v>
      </c>
      <c r="AM217" s="311" t="e">
        <f t="shared" si="40"/>
        <v>#REF!</v>
      </c>
      <c r="AN217" s="312" t="e">
        <f t="shared" si="39"/>
        <v>#REF!</v>
      </c>
    </row>
    <row r="218" spans="1:40" s="73" customFormat="1" x14ac:dyDescent="0.25">
      <c r="A218" s="303">
        <v>172</v>
      </c>
      <c r="B218" s="304" t="s">
        <v>1029</v>
      </c>
      <c r="D218" s="74">
        <f>IFERROR(VLOOKUP(B218,'REQ. PINTADO'!B:C,2,0),0)</f>
        <v>0</v>
      </c>
      <c r="E218" s="305">
        <f t="shared" si="29"/>
        <v>298.7924732935553</v>
      </c>
      <c r="F218" s="103" t="s">
        <v>165</v>
      </c>
      <c r="G218" s="75" t="s">
        <v>147</v>
      </c>
      <c r="H218" s="90">
        <v>3.24</v>
      </c>
      <c r="I218" s="90">
        <v>88.26</v>
      </c>
      <c r="J218" s="76">
        <v>0.105</v>
      </c>
      <c r="K218" s="306">
        <v>4.6399999999999997</v>
      </c>
      <c r="L218" s="78">
        <f t="shared" si="30"/>
        <v>56.352773599137961</v>
      </c>
      <c r="M218" s="58">
        <f>+VLOOKUP(F218,Material!$H$2:$M$17,6,FALSE)*H218*I218*(1+Material!$K$14)</f>
        <v>118.85312250000004</v>
      </c>
      <c r="N218" s="79" t="str">
        <f t="shared" si="41"/>
        <v>T5.0</v>
      </c>
      <c r="O218" s="80">
        <f>+VLOOKUP(N218,[3]Material!$A$3:$B$58,2,FALSE)</f>
        <v>5000</v>
      </c>
      <c r="P218" s="79" t="s">
        <v>42</v>
      </c>
      <c r="Q218" s="79" t="str">
        <f>+VLOOKUP(F218,[3]Material!$C$2:$E$12,2,FALSE)</f>
        <v>Cal 14</v>
      </c>
      <c r="R218" s="81">
        <f>+IF(P218="ACERO A36",VLOOKUP(Q218,'[3]Velocidades Std 1500 w'!$B$2:$F$15,5,FALSE),IF(P218="INOXIDABLE",VLOOKUP(Q218,'[3]Velocidades Std 1500 w'!$B$17:$F$28,5,FALSE),IF(P218="ALUMINIO",VLOOKUP(Q218,'[3]Velocidades Std 1500 w'!$B$30:$F$38,5,FALSE))))</f>
        <v>2.0080321285140564E-6</v>
      </c>
      <c r="S218" s="82">
        <f t="shared" si="31"/>
        <v>1.0040160642570283E-2</v>
      </c>
      <c r="T218" s="83">
        <f t="shared" si="32"/>
        <v>39.041024096385541</v>
      </c>
      <c r="U218" s="307">
        <f t="shared" si="33"/>
        <v>5400.6750000000002</v>
      </c>
      <c r="V218" s="80">
        <f t="shared" si="44"/>
        <v>54.223644578313262</v>
      </c>
      <c r="W218" s="98">
        <v>13</v>
      </c>
      <c r="X218" s="84">
        <f>+IF(P218="ACERO A36",VLOOKUP(Q218,'[3]Tiempo Objeto'!$B$2:$C$12,2,FALSE),IF(P218="INOXIDABLE",VLOOKUP(Q218,'[3]Tiempo Objeto'!$B$14:$C$22,2,FALSE),IF(P218="ALUMINIO",VLOOKUP(Q218,'[3]Tiempo Objeto'!$B$24:$C$32,2,FALSE))))</f>
        <v>0.3133333333333333</v>
      </c>
      <c r="Y218" s="84">
        <f t="shared" si="35"/>
        <v>4.0733333333333333</v>
      </c>
      <c r="Z218" s="80">
        <f t="shared" si="36"/>
        <v>5.6574074074074074</v>
      </c>
      <c r="AA218" s="100">
        <v>2</v>
      </c>
      <c r="AB218" s="86">
        <f>+AA218*Analisis!$J$6</f>
        <v>50</v>
      </c>
      <c r="AC218" s="100">
        <v>0</v>
      </c>
      <c r="AD218" s="85">
        <f t="shared" si="37"/>
        <v>0</v>
      </c>
      <c r="AE218" s="86">
        <f>+AC218*Analisis!$J$7</f>
        <v>0</v>
      </c>
      <c r="AF218" s="308">
        <f>+H218*0.0254*I218*0.0254*2*(1+[3]Analisis!$G$2)</f>
        <v>0.46122875496000004</v>
      </c>
      <c r="AG218" s="86">
        <f>+AF218*Analisis!$J$8</f>
        <v>49.142825677285735</v>
      </c>
      <c r="AH218" s="309">
        <f t="shared" si="42"/>
        <v>277.87700016300641</v>
      </c>
      <c r="AI218" s="86">
        <f>+AH218/(1-Analisis!G223)</f>
        <v>277.87700016300641</v>
      </c>
      <c r="AJ218" s="86">
        <f t="shared" si="38"/>
        <v>298.7924732935553</v>
      </c>
      <c r="AK218" s="86">
        <f t="shared" si="43"/>
        <v>0</v>
      </c>
      <c r="AL218" s="310" t="e">
        <f>+VLOOKUP(B218,#REF!,2,FALSE)</f>
        <v>#REF!</v>
      </c>
      <c r="AM218" s="311" t="e">
        <f t="shared" si="40"/>
        <v>#REF!</v>
      </c>
      <c r="AN218" s="312" t="e">
        <f t="shared" si="39"/>
        <v>#REF!</v>
      </c>
    </row>
    <row r="219" spans="1:40" s="73" customFormat="1" x14ac:dyDescent="0.25">
      <c r="A219" s="303"/>
      <c r="B219" s="304" t="s">
        <v>1028</v>
      </c>
      <c r="D219" s="74">
        <f>IFERROR(VLOOKUP(B219,'REQ. PINTADO'!B:C,2,0),0)</f>
        <v>0</v>
      </c>
      <c r="E219" s="305">
        <f t="shared" si="29"/>
        <v>255.41899967782467</v>
      </c>
      <c r="F219" s="103" t="s">
        <v>165</v>
      </c>
      <c r="G219" s="75" t="s">
        <v>147</v>
      </c>
      <c r="H219" s="90">
        <v>2.4700000000000002</v>
      </c>
      <c r="I219" s="90">
        <v>88.26</v>
      </c>
      <c r="J219" s="76">
        <v>0.105</v>
      </c>
      <c r="K219" s="306">
        <v>6.09</v>
      </c>
      <c r="L219" s="78">
        <f t="shared" si="30"/>
        <v>32.731652155172426</v>
      </c>
      <c r="M219" s="58">
        <f>+VLOOKUP(F219,Material!$H$2:$M$17,6,FALSE)*H219*I219*(1+Material!$K$14)</f>
        <v>90.607164375000025</v>
      </c>
      <c r="N219" s="79" t="str">
        <f t="shared" si="41"/>
        <v>T5.0</v>
      </c>
      <c r="O219" s="80">
        <f>+VLOOKUP(N219,[3]Material!$A$3:$B$58,2,FALSE)</f>
        <v>5000</v>
      </c>
      <c r="P219" s="79" t="s">
        <v>42</v>
      </c>
      <c r="Q219" s="79" t="str">
        <f>+VLOOKUP(F219,[3]Material!$C$2:$E$12,2,FALSE)</f>
        <v>Cal 14</v>
      </c>
      <c r="R219" s="81">
        <f>+IF(P219="ACERO A36",VLOOKUP(Q219,'[3]Velocidades Std 1500 w'!$B$2:$F$15,5,FALSE),IF(P219="INOXIDABLE",VLOOKUP(Q219,'[3]Velocidades Std 1500 w'!$B$17:$F$28,5,FALSE),IF(P219="ALUMINIO",VLOOKUP(Q219,'[3]Velocidades Std 1500 w'!$B$30:$F$38,5,FALSE))))</f>
        <v>2.0080321285140564E-6</v>
      </c>
      <c r="S219" s="82">
        <f t="shared" si="31"/>
        <v>1.0040160642570283E-2</v>
      </c>
      <c r="T219" s="83">
        <f t="shared" si="32"/>
        <v>38.744119518072296</v>
      </c>
      <c r="U219" s="307">
        <f t="shared" si="33"/>
        <v>5359.6032000000005</v>
      </c>
      <c r="V219" s="80">
        <f t="shared" si="44"/>
        <v>53.81127710843375</v>
      </c>
      <c r="W219" s="98">
        <v>13</v>
      </c>
      <c r="X219" s="84">
        <f>+IF(P219="ACERO A36",VLOOKUP(Q219,'[3]Tiempo Objeto'!$B$2:$C$12,2,FALSE),IF(P219="INOXIDABLE",VLOOKUP(Q219,'[3]Tiempo Objeto'!$B$14:$C$22,2,FALSE),IF(P219="ALUMINIO",VLOOKUP(Q219,'[3]Tiempo Objeto'!$B$24:$C$32,2,FALSE))))</f>
        <v>0.3133333333333333</v>
      </c>
      <c r="Y219" s="84">
        <f t="shared" si="35"/>
        <v>4.0733333333333333</v>
      </c>
      <c r="Z219" s="80">
        <f t="shared" si="36"/>
        <v>5.6574074074074074</v>
      </c>
      <c r="AA219" s="100">
        <v>2</v>
      </c>
      <c r="AB219" s="86">
        <f>+AA219*Analisis!$J$6</f>
        <v>50</v>
      </c>
      <c r="AC219" s="100">
        <v>0</v>
      </c>
      <c r="AD219" s="85">
        <f t="shared" si="37"/>
        <v>0</v>
      </c>
      <c r="AE219" s="86">
        <f>+AC219*Analisis!$J$7</f>
        <v>0</v>
      </c>
      <c r="AF219" s="308">
        <f>+H219*0.0254*I219*0.0254*2*(1+[3]Analisis!$G$2)</f>
        <v>0.35161574838000004</v>
      </c>
      <c r="AG219" s="86">
        <f>+AF219*Analisis!$J$8</f>
        <v>37.463820809535733</v>
      </c>
      <c r="AH219" s="309">
        <f t="shared" si="42"/>
        <v>237.53966970037692</v>
      </c>
      <c r="AI219" s="86">
        <f>+AH219/(1-Analisis!G224)</f>
        <v>237.53966970037692</v>
      </c>
      <c r="AJ219" s="86">
        <f t="shared" si="38"/>
        <v>255.41899967782467</v>
      </c>
      <c r="AK219" s="86">
        <f t="shared" si="43"/>
        <v>0</v>
      </c>
      <c r="AL219" s="310" t="e">
        <f>+VLOOKUP(B219,#REF!,2,FALSE)</f>
        <v>#REF!</v>
      </c>
      <c r="AM219" s="311" t="e">
        <f t="shared" si="40"/>
        <v>#REF!</v>
      </c>
      <c r="AN219" s="312" t="e">
        <f t="shared" si="39"/>
        <v>#REF!</v>
      </c>
    </row>
    <row r="220" spans="1:40" s="73" customFormat="1" x14ac:dyDescent="0.25">
      <c r="A220" s="303">
        <v>173</v>
      </c>
      <c r="B220" s="304" t="s">
        <v>1033</v>
      </c>
      <c r="D220" s="74">
        <f>IFERROR(VLOOKUP(B220,'REQ. PINTADO'!B:C,2,0),0)</f>
        <v>0</v>
      </c>
      <c r="E220" s="305">
        <f t="shared" si="29"/>
        <v>69.266071478384774</v>
      </c>
      <c r="F220" s="103" t="s">
        <v>163</v>
      </c>
      <c r="G220" s="75" t="s">
        <v>147</v>
      </c>
      <c r="H220" s="90">
        <v>4.17</v>
      </c>
      <c r="I220" s="90">
        <v>6.5</v>
      </c>
      <c r="J220" s="76">
        <v>0.105</v>
      </c>
      <c r="K220" s="306">
        <v>0.81</v>
      </c>
      <c r="L220" s="78">
        <f t="shared" si="30"/>
        <v>27.633795276857835</v>
      </c>
      <c r="M220" s="58">
        <f>+VLOOKUP(F220,Material!$H$2:$M$17,6,FALSE)*H220*I220*(1+Material!$K$14)</f>
        <v>10.174260988297657</v>
      </c>
      <c r="N220" s="79" t="str">
        <f t="shared" si="41"/>
        <v>T5.0</v>
      </c>
      <c r="O220" s="80">
        <f>+VLOOKUP(N220,[3]Material!$A$3:$B$58,2,FALSE)</f>
        <v>5000</v>
      </c>
      <c r="P220" s="79" t="s">
        <v>42</v>
      </c>
      <c r="Q220" s="79" t="str">
        <f>+VLOOKUP(F220,[3]Material!$C$2:$E$12,2,FALSE)</f>
        <v>Cal 12</v>
      </c>
      <c r="R220" s="81">
        <f>+IF(P220="ACERO A36",VLOOKUP(Q220,'[3]Velocidades Std 1500 w'!$B$2:$F$15,5,FALSE),IF(P220="INOXIDABLE",VLOOKUP(Q220,'[3]Velocidades Std 1500 w'!$B$17:$F$28,5,FALSE),IF(P220="ALUMINIO",VLOOKUP(Q220,'[3]Velocidades Std 1500 w'!$B$30:$F$38,5,FALSE))))</f>
        <v>4.3859649122807014E-6</v>
      </c>
      <c r="S220" s="82">
        <f t="shared" si="31"/>
        <v>2.1929824561403508E-2</v>
      </c>
      <c r="T220" s="83">
        <f t="shared" si="32"/>
        <v>13.407991578947367</v>
      </c>
      <c r="U220" s="307">
        <f t="shared" si="33"/>
        <v>849.17280000000005</v>
      </c>
      <c r="V220" s="80">
        <f t="shared" si="44"/>
        <v>18.62221052631579</v>
      </c>
      <c r="W220" s="98">
        <v>7</v>
      </c>
      <c r="X220" s="84">
        <f>+IF(P220="ACERO A36",VLOOKUP(Q220,'[3]Tiempo Objeto'!$B$2:$C$12,2,FALSE),IF(P220="INOXIDABLE",VLOOKUP(Q220,'[3]Tiempo Objeto'!$B$14:$C$22,2,FALSE),IF(P220="ALUMINIO",VLOOKUP(Q220,'[3]Tiempo Objeto'!$B$24:$C$32,2,FALSE))))</f>
        <v>0.6133333333333334</v>
      </c>
      <c r="Y220" s="84">
        <f t="shared" si="35"/>
        <v>4.2933333333333339</v>
      </c>
      <c r="Z220" s="80">
        <f t="shared" si="36"/>
        <v>5.9629629629629637</v>
      </c>
      <c r="AA220" s="100">
        <v>1</v>
      </c>
      <c r="AB220" s="86">
        <f>+AA220*Analisis!$J$6</f>
        <v>25</v>
      </c>
      <c r="AC220" s="100">
        <v>0</v>
      </c>
      <c r="AD220" s="85">
        <f t="shared" si="37"/>
        <v>0</v>
      </c>
      <c r="AE220" s="86">
        <f>+AC220*Analisis!$J$7</f>
        <v>0</v>
      </c>
      <c r="AF220" s="308">
        <f>+H220*0.0254*I220*0.0254*2*(1+[3]Analisis!$G$2)</f>
        <v>4.3717654499999994E-2</v>
      </c>
      <c r="AG220" s="86">
        <f>+AF220*Analisis!$J$8</f>
        <v>4.6580119973214291</v>
      </c>
      <c r="AH220" s="309">
        <f t="shared" si="42"/>
        <v>64.417446474897829</v>
      </c>
      <c r="AI220" s="86">
        <f>+AH220/(1-Analisis!G225)</f>
        <v>64.417446474897829</v>
      </c>
      <c r="AJ220" s="86">
        <f t="shared" si="38"/>
        <v>69.266071478384774</v>
      </c>
      <c r="AK220" s="86">
        <f t="shared" si="43"/>
        <v>0</v>
      </c>
      <c r="AL220" s="310" t="e">
        <f>+VLOOKUP(B220,#REF!,2,FALSE)</f>
        <v>#REF!</v>
      </c>
      <c r="AM220" s="311" t="e">
        <f t="shared" si="40"/>
        <v>#REF!</v>
      </c>
      <c r="AN220" s="312" t="e">
        <f t="shared" si="39"/>
        <v>#REF!</v>
      </c>
    </row>
    <row r="221" spans="1:40" s="73" customFormat="1" x14ac:dyDescent="0.25">
      <c r="A221" s="303"/>
      <c r="B221" s="304" t="s">
        <v>1034</v>
      </c>
      <c r="D221" s="74">
        <f>IFERROR(VLOOKUP(B221,'REQ. PINTADO'!B:C,2,0),0)</f>
        <v>0</v>
      </c>
      <c r="E221" s="305">
        <f t="shared" si="29"/>
        <v>85.967482738412045</v>
      </c>
      <c r="F221" s="103" t="s">
        <v>163</v>
      </c>
      <c r="G221" s="75" t="s">
        <v>147</v>
      </c>
      <c r="H221" s="90">
        <v>4.17</v>
      </c>
      <c r="I221" s="90">
        <v>11</v>
      </c>
      <c r="J221" s="76">
        <v>0.105</v>
      </c>
      <c r="K221" s="306">
        <v>1.37</v>
      </c>
      <c r="L221" s="78">
        <f t="shared" si="30"/>
        <v>27.649311164155343</v>
      </c>
      <c r="M221" s="58">
        <f>+VLOOKUP(F221,Material!$H$2:$M$17,6,FALSE)*H221*I221*(1+Material!$K$14)</f>
        <v>17.21798013404219</v>
      </c>
      <c r="N221" s="79" t="str">
        <f t="shared" si="41"/>
        <v>T5.0</v>
      </c>
      <c r="O221" s="80">
        <f>+VLOOKUP(N221,[3]Material!$A$3:$B$58,2,FALSE)</f>
        <v>5000</v>
      </c>
      <c r="P221" s="79" t="s">
        <v>42</v>
      </c>
      <c r="Q221" s="79" t="str">
        <f>+VLOOKUP(F221,[3]Material!$C$2:$E$12,2,FALSE)</f>
        <v>Cal 12</v>
      </c>
      <c r="R221" s="81">
        <f>+IF(P221="ACERO A36",VLOOKUP(Q221,'[3]Velocidades Std 1500 w'!$B$2:$F$15,5,FALSE),IF(P221="INOXIDABLE",VLOOKUP(Q221,'[3]Velocidades Std 1500 w'!$B$17:$F$28,5,FALSE),IF(P221="ALUMINIO",VLOOKUP(Q221,'[3]Velocidades Std 1500 w'!$B$30:$F$38,5,FALSE))))</f>
        <v>4.3859649122807014E-6</v>
      </c>
      <c r="S221" s="82">
        <f t="shared" si="31"/>
        <v>2.1929824561403508E-2</v>
      </c>
      <c r="T221" s="83">
        <f t="shared" si="32"/>
        <v>17.197938947368421</v>
      </c>
      <c r="U221" s="307">
        <f t="shared" si="33"/>
        <v>1089.2028</v>
      </c>
      <c r="V221" s="80">
        <f t="shared" si="44"/>
        <v>23.886026315789472</v>
      </c>
      <c r="W221" s="98">
        <v>7</v>
      </c>
      <c r="X221" s="84">
        <f>+IF(P221="ACERO A36",VLOOKUP(Q221,'[3]Tiempo Objeto'!$B$2:$C$12,2,FALSE),IF(P221="INOXIDABLE",VLOOKUP(Q221,'[3]Tiempo Objeto'!$B$14:$C$22,2,FALSE),IF(P221="ALUMINIO",VLOOKUP(Q221,'[3]Tiempo Objeto'!$B$24:$C$32,2,FALSE))))</f>
        <v>0.6133333333333334</v>
      </c>
      <c r="Y221" s="84">
        <f t="shared" si="35"/>
        <v>4.2933333333333339</v>
      </c>
      <c r="Z221" s="80">
        <f t="shared" si="36"/>
        <v>5.9629629629629637</v>
      </c>
      <c r="AA221" s="100">
        <v>1</v>
      </c>
      <c r="AB221" s="86">
        <f>+AA221*Analisis!$J$6</f>
        <v>25</v>
      </c>
      <c r="AC221" s="100">
        <v>0</v>
      </c>
      <c r="AD221" s="85">
        <f t="shared" si="37"/>
        <v>0</v>
      </c>
      <c r="AE221" s="86">
        <f>+AC221*Analisis!$J$7</f>
        <v>0</v>
      </c>
      <c r="AF221" s="308">
        <f>+H221*0.0254*I221*0.0254*2*(1+[3]Analisis!$G$2)</f>
        <v>7.3983722999999987E-2</v>
      </c>
      <c r="AG221" s="86">
        <f>+AF221*Analisis!$J$8</f>
        <v>7.8827895339285723</v>
      </c>
      <c r="AH221" s="309">
        <f t="shared" si="42"/>
        <v>79.949758946723193</v>
      </c>
      <c r="AI221" s="86">
        <f>+AH221/(1-Analisis!G226)</f>
        <v>79.949758946723193</v>
      </c>
      <c r="AJ221" s="86">
        <f t="shared" si="38"/>
        <v>85.967482738412045</v>
      </c>
      <c r="AK221" s="86">
        <f t="shared" si="43"/>
        <v>0</v>
      </c>
      <c r="AL221" s="310" t="e">
        <f>+VLOOKUP(B221,#REF!,2,FALSE)</f>
        <v>#REF!</v>
      </c>
      <c r="AM221" s="311" t="e">
        <f t="shared" si="40"/>
        <v>#REF!</v>
      </c>
      <c r="AN221" s="312" t="e">
        <f t="shared" si="39"/>
        <v>#REF!</v>
      </c>
    </row>
    <row r="222" spans="1:40" s="73" customFormat="1" x14ac:dyDescent="0.25">
      <c r="A222" s="303">
        <v>174</v>
      </c>
      <c r="B222" s="304" t="s">
        <v>1035</v>
      </c>
      <c r="D222" s="74">
        <f>IFERROR(VLOOKUP(B222,'REQ. PINTADO'!B:C,2,0),0)</f>
        <v>0</v>
      </c>
      <c r="E222" s="305">
        <f t="shared" si="29"/>
        <v>466.51590222556052</v>
      </c>
      <c r="F222" s="103" t="s">
        <v>163</v>
      </c>
      <c r="G222" s="75" t="s">
        <v>147</v>
      </c>
      <c r="H222" s="90">
        <v>6.9</v>
      </c>
      <c r="I222" s="90">
        <v>62</v>
      </c>
      <c r="J222" s="76">
        <v>0.105</v>
      </c>
      <c r="K222" s="306">
        <v>12.56</v>
      </c>
      <c r="L222" s="78">
        <f t="shared" si="30"/>
        <v>28.127250688658947</v>
      </c>
      <c r="M222" s="58">
        <f>+VLOOKUP(F222,Material!$H$2:$M$17,6,FALSE)*H222*I222*(1+Material!$K$14)</f>
        <v>160.58103120434379</v>
      </c>
      <c r="N222" s="79" t="str">
        <f t="shared" si="41"/>
        <v>T5.0</v>
      </c>
      <c r="O222" s="80">
        <f>+VLOOKUP(N222,[3]Material!$A$3:$B$58,2,FALSE)</f>
        <v>5000</v>
      </c>
      <c r="P222" s="79" t="s">
        <v>42</v>
      </c>
      <c r="Q222" s="79" t="str">
        <f>+VLOOKUP(F222,[3]Material!$C$2:$E$12,2,FALSE)</f>
        <v>Cal 12</v>
      </c>
      <c r="R222" s="81">
        <f>+IF(P222="ACERO A36",VLOOKUP(Q222,'[3]Velocidades Std 1500 w'!$B$2:$F$15,5,FALSE),IF(P222="INOXIDABLE",VLOOKUP(Q222,'[3]Velocidades Std 1500 w'!$B$17:$F$28,5,FALSE),IF(P222="ALUMINIO",VLOOKUP(Q222,'[3]Velocidades Std 1500 w'!$B$30:$F$38,5,FALSE))))</f>
        <v>4.3859649122807014E-6</v>
      </c>
      <c r="S222" s="82">
        <f t="shared" si="31"/>
        <v>2.1929824561403508E-2</v>
      </c>
      <c r="T222" s="83">
        <f t="shared" si="32"/>
        <v>83.29462105263157</v>
      </c>
      <c r="U222" s="307">
        <f t="shared" si="33"/>
        <v>5275.326</v>
      </c>
      <c r="V222" s="80">
        <f t="shared" si="44"/>
        <v>115.68697368421051</v>
      </c>
      <c r="W222" s="98">
        <v>40</v>
      </c>
      <c r="X222" s="84">
        <f>+IF(P222="ACERO A36",VLOOKUP(Q222,'[3]Tiempo Objeto'!$B$2:$C$12,2,FALSE),IF(P222="INOXIDABLE",VLOOKUP(Q222,'[3]Tiempo Objeto'!$B$14:$C$22,2,FALSE),IF(P222="ALUMINIO",VLOOKUP(Q222,'[3]Tiempo Objeto'!$B$24:$C$32,2,FALSE))))</f>
        <v>0.6133333333333334</v>
      </c>
      <c r="Y222" s="84">
        <f t="shared" si="35"/>
        <v>24.533333333333335</v>
      </c>
      <c r="Z222" s="80">
        <f t="shared" si="36"/>
        <v>34.074074074074076</v>
      </c>
      <c r="AA222" s="100">
        <v>2</v>
      </c>
      <c r="AB222" s="86">
        <f>+AA222*Analisis!$J$6</f>
        <v>50</v>
      </c>
      <c r="AC222" s="100">
        <v>0</v>
      </c>
      <c r="AD222" s="85">
        <f t="shared" si="37"/>
        <v>0</v>
      </c>
      <c r="AE222" s="86">
        <f>+AC222*Analisis!$J$7</f>
        <v>0</v>
      </c>
      <c r="AF222" s="308">
        <f>+H222*0.0254*I222*0.0254*2*(1+[3]Analisis!$G$2)</f>
        <v>0.6899986199999999</v>
      </c>
      <c r="AG222" s="86">
        <f>+AF222*Analisis!$J$8</f>
        <v>73.517710107142861</v>
      </c>
      <c r="AH222" s="309">
        <f t="shared" si="42"/>
        <v>433.85978906977124</v>
      </c>
      <c r="AI222" s="86">
        <f>+AH222/(1-Analisis!G227)</f>
        <v>433.85978906977124</v>
      </c>
      <c r="AJ222" s="86">
        <f t="shared" si="38"/>
        <v>466.51590222556052</v>
      </c>
      <c r="AK222" s="86">
        <f t="shared" si="43"/>
        <v>0</v>
      </c>
      <c r="AL222" s="310" t="e">
        <f>+VLOOKUP(B222,#REF!,2,FALSE)</f>
        <v>#REF!</v>
      </c>
      <c r="AM222" s="311" t="e">
        <f t="shared" si="40"/>
        <v>#REF!</v>
      </c>
      <c r="AN222" s="312" t="e">
        <f t="shared" si="39"/>
        <v>#REF!</v>
      </c>
    </row>
    <row r="223" spans="1:40" s="73" customFormat="1" x14ac:dyDescent="0.25">
      <c r="A223" s="303">
        <v>175</v>
      </c>
      <c r="B223" s="304" t="s">
        <v>1036</v>
      </c>
      <c r="D223" s="74">
        <f>IFERROR(VLOOKUP(B223,'REQ. PINTADO'!B:C,2,0),0)</f>
        <v>0</v>
      </c>
      <c r="E223" s="305">
        <f t="shared" si="29"/>
        <v>181.65439019754143</v>
      </c>
      <c r="F223" s="103" t="s">
        <v>165</v>
      </c>
      <c r="G223" s="75" t="s">
        <v>147</v>
      </c>
      <c r="H223" s="90">
        <v>3.77</v>
      </c>
      <c r="I223" s="90">
        <v>31.9</v>
      </c>
      <c r="J223" s="76">
        <v>0.105</v>
      </c>
      <c r="K223" s="306">
        <v>2.56</v>
      </c>
      <c r="L223" s="78">
        <f t="shared" si="30"/>
        <v>42.955265869140632</v>
      </c>
      <c r="M223" s="58">
        <f>+VLOOKUP(F223,Material!$H$2:$M$17,6,FALSE)*H223*I223*(1+Material!$K$14)</f>
        <v>49.984309375000009</v>
      </c>
      <c r="N223" s="79" t="str">
        <f t="shared" si="41"/>
        <v>T5.0</v>
      </c>
      <c r="O223" s="80">
        <f>+VLOOKUP(N223,[3]Material!$A$3:$B$58,2,FALSE)</f>
        <v>5000</v>
      </c>
      <c r="P223" s="79" t="s">
        <v>42</v>
      </c>
      <c r="Q223" s="79" t="str">
        <f>+VLOOKUP(F223,[3]Material!$C$2:$E$12,2,FALSE)</f>
        <v>Cal 14</v>
      </c>
      <c r="R223" s="81">
        <f>+IF(P223="ACERO A36",VLOOKUP(Q223,'[3]Velocidades Std 1500 w'!$B$2:$F$15,5,FALSE),IF(P223="INOXIDABLE",VLOOKUP(Q223,'[3]Velocidades Std 1500 w'!$B$17:$F$28,5,FALSE),IF(P223="ALUMINIO",VLOOKUP(Q223,'[3]Velocidades Std 1500 w'!$B$30:$F$38,5,FALSE))))</f>
        <v>2.0080321285140564E-6</v>
      </c>
      <c r="S223" s="82">
        <f t="shared" si="31"/>
        <v>1.0040160642570283E-2</v>
      </c>
      <c r="T223" s="83">
        <f t="shared" si="32"/>
        <v>15.199972048192773</v>
      </c>
      <c r="U223" s="307">
        <f t="shared" si="33"/>
        <v>2102.6628000000001</v>
      </c>
      <c r="V223" s="80">
        <f t="shared" si="44"/>
        <v>21.111072289156631</v>
      </c>
      <c r="W223" s="98">
        <v>5</v>
      </c>
      <c r="X223" s="84">
        <f>+IF(P223="ACERO A36",VLOOKUP(Q223,'[3]Tiempo Objeto'!$B$2:$C$12,2,FALSE),IF(P223="INOXIDABLE",VLOOKUP(Q223,'[3]Tiempo Objeto'!$B$14:$C$22,2,FALSE),IF(P223="ALUMINIO",VLOOKUP(Q223,'[3]Tiempo Objeto'!$B$24:$C$32,2,FALSE))))</f>
        <v>0.3133333333333333</v>
      </c>
      <c r="Y223" s="84">
        <f t="shared" si="35"/>
        <v>1.5666666666666664</v>
      </c>
      <c r="Z223" s="80">
        <f t="shared" si="36"/>
        <v>2.1759259259259256</v>
      </c>
      <c r="AA223" s="100">
        <v>3</v>
      </c>
      <c r="AB223" s="86">
        <f>+AA223*Analisis!$J$6</f>
        <v>75</v>
      </c>
      <c r="AC223" s="100">
        <v>0</v>
      </c>
      <c r="AD223" s="85">
        <f t="shared" si="37"/>
        <v>0</v>
      </c>
      <c r="AE223" s="86">
        <f>+AC223*Analisis!$J$7</f>
        <v>0</v>
      </c>
      <c r="AF223" s="308">
        <f>+H223*0.0254*I223*0.0254*2*(1+[3]Analisis!$G$2)</f>
        <v>0.19397219269999993</v>
      </c>
      <c r="AG223" s="86">
        <f>+AF223*Analisis!$J$8</f>
        <v>20.667275293630951</v>
      </c>
      <c r="AH223" s="309">
        <f t="shared" si="42"/>
        <v>168.93858288371351</v>
      </c>
      <c r="AI223" s="86">
        <f>+AH223/(1-Analisis!G228)</f>
        <v>168.93858288371351</v>
      </c>
      <c r="AJ223" s="86">
        <f t="shared" si="38"/>
        <v>181.65439019754143</v>
      </c>
      <c r="AK223" s="86">
        <f t="shared" si="43"/>
        <v>0</v>
      </c>
      <c r="AL223" s="310" t="e">
        <f>+VLOOKUP(B223,#REF!,2,FALSE)</f>
        <v>#REF!</v>
      </c>
      <c r="AM223" s="311" t="e">
        <f t="shared" si="40"/>
        <v>#REF!</v>
      </c>
      <c r="AN223" s="312" t="e">
        <f t="shared" si="39"/>
        <v>#REF!</v>
      </c>
    </row>
    <row r="224" spans="1:40" s="73" customFormat="1" x14ac:dyDescent="0.25">
      <c r="A224" s="303">
        <v>176</v>
      </c>
      <c r="B224" s="304" t="s">
        <v>1037</v>
      </c>
      <c r="D224" s="74">
        <f>IFERROR(VLOOKUP(B224,'REQ. PINTADO'!B:C,2,0),0)</f>
        <v>0</v>
      </c>
      <c r="E224" s="305">
        <f t="shared" si="29"/>
        <v>83.947153274893338</v>
      </c>
      <c r="F224" s="103" t="s">
        <v>164</v>
      </c>
      <c r="G224" s="75" t="s">
        <v>147</v>
      </c>
      <c r="H224" s="90">
        <v>2.64</v>
      </c>
      <c r="I224" s="90">
        <v>2.64</v>
      </c>
      <c r="J224" s="76">
        <v>0.105</v>
      </c>
      <c r="K224" s="306">
        <v>0.62</v>
      </c>
      <c r="L224" s="78">
        <f t="shared" si="30"/>
        <v>17.131258064516135</v>
      </c>
      <c r="M224" s="58">
        <f>+VLOOKUP(F224,Material!$H$2:$M$17,6,FALSE)*H224*I224*(1+Material!$K$14)</f>
        <v>4.8279000000000014</v>
      </c>
      <c r="N224" s="79" t="str">
        <f t="shared" si="41"/>
        <v>T5.0</v>
      </c>
      <c r="O224" s="80">
        <f>+VLOOKUP(N224,[3]Material!$A$3:$B$58,2,FALSE)</f>
        <v>5000</v>
      </c>
      <c r="P224" s="79" t="s">
        <v>42</v>
      </c>
      <c r="Q224" s="79" t="str">
        <f>+VLOOKUP(F224,[3]Material!$C$2:$E$12,2,FALSE)</f>
        <v>Cal 10</v>
      </c>
      <c r="R224" s="81">
        <f>+IF(P224="ACERO A36",VLOOKUP(Q224,'[3]Velocidades Std 1500 w'!$B$2:$F$15,5,FALSE),IF(P224="INOXIDABLE",VLOOKUP(Q224,'[3]Velocidades Std 1500 w'!$B$17:$F$28,5,FALSE),IF(P224="ALUMINIO",VLOOKUP(Q224,'[3]Velocidades Std 1500 w'!$B$30:$F$38,5,FALSE))))</f>
        <v>6.1728395061728391E-6</v>
      </c>
      <c r="S224" s="82">
        <f t="shared" si="31"/>
        <v>3.0864197530864196E-2</v>
      </c>
      <c r="T224" s="83">
        <f t="shared" si="32"/>
        <v>11.592560000000001</v>
      </c>
      <c r="U224" s="307">
        <f t="shared" si="33"/>
        <v>521.66520000000003</v>
      </c>
      <c r="V224" s="80">
        <f t="shared" si="44"/>
        <v>16.100777777777779</v>
      </c>
      <c r="W224" s="98">
        <v>6</v>
      </c>
      <c r="X224" s="84">
        <f>+IF(P224="ACERO A36",VLOOKUP(Q224,'[3]Tiempo Objeto'!$B$2:$C$12,2,FALSE),IF(P224="INOXIDABLE",VLOOKUP(Q224,'[3]Tiempo Objeto'!$B$14:$C$22,2,FALSE),IF(P224="ALUMINIO",VLOOKUP(Q224,'[3]Tiempo Objeto'!$B$24:$C$32,2,FALSE))))</f>
        <v>0.71333333333333337</v>
      </c>
      <c r="Y224" s="84">
        <f t="shared" si="35"/>
        <v>4.28</v>
      </c>
      <c r="Z224" s="80">
        <f t="shared" si="36"/>
        <v>5.9444444444444446</v>
      </c>
      <c r="AA224" s="100">
        <v>2</v>
      </c>
      <c r="AB224" s="86">
        <f>+AA224*Analisis!$J$6</f>
        <v>50</v>
      </c>
      <c r="AC224" s="100">
        <v>0</v>
      </c>
      <c r="AD224" s="85">
        <f t="shared" si="37"/>
        <v>0</v>
      </c>
      <c r="AE224" s="86">
        <f>+AC224*Analisis!$J$7</f>
        <v>0</v>
      </c>
      <c r="AF224" s="308">
        <f>+H224*0.0254*I224*0.0254*2*(1+[3]Analisis!$G$2)</f>
        <v>1.1241267840000001E-2</v>
      </c>
      <c r="AG224" s="86">
        <f>+AF224*Analisis!$J$8</f>
        <v>1.1977303234285719</v>
      </c>
      <c r="AH224" s="309">
        <f t="shared" si="42"/>
        <v>78.070852545650794</v>
      </c>
      <c r="AI224" s="86">
        <f>+AH224/(1-Analisis!G229)</f>
        <v>78.070852545650794</v>
      </c>
      <c r="AJ224" s="86">
        <f t="shared" si="38"/>
        <v>83.947153274893338</v>
      </c>
      <c r="AK224" s="86">
        <f t="shared" si="43"/>
        <v>0</v>
      </c>
      <c r="AL224" s="310" t="e">
        <f>+VLOOKUP(B224,#REF!,2,FALSE)</f>
        <v>#REF!</v>
      </c>
      <c r="AM224" s="311" t="e">
        <f t="shared" si="40"/>
        <v>#REF!</v>
      </c>
      <c r="AN224" s="312" t="e">
        <f t="shared" si="39"/>
        <v>#REF!</v>
      </c>
    </row>
    <row r="225" spans="1:40" s="73" customFormat="1" x14ac:dyDescent="0.25">
      <c r="A225" s="303">
        <v>177</v>
      </c>
      <c r="B225" s="304" t="s">
        <v>1007</v>
      </c>
      <c r="D225" s="74">
        <f>IFERROR(VLOOKUP(B225,'REQ. PINTADO'!B:C,2,0),0)</f>
        <v>0</v>
      </c>
      <c r="E225" s="305">
        <f t="shared" si="29"/>
        <v>132.56023716601348</v>
      </c>
      <c r="F225" s="103" t="s">
        <v>163</v>
      </c>
      <c r="G225" s="75" t="s">
        <v>147</v>
      </c>
      <c r="H225" s="90">
        <v>4.17</v>
      </c>
      <c r="I225" s="90">
        <v>21.55</v>
      </c>
      <c r="J225" s="76">
        <v>0.105</v>
      </c>
      <c r="K225" s="306">
        <v>2.68</v>
      </c>
      <c r="L225" s="78">
        <f t="shared" si="30"/>
        <v>27.690109842433525</v>
      </c>
      <c r="M225" s="58">
        <f>+VLOOKUP(F225,Material!$H$2:$M$17,6,FALSE)*H225*I225*(1+Material!$K$14)</f>
        <v>33.731588353509927</v>
      </c>
      <c r="N225" s="79" t="str">
        <f t="shared" si="41"/>
        <v>T5.0</v>
      </c>
      <c r="O225" s="80">
        <f>+VLOOKUP(N225,[3]Material!$A$3:$B$58,2,FALSE)</f>
        <v>5000</v>
      </c>
      <c r="P225" s="79" t="s">
        <v>42</v>
      </c>
      <c r="Q225" s="79" t="str">
        <f>+VLOOKUP(F225,[3]Material!$C$2:$E$12,2,FALSE)</f>
        <v>Cal 12</v>
      </c>
      <c r="R225" s="81">
        <f>+IF(P225="ACERO A36",VLOOKUP(Q225,'[3]Velocidades Std 1500 w'!$B$2:$F$15,5,FALSE),IF(P225="INOXIDABLE",VLOOKUP(Q225,'[3]Velocidades Std 1500 w'!$B$17:$F$28,5,FALSE),IF(P225="ALUMINIO",VLOOKUP(Q225,'[3]Velocidades Std 1500 w'!$B$30:$F$38,5,FALSE))))</f>
        <v>4.3859649122807014E-6</v>
      </c>
      <c r="S225" s="82">
        <f t="shared" si="31"/>
        <v>2.1929824561403508E-2</v>
      </c>
      <c r="T225" s="83">
        <f t="shared" si="32"/>
        <v>28.609891578947369</v>
      </c>
      <c r="U225" s="307">
        <f t="shared" si="33"/>
        <v>1811.9598000000001</v>
      </c>
      <c r="V225" s="80">
        <f t="shared" si="44"/>
        <v>39.735960526315786</v>
      </c>
      <c r="W225" s="98">
        <v>11</v>
      </c>
      <c r="X225" s="84">
        <f>+IF(P225="ACERO A36",VLOOKUP(Q225,'[3]Tiempo Objeto'!$B$2:$C$12,2,FALSE),IF(P225="INOXIDABLE",VLOOKUP(Q225,'[3]Tiempo Objeto'!$B$14:$C$22,2,FALSE),IF(P225="ALUMINIO",VLOOKUP(Q225,'[3]Tiempo Objeto'!$B$24:$C$32,2,FALSE))))</f>
        <v>0.6133333333333334</v>
      </c>
      <c r="Y225" s="84">
        <f t="shared" si="35"/>
        <v>6.746666666666667</v>
      </c>
      <c r="Z225" s="80">
        <f t="shared" si="36"/>
        <v>9.3703703703703702</v>
      </c>
      <c r="AA225" s="100">
        <v>1</v>
      </c>
      <c r="AB225" s="86">
        <f>+AA225*Analisis!$J$6</f>
        <v>25</v>
      </c>
      <c r="AC225" s="100">
        <v>0</v>
      </c>
      <c r="AD225" s="85">
        <f t="shared" si="37"/>
        <v>0</v>
      </c>
      <c r="AE225" s="86">
        <f>+AC225*Analisis!$J$7</f>
        <v>0</v>
      </c>
      <c r="AF225" s="308">
        <f>+H225*0.0254*I225*0.0254*2*(1+[3]Analisis!$G$2)</f>
        <v>0.14494083915</v>
      </c>
      <c r="AG225" s="86">
        <f>+AF225*Analisis!$J$8</f>
        <v>15.443101314196433</v>
      </c>
      <c r="AH225" s="309">
        <f t="shared" si="42"/>
        <v>123.28102056439252</v>
      </c>
      <c r="AI225" s="86">
        <f>+AH225/(1-Analisis!G230)</f>
        <v>123.28102056439252</v>
      </c>
      <c r="AJ225" s="86">
        <f t="shared" si="38"/>
        <v>132.56023716601348</v>
      </c>
      <c r="AK225" s="86">
        <f t="shared" si="43"/>
        <v>0</v>
      </c>
      <c r="AL225" s="310" t="e">
        <f>+VLOOKUP(B225,#REF!,2,FALSE)</f>
        <v>#REF!</v>
      </c>
      <c r="AM225" s="311" t="e">
        <f t="shared" si="40"/>
        <v>#REF!</v>
      </c>
      <c r="AN225" s="312" t="e">
        <f t="shared" si="39"/>
        <v>#REF!</v>
      </c>
    </row>
    <row r="226" spans="1:40" s="73" customFormat="1" x14ac:dyDescent="0.25">
      <c r="A226" s="303"/>
      <c r="B226" s="304" t="s">
        <v>1008</v>
      </c>
      <c r="D226" s="74">
        <f>IFERROR(VLOOKUP(B226,'REQ. PINTADO'!B:C,2,0),0)</f>
        <v>0</v>
      </c>
      <c r="E226" s="305">
        <f t="shared" si="29"/>
        <v>169.48891317429599</v>
      </c>
      <c r="F226" s="103" t="s">
        <v>163</v>
      </c>
      <c r="G226" s="75" t="s">
        <v>147</v>
      </c>
      <c r="H226" s="90">
        <v>4.17</v>
      </c>
      <c r="I226" s="90">
        <v>31.5</v>
      </c>
      <c r="J226" s="76">
        <v>0.105</v>
      </c>
      <c r="K226" s="306">
        <v>3.92</v>
      </c>
      <c r="L226" s="78">
        <f t="shared" si="30"/>
        <v>27.671753786853522</v>
      </c>
      <c r="M226" s="58">
        <f>+VLOOKUP(F226,Material!$H$2:$M$17,6,FALSE)*H226*I226*(1+Material!$K$14)</f>
        <v>49.306034020211726</v>
      </c>
      <c r="N226" s="79" t="str">
        <f t="shared" si="41"/>
        <v>T5.0</v>
      </c>
      <c r="O226" s="80">
        <f>+VLOOKUP(N226,[3]Material!$A$3:$B$58,2,FALSE)</f>
        <v>5000</v>
      </c>
      <c r="P226" s="79" t="s">
        <v>42</v>
      </c>
      <c r="Q226" s="79" t="str">
        <f>+VLOOKUP(F226,[3]Material!$C$2:$E$12,2,FALSE)</f>
        <v>Cal 12</v>
      </c>
      <c r="R226" s="81">
        <f>+IF(P226="ACERO A36",VLOOKUP(Q226,'[3]Velocidades Std 1500 w'!$B$2:$F$15,5,FALSE),IF(P226="INOXIDABLE",VLOOKUP(Q226,'[3]Velocidades Std 1500 w'!$B$17:$F$28,5,FALSE),IF(P226="ALUMINIO",VLOOKUP(Q226,'[3]Velocidades Std 1500 w'!$B$30:$F$38,5,FALSE))))</f>
        <v>4.3859649122807014E-6</v>
      </c>
      <c r="S226" s="82">
        <f t="shared" si="31"/>
        <v>2.1929824561403508E-2</v>
      </c>
      <c r="T226" s="83">
        <f t="shared" si="32"/>
        <v>36.989886315789477</v>
      </c>
      <c r="U226" s="307">
        <f t="shared" si="33"/>
        <v>2342.6928000000003</v>
      </c>
      <c r="V226" s="80">
        <f t="shared" si="44"/>
        <v>51.374842105263163</v>
      </c>
      <c r="W226" s="98">
        <v>11</v>
      </c>
      <c r="X226" s="84">
        <f>+IF(P226="ACERO A36",VLOOKUP(Q226,'[3]Tiempo Objeto'!$B$2:$C$12,2,FALSE),IF(P226="INOXIDABLE",VLOOKUP(Q226,'[3]Tiempo Objeto'!$B$14:$C$22,2,FALSE),IF(P226="ALUMINIO",VLOOKUP(Q226,'[3]Tiempo Objeto'!$B$24:$C$32,2,FALSE))))</f>
        <v>0.6133333333333334</v>
      </c>
      <c r="Y226" s="84">
        <f t="shared" si="35"/>
        <v>6.746666666666667</v>
      </c>
      <c r="Z226" s="80">
        <f t="shared" si="36"/>
        <v>9.3703703703703702</v>
      </c>
      <c r="AA226" s="100">
        <v>1</v>
      </c>
      <c r="AB226" s="86">
        <f>+AA226*Analisis!$J$6</f>
        <v>25</v>
      </c>
      <c r="AC226" s="100">
        <v>0</v>
      </c>
      <c r="AD226" s="85">
        <f t="shared" si="37"/>
        <v>0</v>
      </c>
      <c r="AE226" s="86">
        <f>+AC226*Analisis!$J$7</f>
        <v>0</v>
      </c>
      <c r="AF226" s="308">
        <f>+H226*0.0254*I226*0.0254*2*(1+[3]Analisis!$G$2)</f>
        <v>0.21186247950000001</v>
      </c>
      <c r="AG226" s="86">
        <f>+AF226*Analisis!$J$8</f>
        <v>22.573442756250007</v>
      </c>
      <c r="AH226" s="309">
        <f t="shared" si="42"/>
        <v>157.62468925209527</v>
      </c>
      <c r="AI226" s="86">
        <f>+AH226/(1-Analisis!G231)</f>
        <v>157.62468925209527</v>
      </c>
      <c r="AJ226" s="86">
        <f t="shared" si="38"/>
        <v>169.48891317429599</v>
      </c>
      <c r="AK226" s="86">
        <f t="shared" si="43"/>
        <v>0</v>
      </c>
      <c r="AL226" s="310" t="e">
        <f>+VLOOKUP(B226,#REF!,2,FALSE)</f>
        <v>#REF!</v>
      </c>
      <c r="AM226" s="311" t="e">
        <f t="shared" si="40"/>
        <v>#REF!</v>
      </c>
      <c r="AN226" s="312" t="e">
        <f t="shared" si="39"/>
        <v>#REF!</v>
      </c>
    </row>
    <row r="227" spans="1:40" s="73" customFormat="1" x14ac:dyDescent="0.25">
      <c r="A227" s="303">
        <v>178</v>
      </c>
      <c r="B227" s="304" t="s">
        <v>1038</v>
      </c>
      <c r="D227" s="74">
        <f>IFERROR(VLOOKUP(B227,'REQ. PINTADO'!B:C,2,0),0)</f>
        <v>0</v>
      </c>
      <c r="E227" s="305">
        <f t="shared" si="29"/>
        <v>48.724318984620581</v>
      </c>
      <c r="F227" s="103" t="s">
        <v>163</v>
      </c>
      <c r="G227" s="75" t="s">
        <v>147</v>
      </c>
      <c r="H227" s="90">
        <v>2</v>
      </c>
      <c r="I227" s="90">
        <v>4.12</v>
      </c>
      <c r="J227" s="76">
        <v>0.105</v>
      </c>
      <c r="K227" s="306">
        <v>0.25</v>
      </c>
      <c r="L227" s="78">
        <f t="shared" si="30"/>
        <v>27.218447252663342</v>
      </c>
      <c r="M227" s="58">
        <f>+VLOOKUP(F227,Material!$H$2:$M$17,6,FALSE)*H227*I227*(1+Material!$K$14)</f>
        <v>3.0930053696208342</v>
      </c>
      <c r="N227" s="79" t="str">
        <f t="shared" si="41"/>
        <v>T5.0</v>
      </c>
      <c r="O227" s="80">
        <f>+VLOOKUP(N227,[3]Material!$A$3:$B$58,2,FALSE)</f>
        <v>5000</v>
      </c>
      <c r="P227" s="79" t="s">
        <v>42</v>
      </c>
      <c r="Q227" s="79" t="str">
        <f>+VLOOKUP(F227,[3]Material!$C$2:$E$12,2,FALSE)</f>
        <v>Cal 12</v>
      </c>
      <c r="R227" s="81">
        <f>+IF(P227="ACERO A36",VLOOKUP(Q227,'[3]Velocidades Std 1500 w'!$B$2:$F$15,5,FALSE),IF(P227="INOXIDABLE",VLOOKUP(Q227,'[3]Velocidades Std 1500 w'!$B$17:$F$28,5,FALSE),IF(P227="ALUMINIO",VLOOKUP(Q227,'[3]Velocidades Std 1500 w'!$B$30:$F$38,5,FALSE))))</f>
        <v>4.3859649122807014E-6</v>
      </c>
      <c r="S227" s="82">
        <f t="shared" si="31"/>
        <v>2.1929824561403508E-2</v>
      </c>
      <c r="T227" s="83">
        <f t="shared" si="32"/>
        <v>8.3126178947368423</v>
      </c>
      <c r="U227" s="307">
        <f t="shared" si="33"/>
        <v>526.46580000000006</v>
      </c>
      <c r="V227" s="80">
        <f t="shared" si="44"/>
        <v>11.545302631578949</v>
      </c>
      <c r="W227" s="98">
        <v>5</v>
      </c>
      <c r="X227" s="84">
        <f>+IF(P227="ACERO A36",VLOOKUP(Q227,'[3]Tiempo Objeto'!$B$2:$C$12,2,FALSE),IF(P227="INOXIDABLE",VLOOKUP(Q227,'[3]Tiempo Objeto'!$B$14:$C$22,2,FALSE),IF(P227="ALUMINIO",VLOOKUP(Q227,'[3]Tiempo Objeto'!$B$24:$C$32,2,FALSE))))</f>
        <v>0.6133333333333334</v>
      </c>
      <c r="Y227" s="84">
        <f t="shared" si="35"/>
        <v>3.0666666666666669</v>
      </c>
      <c r="Z227" s="80">
        <f t="shared" si="36"/>
        <v>4.2592592592592595</v>
      </c>
      <c r="AA227" s="100">
        <v>1</v>
      </c>
      <c r="AB227" s="86">
        <f>+AA227*Analisis!$J$6</f>
        <v>25</v>
      </c>
      <c r="AC227" s="100">
        <v>0</v>
      </c>
      <c r="AD227" s="85">
        <f t="shared" si="37"/>
        <v>0</v>
      </c>
      <c r="AE227" s="86">
        <f>+AC227*Analisis!$J$7</f>
        <v>0</v>
      </c>
      <c r="AF227" s="308">
        <f>+H227*0.0254*I227*0.0254*2*(1+[3]Analisis!$G$2)</f>
        <v>1.3290296E-2</v>
      </c>
      <c r="AG227" s="86">
        <f>+AF227*Analisis!$J$8</f>
        <v>1.4160493952380957</v>
      </c>
      <c r="AH227" s="309">
        <f t="shared" si="42"/>
        <v>45.313616655697139</v>
      </c>
      <c r="AI227" s="86">
        <f>+AH227/(1-Analisis!G232)</f>
        <v>45.313616655697139</v>
      </c>
      <c r="AJ227" s="86">
        <f t="shared" si="38"/>
        <v>48.724318984620581</v>
      </c>
      <c r="AK227" s="86">
        <f t="shared" si="43"/>
        <v>0</v>
      </c>
      <c r="AL227" s="310" t="e">
        <f>+VLOOKUP(B227,#REF!,2,FALSE)</f>
        <v>#REF!</v>
      </c>
      <c r="AM227" s="311" t="e">
        <f t="shared" si="40"/>
        <v>#REF!</v>
      </c>
      <c r="AN227" s="312" t="e">
        <f t="shared" si="39"/>
        <v>#REF!</v>
      </c>
    </row>
    <row r="228" spans="1:40" s="73" customFormat="1" x14ac:dyDescent="0.25">
      <c r="A228" s="303">
        <v>179</v>
      </c>
      <c r="B228" s="304" t="s">
        <v>1039</v>
      </c>
      <c r="D228" s="74">
        <f>IFERROR(VLOOKUP(B228,'REQ. PINTADO'!B:C,2,0),0)</f>
        <v>0</v>
      </c>
      <c r="E228" s="305">
        <f t="shared" si="29"/>
        <v>307.72911376351823</v>
      </c>
      <c r="F228" s="103" t="s">
        <v>166</v>
      </c>
      <c r="G228" s="75" t="s">
        <v>147</v>
      </c>
      <c r="H228" s="90">
        <v>13.98</v>
      </c>
      <c r="I228" s="90">
        <v>20.21</v>
      </c>
      <c r="J228" s="76">
        <v>0.105</v>
      </c>
      <c r="K228" s="306">
        <v>4.8099999999999996</v>
      </c>
      <c r="L228" s="78">
        <f t="shared" si="30"/>
        <v>29.289116455918016</v>
      </c>
      <c r="M228" s="58">
        <f>+VLOOKUP(F228,Material!$H$2:$M$17,6,FALSE)*H228*I228*(1+Material!$K$14)</f>
        <v>64.03665916043893</v>
      </c>
      <c r="N228" s="79" t="str">
        <f t="shared" si="41"/>
        <v>T5.0</v>
      </c>
      <c r="O228" s="80">
        <f>+VLOOKUP(N228,[3]Material!$A$3:$B$58,2,FALSE)</f>
        <v>5000</v>
      </c>
      <c r="P228" s="79" t="s">
        <v>42</v>
      </c>
      <c r="Q228" s="79" t="str">
        <f>+VLOOKUP(F228,[3]Material!$C$2:$E$12,2,FALSE)</f>
        <v>Cal 16</v>
      </c>
      <c r="R228" s="81">
        <f>+IF(P228="ACERO A36",VLOOKUP(Q228,'[3]Velocidades Std 1500 w'!$B$2:$F$15,5,FALSE),IF(P228="INOXIDABLE",VLOOKUP(Q228,'[3]Velocidades Std 1500 w'!$B$17:$F$28,5,FALSE),IF(P228="ALUMINIO",VLOOKUP(Q228,'[3]Velocidades Std 1500 w'!$B$30:$F$38,5,FALSE))))</f>
        <v>9.1575091575091579E-7</v>
      </c>
      <c r="S228" s="82">
        <f t="shared" si="31"/>
        <v>4.578754578754579E-3</v>
      </c>
      <c r="T228" s="83">
        <f t="shared" si="32"/>
        <v>9.836833846153846</v>
      </c>
      <c r="U228" s="307">
        <f t="shared" si="33"/>
        <v>2983.8396000000002</v>
      </c>
      <c r="V228" s="80">
        <f t="shared" si="44"/>
        <v>13.662269230769233</v>
      </c>
      <c r="W228" s="98">
        <v>29</v>
      </c>
      <c r="X228" s="84">
        <f>+IF(P228="ACERO A36",VLOOKUP(Q228,'[3]Tiempo Objeto'!$B$2:$C$12,2,FALSE),IF(P228="INOXIDABLE",VLOOKUP(Q228,'[3]Tiempo Objeto'!$B$14:$C$22,2,FALSE),IF(P228="ALUMINIO",VLOOKUP(Q228,'[3]Tiempo Objeto'!$B$24:$C$32,2,FALSE))))</f>
        <v>0.24666666666666667</v>
      </c>
      <c r="Y228" s="84">
        <f t="shared" si="35"/>
        <v>7.1533333333333333</v>
      </c>
      <c r="Z228" s="80">
        <f t="shared" si="36"/>
        <v>9.9351851851851851</v>
      </c>
      <c r="AA228" s="100">
        <v>6</v>
      </c>
      <c r="AB228" s="86">
        <f>+AA228*Analisis!$J$6</f>
        <v>150</v>
      </c>
      <c r="AC228" s="100">
        <v>0</v>
      </c>
      <c r="AD228" s="85">
        <f t="shared" si="37"/>
        <v>0</v>
      </c>
      <c r="AE228" s="86">
        <f>+AC228*Analisis!$J$7</f>
        <v>0</v>
      </c>
      <c r="AF228" s="308">
        <f>+H228*0.0254*I228*0.0254*2*(1+[3]Analisis!$G$2)</f>
        <v>0.45570199181999999</v>
      </c>
      <c r="AG228" s="86">
        <f>+AF228*Analisis!$J$8</f>
        <v>48.553962223678582</v>
      </c>
      <c r="AH228" s="309">
        <f t="shared" si="42"/>
        <v>286.18807580007194</v>
      </c>
      <c r="AI228" s="86">
        <f>+AH228/(1-Analisis!G233)</f>
        <v>286.18807580007194</v>
      </c>
      <c r="AJ228" s="86">
        <f t="shared" si="38"/>
        <v>307.72911376351823</v>
      </c>
      <c r="AK228" s="86">
        <f t="shared" si="43"/>
        <v>0</v>
      </c>
      <c r="AL228" s="310" t="e">
        <f>+VLOOKUP(B228,#REF!,2,FALSE)</f>
        <v>#REF!</v>
      </c>
      <c r="AM228" s="311" t="e">
        <f t="shared" si="40"/>
        <v>#REF!</v>
      </c>
      <c r="AN228" s="312" t="e">
        <f t="shared" si="39"/>
        <v>#REF!</v>
      </c>
    </row>
    <row r="229" spans="1:40" s="73" customFormat="1" x14ac:dyDescent="0.25">
      <c r="A229" s="303">
        <v>180</v>
      </c>
      <c r="B229" s="304" t="s">
        <v>987</v>
      </c>
      <c r="D229" s="74">
        <f>IFERROR(VLOOKUP(B229,'REQ. PINTADO'!B:C,2,0),0)</f>
        <v>0</v>
      </c>
      <c r="E229" s="305">
        <f t="shared" si="29"/>
        <v>62.167796503214277</v>
      </c>
      <c r="F229" s="103" t="s">
        <v>163</v>
      </c>
      <c r="G229" s="75" t="s">
        <v>147</v>
      </c>
      <c r="H229" s="90">
        <v>2.92</v>
      </c>
      <c r="I229" s="90">
        <v>5</v>
      </c>
      <c r="J229" s="76">
        <v>0.105</v>
      </c>
      <c r="K229" s="306">
        <v>0.44</v>
      </c>
      <c r="L229" s="78">
        <f t="shared" si="30"/>
        <v>27.401625240572919</v>
      </c>
      <c r="M229" s="58">
        <f>+VLOOKUP(F229,Material!$H$2:$M$17,6,FALSE)*H229*I229*(1+Material!$K$14)</f>
        <v>5.480325048114584</v>
      </c>
      <c r="N229" s="79" t="str">
        <f t="shared" si="41"/>
        <v>T5.0</v>
      </c>
      <c r="O229" s="80">
        <f>+VLOOKUP(N229,[3]Material!$A$3:$B$58,2,FALSE)</f>
        <v>5000</v>
      </c>
      <c r="P229" s="79" t="s">
        <v>42</v>
      </c>
      <c r="Q229" s="79" t="str">
        <f>+VLOOKUP(F229,[3]Material!$C$2:$E$12,2,FALSE)</f>
        <v>Cal 12</v>
      </c>
      <c r="R229" s="81">
        <f>+IF(P229="ACERO A36",VLOOKUP(Q229,'[3]Velocidades Std 1500 w'!$B$2:$F$15,5,FALSE),IF(P229="INOXIDABLE",VLOOKUP(Q229,'[3]Velocidades Std 1500 w'!$B$17:$F$28,5,FALSE),IF(P229="ALUMINIO",VLOOKUP(Q229,'[3]Velocidades Std 1500 w'!$B$30:$F$38,5,FALSE))))</f>
        <v>4.3859649122807014E-6</v>
      </c>
      <c r="S229" s="82">
        <f t="shared" si="31"/>
        <v>2.1929824561403508E-2</v>
      </c>
      <c r="T229" s="83">
        <f t="shared" si="32"/>
        <v>12.355228421052631</v>
      </c>
      <c r="U229" s="307">
        <f t="shared" si="33"/>
        <v>782.49779999999998</v>
      </c>
      <c r="V229" s="80">
        <f t="shared" si="44"/>
        <v>17.160039473684208</v>
      </c>
      <c r="W229" s="98">
        <v>9</v>
      </c>
      <c r="X229" s="84">
        <f>+IF(P229="ACERO A36",VLOOKUP(Q229,'[3]Tiempo Objeto'!$B$2:$C$12,2,FALSE),IF(P229="INOXIDABLE",VLOOKUP(Q229,'[3]Tiempo Objeto'!$B$14:$C$22,2,FALSE),IF(P229="ALUMINIO",VLOOKUP(Q229,'[3]Tiempo Objeto'!$B$24:$C$32,2,FALSE))))</f>
        <v>0.6133333333333334</v>
      </c>
      <c r="Y229" s="84">
        <f t="shared" si="35"/>
        <v>5.5200000000000005</v>
      </c>
      <c r="Z229" s="80">
        <f t="shared" si="36"/>
        <v>7.6666666666666679</v>
      </c>
      <c r="AA229" s="100">
        <v>1</v>
      </c>
      <c r="AB229" s="86">
        <f>+AA229*Analisis!$J$6</f>
        <v>25</v>
      </c>
      <c r="AC229" s="100">
        <v>0</v>
      </c>
      <c r="AD229" s="85">
        <f t="shared" si="37"/>
        <v>0</v>
      </c>
      <c r="AE229" s="86">
        <f>+AC229*Analisis!$J$7</f>
        <v>0</v>
      </c>
      <c r="AF229" s="308">
        <f>+H229*0.0254*I229*0.0254*2*(1+[3]Analisis!$G$2)</f>
        <v>2.3548340000000001E-2</v>
      </c>
      <c r="AG229" s="86">
        <f>+AF229*Analisis!$J$8</f>
        <v>2.5090195595238103</v>
      </c>
      <c r="AH229" s="309">
        <f t="shared" si="42"/>
        <v>57.816050747989273</v>
      </c>
      <c r="AI229" s="86">
        <f>+AH229/(1-Analisis!G234)</f>
        <v>57.816050747989273</v>
      </c>
      <c r="AJ229" s="86">
        <f t="shared" si="38"/>
        <v>62.167796503214277</v>
      </c>
      <c r="AK229" s="86">
        <f t="shared" si="43"/>
        <v>0</v>
      </c>
      <c r="AL229" s="310" t="e">
        <f>+VLOOKUP(B229,#REF!,2,FALSE)</f>
        <v>#REF!</v>
      </c>
      <c r="AM229" s="311" t="e">
        <f t="shared" si="40"/>
        <v>#REF!</v>
      </c>
      <c r="AN229" s="312" t="e">
        <f t="shared" si="39"/>
        <v>#REF!</v>
      </c>
    </row>
    <row r="230" spans="1:40" s="73" customFormat="1" x14ac:dyDescent="0.25">
      <c r="A230" s="303">
        <v>181</v>
      </c>
      <c r="B230" s="304" t="s">
        <v>988</v>
      </c>
      <c r="D230" s="74">
        <f>IFERROR(VLOOKUP(B230,'REQ. PINTADO'!B:C,2,0),0)</f>
        <v>0</v>
      </c>
      <c r="E230" s="305">
        <f t="shared" si="29"/>
        <v>12.374254807492383</v>
      </c>
      <c r="F230" s="103" t="s">
        <v>163</v>
      </c>
      <c r="G230" s="75" t="s">
        <v>147</v>
      </c>
      <c r="H230" s="90">
        <v>1</v>
      </c>
      <c r="I230" s="90">
        <v>3</v>
      </c>
      <c r="J230" s="76">
        <v>0.105</v>
      </c>
      <c r="K230" s="306">
        <v>0.09</v>
      </c>
      <c r="L230" s="78">
        <f t="shared" si="30"/>
        <v>27.526746817013898</v>
      </c>
      <c r="M230" s="58">
        <f>+VLOOKUP(F230,Material!$H$2:$M$17,6,FALSE)*H230*I230*(1+Material!$K$14)</f>
        <v>1.1260941879687503</v>
      </c>
      <c r="N230" s="79" t="str">
        <f t="shared" si="41"/>
        <v>T5.0</v>
      </c>
      <c r="O230" s="80">
        <f>+VLOOKUP(N230,[3]Material!$A$3:$B$58,2,FALSE)</f>
        <v>5000</v>
      </c>
      <c r="P230" s="79" t="s">
        <v>42</v>
      </c>
      <c r="Q230" s="79" t="str">
        <f>+VLOOKUP(F230,[3]Material!$C$2:$E$12,2,FALSE)</f>
        <v>Cal 12</v>
      </c>
      <c r="R230" s="81">
        <f>+IF(P230="ACERO A36",VLOOKUP(Q230,'[3]Velocidades Std 1500 w'!$B$2:$F$15,5,FALSE),IF(P230="INOXIDABLE",VLOOKUP(Q230,'[3]Velocidades Std 1500 w'!$B$17:$F$28,5,FALSE),IF(P230="ALUMINIO",VLOOKUP(Q230,'[3]Velocidades Std 1500 w'!$B$30:$F$38,5,FALSE))))</f>
        <v>4.3859649122807014E-6</v>
      </c>
      <c r="S230" s="82">
        <f t="shared" si="31"/>
        <v>2.1929824561403508E-2</v>
      </c>
      <c r="T230" s="83">
        <f t="shared" si="32"/>
        <v>5.2638157894736839</v>
      </c>
      <c r="U230" s="307">
        <f t="shared" si="33"/>
        <v>333.375</v>
      </c>
      <c r="V230" s="80">
        <f t="shared" si="44"/>
        <v>7.3108552631578947</v>
      </c>
      <c r="W230" s="98">
        <v>3</v>
      </c>
      <c r="X230" s="84">
        <f>+IF(P230="ACERO A36",VLOOKUP(Q230,'[3]Tiempo Objeto'!$B$2:$C$12,2,FALSE),IF(P230="INOXIDABLE",VLOOKUP(Q230,'[3]Tiempo Objeto'!$B$14:$C$22,2,FALSE),IF(P230="ALUMINIO",VLOOKUP(Q230,'[3]Tiempo Objeto'!$B$24:$C$32,2,FALSE))))</f>
        <v>0.6133333333333334</v>
      </c>
      <c r="Y230" s="84">
        <f t="shared" si="35"/>
        <v>1.8400000000000003</v>
      </c>
      <c r="Z230" s="80">
        <f t="shared" si="36"/>
        <v>2.5555555555555562</v>
      </c>
      <c r="AA230" s="100">
        <v>0</v>
      </c>
      <c r="AB230" s="86">
        <f>+AA230*Analisis!$J$6</f>
        <v>0</v>
      </c>
      <c r="AC230" s="100">
        <v>0</v>
      </c>
      <c r="AD230" s="85">
        <f t="shared" si="37"/>
        <v>0</v>
      </c>
      <c r="AE230" s="86">
        <f>+AC230*Analisis!$J$7</f>
        <v>0</v>
      </c>
      <c r="AF230" s="308">
        <f>+H230*0.0254*I230*0.0254*2*(1+[3]Analisis!$G$2)</f>
        <v>4.8386999999999987E-3</v>
      </c>
      <c r="AG230" s="86">
        <f>+AF230*Analisis!$J$8</f>
        <v>0.51555196428571426</v>
      </c>
      <c r="AH230" s="309">
        <f t="shared" si="42"/>
        <v>11.508056970967916</v>
      </c>
      <c r="AI230" s="86">
        <f>+AH230/(1-Analisis!G235)</f>
        <v>11.508056970967916</v>
      </c>
      <c r="AJ230" s="86">
        <f t="shared" si="38"/>
        <v>12.374254807492383</v>
      </c>
      <c r="AK230" s="86">
        <f t="shared" si="43"/>
        <v>0</v>
      </c>
      <c r="AL230" s="310" t="e">
        <f>+VLOOKUP(B230,#REF!,2,FALSE)</f>
        <v>#REF!</v>
      </c>
      <c r="AM230" s="311" t="e">
        <f t="shared" si="40"/>
        <v>#REF!</v>
      </c>
      <c r="AN230" s="312" t="e">
        <f t="shared" si="39"/>
        <v>#REF!</v>
      </c>
    </row>
    <row r="231" spans="1:40" s="73" customFormat="1" x14ac:dyDescent="0.25">
      <c r="A231" s="303">
        <v>182</v>
      </c>
      <c r="B231" s="304" t="s">
        <v>1040</v>
      </c>
      <c r="D231" s="74">
        <f>IFERROR(VLOOKUP(B231,'REQ. PINTADO'!B:C,2,0),0)</f>
        <v>0</v>
      </c>
      <c r="E231" s="305">
        <f t="shared" si="29"/>
        <v>163.40217021548366</v>
      </c>
      <c r="F231" s="103" t="s">
        <v>163</v>
      </c>
      <c r="G231" s="75" t="s">
        <v>147</v>
      </c>
      <c r="H231" s="90">
        <v>5.98</v>
      </c>
      <c r="I231" s="90">
        <v>6.62</v>
      </c>
      <c r="J231" s="76">
        <v>0.105</v>
      </c>
      <c r="K231" s="306">
        <v>1.18</v>
      </c>
      <c r="L231" s="78">
        <f t="shared" si="30"/>
        <v>27.704690905759819</v>
      </c>
      <c r="M231" s="58">
        <f>+VLOOKUP(F231,Material!$H$2:$M$17,6,FALSE)*H231*I231*(1+Material!$K$14)</f>
        <v>14.859788758543901</v>
      </c>
      <c r="N231" s="79" t="str">
        <f t="shared" si="41"/>
        <v>T5.0</v>
      </c>
      <c r="O231" s="80">
        <f>+VLOOKUP(N231,[3]Material!$A$3:$B$58,2,FALSE)</f>
        <v>5000</v>
      </c>
      <c r="P231" s="79" t="s">
        <v>42</v>
      </c>
      <c r="Q231" s="79" t="str">
        <f>+VLOOKUP(F231,[3]Material!$C$2:$E$12,2,FALSE)</f>
        <v>Cal 12</v>
      </c>
      <c r="R231" s="81">
        <f>+IF(P231="ACERO A36",VLOOKUP(Q231,'[3]Velocidades Std 1500 w'!$B$2:$F$15,5,FALSE),IF(P231="INOXIDABLE",VLOOKUP(Q231,'[3]Velocidades Std 1500 w'!$B$17:$F$28,5,FALSE),IF(P231="ALUMINIO",VLOOKUP(Q231,'[3]Velocidades Std 1500 w'!$B$30:$F$38,5,FALSE))))</f>
        <v>4.3859649122807014E-6</v>
      </c>
      <c r="S231" s="82">
        <f t="shared" si="31"/>
        <v>2.1929824561403508E-2</v>
      </c>
      <c r="T231" s="83">
        <f t="shared" si="32"/>
        <v>16.296773684210525</v>
      </c>
      <c r="U231" s="307">
        <f t="shared" si="33"/>
        <v>1032.1290000000001</v>
      </c>
      <c r="V231" s="80">
        <f t="shared" si="44"/>
        <v>22.634407894736842</v>
      </c>
      <c r="W231" s="98">
        <v>9</v>
      </c>
      <c r="X231" s="84">
        <f>+IF(P231="ACERO A36",VLOOKUP(Q231,'[3]Tiempo Objeto'!$B$2:$C$12,2,FALSE),IF(P231="INOXIDABLE",VLOOKUP(Q231,'[3]Tiempo Objeto'!$B$14:$C$22,2,FALSE),IF(P231="ALUMINIO",VLOOKUP(Q231,'[3]Tiempo Objeto'!$B$24:$C$32,2,FALSE))))</f>
        <v>0.6133333333333334</v>
      </c>
      <c r="Y231" s="84">
        <f t="shared" si="35"/>
        <v>5.5200000000000005</v>
      </c>
      <c r="Z231" s="80">
        <f t="shared" si="36"/>
        <v>7.6666666666666679</v>
      </c>
      <c r="AA231" s="100">
        <v>4</v>
      </c>
      <c r="AB231" s="86">
        <f>+AA231*Analisis!$J$6</f>
        <v>100</v>
      </c>
      <c r="AC231" s="100">
        <v>0</v>
      </c>
      <c r="AD231" s="85">
        <f t="shared" si="37"/>
        <v>0</v>
      </c>
      <c r="AE231" s="86">
        <f>+AC231*Analisis!$J$7</f>
        <v>0</v>
      </c>
      <c r="AF231" s="308">
        <f>+H231*0.0254*I231*0.0254*2*(1+[3]Analisis!$G$2)</f>
        <v>6.3850840039999995E-2</v>
      </c>
      <c r="AG231" s="86">
        <f>+AF231*Analisis!$J$8</f>
        <v>6.8031549804523825</v>
      </c>
      <c r="AH231" s="309">
        <f t="shared" si="42"/>
        <v>151.9640183003998</v>
      </c>
      <c r="AI231" s="86">
        <f>+AH231/(1-Analisis!G236)</f>
        <v>151.9640183003998</v>
      </c>
      <c r="AJ231" s="86">
        <f t="shared" si="38"/>
        <v>163.40217021548366</v>
      </c>
      <c r="AK231" s="86">
        <f t="shared" si="43"/>
        <v>0</v>
      </c>
      <c r="AL231" s="310" t="e">
        <f>+VLOOKUP(B231,#REF!,2,FALSE)</f>
        <v>#REF!</v>
      </c>
      <c r="AM231" s="311" t="e">
        <f t="shared" si="40"/>
        <v>#REF!</v>
      </c>
      <c r="AN231" s="312" t="e">
        <f t="shared" si="39"/>
        <v>#REF!</v>
      </c>
    </row>
    <row r="232" spans="1:40" s="73" customFormat="1" x14ac:dyDescent="0.25">
      <c r="A232" s="303">
        <v>183</v>
      </c>
      <c r="B232" s="304" t="s">
        <v>1041</v>
      </c>
      <c r="D232" s="74">
        <f>IFERROR(VLOOKUP(B232,'REQ. PINTADO'!B:C,2,0),0)</f>
        <v>0</v>
      </c>
      <c r="E232" s="305">
        <f t="shared" si="29"/>
        <v>162.6981650536604</v>
      </c>
      <c r="F232" s="103" t="s">
        <v>163</v>
      </c>
      <c r="G232" s="75" t="s">
        <v>147</v>
      </c>
      <c r="H232" s="90">
        <v>5.88</v>
      </c>
      <c r="I232" s="90">
        <v>6.58</v>
      </c>
      <c r="J232" s="76">
        <v>0.105</v>
      </c>
      <c r="K232" s="306">
        <v>1.1499999999999999</v>
      </c>
      <c r="L232" s="78">
        <f t="shared" si="30"/>
        <v>27.783152479538987</v>
      </c>
      <c r="M232" s="58">
        <f>+VLOOKUP(F232,Material!$H$2:$M$17,6,FALSE)*H232*I232*(1+Material!$K$14)</f>
        <v>14.523011523395377</v>
      </c>
      <c r="N232" s="79" t="str">
        <f t="shared" si="41"/>
        <v>T5.0</v>
      </c>
      <c r="O232" s="80">
        <f>+VLOOKUP(N232,[3]Material!$A$3:$B$58,2,FALSE)</f>
        <v>5000</v>
      </c>
      <c r="P232" s="79" t="s">
        <v>42</v>
      </c>
      <c r="Q232" s="79" t="str">
        <f>+VLOOKUP(F232,[3]Material!$C$2:$E$12,2,FALSE)</f>
        <v>Cal 12</v>
      </c>
      <c r="R232" s="81">
        <f>+IF(P232="ACERO A36",VLOOKUP(Q232,'[3]Velocidades Std 1500 w'!$B$2:$F$15,5,FALSE),IF(P232="INOXIDABLE",VLOOKUP(Q232,'[3]Velocidades Std 1500 w'!$B$17:$F$28,5,FALSE),IF(P232="ALUMINIO",VLOOKUP(Q232,'[3]Velocidades Std 1500 w'!$B$30:$F$38,5,FALSE))))</f>
        <v>4.3859649122807014E-6</v>
      </c>
      <c r="S232" s="82">
        <f t="shared" si="31"/>
        <v>2.1929824561403508E-2</v>
      </c>
      <c r="T232" s="83">
        <f t="shared" si="32"/>
        <v>16.178864210526314</v>
      </c>
      <c r="U232" s="307">
        <f t="shared" si="33"/>
        <v>1024.6614</v>
      </c>
      <c r="V232" s="80">
        <f t="shared" si="44"/>
        <v>22.470644736842104</v>
      </c>
      <c r="W232" s="98">
        <v>9</v>
      </c>
      <c r="X232" s="84">
        <f>+IF(P232="ACERO A36",VLOOKUP(Q232,'[3]Tiempo Objeto'!$B$2:$C$12,2,FALSE),IF(P232="INOXIDABLE",VLOOKUP(Q232,'[3]Tiempo Objeto'!$B$14:$C$22,2,FALSE),IF(P232="ALUMINIO",VLOOKUP(Q232,'[3]Tiempo Objeto'!$B$24:$C$32,2,FALSE))))</f>
        <v>0.6133333333333334</v>
      </c>
      <c r="Y232" s="84">
        <f t="shared" si="35"/>
        <v>5.5200000000000005</v>
      </c>
      <c r="Z232" s="80">
        <f t="shared" si="36"/>
        <v>7.6666666666666679</v>
      </c>
      <c r="AA232" s="100">
        <v>4</v>
      </c>
      <c r="AB232" s="86">
        <f>+AA232*Analisis!$J$6</f>
        <v>100</v>
      </c>
      <c r="AC232" s="100">
        <v>0</v>
      </c>
      <c r="AD232" s="85">
        <f t="shared" si="37"/>
        <v>0</v>
      </c>
      <c r="AE232" s="86">
        <f>+AC232*Analisis!$J$7</f>
        <v>0</v>
      </c>
      <c r="AF232" s="308">
        <f>+H232*0.0254*I232*0.0254*2*(1+[3]Analisis!$G$2)</f>
        <v>6.2403746159999995E-2</v>
      </c>
      <c r="AG232" s="86">
        <f>+AF232*Analisis!$J$8</f>
        <v>6.6489705730000015</v>
      </c>
      <c r="AH232" s="309">
        <f t="shared" si="42"/>
        <v>151.30929349990416</v>
      </c>
      <c r="AI232" s="86">
        <f>+AH232/(1-Analisis!G237)</f>
        <v>151.30929349990416</v>
      </c>
      <c r="AJ232" s="86">
        <f t="shared" si="38"/>
        <v>162.6981650536604</v>
      </c>
      <c r="AK232" s="86">
        <f t="shared" si="43"/>
        <v>0</v>
      </c>
      <c r="AL232" s="310" t="e">
        <f>+VLOOKUP(B232,#REF!,2,FALSE)</f>
        <v>#REF!</v>
      </c>
      <c r="AM232" s="311" t="e">
        <f t="shared" si="40"/>
        <v>#REF!</v>
      </c>
      <c r="AN232" s="312" t="e">
        <f t="shared" si="39"/>
        <v>#REF!</v>
      </c>
    </row>
    <row r="233" spans="1:40" s="73" customFormat="1" x14ac:dyDescent="0.25">
      <c r="A233" s="303">
        <v>184</v>
      </c>
      <c r="B233" s="304" t="s">
        <v>1042</v>
      </c>
      <c r="D233" s="74">
        <f>IFERROR(VLOOKUP(B233,'REQ. PINTADO'!B:C,2,0),0)</f>
        <v>0</v>
      </c>
      <c r="E233" s="305">
        <f t="shared" si="29"/>
        <v>72.909198793907223</v>
      </c>
      <c r="F233" s="103" t="s">
        <v>163</v>
      </c>
      <c r="G233" s="75" t="s">
        <v>147</v>
      </c>
      <c r="H233" s="90">
        <v>3</v>
      </c>
      <c r="I233" s="90">
        <v>3.24</v>
      </c>
      <c r="J233" s="76">
        <v>0.105</v>
      </c>
      <c r="K233" s="306">
        <v>0.28999999999999998</v>
      </c>
      <c r="L233" s="78">
        <f t="shared" si="30"/>
        <v>27.678618523590529</v>
      </c>
      <c r="M233" s="58">
        <f>+VLOOKUP(F233,Material!$H$2:$M$17,6,FALSE)*H233*I233*(1+Material!$K$14)</f>
        <v>3.6485451690187514</v>
      </c>
      <c r="N233" s="79" t="str">
        <f t="shared" si="41"/>
        <v>T5.0</v>
      </c>
      <c r="O233" s="80">
        <f>+VLOOKUP(N233,[3]Material!$A$3:$B$58,2,FALSE)</f>
        <v>5000</v>
      </c>
      <c r="P233" s="79" t="s">
        <v>42</v>
      </c>
      <c r="Q233" s="79" t="str">
        <f>+VLOOKUP(F233,[3]Material!$C$2:$E$12,2,FALSE)</f>
        <v>Cal 12</v>
      </c>
      <c r="R233" s="81">
        <f>+IF(P233="ACERO A36",VLOOKUP(Q233,'[3]Velocidades Std 1500 w'!$B$2:$F$15,5,FALSE),IF(P233="INOXIDABLE",VLOOKUP(Q233,'[3]Velocidades Std 1500 w'!$B$17:$F$28,5,FALSE),IF(P233="ALUMINIO",VLOOKUP(Q233,'[3]Velocidades Std 1500 w'!$B$30:$F$38,5,FALSE))))</f>
        <v>4.3859649122807014E-6</v>
      </c>
      <c r="S233" s="82">
        <f t="shared" si="31"/>
        <v>2.1929824561403508E-2</v>
      </c>
      <c r="T233" s="83">
        <f t="shared" si="32"/>
        <v>7.1503673684210529</v>
      </c>
      <c r="U233" s="307">
        <f t="shared" si="33"/>
        <v>452.85660000000001</v>
      </c>
      <c r="V233" s="80">
        <f t="shared" si="44"/>
        <v>9.9310657894736831</v>
      </c>
      <c r="W233" s="98">
        <v>3</v>
      </c>
      <c r="X233" s="84">
        <f>+IF(P233="ACERO A36",VLOOKUP(Q233,'[3]Tiempo Objeto'!$B$2:$C$12,2,FALSE),IF(P233="INOXIDABLE",VLOOKUP(Q233,'[3]Tiempo Objeto'!$B$14:$C$22,2,FALSE),IF(P233="ALUMINIO",VLOOKUP(Q233,'[3]Tiempo Objeto'!$B$24:$C$32,2,FALSE))))</f>
        <v>0.6133333333333334</v>
      </c>
      <c r="Y233" s="84">
        <f t="shared" si="35"/>
        <v>1.8400000000000003</v>
      </c>
      <c r="Z233" s="80">
        <f t="shared" si="36"/>
        <v>2.5555555555555562</v>
      </c>
      <c r="AA233" s="100">
        <v>2</v>
      </c>
      <c r="AB233" s="86">
        <f>+AA233*Analisis!$J$6</f>
        <v>50</v>
      </c>
      <c r="AC233" s="100">
        <v>0</v>
      </c>
      <c r="AD233" s="85">
        <f t="shared" si="37"/>
        <v>0</v>
      </c>
      <c r="AE233" s="86">
        <f>+AC233*Analisis!$J$7</f>
        <v>0</v>
      </c>
      <c r="AF233" s="308">
        <f>+H233*0.0254*I233*0.0254*2*(1+[3]Analisis!$G$2)</f>
        <v>1.5677388E-2</v>
      </c>
      <c r="AG233" s="86">
        <f>+AF233*Analisis!$J$8</f>
        <v>1.6703883642857149</v>
      </c>
      <c r="AH233" s="309">
        <f t="shared" si="42"/>
        <v>67.805554878333709</v>
      </c>
      <c r="AI233" s="86">
        <f>+AH233/(1-Analisis!G238)</f>
        <v>67.805554878333709</v>
      </c>
      <c r="AJ233" s="86">
        <f t="shared" si="38"/>
        <v>72.909198793907223</v>
      </c>
      <c r="AK233" s="86">
        <f t="shared" si="43"/>
        <v>0</v>
      </c>
      <c r="AL233" s="310" t="e">
        <f>+VLOOKUP(B233,#REF!,2,FALSE)</f>
        <v>#REF!</v>
      </c>
      <c r="AM233" s="311" t="e">
        <f t="shared" si="40"/>
        <v>#REF!</v>
      </c>
      <c r="AN233" s="312" t="e">
        <f t="shared" si="39"/>
        <v>#REF!</v>
      </c>
    </row>
    <row r="234" spans="1:40" s="73" customFormat="1" x14ac:dyDescent="0.25">
      <c r="A234" s="303">
        <v>185</v>
      </c>
      <c r="B234" s="304" t="s">
        <v>1001</v>
      </c>
      <c r="D234" s="74">
        <f>IFERROR(VLOOKUP(B234,'REQ. PINTADO'!B:C,2,0),0)</f>
        <v>0</v>
      </c>
      <c r="E234" s="305">
        <f t="shared" si="29"/>
        <v>1498.6724790761914</v>
      </c>
      <c r="F234" s="103" t="s">
        <v>163</v>
      </c>
      <c r="G234" s="75" t="s">
        <v>147</v>
      </c>
      <c r="H234" s="90">
        <v>24.14</v>
      </c>
      <c r="I234" s="90">
        <v>88.54</v>
      </c>
      <c r="J234" s="76">
        <v>0.105</v>
      </c>
      <c r="K234" s="306">
        <v>63.73</v>
      </c>
      <c r="L234" s="78">
        <f t="shared" si="30"/>
        <v>27.695487113977794</v>
      </c>
      <c r="M234" s="58">
        <f>+VLOOKUP(F234,Material!$H$2:$M$17,6,FALSE)*H234*I234*(1+Material!$K$14)</f>
        <v>802.28790626082036</v>
      </c>
      <c r="N234" s="79" t="str">
        <f t="shared" si="41"/>
        <v>T5.0</v>
      </c>
      <c r="O234" s="80">
        <f>+VLOOKUP(N234,[3]Material!$A$3:$B$58,2,FALSE)</f>
        <v>5000</v>
      </c>
      <c r="P234" s="79" t="s">
        <v>42</v>
      </c>
      <c r="Q234" s="79" t="str">
        <f>+VLOOKUP(F234,[3]Material!$C$2:$E$12,2,FALSE)</f>
        <v>Cal 12</v>
      </c>
      <c r="R234" s="81">
        <f>+IF(P234="ACERO A36",VLOOKUP(Q234,'[3]Velocidades Std 1500 w'!$B$2:$F$15,5,FALSE),IF(P234="INOXIDABLE",VLOOKUP(Q234,'[3]Velocidades Std 1500 w'!$B$17:$F$28,5,FALSE),IF(P234="ALUMINIO",VLOOKUP(Q234,'[3]Velocidades Std 1500 w'!$B$30:$F$38,5,FALSE))))</f>
        <v>4.3859649122807014E-6</v>
      </c>
      <c r="S234" s="82">
        <f t="shared" si="31"/>
        <v>2.1929824561403508E-2</v>
      </c>
      <c r="T234" s="83">
        <f t="shared" si="32"/>
        <v>94.73684210526315</v>
      </c>
      <c r="U234" s="307">
        <v>6000</v>
      </c>
      <c r="V234" s="80">
        <f t="shared" si="44"/>
        <v>131.57894736842104</v>
      </c>
      <c r="W234" s="98">
        <v>50</v>
      </c>
      <c r="X234" s="84">
        <f>+IF(P234="ACERO A36",VLOOKUP(Q234,'[3]Tiempo Objeto'!$B$2:$C$12,2,FALSE),IF(P234="INOXIDABLE",VLOOKUP(Q234,'[3]Tiempo Objeto'!$B$14:$C$22,2,FALSE),IF(P234="ALUMINIO",VLOOKUP(Q234,'[3]Tiempo Objeto'!$B$24:$C$32,2,FALSE))))</f>
        <v>0.6133333333333334</v>
      </c>
      <c r="Y234" s="84">
        <f t="shared" si="35"/>
        <v>30.666666666666671</v>
      </c>
      <c r="Z234" s="80">
        <f t="shared" si="36"/>
        <v>42.592592592592595</v>
      </c>
      <c r="AA234" s="100">
        <v>2</v>
      </c>
      <c r="AB234" s="86">
        <f>+AA234*Analisis!$J$6</f>
        <v>50</v>
      </c>
      <c r="AC234" s="100">
        <v>0</v>
      </c>
      <c r="AD234" s="85">
        <f t="shared" si="37"/>
        <v>0</v>
      </c>
      <c r="AE234" s="86">
        <f>+AC234*Analisis!$J$7</f>
        <v>0</v>
      </c>
      <c r="AF234" s="308">
        <f>+H234*0.0254*I234*0.0254*2*(1+[3]Analisis!$G$2)</f>
        <v>3.4473408472400004</v>
      </c>
      <c r="AG234" s="86">
        <f>+AF234*Analisis!$J$8</f>
        <v>367.30595931902394</v>
      </c>
      <c r="AH234" s="309">
        <f t="shared" si="42"/>
        <v>1393.765405540858</v>
      </c>
      <c r="AI234" s="86">
        <f>+AH234/(1-Analisis!G239)</f>
        <v>1393.765405540858</v>
      </c>
      <c r="AJ234" s="86">
        <f t="shared" si="38"/>
        <v>1498.6724790761914</v>
      </c>
      <c r="AK234" s="86">
        <f t="shared" si="43"/>
        <v>0</v>
      </c>
      <c r="AL234" s="310" t="e">
        <f>+VLOOKUP(B234,#REF!,2,FALSE)</f>
        <v>#REF!</v>
      </c>
      <c r="AM234" s="311" t="e">
        <f t="shared" si="40"/>
        <v>#REF!</v>
      </c>
      <c r="AN234" s="312" t="e">
        <f t="shared" si="39"/>
        <v>#REF!</v>
      </c>
    </row>
    <row r="235" spans="1:40" s="73" customFormat="1" x14ac:dyDescent="0.25">
      <c r="A235" s="303">
        <v>186</v>
      </c>
      <c r="B235" s="304" t="s">
        <v>1007</v>
      </c>
      <c r="D235" s="74">
        <f>IFERROR(VLOOKUP(B235,'REQ. PINTADO'!B:C,2,0),0)</f>
        <v>0</v>
      </c>
      <c r="E235" s="305">
        <f t="shared" si="29"/>
        <v>132.56023716601348</v>
      </c>
      <c r="F235" s="103" t="s">
        <v>163</v>
      </c>
      <c r="G235" s="75" t="s">
        <v>147</v>
      </c>
      <c r="H235" s="90">
        <v>4.17</v>
      </c>
      <c r="I235" s="90">
        <v>21.55</v>
      </c>
      <c r="J235" s="76">
        <v>0.105</v>
      </c>
      <c r="K235" s="306">
        <v>2.68</v>
      </c>
      <c r="L235" s="78">
        <f t="shared" si="30"/>
        <v>27.690109842433525</v>
      </c>
      <c r="M235" s="58">
        <f>+VLOOKUP(F235,Material!$H$2:$M$17,6,FALSE)*H235*I235*(1+Material!$K$14)</f>
        <v>33.731588353509927</v>
      </c>
      <c r="N235" s="79" t="str">
        <f t="shared" si="41"/>
        <v>T5.0</v>
      </c>
      <c r="O235" s="80">
        <f>+VLOOKUP(N235,[3]Material!$A$3:$B$58,2,FALSE)</f>
        <v>5000</v>
      </c>
      <c r="P235" s="79" t="s">
        <v>42</v>
      </c>
      <c r="Q235" s="79" t="str">
        <f>+VLOOKUP(F235,[3]Material!$C$2:$E$12,2,FALSE)</f>
        <v>Cal 12</v>
      </c>
      <c r="R235" s="81">
        <f>+IF(P235="ACERO A36",VLOOKUP(Q235,'[3]Velocidades Std 1500 w'!$B$2:$F$15,5,FALSE),IF(P235="INOXIDABLE",VLOOKUP(Q235,'[3]Velocidades Std 1500 w'!$B$17:$F$28,5,FALSE),IF(P235="ALUMINIO",VLOOKUP(Q235,'[3]Velocidades Std 1500 w'!$B$30:$F$38,5,FALSE))))</f>
        <v>4.3859649122807014E-6</v>
      </c>
      <c r="S235" s="82">
        <f t="shared" si="31"/>
        <v>2.1929824561403508E-2</v>
      </c>
      <c r="T235" s="83">
        <f t="shared" si="32"/>
        <v>28.609891578947369</v>
      </c>
      <c r="U235" s="307">
        <f t="shared" si="33"/>
        <v>1811.9598000000001</v>
      </c>
      <c r="V235" s="80">
        <f t="shared" si="44"/>
        <v>39.735960526315786</v>
      </c>
      <c r="W235" s="98">
        <v>11</v>
      </c>
      <c r="X235" s="84">
        <f>+IF(P235="ACERO A36",VLOOKUP(Q235,'[3]Tiempo Objeto'!$B$2:$C$12,2,FALSE),IF(P235="INOXIDABLE",VLOOKUP(Q235,'[3]Tiempo Objeto'!$B$14:$C$22,2,FALSE),IF(P235="ALUMINIO",VLOOKUP(Q235,'[3]Tiempo Objeto'!$B$24:$C$32,2,FALSE))))</f>
        <v>0.6133333333333334</v>
      </c>
      <c r="Y235" s="84">
        <f t="shared" si="35"/>
        <v>6.746666666666667</v>
      </c>
      <c r="Z235" s="80">
        <f t="shared" si="36"/>
        <v>9.3703703703703702</v>
      </c>
      <c r="AA235" s="100">
        <v>1</v>
      </c>
      <c r="AB235" s="86">
        <f>+AA235*Analisis!$J$6</f>
        <v>25</v>
      </c>
      <c r="AC235" s="100">
        <v>0</v>
      </c>
      <c r="AD235" s="85">
        <f t="shared" si="37"/>
        <v>0</v>
      </c>
      <c r="AE235" s="86">
        <f>+AC235*Analisis!$J$7</f>
        <v>0</v>
      </c>
      <c r="AF235" s="308">
        <f>+H235*0.0254*I235*0.0254*2*(1+[3]Analisis!$G$2)</f>
        <v>0.14494083915</v>
      </c>
      <c r="AG235" s="86">
        <f>+AF235*Analisis!$J$8</f>
        <v>15.443101314196433</v>
      </c>
      <c r="AH235" s="309">
        <f t="shared" si="42"/>
        <v>123.28102056439252</v>
      </c>
      <c r="AI235" s="86">
        <f>+AH235/(1-Analisis!G240)</f>
        <v>123.28102056439252</v>
      </c>
      <c r="AJ235" s="86">
        <f t="shared" si="38"/>
        <v>132.56023716601348</v>
      </c>
      <c r="AK235" s="86">
        <f t="shared" si="43"/>
        <v>0</v>
      </c>
      <c r="AL235" s="310" t="e">
        <f>+VLOOKUP(B235,#REF!,2,FALSE)</f>
        <v>#REF!</v>
      </c>
      <c r="AM235" s="311" t="e">
        <f t="shared" si="40"/>
        <v>#REF!</v>
      </c>
      <c r="AN235" s="312" t="e">
        <f t="shared" si="39"/>
        <v>#REF!</v>
      </c>
    </row>
    <row r="236" spans="1:40" s="73" customFormat="1" x14ac:dyDescent="0.25">
      <c r="A236" s="303"/>
      <c r="B236" s="304" t="s">
        <v>1008</v>
      </c>
      <c r="D236" s="74">
        <f>IFERROR(VLOOKUP(B236,'REQ. PINTADO'!B:C,2,0),0)</f>
        <v>0</v>
      </c>
      <c r="E236" s="305">
        <f t="shared" si="29"/>
        <v>169.48891317429599</v>
      </c>
      <c r="F236" s="103" t="s">
        <v>163</v>
      </c>
      <c r="G236" s="75" t="s">
        <v>147</v>
      </c>
      <c r="H236" s="90">
        <v>4.17</v>
      </c>
      <c r="I236" s="90">
        <v>31.5</v>
      </c>
      <c r="J236" s="76">
        <v>0.105</v>
      </c>
      <c r="K236" s="306">
        <v>3.92</v>
      </c>
      <c r="L236" s="78">
        <f t="shared" si="30"/>
        <v>27.671753786853522</v>
      </c>
      <c r="M236" s="58">
        <f>+VLOOKUP(F236,Material!$H$2:$M$17,6,FALSE)*H236*I236*(1+Material!$K$14)</f>
        <v>49.306034020211726</v>
      </c>
      <c r="N236" s="79" t="str">
        <f t="shared" si="41"/>
        <v>T5.0</v>
      </c>
      <c r="O236" s="80">
        <f>+VLOOKUP(N236,[3]Material!$A$3:$B$58,2,FALSE)</f>
        <v>5000</v>
      </c>
      <c r="P236" s="79" t="s">
        <v>42</v>
      </c>
      <c r="Q236" s="79" t="str">
        <f>+VLOOKUP(F236,[3]Material!$C$2:$E$12,2,FALSE)</f>
        <v>Cal 12</v>
      </c>
      <c r="R236" s="81">
        <f>+IF(P236="ACERO A36",VLOOKUP(Q236,'[3]Velocidades Std 1500 w'!$B$2:$F$15,5,FALSE),IF(P236="INOXIDABLE",VLOOKUP(Q236,'[3]Velocidades Std 1500 w'!$B$17:$F$28,5,FALSE),IF(P236="ALUMINIO",VLOOKUP(Q236,'[3]Velocidades Std 1500 w'!$B$30:$F$38,5,FALSE))))</f>
        <v>4.3859649122807014E-6</v>
      </c>
      <c r="S236" s="82">
        <f t="shared" si="31"/>
        <v>2.1929824561403508E-2</v>
      </c>
      <c r="T236" s="83">
        <f t="shared" si="32"/>
        <v>36.989886315789477</v>
      </c>
      <c r="U236" s="307">
        <f t="shared" si="33"/>
        <v>2342.6928000000003</v>
      </c>
      <c r="V236" s="80">
        <f t="shared" si="44"/>
        <v>51.374842105263163</v>
      </c>
      <c r="W236" s="98">
        <v>11</v>
      </c>
      <c r="X236" s="84">
        <f>+IF(P236="ACERO A36",VLOOKUP(Q236,'[3]Tiempo Objeto'!$B$2:$C$12,2,FALSE),IF(P236="INOXIDABLE",VLOOKUP(Q236,'[3]Tiempo Objeto'!$B$14:$C$22,2,FALSE),IF(P236="ALUMINIO",VLOOKUP(Q236,'[3]Tiempo Objeto'!$B$24:$C$32,2,FALSE))))</f>
        <v>0.6133333333333334</v>
      </c>
      <c r="Y236" s="84">
        <f t="shared" si="35"/>
        <v>6.746666666666667</v>
      </c>
      <c r="Z236" s="80">
        <f t="shared" si="36"/>
        <v>9.3703703703703702</v>
      </c>
      <c r="AA236" s="100">
        <v>1</v>
      </c>
      <c r="AB236" s="86">
        <f>+AA236*Analisis!$J$6</f>
        <v>25</v>
      </c>
      <c r="AC236" s="100">
        <v>0</v>
      </c>
      <c r="AD236" s="85">
        <f t="shared" si="37"/>
        <v>0</v>
      </c>
      <c r="AE236" s="86">
        <f>+AC236*Analisis!$J$7</f>
        <v>0</v>
      </c>
      <c r="AF236" s="308">
        <f>+H236*0.0254*I236*0.0254*2*(1+[3]Analisis!$G$2)</f>
        <v>0.21186247950000001</v>
      </c>
      <c r="AG236" s="86">
        <f>+AF236*Analisis!$J$8</f>
        <v>22.573442756250007</v>
      </c>
      <c r="AH236" s="309">
        <f t="shared" si="42"/>
        <v>157.62468925209527</v>
      </c>
      <c r="AI236" s="86">
        <f>+AH236/(1-Analisis!G241)</f>
        <v>157.62468925209527</v>
      </c>
      <c r="AJ236" s="86">
        <f t="shared" si="38"/>
        <v>169.48891317429599</v>
      </c>
      <c r="AK236" s="86">
        <f t="shared" si="43"/>
        <v>0</v>
      </c>
      <c r="AL236" s="310" t="e">
        <f>+VLOOKUP(B236,#REF!,2,FALSE)</f>
        <v>#REF!</v>
      </c>
      <c r="AM236" s="311" t="e">
        <f t="shared" si="40"/>
        <v>#REF!</v>
      </c>
      <c r="AN236" s="312" t="e">
        <f t="shared" si="39"/>
        <v>#REF!</v>
      </c>
    </row>
    <row r="237" spans="1:40" s="73" customFormat="1" x14ac:dyDescent="0.25">
      <c r="A237" s="303">
        <v>187</v>
      </c>
      <c r="B237" s="304" t="s">
        <v>1002</v>
      </c>
      <c r="D237" s="74">
        <f>IFERROR(VLOOKUP(B237,'REQ. PINTADO'!B:C,2,0),0)</f>
        <v>0</v>
      </c>
      <c r="E237" s="305">
        <f t="shared" si="29"/>
        <v>307.72911376351823</v>
      </c>
      <c r="F237" s="103" t="s">
        <v>166</v>
      </c>
      <c r="G237" s="75" t="s">
        <v>147</v>
      </c>
      <c r="H237" s="90">
        <v>13.98</v>
      </c>
      <c r="I237" s="90">
        <v>20.21</v>
      </c>
      <c r="J237" s="76">
        <v>0.105</v>
      </c>
      <c r="K237" s="306">
        <v>1</v>
      </c>
      <c r="L237" s="78">
        <f t="shared" si="30"/>
        <v>140.88065015296564</v>
      </c>
      <c r="M237" s="58">
        <f>+VLOOKUP(F237,Material!$H$2:$M$17,6,FALSE)*H237*I237*(1+Material!$K$14)</f>
        <v>64.03665916043893</v>
      </c>
      <c r="N237" s="79" t="str">
        <f t="shared" si="41"/>
        <v>T5.0</v>
      </c>
      <c r="O237" s="80">
        <f>+VLOOKUP(N237,[3]Material!$A$3:$B$58,2,FALSE)</f>
        <v>5000</v>
      </c>
      <c r="P237" s="79" t="s">
        <v>42</v>
      </c>
      <c r="Q237" s="79" t="str">
        <f>+VLOOKUP(F237,[3]Material!$C$2:$E$12,2,FALSE)</f>
        <v>Cal 16</v>
      </c>
      <c r="R237" s="81">
        <f>+IF(P237="ACERO A36",VLOOKUP(Q237,'[3]Velocidades Std 1500 w'!$B$2:$F$15,5,FALSE),IF(P237="INOXIDABLE",VLOOKUP(Q237,'[3]Velocidades Std 1500 w'!$B$17:$F$28,5,FALSE),IF(P237="ALUMINIO",VLOOKUP(Q237,'[3]Velocidades Std 1500 w'!$B$30:$F$38,5,FALSE))))</f>
        <v>9.1575091575091579E-7</v>
      </c>
      <c r="S237" s="82">
        <f t="shared" si="31"/>
        <v>4.578754578754579E-3</v>
      </c>
      <c r="T237" s="83">
        <f t="shared" si="32"/>
        <v>9.836833846153846</v>
      </c>
      <c r="U237" s="307">
        <f t="shared" si="33"/>
        <v>2983.8396000000002</v>
      </c>
      <c r="V237" s="80">
        <f t="shared" si="44"/>
        <v>13.662269230769233</v>
      </c>
      <c r="W237" s="98">
        <v>29</v>
      </c>
      <c r="X237" s="84">
        <f>+IF(P237="ACERO A36",VLOOKUP(Q237,'[3]Tiempo Objeto'!$B$2:$C$12,2,FALSE),IF(P237="INOXIDABLE",VLOOKUP(Q237,'[3]Tiempo Objeto'!$B$14:$C$22,2,FALSE),IF(P237="ALUMINIO",VLOOKUP(Q237,'[3]Tiempo Objeto'!$B$24:$C$32,2,FALSE))))</f>
        <v>0.24666666666666667</v>
      </c>
      <c r="Y237" s="84">
        <f t="shared" si="35"/>
        <v>7.1533333333333333</v>
      </c>
      <c r="Z237" s="80">
        <f t="shared" si="36"/>
        <v>9.9351851851851851</v>
      </c>
      <c r="AA237" s="100">
        <v>6</v>
      </c>
      <c r="AB237" s="86">
        <f>+AA237*Analisis!$J$6</f>
        <v>150</v>
      </c>
      <c r="AC237" s="100">
        <v>0</v>
      </c>
      <c r="AD237" s="85">
        <f t="shared" si="37"/>
        <v>0</v>
      </c>
      <c r="AE237" s="86">
        <f>+AC237*Analisis!$J$7</f>
        <v>0</v>
      </c>
      <c r="AF237" s="308">
        <f>+H237*0.0254*I237*0.0254*2*(1+[3]Analisis!$G$2)</f>
        <v>0.45570199181999999</v>
      </c>
      <c r="AG237" s="86">
        <f>+AF237*Analisis!$J$8</f>
        <v>48.553962223678582</v>
      </c>
      <c r="AH237" s="309">
        <f t="shared" si="42"/>
        <v>286.18807580007194</v>
      </c>
      <c r="AI237" s="86">
        <f>+AH237/(1-Analisis!G242)</f>
        <v>286.18807580007194</v>
      </c>
      <c r="AJ237" s="86">
        <f t="shared" si="38"/>
        <v>307.72911376351823</v>
      </c>
      <c r="AK237" s="86">
        <f t="shared" si="43"/>
        <v>0</v>
      </c>
      <c r="AL237" s="310" t="e">
        <f>+VLOOKUP(B237,#REF!,2,FALSE)</f>
        <v>#REF!</v>
      </c>
      <c r="AM237" s="311" t="e">
        <f t="shared" si="40"/>
        <v>#REF!</v>
      </c>
      <c r="AN237" s="312" t="e">
        <f t="shared" si="39"/>
        <v>#REF!</v>
      </c>
    </row>
    <row r="238" spans="1:40" s="73" customFormat="1" x14ac:dyDescent="0.25">
      <c r="A238" s="303">
        <v>188</v>
      </c>
      <c r="B238" s="304" t="s">
        <v>1003</v>
      </c>
      <c r="D238" s="74">
        <f>IFERROR(VLOOKUP(B238,'REQ. PINTADO'!B:C,2,0),0)</f>
        <v>0</v>
      </c>
      <c r="E238" s="305">
        <f t="shared" si="29"/>
        <v>183.36759044353562</v>
      </c>
      <c r="F238" s="103" t="s">
        <v>165</v>
      </c>
      <c r="G238" s="75" t="s">
        <v>147</v>
      </c>
      <c r="H238" s="90">
        <v>6.87</v>
      </c>
      <c r="I238" s="90">
        <v>21.9</v>
      </c>
      <c r="J238" s="76">
        <v>0.105</v>
      </c>
      <c r="K238" s="306">
        <v>4.49</v>
      </c>
      <c r="L238" s="78">
        <f t="shared" si="30"/>
        <v>30.639301085746101</v>
      </c>
      <c r="M238" s="58">
        <f>+VLOOKUP(F238,Material!$H$2:$M$17,6,FALSE)*H238*I238*(1+Material!$K$14)</f>
        <v>62.532028125000004</v>
      </c>
      <c r="N238" s="79" t="str">
        <f t="shared" si="41"/>
        <v>T5.0</v>
      </c>
      <c r="O238" s="80">
        <f>+VLOOKUP(N238,[3]Material!$A$3:$B$58,2,FALSE)</f>
        <v>5000</v>
      </c>
      <c r="P238" s="79" t="s">
        <v>42</v>
      </c>
      <c r="Q238" s="79" t="str">
        <f>+VLOOKUP(F238,[3]Material!$C$2:$E$12,2,FALSE)</f>
        <v>Cal 14</v>
      </c>
      <c r="R238" s="81">
        <f>+IF(P238="ACERO A36",VLOOKUP(Q238,'[3]Velocidades Std 1500 w'!$B$2:$F$15,5,FALSE),IF(P238="INOXIDABLE",VLOOKUP(Q238,'[3]Velocidades Std 1500 w'!$B$17:$F$28,5,FALSE),IF(P238="ALUMINIO",VLOOKUP(Q238,'[3]Velocidades Std 1500 w'!$B$30:$F$38,5,FALSE))))</f>
        <v>2.0080321285140564E-6</v>
      </c>
      <c r="S238" s="82">
        <f t="shared" si="31"/>
        <v>1.0040160642570283E-2</v>
      </c>
      <c r="T238" s="83">
        <f t="shared" si="32"/>
        <v>16.877290120481927</v>
      </c>
      <c r="U238" s="307">
        <f t="shared" si="33"/>
        <v>2334.6917999999996</v>
      </c>
      <c r="V238" s="80">
        <f t="shared" si="44"/>
        <v>23.440680722891567</v>
      </c>
      <c r="W238" s="98">
        <v>20</v>
      </c>
      <c r="X238" s="84">
        <f>+IF(P238="ACERO A36",VLOOKUP(Q238,'[3]Tiempo Objeto'!$B$2:$C$12,2,FALSE),IF(P238="INOXIDABLE",VLOOKUP(Q238,'[3]Tiempo Objeto'!$B$14:$C$22,2,FALSE),IF(P238="ALUMINIO",VLOOKUP(Q238,'[3]Tiempo Objeto'!$B$24:$C$32,2,FALSE))))</f>
        <v>0.3133333333333333</v>
      </c>
      <c r="Y238" s="84">
        <f t="shared" si="35"/>
        <v>6.2666666666666657</v>
      </c>
      <c r="Z238" s="80">
        <f t="shared" si="36"/>
        <v>8.7037037037037024</v>
      </c>
      <c r="AA238" s="100">
        <v>2</v>
      </c>
      <c r="AB238" s="86">
        <f>+AA238*Analisis!$J$6</f>
        <v>50</v>
      </c>
      <c r="AC238" s="100">
        <v>0</v>
      </c>
      <c r="AD238" s="85">
        <f t="shared" si="37"/>
        <v>0</v>
      </c>
      <c r="AE238" s="86">
        <f>+AC238*Analisis!$J$7</f>
        <v>0</v>
      </c>
      <c r="AF238" s="308">
        <f>+H238*0.0254*I238*0.0254*2*(1+[3]Analisis!$G$2)</f>
        <v>0.24266564369999996</v>
      </c>
      <c r="AG238" s="86">
        <f>+AF238*Analisis!$J$8</f>
        <v>25.855446560892862</v>
      </c>
      <c r="AH238" s="309">
        <f t="shared" si="42"/>
        <v>170.53185911248812</v>
      </c>
      <c r="AI238" s="86">
        <f>+AH238/(1-Analisis!G243)</f>
        <v>170.53185911248812</v>
      </c>
      <c r="AJ238" s="86">
        <f t="shared" si="38"/>
        <v>183.36759044353562</v>
      </c>
      <c r="AK238" s="86">
        <f t="shared" si="43"/>
        <v>0</v>
      </c>
      <c r="AL238" s="310" t="e">
        <f>+VLOOKUP(B238,#REF!,2,FALSE)</f>
        <v>#REF!</v>
      </c>
      <c r="AM238" s="311" t="e">
        <f t="shared" si="40"/>
        <v>#REF!</v>
      </c>
      <c r="AN238" s="312" t="e">
        <f t="shared" si="39"/>
        <v>#REF!</v>
      </c>
    </row>
    <row r="239" spans="1:40" s="73" customFormat="1" x14ac:dyDescent="0.25">
      <c r="A239" s="303"/>
      <c r="B239" s="304" t="s">
        <v>1004</v>
      </c>
      <c r="D239" s="74">
        <f>IFERROR(VLOOKUP(B239,'REQ. PINTADO'!B:C,2,0),0)</f>
        <v>0</v>
      </c>
      <c r="E239" s="305">
        <f t="shared" si="29"/>
        <v>232.52350352836342</v>
      </c>
      <c r="F239" s="103" t="s">
        <v>165</v>
      </c>
      <c r="G239" s="75" t="s">
        <v>147</v>
      </c>
      <c r="H239" s="90">
        <v>6.87</v>
      </c>
      <c r="I239" s="90">
        <v>31.9</v>
      </c>
      <c r="J239" s="76">
        <v>0.105</v>
      </c>
      <c r="K239" s="306">
        <v>6.54</v>
      </c>
      <c r="L239" s="78">
        <f t="shared" si="30"/>
        <v>30.64037069954129</v>
      </c>
      <c r="M239" s="58">
        <f>+VLOOKUP(F239,Material!$H$2:$M$17,6,FALSE)*H239*I239*(1+Material!$K$14)</f>
        <v>91.085465625000012</v>
      </c>
      <c r="N239" s="79" t="str">
        <f t="shared" si="41"/>
        <v>T5.0</v>
      </c>
      <c r="O239" s="80">
        <f>+VLOOKUP(N239,[3]Material!$A$3:$B$58,2,FALSE)</f>
        <v>5000</v>
      </c>
      <c r="P239" s="79" t="s">
        <v>42</v>
      </c>
      <c r="Q239" s="79" t="str">
        <f>+VLOOKUP(F239,[3]Material!$C$2:$E$12,2,FALSE)</f>
        <v>Cal 14</v>
      </c>
      <c r="R239" s="81">
        <f>+IF(P239="ACERO A36",VLOOKUP(Q239,'[3]Velocidades Std 1500 w'!$B$2:$F$15,5,FALSE),IF(P239="INOXIDABLE",VLOOKUP(Q239,'[3]Velocidades Std 1500 w'!$B$17:$F$28,5,FALSE),IF(P239="ALUMINIO",VLOOKUP(Q239,'[3]Velocidades Std 1500 w'!$B$30:$F$38,5,FALSE))))</f>
        <v>2.0080321285140564E-6</v>
      </c>
      <c r="S239" s="82">
        <f t="shared" si="31"/>
        <v>1.0040160642570283E-2</v>
      </c>
      <c r="T239" s="83">
        <f t="shared" si="32"/>
        <v>20.733193734939761</v>
      </c>
      <c r="U239" s="307">
        <f t="shared" si="33"/>
        <v>2868.0917999999997</v>
      </c>
      <c r="V239" s="80">
        <f t="shared" si="44"/>
        <v>28.796102409638557</v>
      </c>
      <c r="W239" s="98">
        <v>20</v>
      </c>
      <c r="X239" s="84">
        <f>+IF(P239="ACERO A36",VLOOKUP(Q239,'[3]Tiempo Objeto'!$B$2:$C$12,2,FALSE),IF(P239="INOXIDABLE",VLOOKUP(Q239,'[3]Tiempo Objeto'!$B$14:$C$22,2,FALSE),IF(P239="ALUMINIO",VLOOKUP(Q239,'[3]Tiempo Objeto'!$B$24:$C$32,2,FALSE))))</f>
        <v>0.3133333333333333</v>
      </c>
      <c r="Y239" s="84">
        <f t="shared" si="35"/>
        <v>6.2666666666666657</v>
      </c>
      <c r="Z239" s="80">
        <f t="shared" si="36"/>
        <v>8.7037037037037024</v>
      </c>
      <c r="AA239" s="100">
        <v>2</v>
      </c>
      <c r="AB239" s="86">
        <f>+AA239*Analisis!$J$6</f>
        <v>50</v>
      </c>
      <c r="AC239" s="100">
        <v>0</v>
      </c>
      <c r="AD239" s="85">
        <f t="shared" si="37"/>
        <v>0</v>
      </c>
      <c r="AE239" s="86">
        <f>+AC239*Analisis!$J$7</f>
        <v>0</v>
      </c>
      <c r="AF239" s="308">
        <f>+H239*0.0254*I239*0.0254*2*(1+[3]Analisis!$G$2)</f>
        <v>0.35347187369999988</v>
      </c>
      <c r="AG239" s="86">
        <f>+AF239*Analisis!$J$8</f>
        <v>37.66158654303571</v>
      </c>
      <c r="AH239" s="309">
        <f t="shared" si="42"/>
        <v>216.24685828137797</v>
      </c>
      <c r="AI239" s="86">
        <f>+AH239/(1-Analisis!G244)</f>
        <v>216.24685828137797</v>
      </c>
      <c r="AJ239" s="86">
        <f t="shared" si="38"/>
        <v>232.52350352836342</v>
      </c>
      <c r="AK239" s="86">
        <f t="shared" si="43"/>
        <v>0</v>
      </c>
      <c r="AL239" s="310" t="e">
        <f>+VLOOKUP(B239,#REF!,2,FALSE)</f>
        <v>#REF!</v>
      </c>
      <c r="AM239" s="311" t="e">
        <f t="shared" si="40"/>
        <v>#REF!</v>
      </c>
      <c r="AN239" s="312" t="e">
        <f t="shared" si="39"/>
        <v>#REF!</v>
      </c>
    </row>
    <row r="240" spans="1:40" s="73" customFormat="1" x14ac:dyDescent="0.25">
      <c r="A240" s="303">
        <v>189</v>
      </c>
      <c r="B240" s="304" t="s">
        <v>987</v>
      </c>
      <c r="D240" s="74">
        <f>IFERROR(VLOOKUP(B240,'REQ. PINTADO'!B:C,2,0),0)</f>
        <v>0</v>
      </c>
      <c r="E240" s="305">
        <f t="shared" si="29"/>
        <v>62.167796503214277</v>
      </c>
      <c r="F240" s="103" t="s">
        <v>163</v>
      </c>
      <c r="G240" s="75" t="s">
        <v>147</v>
      </c>
      <c r="H240" s="90">
        <v>2.92</v>
      </c>
      <c r="I240" s="90">
        <v>5</v>
      </c>
      <c r="J240" s="76">
        <v>0.105</v>
      </c>
      <c r="K240" s="306">
        <v>0.44</v>
      </c>
      <c r="L240" s="78">
        <f t="shared" si="30"/>
        <v>27.401625240572919</v>
      </c>
      <c r="M240" s="58">
        <f>+VLOOKUP(F240,Material!$H$2:$M$17,6,FALSE)*H240*I240*(1+Material!$K$14)</f>
        <v>5.480325048114584</v>
      </c>
      <c r="N240" s="79" t="str">
        <f t="shared" si="41"/>
        <v>T5.0</v>
      </c>
      <c r="O240" s="80">
        <f>+VLOOKUP(N240,[3]Material!$A$3:$B$58,2,FALSE)</f>
        <v>5000</v>
      </c>
      <c r="P240" s="79" t="s">
        <v>42</v>
      </c>
      <c r="Q240" s="79" t="str">
        <f>+VLOOKUP(F240,[3]Material!$C$2:$E$12,2,FALSE)</f>
        <v>Cal 12</v>
      </c>
      <c r="R240" s="81">
        <f>+IF(P240="ACERO A36",VLOOKUP(Q240,'[3]Velocidades Std 1500 w'!$B$2:$F$15,5,FALSE),IF(P240="INOXIDABLE",VLOOKUP(Q240,'[3]Velocidades Std 1500 w'!$B$17:$F$28,5,FALSE),IF(P240="ALUMINIO",VLOOKUP(Q240,'[3]Velocidades Std 1500 w'!$B$30:$F$38,5,FALSE))))</f>
        <v>4.3859649122807014E-6</v>
      </c>
      <c r="S240" s="82">
        <f t="shared" si="31"/>
        <v>2.1929824561403508E-2</v>
      </c>
      <c r="T240" s="83">
        <f t="shared" si="32"/>
        <v>12.355228421052631</v>
      </c>
      <c r="U240" s="307">
        <f t="shared" si="33"/>
        <v>782.49779999999998</v>
      </c>
      <c r="V240" s="80">
        <f t="shared" si="44"/>
        <v>17.160039473684208</v>
      </c>
      <c r="W240" s="98">
        <v>9</v>
      </c>
      <c r="X240" s="84">
        <f>+IF(P240="ACERO A36",VLOOKUP(Q240,'[3]Tiempo Objeto'!$B$2:$C$12,2,FALSE),IF(P240="INOXIDABLE",VLOOKUP(Q240,'[3]Tiempo Objeto'!$B$14:$C$22,2,FALSE),IF(P240="ALUMINIO",VLOOKUP(Q240,'[3]Tiempo Objeto'!$B$24:$C$32,2,FALSE))))</f>
        <v>0.6133333333333334</v>
      </c>
      <c r="Y240" s="84">
        <f t="shared" si="35"/>
        <v>5.5200000000000005</v>
      </c>
      <c r="Z240" s="80">
        <f t="shared" si="36"/>
        <v>7.6666666666666679</v>
      </c>
      <c r="AA240" s="100">
        <v>1</v>
      </c>
      <c r="AB240" s="86">
        <f>+AA240*Analisis!$J$6</f>
        <v>25</v>
      </c>
      <c r="AC240" s="100">
        <v>0</v>
      </c>
      <c r="AD240" s="85">
        <f t="shared" si="37"/>
        <v>0</v>
      </c>
      <c r="AE240" s="86">
        <f>+AC240*Analisis!$J$7</f>
        <v>0</v>
      </c>
      <c r="AF240" s="308">
        <f>+H240*0.0254*I240*0.0254*2*(1+[3]Analisis!$G$2)</f>
        <v>2.3548340000000001E-2</v>
      </c>
      <c r="AG240" s="86">
        <f>+AF240*Analisis!$J$8</f>
        <v>2.5090195595238103</v>
      </c>
      <c r="AH240" s="309">
        <f t="shared" si="42"/>
        <v>57.816050747989273</v>
      </c>
      <c r="AI240" s="86">
        <f>+AH240/(1-Analisis!G245)</f>
        <v>57.816050747989273</v>
      </c>
      <c r="AJ240" s="86">
        <f t="shared" si="38"/>
        <v>62.167796503214277</v>
      </c>
      <c r="AK240" s="86">
        <f t="shared" si="43"/>
        <v>0</v>
      </c>
      <c r="AL240" s="310" t="e">
        <f>+VLOOKUP(B240,#REF!,2,FALSE)</f>
        <v>#REF!</v>
      </c>
      <c r="AM240" s="311" t="e">
        <f t="shared" si="40"/>
        <v>#REF!</v>
      </c>
      <c r="AN240" s="312" t="e">
        <f t="shared" si="39"/>
        <v>#REF!</v>
      </c>
    </row>
    <row r="241" spans="1:40" s="73" customFormat="1" x14ac:dyDescent="0.25">
      <c r="A241" s="303">
        <v>190</v>
      </c>
      <c r="B241" s="304" t="s">
        <v>988</v>
      </c>
      <c r="D241" s="74">
        <f>IFERROR(VLOOKUP(B241,'REQ. PINTADO'!B:C,2,0),0)</f>
        <v>0</v>
      </c>
      <c r="E241" s="305">
        <f t="shared" si="29"/>
        <v>12.374254807492383</v>
      </c>
      <c r="F241" s="103" t="s">
        <v>163</v>
      </c>
      <c r="G241" s="75" t="s">
        <v>147</v>
      </c>
      <c r="H241" s="90">
        <v>1</v>
      </c>
      <c r="I241" s="90">
        <v>3</v>
      </c>
      <c r="J241" s="76">
        <v>0.105</v>
      </c>
      <c r="K241" s="306">
        <v>0.09</v>
      </c>
      <c r="L241" s="78">
        <f t="shared" si="30"/>
        <v>27.526746817013898</v>
      </c>
      <c r="M241" s="58">
        <f>+VLOOKUP(F241,Material!$H$2:$M$17,6,FALSE)*H241*I241*(1+Material!$K$14)</f>
        <v>1.1260941879687503</v>
      </c>
      <c r="N241" s="79" t="str">
        <f t="shared" si="41"/>
        <v>T5.0</v>
      </c>
      <c r="O241" s="80">
        <f>+VLOOKUP(N241,[3]Material!$A$3:$B$58,2,FALSE)</f>
        <v>5000</v>
      </c>
      <c r="P241" s="79" t="s">
        <v>42</v>
      </c>
      <c r="Q241" s="79" t="str">
        <f>+VLOOKUP(F241,[3]Material!$C$2:$E$12,2,FALSE)</f>
        <v>Cal 12</v>
      </c>
      <c r="R241" s="81">
        <f>+IF(P241="ACERO A36",VLOOKUP(Q241,'[3]Velocidades Std 1500 w'!$B$2:$F$15,5,FALSE),IF(P241="INOXIDABLE",VLOOKUP(Q241,'[3]Velocidades Std 1500 w'!$B$17:$F$28,5,FALSE),IF(P241="ALUMINIO",VLOOKUP(Q241,'[3]Velocidades Std 1500 w'!$B$30:$F$38,5,FALSE))))</f>
        <v>4.3859649122807014E-6</v>
      </c>
      <c r="S241" s="82">
        <f t="shared" si="31"/>
        <v>2.1929824561403508E-2</v>
      </c>
      <c r="T241" s="83">
        <f t="shared" si="32"/>
        <v>5.2638157894736839</v>
      </c>
      <c r="U241" s="307">
        <f t="shared" si="33"/>
        <v>333.375</v>
      </c>
      <c r="V241" s="80">
        <f t="shared" si="44"/>
        <v>7.3108552631578947</v>
      </c>
      <c r="W241" s="98">
        <v>3</v>
      </c>
      <c r="X241" s="84">
        <f>+IF(P241="ACERO A36",VLOOKUP(Q241,'[3]Tiempo Objeto'!$B$2:$C$12,2,FALSE),IF(P241="INOXIDABLE",VLOOKUP(Q241,'[3]Tiempo Objeto'!$B$14:$C$22,2,FALSE),IF(P241="ALUMINIO",VLOOKUP(Q241,'[3]Tiempo Objeto'!$B$24:$C$32,2,FALSE))))</f>
        <v>0.6133333333333334</v>
      </c>
      <c r="Y241" s="84">
        <f t="shared" si="35"/>
        <v>1.8400000000000003</v>
      </c>
      <c r="Z241" s="80">
        <f t="shared" si="36"/>
        <v>2.5555555555555562</v>
      </c>
      <c r="AA241" s="100">
        <v>0</v>
      </c>
      <c r="AB241" s="86">
        <f>+AA241*Analisis!$J$6</f>
        <v>0</v>
      </c>
      <c r="AC241" s="100">
        <v>0</v>
      </c>
      <c r="AD241" s="85">
        <f t="shared" si="37"/>
        <v>0</v>
      </c>
      <c r="AE241" s="86">
        <f>+AC241*Analisis!$J$7</f>
        <v>0</v>
      </c>
      <c r="AF241" s="308">
        <f>+H241*0.0254*I241*0.0254*2*(1+[3]Analisis!$G$2)</f>
        <v>4.8386999999999987E-3</v>
      </c>
      <c r="AG241" s="86">
        <f>+AF241*Analisis!$J$8</f>
        <v>0.51555196428571426</v>
      </c>
      <c r="AH241" s="309">
        <f t="shared" si="42"/>
        <v>11.508056970967916</v>
      </c>
      <c r="AI241" s="86">
        <f>+AH241/(1-Analisis!G246)</f>
        <v>11.508056970967916</v>
      </c>
      <c r="AJ241" s="86">
        <f t="shared" si="38"/>
        <v>12.374254807492383</v>
      </c>
      <c r="AK241" s="86">
        <f t="shared" si="43"/>
        <v>0</v>
      </c>
      <c r="AL241" s="310" t="e">
        <f>+VLOOKUP(B241,#REF!,2,FALSE)</f>
        <v>#REF!</v>
      </c>
      <c r="AM241" s="311" t="e">
        <f t="shared" si="40"/>
        <v>#REF!</v>
      </c>
      <c r="AN241" s="312" t="e">
        <f t="shared" si="39"/>
        <v>#REF!</v>
      </c>
    </row>
    <row r="242" spans="1:40" s="73" customFormat="1" x14ac:dyDescent="0.25">
      <c r="A242" s="303"/>
      <c r="B242" s="304" t="s">
        <v>1024</v>
      </c>
      <c r="D242" s="74">
        <f>IFERROR(VLOOKUP(B242,'REQ. PINTADO'!B:C,2,0),0)</f>
        <v>0</v>
      </c>
      <c r="E242" s="305">
        <f t="shared" si="29"/>
        <v>958.36634322143595</v>
      </c>
      <c r="F242" s="103" t="s">
        <v>163</v>
      </c>
      <c r="G242" s="75" t="s">
        <v>147</v>
      </c>
      <c r="H242" s="90">
        <v>13.58</v>
      </c>
      <c r="I242" s="90">
        <v>88.54</v>
      </c>
      <c r="J242" s="76">
        <v>0.105</v>
      </c>
      <c r="K242" s="306">
        <v>36.1</v>
      </c>
      <c r="L242" s="78">
        <f t="shared" si="30"/>
        <v>27.504783370606219</v>
      </c>
      <c r="M242" s="58">
        <f>+VLOOKUP(F242,Material!$H$2:$M$17,6,FALSE)*H242*I242*(1+Material!$K$14)</f>
        <v>451.32849076312931</v>
      </c>
      <c r="N242" s="79" t="str">
        <f t="shared" si="41"/>
        <v>T5.0</v>
      </c>
      <c r="O242" s="80">
        <f>+VLOOKUP(N242,[3]Material!$A$3:$B$58,2,FALSE)</f>
        <v>5000</v>
      </c>
      <c r="P242" s="79" t="s">
        <v>42</v>
      </c>
      <c r="Q242" s="79" t="str">
        <f>+VLOOKUP(F242,[3]Material!$C$2:$E$12,2,FALSE)</f>
        <v>Cal 12</v>
      </c>
      <c r="R242" s="81">
        <f>+IF(P242="ACERO A36",VLOOKUP(Q242,'[3]Velocidades Std 1500 w'!$B$2:$F$15,5,FALSE),IF(P242="INOXIDABLE",VLOOKUP(Q242,'[3]Velocidades Std 1500 w'!$B$17:$F$28,5,FALSE),IF(P242="ALUMINIO",VLOOKUP(Q242,'[3]Velocidades Std 1500 w'!$B$30:$F$38,5,FALSE))))</f>
        <v>4.3859649122807014E-6</v>
      </c>
      <c r="S242" s="82">
        <f t="shared" si="31"/>
        <v>2.1929824561403508E-2</v>
      </c>
      <c r="T242" s="83">
        <f t="shared" si="32"/>
        <v>110.52631578947368</v>
      </c>
      <c r="U242" s="307">
        <v>7000</v>
      </c>
      <c r="V242" s="80">
        <f t="shared" si="44"/>
        <v>153.50877192982455</v>
      </c>
      <c r="W242" s="98">
        <v>35</v>
      </c>
      <c r="X242" s="84">
        <f>+IF(P242="ACERO A36",VLOOKUP(Q242,'[3]Tiempo Objeto'!$B$2:$C$12,2,FALSE),IF(P242="INOXIDABLE",VLOOKUP(Q242,'[3]Tiempo Objeto'!$B$14:$C$22,2,FALSE),IF(P242="ALUMINIO",VLOOKUP(Q242,'[3]Tiempo Objeto'!$B$24:$C$32,2,FALSE))))</f>
        <v>0.6133333333333334</v>
      </c>
      <c r="Y242" s="84">
        <f t="shared" si="35"/>
        <v>21.466666666666669</v>
      </c>
      <c r="Z242" s="80">
        <f t="shared" si="36"/>
        <v>29.814814814814817</v>
      </c>
      <c r="AA242" s="100">
        <v>2</v>
      </c>
      <c r="AB242" s="86">
        <f>+AA242*Analisis!$J$6</f>
        <v>50</v>
      </c>
      <c r="AC242" s="100">
        <v>0</v>
      </c>
      <c r="AD242" s="85">
        <f t="shared" si="37"/>
        <v>0</v>
      </c>
      <c r="AE242" s="86">
        <f>+AC242*Analisis!$J$7</f>
        <v>0</v>
      </c>
      <c r="AF242" s="308">
        <f>+H242*0.0254*I242*0.0254*2*(1+[3]Analisis!$G$2)</f>
        <v>1.93930773428</v>
      </c>
      <c r="AG242" s="86">
        <f>+AF242*Analisis!$J$8</f>
        <v>206.62862168816673</v>
      </c>
      <c r="AH242" s="309">
        <f t="shared" si="42"/>
        <v>891.28069919593543</v>
      </c>
      <c r="AI242" s="86">
        <f>+AH242/(1-Analisis!G247)</f>
        <v>891.28069919593543</v>
      </c>
      <c r="AJ242" s="86">
        <f t="shared" si="38"/>
        <v>958.36634322143595</v>
      </c>
      <c r="AK242" s="86">
        <f t="shared" si="43"/>
        <v>0</v>
      </c>
      <c r="AL242" s="310" t="e">
        <f>+VLOOKUP(B242,#REF!,2,FALSE)</f>
        <v>#REF!</v>
      </c>
      <c r="AM242" s="311" t="e">
        <f t="shared" si="40"/>
        <v>#REF!</v>
      </c>
      <c r="AN242" s="312" t="e">
        <f t="shared" si="39"/>
        <v>#REF!</v>
      </c>
    </row>
    <row r="243" spans="1:40" s="73" customFormat="1" x14ac:dyDescent="0.25">
      <c r="A243" s="303"/>
      <c r="B243" s="304" t="s">
        <v>1025</v>
      </c>
      <c r="D243" s="74">
        <f>IFERROR(VLOOKUP(B243,'REQ. PINTADO'!B:C,2,0),0)</f>
        <v>0</v>
      </c>
      <c r="E243" s="305">
        <f t="shared" si="29"/>
        <v>958.36634322143595</v>
      </c>
      <c r="F243" s="103" t="s">
        <v>163</v>
      </c>
      <c r="G243" s="75" t="s">
        <v>147</v>
      </c>
      <c r="H243" s="90">
        <v>13.58</v>
      </c>
      <c r="I243" s="90">
        <v>88.54</v>
      </c>
      <c r="J243" s="76">
        <v>0.105</v>
      </c>
      <c r="K243" s="306">
        <v>36.1</v>
      </c>
      <c r="L243" s="78">
        <f t="shared" si="30"/>
        <v>27.504783370606219</v>
      </c>
      <c r="M243" s="58">
        <f>+VLOOKUP(F243,Material!$H$2:$M$17,6,FALSE)*H243*I243*(1+Material!$K$14)</f>
        <v>451.32849076312931</v>
      </c>
      <c r="N243" s="79" t="str">
        <f t="shared" si="41"/>
        <v>T5.0</v>
      </c>
      <c r="O243" s="80">
        <f>+VLOOKUP(N243,[3]Material!$A$3:$B$58,2,FALSE)</f>
        <v>5000</v>
      </c>
      <c r="P243" s="79" t="s">
        <v>42</v>
      </c>
      <c r="Q243" s="79" t="str">
        <f>+VLOOKUP(F243,[3]Material!$C$2:$E$12,2,FALSE)</f>
        <v>Cal 12</v>
      </c>
      <c r="R243" s="81">
        <f>+IF(P243="ACERO A36",VLOOKUP(Q243,'[3]Velocidades Std 1500 w'!$B$2:$F$15,5,FALSE),IF(P243="INOXIDABLE",VLOOKUP(Q243,'[3]Velocidades Std 1500 w'!$B$17:$F$28,5,FALSE),IF(P243="ALUMINIO",VLOOKUP(Q243,'[3]Velocidades Std 1500 w'!$B$30:$F$38,5,FALSE))))</f>
        <v>4.3859649122807014E-6</v>
      </c>
      <c r="S243" s="82">
        <f t="shared" si="31"/>
        <v>2.1929824561403508E-2</v>
      </c>
      <c r="T243" s="83">
        <f t="shared" si="32"/>
        <v>110.52631578947368</v>
      </c>
      <c r="U243" s="307">
        <v>7000</v>
      </c>
      <c r="V243" s="80">
        <f t="shared" si="44"/>
        <v>153.50877192982455</v>
      </c>
      <c r="W243" s="98">
        <v>35</v>
      </c>
      <c r="X243" s="84">
        <f>+IF(P243="ACERO A36",VLOOKUP(Q243,'[3]Tiempo Objeto'!$B$2:$C$12,2,FALSE),IF(P243="INOXIDABLE",VLOOKUP(Q243,'[3]Tiempo Objeto'!$B$14:$C$22,2,FALSE),IF(P243="ALUMINIO",VLOOKUP(Q243,'[3]Tiempo Objeto'!$B$24:$C$32,2,FALSE))))</f>
        <v>0.6133333333333334</v>
      </c>
      <c r="Y243" s="84">
        <f t="shared" si="35"/>
        <v>21.466666666666669</v>
      </c>
      <c r="Z243" s="80">
        <f t="shared" si="36"/>
        <v>29.814814814814817</v>
      </c>
      <c r="AA243" s="100">
        <v>2</v>
      </c>
      <c r="AB243" s="86">
        <f>+AA243*Analisis!$J$6</f>
        <v>50</v>
      </c>
      <c r="AC243" s="100">
        <v>0</v>
      </c>
      <c r="AD243" s="85">
        <f t="shared" si="37"/>
        <v>0</v>
      </c>
      <c r="AE243" s="86">
        <f>+AC243*Analisis!$J$7</f>
        <v>0</v>
      </c>
      <c r="AF243" s="308">
        <f>+H243*0.0254*I243*0.0254*2*(1+[3]Analisis!$G$2)</f>
        <v>1.93930773428</v>
      </c>
      <c r="AG243" s="86">
        <f>+AF243*Analisis!$J$8</f>
        <v>206.62862168816673</v>
      </c>
      <c r="AH243" s="309">
        <f t="shared" si="42"/>
        <v>891.28069919593543</v>
      </c>
      <c r="AI243" s="86">
        <f>+AH243/(1-Analisis!G248)</f>
        <v>891.28069919593543</v>
      </c>
      <c r="AJ243" s="86">
        <f t="shared" si="38"/>
        <v>958.36634322143595</v>
      </c>
      <c r="AK243" s="86">
        <f t="shared" si="43"/>
        <v>0</v>
      </c>
      <c r="AL243" s="310" t="e">
        <f>+VLOOKUP(B243,#REF!,2,FALSE)</f>
        <v>#REF!</v>
      </c>
      <c r="AM243" s="311" t="e">
        <f t="shared" si="40"/>
        <v>#REF!</v>
      </c>
      <c r="AN243" s="312" t="e">
        <f t="shared" si="39"/>
        <v>#REF!</v>
      </c>
    </row>
    <row r="244" spans="1:40" s="73" customFormat="1" x14ac:dyDescent="0.25">
      <c r="A244" s="303"/>
      <c r="B244" s="304" t="s">
        <v>1026</v>
      </c>
      <c r="D244" s="74">
        <f>IFERROR(VLOOKUP(B244,'REQ. PINTADO'!B:C,2,0),0)</f>
        <v>0</v>
      </c>
      <c r="E244" s="305">
        <f t="shared" si="29"/>
        <v>1199.5766485921977</v>
      </c>
      <c r="F244" s="103" t="s">
        <v>163</v>
      </c>
      <c r="G244" s="75" t="s">
        <v>147</v>
      </c>
      <c r="H244" s="90">
        <v>18.21</v>
      </c>
      <c r="I244" s="90">
        <v>88.54</v>
      </c>
      <c r="J244" s="76">
        <v>0.105</v>
      </c>
      <c r="K244" s="306">
        <v>48.08</v>
      </c>
      <c r="L244" s="78">
        <f t="shared" si="30"/>
        <v>27.692435161072499</v>
      </c>
      <c r="M244" s="58">
        <f>+VLOOKUP(F244,Material!$H$2:$M$17,6,FALSE)*H244*I244*(1+Material!$K$14)</f>
        <v>605.20558297471166</v>
      </c>
      <c r="N244" s="79" t="str">
        <f t="shared" si="41"/>
        <v>T5.0</v>
      </c>
      <c r="O244" s="80">
        <f>+VLOOKUP(N244,[3]Material!$A$3:$B$58,2,FALSE)</f>
        <v>5000</v>
      </c>
      <c r="P244" s="79" t="s">
        <v>42</v>
      </c>
      <c r="Q244" s="79" t="str">
        <f>+VLOOKUP(F244,[3]Material!$C$2:$E$12,2,FALSE)</f>
        <v>Cal 12</v>
      </c>
      <c r="R244" s="81">
        <f>+IF(P244="ACERO A36",VLOOKUP(Q244,'[3]Velocidades Std 1500 w'!$B$2:$F$15,5,FALSE),IF(P244="INOXIDABLE",VLOOKUP(Q244,'[3]Velocidades Std 1500 w'!$B$17:$F$28,5,FALSE),IF(P244="ALUMINIO",VLOOKUP(Q244,'[3]Velocidades Std 1500 w'!$B$30:$F$38,5,FALSE))))</f>
        <v>4.3859649122807014E-6</v>
      </c>
      <c r="S244" s="82">
        <f t="shared" si="31"/>
        <v>2.1929824561403508E-2</v>
      </c>
      <c r="T244" s="83">
        <f t="shared" si="32"/>
        <v>110.52631578947368</v>
      </c>
      <c r="U244" s="307">
        <v>7000</v>
      </c>
      <c r="V244" s="80">
        <f t="shared" si="44"/>
        <v>153.50877192982455</v>
      </c>
      <c r="W244" s="98">
        <v>35</v>
      </c>
      <c r="X244" s="84">
        <f>+IF(P244="ACERO A36",VLOOKUP(Q244,'[3]Tiempo Objeto'!$B$2:$C$12,2,FALSE),IF(P244="INOXIDABLE",VLOOKUP(Q244,'[3]Tiempo Objeto'!$B$14:$C$22,2,FALSE),IF(P244="ALUMINIO",VLOOKUP(Q244,'[3]Tiempo Objeto'!$B$24:$C$32,2,FALSE))))</f>
        <v>0.6133333333333334</v>
      </c>
      <c r="Y244" s="84">
        <f t="shared" si="35"/>
        <v>21.466666666666669</v>
      </c>
      <c r="Z244" s="80">
        <f t="shared" si="36"/>
        <v>29.814814814814817</v>
      </c>
      <c r="AA244" s="100">
        <v>2</v>
      </c>
      <c r="AB244" s="86">
        <f>+AA244*Analisis!$J$6</f>
        <v>50</v>
      </c>
      <c r="AC244" s="100">
        <v>0</v>
      </c>
      <c r="AD244" s="85">
        <f t="shared" si="37"/>
        <v>0</v>
      </c>
      <c r="AE244" s="86">
        <f>+AC244*Analisis!$J$7</f>
        <v>0</v>
      </c>
      <c r="AF244" s="308">
        <f>+H244*0.0254*I244*0.0254*2*(1+[3]Analisis!$G$2)</f>
        <v>2.6005002828600006</v>
      </c>
      <c r="AG244" s="86">
        <f>+AF244*Analisis!$J$8</f>
        <v>277.07711347139298</v>
      </c>
      <c r="AH244" s="309">
        <f t="shared" si="42"/>
        <v>1115.6062831907439</v>
      </c>
      <c r="AI244" s="86">
        <f>+AH244/(1-Analisis!G249)</f>
        <v>1115.6062831907439</v>
      </c>
      <c r="AJ244" s="86">
        <f t="shared" si="38"/>
        <v>1199.5766485921977</v>
      </c>
      <c r="AK244" s="86">
        <f t="shared" si="43"/>
        <v>0</v>
      </c>
      <c r="AL244" s="310" t="e">
        <f>+VLOOKUP(B244,#REF!,2,FALSE)</f>
        <v>#REF!</v>
      </c>
      <c r="AM244" s="311" t="e">
        <f t="shared" si="40"/>
        <v>#REF!</v>
      </c>
      <c r="AN244" s="312" t="e">
        <f t="shared" si="39"/>
        <v>#REF!</v>
      </c>
    </row>
    <row r="245" spans="1:40" s="73" customFormat="1" x14ac:dyDescent="0.25">
      <c r="A245" s="303">
        <v>191</v>
      </c>
      <c r="B245" s="304" t="s">
        <v>1027</v>
      </c>
      <c r="D245" s="74">
        <f>IFERROR(VLOOKUP(B245,'REQ. PINTADO'!B:C,2,0),0)</f>
        <v>0</v>
      </c>
      <c r="E245" s="305">
        <f t="shared" si="29"/>
        <v>1199.5766485921977</v>
      </c>
      <c r="F245" s="103" t="s">
        <v>163</v>
      </c>
      <c r="G245" s="75" t="s">
        <v>147</v>
      </c>
      <c r="H245" s="90">
        <v>18.21</v>
      </c>
      <c r="I245" s="90">
        <v>88.54</v>
      </c>
      <c r="J245" s="76">
        <v>0.105</v>
      </c>
      <c r="K245" s="306">
        <v>48.08</v>
      </c>
      <c r="L245" s="78">
        <f t="shared" si="30"/>
        <v>27.692435161072499</v>
      </c>
      <c r="M245" s="58">
        <f>+VLOOKUP(F245,Material!$H$2:$M$17,6,FALSE)*H245*I245*(1+Material!$K$14)</f>
        <v>605.20558297471166</v>
      </c>
      <c r="N245" s="79" t="str">
        <f t="shared" si="41"/>
        <v>T5.0</v>
      </c>
      <c r="O245" s="80">
        <f>+VLOOKUP(N245,[3]Material!$A$3:$B$58,2,FALSE)</f>
        <v>5000</v>
      </c>
      <c r="P245" s="79" t="s">
        <v>42</v>
      </c>
      <c r="Q245" s="79" t="str">
        <f>+VLOOKUP(F245,[3]Material!$C$2:$E$12,2,FALSE)</f>
        <v>Cal 12</v>
      </c>
      <c r="R245" s="81">
        <f>+IF(P245="ACERO A36",VLOOKUP(Q245,'[3]Velocidades Std 1500 w'!$B$2:$F$15,5,FALSE),IF(P245="INOXIDABLE",VLOOKUP(Q245,'[3]Velocidades Std 1500 w'!$B$17:$F$28,5,FALSE),IF(P245="ALUMINIO",VLOOKUP(Q245,'[3]Velocidades Std 1500 w'!$B$30:$F$38,5,FALSE))))</f>
        <v>4.3859649122807014E-6</v>
      </c>
      <c r="S245" s="82">
        <f t="shared" si="31"/>
        <v>2.1929824561403508E-2</v>
      </c>
      <c r="T245" s="83">
        <f t="shared" si="32"/>
        <v>110.52631578947368</v>
      </c>
      <c r="U245" s="307">
        <v>7000</v>
      </c>
      <c r="V245" s="80">
        <f t="shared" si="44"/>
        <v>153.50877192982455</v>
      </c>
      <c r="W245" s="98">
        <v>35</v>
      </c>
      <c r="X245" s="84">
        <f>+IF(P245="ACERO A36",VLOOKUP(Q245,'[3]Tiempo Objeto'!$B$2:$C$12,2,FALSE),IF(P245="INOXIDABLE",VLOOKUP(Q245,'[3]Tiempo Objeto'!$B$14:$C$22,2,FALSE),IF(P245="ALUMINIO",VLOOKUP(Q245,'[3]Tiempo Objeto'!$B$24:$C$32,2,FALSE))))</f>
        <v>0.6133333333333334</v>
      </c>
      <c r="Y245" s="84">
        <f t="shared" si="35"/>
        <v>21.466666666666669</v>
      </c>
      <c r="Z245" s="80">
        <f t="shared" si="36"/>
        <v>29.814814814814817</v>
      </c>
      <c r="AA245" s="100">
        <v>2</v>
      </c>
      <c r="AB245" s="86">
        <f>+AA245*Analisis!$J$6</f>
        <v>50</v>
      </c>
      <c r="AC245" s="100">
        <v>0</v>
      </c>
      <c r="AD245" s="85">
        <f t="shared" si="37"/>
        <v>0</v>
      </c>
      <c r="AE245" s="86">
        <f>+AC245*Analisis!$J$7</f>
        <v>0</v>
      </c>
      <c r="AF245" s="308">
        <f>+H245*0.0254*I245*0.0254*2*(1+[3]Analisis!$G$2)</f>
        <v>2.6005002828600006</v>
      </c>
      <c r="AG245" s="86">
        <f>+AF245*Analisis!$J$8</f>
        <v>277.07711347139298</v>
      </c>
      <c r="AH245" s="309">
        <f t="shared" si="42"/>
        <v>1115.6062831907439</v>
      </c>
      <c r="AI245" s="86">
        <f>+AH245/(1-Analisis!G250)</f>
        <v>1115.6062831907439</v>
      </c>
      <c r="AJ245" s="86">
        <f t="shared" si="38"/>
        <v>1199.5766485921977</v>
      </c>
      <c r="AK245" s="86">
        <f t="shared" si="43"/>
        <v>0</v>
      </c>
      <c r="AL245" s="310" t="e">
        <f>+VLOOKUP(B245,#REF!,2,FALSE)</f>
        <v>#REF!</v>
      </c>
      <c r="AM245" s="311" t="e">
        <f t="shared" si="40"/>
        <v>#REF!</v>
      </c>
      <c r="AN245" s="312" t="e">
        <f t="shared" si="39"/>
        <v>#REF!</v>
      </c>
    </row>
    <row r="246" spans="1:40" s="73" customFormat="1" x14ac:dyDescent="0.25">
      <c r="A246" s="303">
        <v>192</v>
      </c>
      <c r="B246" s="304" t="s">
        <v>1028</v>
      </c>
      <c r="D246" s="74">
        <f>IFERROR(VLOOKUP(B246,'REQ. PINTADO'!B:C,2,0),0)</f>
        <v>0</v>
      </c>
      <c r="E246" s="305">
        <f t="shared" si="29"/>
        <v>251.05322577520084</v>
      </c>
      <c r="F246" s="103" t="s">
        <v>165</v>
      </c>
      <c r="G246" s="75" t="s">
        <v>147</v>
      </c>
      <c r="H246" s="90">
        <v>2.4700000000000002</v>
      </c>
      <c r="I246" s="90">
        <v>88.25</v>
      </c>
      <c r="J246" s="76">
        <v>0.105</v>
      </c>
      <c r="K246" s="306">
        <v>4.6399999999999997</v>
      </c>
      <c r="L246" s="78">
        <f t="shared" si="30"/>
        <v>42.955425983297424</v>
      </c>
      <c r="M246" s="58">
        <f>+VLOOKUP(F246,Material!$H$2:$M$17,6,FALSE)*H246*I246*(1+Material!$K$14)</f>
        <v>90.596898437500002</v>
      </c>
      <c r="N246" s="79" t="str">
        <f t="shared" si="41"/>
        <v>T5.0</v>
      </c>
      <c r="O246" s="80">
        <f>+VLOOKUP(N246,[3]Material!$A$3:$B$58,2,FALSE)</f>
        <v>5000</v>
      </c>
      <c r="P246" s="79" t="s">
        <v>42</v>
      </c>
      <c r="Q246" s="79" t="str">
        <f>+VLOOKUP(F246,[3]Material!$C$2:$E$12,2,FALSE)</f>
        <v>Cal 14</v>
      </c>
      <c r="R246" s="81">
        <f>+IF(P246="ACERO A36",VLOOKUP(Q246,'[3]Velocidades Std 1500 w'!$B$2:$F$15,5,FALSE),IF(P246="INOXIDABLE",VLOOKUP(Q246,'[3]Velocidades Std 1500 w'!$B$17:$F$28,5,FALSE),IF(P246="ALUMINIO",VLOOKUP(Q246,'[3]Velocidades Std 1500 w'!$B$30:$F$38,5,FALSE))))</f>
        <v>2.0080321285140564E-6</v>
      </c>
      <c r="S246" s="82">
        <f t="shared" si="31"/>
        <v>1.0040160642570283E-2</v>
      </c>
      <c r="T246" s="83">
        <f t="shared" si="32"/>
        <v>36.144578313253021</v>
      </c>
      <c r="U246" s="307">
        <v>5000</v>
      </c>
      <c r="V246" s="80">
        <f t="shared" si="44"/>
        <v>50.200803212851412</v>
      </c>
      <c r="W246" s="98">
        <v>12</v>
      </c>
      <c r="X246" s="84">
        <f>+IF(P246="ACERO A36",VLOOKUP(Q246,'[3]Tiempo Objeto'!$B$2:$C$12,2,FALSE),IF(P246="INOXIDABLE",VLOOKUP(Q246,'[3]Tiempo Objeto'!$B$14:$C$22,2,FALSE),IF(P246="ALUMINIO",VLOOKUP(Q246,'[3]Tiempo Objeto'!$B$24:$C$32,2,FALSE))))</f>
        <v>0.3133333333333333</v>
      </c>
      <c r="Y246" s="84">
        <f t="shared" si="35"/>
        <v>3.76</v>
      </c>
      <c r="Z246" s="80">
        <f t="shared" si="36"/>
        <v>5.2222222222222223</v>
      </c>
      <c r="AA246" s="100">
        <v>2</v>
      </c>
      <c r="AB246" s="86">
        <f>+AA246*Analisis!$J$6</f>
        <v>50</v>
      </c>
      <c r="AC246" s="100">
        <v>0</v>
      </c>
      <c r="AD246" s="85">
        <f t="shared" si="37"/>
        <v>0</v>
      </c>
      <c r="AE246" s="86">
        <f>+AC246*Analisis!$J$7</f>
        <v>0</v>
      </c>
      <c r="AF246" s="308">
        <f>+H246*0.0254*I246*0.0254*2*(1+[3]Analisis!$G$2)</f>
        <v>0.35157590974999997</v>
      </c>
      <c r="AG246" s="86">
        <f>+AF246*Analisis!$J$8</f>
        <v>37.459576098363101</v>
      </c>
      <c r="AH246" s="309">
        <f t="shared" si="42"/>
        <v>233.47949997093676</v>
      </c>
      <c r="AI246" s="86">
        <f>+AH246/(1-Analisis!G251)</f>
        <v>233.47949997093676</v>
      </c>
      <c r="AJ246" s="86">
        <f t="shared" si="38"/>
        <v>251.05322577520084</v>
      </c>
      <c r="AK246" s="86">
        <f t="shared" si="43"/>
        <v>0</v>
      </c>
      <c r="AL246" s="310" t="e">
        <f>+VLOOKUP(B246,#REF!,2,FALSE)</f>
        <v>#REF!</v>
      </c>
      <c r="AM246" s="311" t="e">
        <f t="shared" si="40"/>
        <v>#REF!</v>
      </c>
      <c r="AN246" s="312" t="e">
        <f t="shared" si="39"/>
        <v>#REF!</v>
      </c>
    </row>
    <row r="247" spans="1:40" s="73" customFormat="1" x14ac:dyDescent="0.25">
      <c r="A247" s="303"/>
      <c r="B247" s="304" t="s">
        <v>1029</v>
      </c>
      <c r="D247" s="74">
        <f>IFERROR(VLOOKUP(B247,'REQ. PINTADO'!B:C,2,0),0)</f>
        <v>0</v>
      </c>
      <c r="E247" s="305">
        <f t="shared" si="29"/>
        <v>293.97842946359691</v>
      </c>
      <c r="F247" s="103" t="s">
        <v>165</v>
      </c>
      <c r="G247" s="75" t="s">
        <v>147</v>
      </c>
      <c r="H247" s="90">
        <v>3.24</v>
      </c>
      <c r="I247" s="90">
        <v>88.25</v>
      </c>
      <c r="J247" s="76">
        <v>0.105</v>
      </c>
      <c r="K247" s="306">
        <v>6.09</v>
      </c>
      <c r="L247" s="78">
        <f t="shared" si="30"/>
        <v>42.930581896551743</v>
      </c>
      <c r="M247" s="58">
        <f>+VLOOKUP(F247,Material!$H$2:$M$17,6,FALSE)*H247*I247*(1+Material!$K$14)</f>
        <v>118.83965625000003</v>
      </c>
      <c r="N247" s="79" t="str">
        <f t="shared" si="41"/>
        <v>T5.0</v>
      </c>
      <c r="O247" s="80">
        <f>+VLOOKUP(N247,[3]Material!$A$3:$B$58,2,FALSE)</f>
        <v>5000</v>
      </c>
      <c r="P247" s="79" t="s">
        <v>42</v>
      </c>
      <c r="Q247" s="79" t="str">
        <f>+VLOOKUP(F247,[3]Material!$C$2:$E$12,2,FALSE)</f>
        <v>Cal 14</v>
      </c>
      <c r="R247" s="81">
        <f>+IF(P247="ACERO A36",VLOOKUP(Q247,'[3]Velocidades Std 1500 w'!$B$2:$F$15,5,FALSE),IF(P247="INOXIDABLE",VLOOKUP(Q247,'[3]Velocidades Std 1500 w'!$B$17:$F$28,5,FALSE),IF(P247="ALUMINIO",VLOOKUP(Q247,'[3]Velocidades Std 1500 w'!$B$30:$F$38,5,FALSE))))</f>
        <v>2.0080321285140564E-6</v>
      </c>
      <c r="S247" s="82">
        <f t="shared" si="31"/>
        <v>1.0040160642570283E-2</v>
      </c>
      <c r="T247" s="83">
        <f t="shared" si="32"/>
        <v>36.144578313253021</v>
      </c>
      <c r="U247" s="307">
        <v>5000</v>
      </c>
      <c r="V247" s="80">
        <f t="shared" si="44"/>
        <v>50.200803212851412</v>
      </c>
      <c r="W247" s="98">
        <v>12</v>
      </c>
      <c r="X247" s="84">
        <f>+IF(P247="ACERO A36",VLOOKUP(Q247,'[3]Tiempo Objeto'!$B$2:$C$12,2,FALSE),IF(P247="INOXIDABLE",VLOOKUP(Q247,'[3]Tiempo Objeto'!$B$14:$C$22,2,FALSE),IF(P247="ALUMINIO",VLOOKUP(Q247,'[3]Tiempo Objeto'!$B$24:$C$32,2,FALSE))))</f>
        <v>0.3133333333333333</v>
      </c>
      <c r="Y247" s="84">
        <f t="shared" si="35"/>
        <v>3.76</v>
      </c>
      <c r="Z247" s="80">
        <f t="shared" si="36"/>
        <v>5.2222222222222223</v>
      </c>
      <c r="AA247" s="100">
        <v>2</v>
      </c>
      <c r="AB247" s="86">
        <f>+AA247*Analisis!$J$6</f>
        <v>50</v>
      </c>
      <c r="AC247" s="100">
        <v>0</v>
      </c>
      <c r="AD247" s="85">
        <f t="shared" si="37"/>
        <v>0</v>
      </c>
      <c r="AE247" s="86">
        <f>+AC247*Analisis!$J$7</f>
        <v>0</v>
      </c>
      <c r="AF247" s="308">
        <f>+H247*0.0254*I247*0.0254*2*(1+[3]Analisis!$G$2)</f>
        <v>0.46117649699999996</v>
      </c>
      <c r="AG247" s="86">
        <f>+AF247*Analisis!$J$8</f>
        <v>49.137257716071439</v>
      </c>
      <c r="AH247" s="309">
        <f t="shared" si="42"/>
        <v>273.3999394011451</v>
      </c>
      <c r="AI247" s="86">
        <f>+AH247/(1-Analisis!G252)</f>
        <v>273.3999394011451</v>
      </c>
      <c r="AJ247" s="86">
        <f t="shared" si="38"/>
        <v>293.97842946359691</v>
      </c>
      <c r="AK247" s="86">
        <f t="shared" si="43"/>
        <v>0</v>
      </c>
      <c r="AL247" s="310" t="e">
        <f>+VLOOKUP(B247,#REF!,2,FALSE)</f>
        <v>#REF!</v>
      </c>
      <c r="AM247" s="311" t="e">
        <f t="shared" si="40"/>
        <v>#REF!</v>
      </c>
      <c r="AN247" s="312" t="e">
        <f t="shared" si="39"/>
        <v>#REF!</v>
      </c>
    </row>
    <row r="248" spans="1:40" s="73" customFormat="1" x14ac:dyDescent="0.25">
      <c r="A248" s="303"/>
      <c r="B248" s="304" t="s">
        <v>1024</v>
      </c>
      <c r="D248" s="74">
        <f>IFERROR(VLOOKUP(B248,'REQ. PINTADO'!B:C,2,0),0)</f>
        <v>0</v>
      </c>
      <c r="E248" s="305">
        <f t="shared" si="29"/>
        <v>924.90412035045222</v>
      </c>
      <c r="F248" s="103" t="s">
        <v>163</v>
      </c>
      <c r="G248" s="75" t="s">
        <v>147</v>
      </c>
      <c r="H248" s="90">
        <v>13.68</v>
      </c>
      <c r="I248" s="90">
        <v>88.54</v>
      </c>
      <c r="J248" s="76">
        <v>0.105</v>
      </c>
      <c r="K248" s="306">
        <v>36.1</v>
      </c>
      <c r="L248" s="78">
        <f t="shared" si="30"/>
        <v>27.707322276133507</v>
      </c>
      <c r="M248" s="58">
        <f>+VLOOKUP(F248,Material!$H$2:$M$17,6,FALSE)*H248*I248*(1+Material!$K$14)</f>
        <v>454.65197007655433</v>
      </c>
      <c r="N248" s="79" t="str">
        <f t="shared" si="41"/>
        <v>T5.0</v>
      </c>
      <c r="O248" s="80">
        <f>+VLOOKUP(N248,[3]Material!$A$3:$B$58,2,FALSE)</f>
        <v>5000</v>
      </c>
      <c r="P248" s="79" t="s">
        <v>42</v>
      </c>
      <c r="Q248" s="79" t="str">
        <f>+VLOOKUP(F248,[3]Material!$C$2:$E$12,2,FALSE)</f>
        <v>Cal 12</v>
      </c>
      <c r="R248" s="81">
        <f>+IF(P248="ACERO A36",VLOOKUP(Q248,'[3]Velocidades Std 1500 w'!$B$2:$F$15,5,FALSE),IF(P248="INOXIDABLE",VLOOKUP(Q248,'[3]Velocidades Std 1500 w'!$B$17:$F$28,5,FALSE),IF(P248="ALUMINIO",VLOOKUP(Q248,'[3]Velocidades Std 1500 w'!$B$30:$F$38,5,FALSE))))</f>
        <v>4.3859649122807014E-6</v>
      </c>
      <c r="S248" s="82">
        <f t="shared" si="31"/>
        <v>2.1929824561403508E-2</v>
      </c>
      <c r="T248" s="83">
        <f t="shared" si="32"/>
        <v>102.63157894736841</v>
      </c>
      <c r="U248" s="307">
        <v>6500</v>
      </c>
      <c r="V248" s="80">
        <f t="shared" si="44"/>
        <v>142.54385964912279</v>
      </c>
      <c r="W248" s="98">
        <v>35</v>
      </c>
      <c r="X248" s="84">
        <f>+IF(P248="ACERO A36",VLOOKUP(Q248,'[3]Tiempo Objeto'!$B$2:$C$12,2,FALSE),IF(P248="INOXIDABLE",VLOOKUP(Q248,'[3]Tiempo Objeto'!$B$14:$C$22,2,FALSE),IF(P248="ALUMINIO",VLOOKUP(Q248,'[3]Tiempo Objeto'!$B$24:$C$32,2,FALSE))))</f>
        <v>0.6133333333333334</v>
      </c>
      <c r="Y248" s="84">
        <f t="shared" si="35"/>
        <v>21.466666666666669</v>
      </c>
      <c r="Z248" s="80">
        <f t="shared" si="36"/>
        <v>29.814814814814817</v>
      </c>
      <c r="AA248" s="100">
        <v>1</v>
      </c>
      <c r="AB248" s="86">
        <f>+AA248*Analisis!$J$6</f>
        <v>25</v>
      </c>
      <c r="AC248" s="100">
        <v>0</v>
      </c>
      <c r="AD248" s="85">
        <f t="shared" si="37"/>
        <v>0</v>
      </c>
      <c r="AE248" s="86">
        <f>+AC248*Analisis!$J$7</f>
        <v>0</v>
      </c>
      <c r="AF248" s="308">
        <f>+H248*0.0254*I248*0.0254*2*(1+[3]Analisis!$G$2)</f>
        <v>1.95358835088</v>
      </c>
      <c r="AG248" s="86">
        <f>+AF248*Analisis!$J$8</f>
        <v>208.15018738542864</v>
      </c>
      <c r="AH248" s="309">
        <f t="shared" si="42"/>
        <v>860.16083192592055</v>
      </c>
      <c r="AI248" s="86">
        <f>+AH248/(1-Analisis!G253)</f>
        <v>860.16083192592055</v>
      </c>
      <c r="AJ248" s="86">
        <f t="shared" si="38"/>
        <v>924.90412035045222</v>
      </c>
      <c r="AK248" s="86">
        <f t="shared" si="43"/>
        <v>0</v>
      </c>
      <c r="AL248" s="310" t="e">
        <f>+VLOOKUP(B248,#REF!,2,FALSE)</f>
        <v>#REF!</v>
      </c>
      <c r="AM248" s="311" t="e">
        <f t="shared" si="40"/>
        <v>#REF!</v>
      </c>
      <c r="AN248" s="312" t="e">
        <f t="shared" si="39"/>
        <v>#REF!</v>
      </c>
    </row>
    <row r="249" spans="1:40" s="73" customFormat="1" x14ac:dyDescent="0.25">
      <c r="A249" s="303">
        <v>193</v>
      </c>
      <c r="B249" s="304" t="s">
        <v>1025</v>
      </c>
      <c r="D249" s="74">
        <f>IFERROR(VLOOKUP(B249,'REQ. PINTADO'!B:C,2,0),0)</f>
        <v>0</v>
      </c>
      <c r="E249" s="305">
        <f t="shared" si="29"/>
        <v>906.58472568697164</v>
      </c>
      <c r="F249" s="103" t="s">
        <v>163</v>
      </c>
      <c r="G249" s="75" t="s">
        <v>147</v>
      </c>
      <c r="H249" s="90">
        <v>13.68</v>
      </c>
      <c r="I249" s="90">
        <v>88.54</v>
      </c>
      <c r="J249" s="76">
        <v>0.105</v>
      </c>
      <c r="K249" s="306">
        <v>36.1</v>
      </c>
      <c r="L249" s="78">
        <f t="shared" si="30"/>
        <v>27.707322276133507</v>
      </c>
      <c r="M249" s="58">
        <f>+VLOOKUP(F249,Material!$H$2:$M$17,6,FALSE)*H249*I249*(1+Material!$K$14)</f>
        <v>454.65197007655433</v>
      </c>
      <c r="N249" s="79" t="str">
        <f t="shared" si="41"/>
        <v>T5.0</v>
      </c>
      <c r="O249" s="80">
        <f>+VLOOKUP(N249,[3]Material!$A$3:$B$58,2,FALSE)</f>
        <v>5000</v>
      </c>
      <c r="P249" s="79" t="s">
        <v>42</v>
      </c>
      <c r="Q249" s="79" t="str">
        <f>+VLOOKUP(F249,[3]Material!$C$2:$E$12,2,FALSE)</f>
        <v>Cal 12</v>
      </c>
      <c r="R249" s="81">
        <f>+IF(P249="ACERO A36",VLOOKUP(Q249,'[3]Velocidades Std 1500 w'!$B$2:$F$15,5,FALSE),IF(P249="INOXIDABLE",VLOOKUP(Q249,'[3]Velocidades Std 1500 w'!$B$17:$F$28,5,FALSE),IF(P249="ALUMINIO",VLOOKUP(Q249,'[3]Velocidades Std 1500 w'!$B$30:$F$38,5,FALSE))))</f>
        <v>4.3859649122807014E-6</v>
      </c>
      <c r="S249" s="82">
        <f t="shared" si="31"/>
        <v>2.1929824561403508E-2</v>
      </c>
      <c r="T249" s="83">
        <f t="shared" si="32"/>
        <v>102.63157894736841</v>
      </c>
      <c r="U249" s="307">
        <v>6500</v>
      </c>
      <c r="V249" s="80">
        <f t="shared" si="44"/>
        <v>142.54385964912279</v>
      </c>
      <c r="W249" s="98">
        <v>15</v>
      </c>
      <c r="X249" s="84">
        <f>+IF(P249="ACERO A36",VLOOKUP(Q249,'[3]Tiempo Objeto'!$B$2:$C$12,2,FALSE),IF(P249="INOXIDABLE",VLOOKUP(Q249,'[3]Tiempo Objeto'!$B$14:$C$22,2,FALSE),IF(P249="ALUMINIO",VLOOKUP(Q249,'[3]Tiempo Objeto'!$B$24:$C$32,2,FALSE))))</f>
        <v>0.6133333333333334</v>
      </c>
      <c r="Y249" s="84">
        <f t="shared" si="35"/>
        <v>9.2000000000000011</v>
      </c>
      <c r="Z249" s="80">
        <f t="shared" si="36"/>
        <v>12.77777777777778</v>
      </c>
      <c r="AA249" s="100">
        <v>1</v>
      </c>
      <c r="AB249" s="86">
        <f>+AA249*Analisis!$J$6</f>
        <v>25</v>
      </c>
      <c r="AC249" s="100">
        <v>0</v>
      </c>
      <c r="AD249" s="85">
        <f t="shared" si="37"/>
        <v>0</v>
      </c>
      <c r="AE249" s="86">
        <f>+AC249*Analisis!$J$7</f>
        <v>0</v>
      </c>
      <c r="AF249" s="308">
        <f>+H249*0.0254*I249*0.0254*2*(1+[3]Analisis!$G$2)</f>
        <v>1.95358835088</v>
      </c>
      <c r="AG249" s="86">
        <f>+AF249*Analisis!$J$8</f>
        <v>208.15018738542864</v>
      </c>
      <c r="AH249" s="309">
        <f t="shared" si="42"/>
        <v>843.12379488888359</v>
      </c>
      <c r="AI249" s="86">
        <f>+AH249/(1-Analisis!G254)</f>
        <v>843.12379488888359</v>
      </c>
      <c r="AJ249" s="86">
        <f t="shared" si="38"/>
        <v>906.58472568697164</v>
      </c>
      <c r="AK249" s="86">
        <f t="shared" si="43"/>
        <v>0</v>
      </c>
      <c r="AL249" s="310" t="e">
        <f>+VLOOKUP(B249,#REF!,2,FALSE)</f>
        <v>#REF!</v>
      </c>
      <c r="AM249" s="311" t="e">
        <f t="shared" si="40"/>
        <v>#REF!</v>
      </c>
      <c r="AN249" s="312" t="e">
        <f t="shared" si="39"/>
        <v>#REF!</v>
      </c>
    </row>
    <row r="250" spans="1:40" s="73" customFormat="1" x14ac:dyDescent="0.25">
      <c r="A250" s="303"/>
      <c r="B250" s="304" t="s">
        <v>1026</v>
      </c>
      <c r="D250" s="74">
        <f>IFERROR(VLOOKUP(B250,'REQ. PINTADO'!B:C,2,0),0)</f>
        <v>0</v>
      </c>
      <c r="E250" s="305">
        <f t="shared" si="29"/>
        <v>1142.5853052397904</v>
      </c>
      <c r="F250" s="103" t="s">
        <v>163</v>
      </c>
      <c r="G250" s="75" t="s">
        <v>147</v>
      </c>
      <c r="H250" s="90">
        <v>18.21</v>
      </c>
      <c r="I250" s="90">
        <v>88.54</v>
      </c>
      <c r="J250" s="76">
        <v>0.105</v>
      </c>
      <c r="K250" s="306">
        <v>48.08</v>
      </c>
      <c r="L250" s="78">
        <f t="shared" si="30"/>
        <v>27.692435161072499</v>
      </c>
      <c r="M250" s="58">
        <f>+VLOOKUP(F250,Material!$H$2:$M$17,6,FALSE)*H250*I250*(1+Material!$K$14)</f>
        <v>605.20558297471166</v>
      </c>
      <c r="N250" s="79" t="str">
        <f t="shared" si="41"/>
        <v>T5.0</v>
      </c>
      <c r="O250" s="80">
        <f>+VLOOKUP(N250,[3]Material!$A$3:$B$58,2,FALSE)</f>
        <v>5000</v>
      </c>
      <c r="P250" s="79" t="s">
        <v>42</v>
      </c>
      <c r="Q250" s="79" t="str">
        <f>+VLOOKUP(F250,[3]Material!$C$2:$E$12,2,FALSE)</f>
        <v>Cal 12</v>
      </c>
      <c r="R250" s="81">
        <f>+IF(P250="ACERO A36",VLOOKUP(Q250,'[3]Velocidades Std 1500 w'!$B$2:$F$15,5,FALSE),IF(P250="INOXIDABLE",VLOOKUP(Q250,'[3]Velocidades Std 1500 w'!$B$17:$F$28,5,FALSE),IF(P250="ALUMINIO",VLOOKUP(Q250,'[3]Velocidades Std 1500 w'!$B$30:$F$38,5,FALSE))))</f>
        <v>4.3859649122807014E-6</v>
      </c>
      <c r="S250" s="82">
        <f t="shared" si="31"/>
        <v>2.1929824561403508E-2</v>
      </c>
      <c r="T250" s="83">
        <f t="shared" si="32"/>
        <v>102.63157894736841</v>
      </c>
      <c r="U250" s="307">
        <v>6500</v>
      </c>
      <c r="V250" s="80">
        <f t="shared" si="44"/>
        <v>142.54385964912279</v>
      </c>
      <c r="W250" s="98">
        <v>15</v>
      </c>
      <c r="X250" s="84">
        <f>+IF(P250="ACERO A36",VLOOKUP(Q250,'[3]Tiempo Objeto'!$B$2:$C$12,2,FALSE),IF(P250="INOXIDABLE",VLOOKUP(Q250,'[3]Tiempo Objeto'!$B$14:$C$22,2,FALSE),IF(P250="ALUMINIO",VLOOKUP(Q250,'[3]Tiempo Objeto'!$B$24:$C$32,2,FALSE))))</f>
        <v>0.6133333333333334</v>
      </c>
      <c r="Y250" s="84">
        <f t="shared" si="35"/>
        <v>9.2000000000000011</v>
      </c>
      <c r="Z250" s="80">
        <f t="shared" si="36"/>
        <v>12.77777777777778</v>
      </c>
      <c r="AA250" s="100">
        <v>1</v>
      </c>
      <c r="AB250" s="86">
        <f>+AA250*Analisis!$J$6</f>
        <v>25</v>
      </c>
      <c r="AC250" s="100">
        <v>0</v>
      </c>
      <c r="AD250" s="85">
        <f t="shared" si="37"/>
        <v>0</v>
      </c>
      <c r="AE250" s="86">
        <f>+AC250*Analisis!$J$7</f>
        <v>0</v>
      </c>
      <c r="AF250" s="308">
        <f>+H250*0.0254*I250*0.0254*2*(1+[3]Analisis!$G$2)</f>
        <v>2.6005002828600006</v>
      </c>
      <c r="AG250" s="86">
        <f>+AF250*Analisis!$J$8</f>
        <v>277.07711347139298</v>
      </c>
      <c r="AH250" s="309">
        <f t="shared" si="42"/>
        <v>1062.6043338730051</v>
      </c>
      <c r="AI250" s="86">
        <f>+AH250/(1-Analisis!G255)</f>
        <v>1062.6043338730051</v>
      </c>
      <c r="AJ250" s="86">
        <f t="shared" si="38"/>
        <v>1142.5853052397904</v>
      </c>
      <c r="AK250" s="86">
        <f t="shared" si="43"/>
        <v>0</v>
      </c>
      <c r="AL250" s="310" t="e">
        <f>+VLOOKUP(B250,#REF!,2,FALSE)</f>
        <v>#REF!</v>
      </c>
      <c r="AM250" s="311" t="e">
        <f t="shared" si="40"/>
        <v>#REF!</v>
      </c>
      <c r="AN250" s="312" t="e">
        <f t="shared" si="39"/>
        <v>#REF!</v>
      </c>
    </row>
    <row r="251" spans="1:40" s="73" customFormat="1" x14ac:dyDescent="0.25">
      <c r="A251" s="303"/>
      <c r="B251" s="304" t="s">
        <v>1027</v>
      </c>
      <c r="D251" s="74">
        <f>IFERROR(VLOOKUP(B251,'REQ. PINTADO'!B:C,2,0),0)</f>
        <v>0</v>
      </c>
      <c r="E251" s="305">
        <f t="shared" si="29"/>
        <v>1142.5853052397904</v>
      </c>
      <c r="F251" s="103" t="s">
        <v>163</v>
      </c>
      <c r="G251" s="75" t="s">
        <v>147</v>
      </c>
      <c r="H251" s="90">
        <v>18.21</v>
      </c>
      <c r="I251" s="90">
        <v>88.54</v>
      </c>
      <c r="J251" s="76">
        <v>0.105</v>
      </c>
      <c r="K251" s="306">
        <v>48.08</v>
      </c>
      <c r="L251" s="78">
        <f t="shared" si="30"/>
        <v>27.692435161072499</v>
      </c>
      <c r="M251" s="58">
        <f>+VLOOKUP(F251,Material!$H$2:$M$17,6,FALSE)*H251*I251*(1+Material!$K$14)</f>
        <v>605.20558297471166</v>
      </c>
      <c r="N251" s="79" t="str">
        <f t="shared" si="41"/>
        <v>T5.0</v>
      </c>
      <c r="O251" s="80">
        <f>+VLOOKUP(N251,[3]Material!$A$3:$B$58,2,FALSE)</f>
        <v>5000</v>
      </c>
      <c r="P251" s="79" t="s">
        <v>42</v>
      </c>
      <c r="Q251" s="79" t="str">
        <f>+VLOOKUP(F251,[3]Material!$C$2:$E$12,2,FALSE)</f>
        <v>Cal 12</v>
      </c>
      <c r="R251" s="81">
        <f>+IF(P251="ACERO A36",VLOOKUP(Q251,'[3]Velocidades Std 1500 w'!$B$2:$F$15,5,FALSE),IF(P251="INOXIDABLE",VLOOKUP(Q251,'[3]Velocidades Std 1500 w'!$B$17:$F$28,5,FALSE),IF(P251="ALUMINIO",VLOOKUP(Q251,'[3]Velocidades Std 1500 w'!$B$30:$F$38,5,FALSE))))</f>
        <v>4.3859649122807014E-6</v>
      </c>
      <c r="S251" s="82">
        <f t="shared" si="31"/>
        <v>2.1929824561403508E-2</v>
      </c>
      <c r="T251" s="83">
        <f t="shared" si="32"/>
        <v>102.63157894736841</v>
      </c>
      <c r="U251" s="307">
        <v>6500</v>
      </c>
      <c r="V251" s="80">
        <f t="shared" si="44"/>
        <v>142.54385964912279</v>
      </c>
      <c r="W251" s="98">
        <v>15</v>
      </c>
      <c r="X251" s="84">
        <f>+IF(P251="ACERO A36",VLOOKUP(Q251,'[3]Tiempo Objeto'!$B$2:$C$12,2,FALSE),IF(P251="INOXIDABLE",VLOOKUP(Q251,'[3]Tiempo Objeto'!$B$14:$C$22,2,FALSE),IF(P251="ALUMINIO",VLOOKUP(Q251,'[3]Tiempo Objeto'!$B$24:$C$32,2,FALSE))))</f>
        <v>0.6133333333333334</v>
      </c>
      <c r="Y251" s="84">
        <f t="shared" si="35"/>
        <v>9.2000000000000011</v>
      </c>
      <c r="Z251" s="80">
        <f t="shared" si="36"/>
        <v>12.77777777777778</v>
      </c>
      <c r="AA251" s="100">
        <v>1</v>
      </c>
      <c r="AB251" s="86">
        <f>+AA251*Analisis!$J$6</f>
        <v>25</v>
      </c>
      <c r="AC251" s="100">
        <v>0</v>
      </c>
      <c r="AD251" s="85">
        <f t="shared" si="37"/>
        <v>0</v>
      </c>
      <c r="AE251" s="86">
        <f>+AC251*Analisis!$J$7</f>
        <v>0</v>
      </c>
      <c r="AF251" s="308">
        <f>+H251*0.0254*I251*0.0254*2*(1+[3]Analisis!$G$2)</f>
        <v>2.6005002828600006</v>
      </c>
      <c r="AG251" s="86">
        <f>+AF251*Analisis!$J$8</f>
        <v>277.07711347139298</v>
      </c>
      <c r="AH251" s="309">
        <f t="shared" si="42"/>
        <v>1062.6043338730051</v>
      </c>
      <c r="AI251" s="86">
        <f>+AH251/(1-Analisis!G256)</f>
        <v>1062.6043338730051</v>
      </c>
      <c r="AJ251" s="86">
        <f t="shared" si="38"/>
        <v>1142.5853052397904</v>
      </c>
      <c r="AK251" s="86">
        <f t="shared" si="43"/>
        <v>0</v>
      </c>
      <c r="AL251" s="310" t="e">
        <f>+VLOOKUP(B251,#REF!,2,FALSE)</f>
        <v>#REF!</v>
      </c>
      <c r="AM251" s="311" t="e">
        <f t="shared" si="40"/>
        <v>#REF!</v>
      </c>
      <c r="AN251" s="312" t="e">
        <f t="shared" si="39"/>
        <v>#REF!</v>
      </c>
    </row>
    <row r="252" spans="1:40" s="73" customFormat="1" x14ac:dyDescent="0.25">
      <c r="A252" s="303"/>
      <c r="B252" s="304" t="s">
        <v>1028</v>
      </c>
      <c r="D252" s="74">
        <f>IFERROR(VLOOKUP(B252,'REQ. PINTADO'!B:C,2,0),0)</f>
        <v>0</v>
      </c>
      <c r="E252" s="305">
        <f t="shared" si="29"/>
        <v>225.59093137114513</v>
      </c>
      <c r="F252" s="103" t="s">
        <v>165</v>
      </c>
      <c r="G252" s="75" t="s">
        <v>147</v>
      </c>
      <c r="H252" s="90">
        <v>2.4700000000000002</v>
      </c>
      <c r="I252" s="90">
        <v>88.26</v>
      </c>
      <c r="J252" s="76">
        <v>0.105</v>
      </c>
      <c r="K252" s="306">
        <v>4.6399999999999997</v>
      </c>
      <c r="L252" s="78">
        <f t="shared" si="30"/>
        <v>42.960293453663809</v>
      </c>
      <c r="M252" s="58">
        <f>+VLOOKUP(F252,Material!$H$2:$M$17,6,FALSE)*H252*I252*(1+Material!$K$14)</f>
        <v>90.607164375000025</v>
      </c>
      <c r="N252" s="79" t="str">
        <f t="shared" si="41"/>
        <v>T5.0</v>
      </c>
      <c r="O252" s="80">
        <f>+VLOOKUP(N252,[3]Material!$A$3:$B$58,2,FALSE)</f>
        <v>5000</v>
      </c>
      <c r="P252" s="79" t="s">
        <v>42</v>
      </c>
      <c r="Q252" s="79" t="str">
        <f>+VLOOKUP(F252,[3]Material!$C$2:$E$12,2,FALSE)</f>
        <v>Cal 14</v>
      </c>
      <c r="R252" s="81">
        <f>+IF(P252="ACERO A36",VLOOKUP(Q252,'[3]Velocidades Std 1500 w'!$B$2:$F$15,5,FALSE),IF(P252="INOXIDABLE",VLOOKUP(Q252,'[3]Velocidades Std 1500 w'!$B$17:$F$28,5,FALSE),IF(P252="ALUMINIO",VLOOKUP(Q252,'[3]Velocidades Std 1500 w'!$B$30:$F$38,5,FALSE))))</f>
        <v>2.0080321285140564E-6</v>
      </c>
      <c r="S252" s="82">
        <f t="shared" si="31"/>
        <v>1.0040160642570283E-2</v>
      </c>
      <c r="T252" s="83">
        <f t="shared" si="32"/>
        <v>36.144578313253021</v>
      </c>
      <c r="U252" s="307">
        <v>5000</v>
      </c>
      <c r="V252" s="80">
        <f t="shared" si="44"/>
        <v>50.200803212851412</v>
      </c>
      <c r="W252" s="98">
        <v>15</v>
      </c>
      <c r="X252" s="84">
        <f>+IF(P252="ACERO A36",VLOOKUP(Q252,'[3]Tiempo Objeto'!$B$2:$C$12,2,FALSE),IF(P252="INOXIDABLE",VLOOKUP(Q252,'[3]Tiempo Objeto'!$B$14:$C$22,2,FALSE),IF(P252="ALUMINIO",VLOOKUP(Q252,'[3]Tiempo Objeto'!$B$24:$C$32,2,FALSE))))</f>
        <v>0.3133333333333333</v>
      </c>
      <c r="Y252" s="84">
        <f t="shared" si="35"/>
        <v>4.6999999999999993</v>
      </c>
      <c r="Z252" s="80">
        <f t="shared" si="36"/>
        <v>6.5277777777777768</v>
      </c>
      <c r="AA252" s="100">
        <v>1</v>
      </c>
      <c r="AB252" s="86">
        <f>+AA252*Analisis!$J$6</f>
        <v>25</v>
      </c>
      <c r="AC252" s="100">
        <v>0</v>
      </c>
      <c r="AD252" s="85">
        <f t="shared" si="37"/>
        <v>0</v>
      </c>
      <c r="AE252" s="86">
        <f>+AC252*Analisis!$J$7</f>
        <v>0</v>
      </c>
      <c r="AF252" s="308">
        <f>+H252*0.0254*I252*0.0254*2*(1+[3]Analisis!$G$2)</f>
        <v>0.35161574838000004</v>
      </c>
      <c r="AG252" s="86">
        <f>+AF252*Analisis!$J$8</f>
        <v>37.463820809535733</v>
      </c>
      <c r="AH252" s="309">
        <f t="shared" si="42"/>
        <v>209.79956617516495</v>
      </c>
      <c r="AI252" s="86">
        <f>+AH252/(1-Analisis!G257)</f>
        <v>209.79956617516495</v>
      </c>
      <c r="AJ252" s="86">
        <f t="shared" si="38"/>
        <v>225.59093137114513</v>
      </c>
      <c r="AK252" s="86">
        <f t="shared" si="43"/>
        <v>0</v>
      </c>
      <c r="AL252" s="310" t="e">
        <f>+VLOOKUP(B252,#REF!,2,FALSE)</f>
        <v>#REF!</v>
      </c>
      <c r="AM252" s="311" t="e">
        <f t="shared" si="40"/>
        <v>#REF!</v>
      </c>
      <c r="AN252" s="312" t="e">
        <f t="shared" si="39"/>
        <v>#REF!</v>
      </c>
    </row>
    <row r="253" spans="1:40" s="73" customFormat="1" x14ac:dyDescent="0.25">
      <c r="A253" s="303">
        <v>194</v>
      </c>
      <c r="B253" s="304" t="s">
        <v>1029</v>
      </c>
      <c r="D253" s="74">
        <f>IFERROR(VLOOKUP(B253,'REQ. PINTADO'!B:C,2,0),0)</f>
        <v>0</v>
      </c>
      <c r="E253" s="305">
        <f t="shared" si="29"/>
        <v>267.58511698660715</v>
      </c>
      <c r="F253" s="103" t="s">
        <v>165</v>
      </c>
      <c r="G253" s="75" t="s">
        <v>147</v>
      </c>
      <c r="H253" s="90">
        <v>3.24</v>
      </c>
      <c r="I253" s="90">
        <v>88.26</v>
      </c>
      <c r="J253" s="76">
        <v>0.105</v>
      </c>
      <c r="K253" s="306">
        <v>6.09</v>
      </c>
      <c r="L253" s="78">
        <f t="shared" si="30"/>
        <v>42.935446551724162</v>
      </c>
      <c r="M253" s="58">
        <f>+VLOOKUP(F253,Material!$H$2:$M$17,6,FALSE)*H253*I253*(1+Material!$K$14)</f>
        <v>118.85312250000004</v>
      </c>
      <c r="N253" s="79" t="str">
        <f t="shared" si="41"/>
        <v>T5.0</v>
      </c>
      <c r="O253" s="80">
        <f>+VLOOKUP(N253,[3]Material!$A$3:$B$58,2,FALSE)</f>
        <v>5000</v>
      </c>
      <c r="P253" s="79" t="s">
        <v>42</v>
      </c>
      <c r="Q253" s="79" t="str">
        <f>+VLOOKUP(F253,[3]Material!$C$2:$E$12,2,FALSE)</f>
        <v>Cal 14</v>
      </c>
      <c r="R253" s="81">
        <f>+IF(P253="ACERO A36",VLOOKUP(Q253,'[3]Velocidades Std 1500 w'!$B$2:$F$15,5,FALSE),IF(P253="INOXIDABLE",VLOOKUP(Q253,'[3]Velocidades Std 1500 w'!$B$17:$F$28,5,FALSE),IF(P253="ALUMINIO",VLOOKUP(Q253,'[3]Velocidades Std 1500 w'!$B$30:$F$38,5,FALSE))))</f>
        <v>2.0080321285140564E-6</v>
      </c>
      <c r="S253" s="82">
        <f t="shared" si="31"/>
        <v>1.0040160642570283E-2</v>
      </c>
      <c r="T253" s="83">
        <f t="shared" si="32"/>
        <v>36.144578313253021</v>
      </c>
      <c r="U253" s="307">
        <v>5000</v>
      </c>
      <c r="V253" s="80">
        <f t="shared" si="44"/>
        <v>50.200803212851412</v>
      </c>
      <c r="W253" s="98">
        <v>13</v>
      </c>
      <c r="X253" s="84">
        <f>+IF(P253="ACERO A36",VLOOKUP(Q253,'[3]Tiempo Objeto'!$B$2:$C$12,2,FALSE),IF(P253="INOXIDABLE",VLOOKUP(Q253,'[3]Tiempo Objeto'!$B$14:$C$22,2,FALSE),IF(P253="ALUMINIO",VLOOKUP(Q253,'[3]Tiempo Objeto'!$B$24:$C$32,2,FALSE))))</f>
        <v>0.3133333333333333</v>
      </c>
      <c r="Y253" s="84">
        <f t="shared" si="35"/>
        <v>4.0733333333333333</v>
      </c>
      <c r="Z253" s="80">
        <f t="shared" si="36"/>
        <v>5.6574074074074074</v>
      </c>
      <c r="AA253" s="100">
        <v>1</v>
      </c>
      <c r="AB253" s="86">
        <f>+AA253*Analisis!$J$6</f>
        <v>25</v>
      </c>
      <c r="AC253" s="100">
        <v>0</v>
      </c>
      <c r="AD253" s="85">
        <f t="shared" si="37"/>
        <v>0</v>
      </c>
      <c r="AE253" s="86">
        <f>+AC253*Analisis!$J$7</f>
        <v>0</v>
      </c>
      <c r="AF253" s="308">
        <f>+H253*0.0254*I253*0.0254*2*(1+[3]Analisis!$G$2)</f>
        <v>0.46122875496000004</v>
      </c>
      <c r="AG253" s="86">
        <f>+AF253*Analisis!$J$8</f>
        <v>49.142825677285735</v>
      </c>
      <c r="AH253" s="309">
        <f t="shared" si="42"/>
        <v>248.85415879754461</v>
      </c>
      <c r="AI253" s="86">
        <f>+AH253/(1-Analisis!G258)</f>
        <v>248.85415879754461</v>
      </c>
      <c r="AJ253" s="86">
        <f t="shared" si="38"/>
        <v>267.58511698660715</v>
      </c>
      <c r="AK253" s="86">
        <f t="shared" si="43"/>
        <v>0</v>
      </c>
      <c r="AL253" s="310" t="e">
        <f>+VLOOKUP(B253,#REF!,2,FALSE)</f>
        <v>#REF!</v>
      </c>
      <c r="AM253" s="311" t="e">
        <f t="shared" si="40"/>
        <v>#REF!</v>
      </c>
      <c r="AN253" s="312" t="e">
        <f t="shared" si="39"/>
        <v>#REF!</v>
      </c>
    </row>
    <row r="254" spans="1:40" s="73" customFormat="1" x14ac:dyDescent="0.25">
      <c r="A254" s="303">
        <v>195</v>
      </c>
      <c r="B254" s="304" t="s">
        <v>1033</v>
      </c>
      <c r="D254" s="74">
        <f>IFERROR(VLOOKUP(B254,'REQ. PINTADO'!B:C,2,0),0)</f>
        <v>0</v>
      </c>
      <c r="E254" s="305">
        <f t="shared" si="29"/>
        <v>69.266071478384774</v>
      </c>
      <c r="F254" s="103" t="s">
        <v>163</v>
      </c>
      <c r="G254" s="75" t="s">
        <v>147</v>
      </c>
      <c r="H254" s="90">
        <v>4.17</v>
      </c>
      <c r="I254" s="90">
        <v>6.5</v>
      </c>
      <c r="J254" s="76">
        <v>0.105</v>
      </c>
      <c r="K254" s="306">
        <v>0.81</v>
      </c>
      <c r="L254" s="78">
        <f t="shared" si="30"/>
        <v>27.633795276857835</v>
      </c>
      <c r="M254" s="58">
        <f>+VLOOKUP(F254,Material!$H$2:$M$17,6,FALSE)*H254*I254*(1+Material!$K$14)</f>
        <v>10.174260988297657</v>
      </c>
      <c r="N254" s="79" t="str">
        <f t="shared" si="41"/>
        <v>T5.0</v>
      </c>
      <c r="O254" s="80">
        <f>+VLOOKUP(N254,[3]Material!$A$3:$B$58,2,FALSE)</f>
        <v>5000</v>
      </c>
      <c r="P254" s="79" t="s">
        <v>42</v>
      </c>
      <c r="Q254" s="79" t="str">
        <f>+VLOOKUP(F254,[3]Material!$C$2:$E$12,2,FALSE)</f>
        <v>Cal 12</v>
      </c>
      <c r="R254" s="81">
        <f>+IF(P254="ACERO A36",VLOOKUP(Q254,'[3]Velocidades Std 1500 w'!$B$2:$F$15,5,FALSE),IF(P254="INOXIDABLE",VLOOKUP(Q254,'[3]Velocidades Std 1500 w'!$B$17:$F$28,5,FALSE),IF(P254="ALUMINIO",VLOOKUP(Q254,'[3]Velocidades Std 1500 w'!$B$30:$F$38,5,FALSE))))</f>
        <v>4.3859649122807014E-6</v>
      </c>
      <c r="S254" s="82">
        <f t="shared" si="31"/>
        <v>2.1929824561403508E-2</v>
      </c>
      <c r="T254" s="83">
        <f t="shared" si="32"/>
        <v>13.407991578947367</v>
      </c>
      <c r="U254" s="307">
        <f t="shared" ref="U254:U255" si="45">(+I254*2+H254*2+W254*1.5)*25.4*1.05</f>
        <v>849.17280000000005</v>
      </c>
      <c r="V254" s="80">
        <f t="shared" si="44"/>
        <v>18.62221052631579</v>
      </c>
      <c r="W254" s="98">
        <v>7</v>
      </c>
      <c r="X254" s="84">
        <f>+IF(P254="ACERO A36",VLOOKUP(Q254,'[3]Tiempo Objeto'!$B$2:$C$12,2,FALSE),IF(P254="INOXIDABLE",VLOOKUP(Q254,'[3]Tiempo Objeto'!$B$14:$C$22,2,FALSE),IF(P254="ALUMINIO",VLOOKUP(Q254,'[3]Tiempo Objeto'!$B$24:$C$32,2,FALSE))))</f>
        <v>0.6133333333333334</v>
      </c>
      <c r="Y254" s="84">
        <f t="shared" si="35"/>
        <v>4.2933333333333339</v>
      </c>
      <c r="Z254" s="80">
        <f t="shared" si="36"/>
        <v>5.9629629629629637</v>
      </c>
      <c r="AA254" s="100">
        <v>1</v>
      </c>
      <c r="AB254" s="86">
        <f>+AA254*Analisis!$J$6</f>
        <v>25</v>
      </c>
      <c r="AC254" s="100">
        <v>0</v>
      </c>
      <c r="AD254" s="85">
        <f t="shared" si="37"/>
        <v>0</v>
      </c>
      <c r="AE254" s="86">
        <f>+AC254*Analisis!$J$7</f>
        <v>0</v>
      </c>
      <c r="AF254" s="308">
        <f>+H254*0.0254*I254*0.0254*2*(1+[3]Analisis!$G$2)</f>
        <v>4.3717654499999994E-2</v>
      </c>
      <c r="AG254" s="86">
        <f>+AF254*Analisis!$J$8</f>
        <v>4.6580119973214291</v>
      </c>
      <c r="AH254" s="309">
        <f t="shared" si="42"/>
        <v>64.417446474897829</v>
      </c>
      <c r="AI254" s="86">
        <f>+AH254/(1-Analisis!G259)</f>
        <v>64.417446474897829</v>
      </c>
      <c r="AJ254" s="86">
        <f t="shared" si="38"/>
        <v>69.266071478384774</v>
      </c>
      <c r="AK254" s="86">
        <f t="shared" si="43"/>
        <v>0</v>
      </c>
      <c r="AL254" s="310" t="e">
        <f>+VLOOKUP(B254,#REF!,2,FALSE)</f>
        <v>#REF!</v>
      </c>
      <c r="AM254" s="311" t="e">
        <f t="shared" si="40"/>
        <v>#REF!</v>
      </c>
      <c r="AN254" s="312" t="e">
        <f t="shared" si="39"/>
        <v>#REF!</v>
      </c>
    </row>
    <row r="255" spans="1:40" s="73" customFormat="1" x14ac:dyDescent="0.25">
      <c r="A255" s="303"/>
      <c r="B255" s="304" t="s">
        <v>1034</v>
      </c>
      <c r="D255" s="74">
        <f>IFERROR(VLOOKUP(B255,'REQ. PINTADO'!B:C,2,0),0)</f>
        <v>0</v>
      </c>
      <c r="E255" s="305">
        <f t="shared" si="29"/>
        <v>85.967482738412045</v>
      </c>
      <c r="F255" s="103" t="s">
        <v>163</v>
      </c>
      <c r="G255" s="75" t="s">
        <v>147</v>
      </c>
      <c r="H255" s="90">
        <v>4.17</v>
      </c>
      <c r="I255" s="90">
        <v>11</v>
      </c>
      <c r="J255" s="76">
        <v>0.105</v>
      </c>
      <c r="K255" s="306">
        <v>1.37</v>
      </c>
      <c r="L255" s="78">
        <f t="shared" si="30"/>
        <v>27.649311164155343</v>
      </c>
      <c r="M255" s="58">
        <f>+VLOOKUP(F255,Material!$H$2:$M$17,6,FALSE)*H255*I255*(1+Material!$K$14)</f>
        <v>17.21798013404219</v>
      </c>
      <c r="N255" s="79" t="str">
        <f t="shared" si="41"/>
        <v>T5.0</v>
      </c>
      <c r="O255" s="80">
        <f>+VLOOKUP(N255,[3]Material!$A$3:$B$58,2,FALSE)</f>
        <v>5000</v>
      </c>
      <c r="P255" s="79" t="s">
        <v>42</v>
      </c>
      <c r="Q255" s="79" t="str">
        <f>+VLOOKUP(F255,[3]Material!$C$2:$E$12,2,FALSE)</f>
        <v>Cal 12</v>
      </c>
      <c r="R255" s="81">
        <f>+IF(P255="ACERO A36",VLOOKUP(Q255,'[3]Velocidades Std 1500 w'!$B$2:$F$15,5,FALSE),IF(P255="INOXIDABLE",VLOOKUP(Q255,'[3]Velocidades Std 1500 w'!$B$17:$F$28,5,FALSE),IF(P255="ALUMINIO",VLOOKUP(Q255,'[3]Velocidades Std 1500 w'!$B$30:$F$38,5,FALSE))))</f>
        <v>4.3859649122807014E-6</v>
      </c>
      <c r="S255" s="82">
        <f t="shared" si="31"/>
        <v>2.1929824561403508E-2</v>
      </c>
      <c r="T255" s="83">
        <f t="shared" si="32"/>
        <v>17.197938947368421</v>
      </c>
      <c r="U255" s="307">
        <f t="shared" si="45"/>
        <v>1089.2028</v>
      </c>
      <c r="V255" s="80">
        <f t="shared" si="44"/>
        <v>23.886026315789472</v>
      </c>
      <c r="W255" s="98">
        <v>7</v>
      </c>
      <c r="X255" s="84">
        <f>+IF(P255="ACERO A36",VLOOKUP(Q255,'[3]Tiempo Objeto'!$B$2:$C$12,2,FALSE),IF(P255="INOXIDABLE",VLOOKUP(Q255,'[3]Tiempo Objeto'!$B$14:$C$22,2,FALSE),IF(P255="ALUMINIO",VLOOKUP(Q255,'[3]Tiempo Objeto'!$B$24:$C$32,2,FALSE))))</f>
        <v>0.6133333333333334</v>
      </c>
      <c r="Y255" s="84">
        <f t="shared" si="35"/>
        <v>4.2933333333333339</v>
      </c>
      <c r="Z255" s="80">
        <f t="shared" si="36"/>
        <v>5.9629629629629637</v>
      </c>
      <c r="AA255" s="100">
        <v>1</v>
      </c>
      <c r="AB255" s="86">
        <f>+AA255*Analisis!$J$6</f>
        <v>25</v>
      </c>
      <c r="AC255" s="100">
        <v>0</v>
      </c>
      <c r="AD255" s="85">
        <f t="shared" si="37"/>
        <v>0</v>
      </c>
      <c r="AE255" s="86">
        <f>+AC255*Analisis!$J$7</f>
        <v>0</v>
      </c>
      <c r="AF255" s="308">
        <f>+H255*0.0254*I255*0.0254*2*(1+[3]Analisis!$G$2)</f>
        <v>7.3983722999999987E-2</v>
      </c>
      <c r="AG255" s="86">
        <f>+AF255*Analisis!$J$8</f>
        <v>7.8827895339285723</v>
      </c>
      <c r="AH255" s="309">
        <f t="shared" si="42"/>
        <v>79.949758946723193</v>
      </c>
      <c r="AI255" s="86">
        <f>+AH255/(1-Analisis!G260)</f>
        <v>79.949758946723193</v>
      </c>
      <c r="AJ255" s="86">
        <f t="shared" si="38"/>
        <v>85.967482738412045</v>
      </c>
      <c r="AK255" s="86">
        <f t="shared" si="43"/>
        <v>0</v>
      </c>
      <c r="AL255" s="310" t="e">
        <f>+VLOOKUP(B255,#REF!,2,FALSE)</f>
        <v>#REF!</v>
      </c>
      <c r="AM255" s="311" t="e">
        <f t="shared" si="40"/>
        <v>#REF!</v>
      </c>
      <c r="AN255" s="312" t="e">
        <f t="shared" si="39"/>
        <v>#REF!</v>
      </c>
    </row>
    <row r="256" spans="1:40" s="73" customFormat="1" x14ac:dyDescent="0.25">
      <c r="A256" s="303">
        <v>196</v>
      </c>
      <c r="B256" s="304" t="s">
        <v>1043</v>
      </c>
      <c r="D256" s="74">
        <f>IFERROR(VLOOKUP(B256,'REQ. PINTADO'!B:C,2,0),0)</f>
        <v>0</v>
      </c>
      <c r="E256" s="305">
        <f t="shared" si="29"/>
        <v>409.04352035273831</v>
      </c>
      <c r="F256" s="103" t="s">
        <v>163</v>
      </c>
      <c r="G256" s="75" t="s">
        <v>147</v>
      </c>
      <c r="H256" s="90">
        <v>6.87</v>
      </c>
      <c r="I256" s="90">
        <v>51.37</v>
      </c>
      <c r="J256" s="76">
        <v>0.105</v>
      </c>
      <c r="K256" s="306">
        <v>10.53</v>
      </c>
      <c r="L256" s="78">
        <f t="shared" si="30"/>
        <v>27.676685242197507</v>
      </c>
      <c r="M256" s="58">
        <f>+VLOOKUP(F256,Material!$H$2:$M$17,6,FALSE)*H256*I256*(1+Material!$K$14)</f>
        <v>132.47067981833624</v>
      </c>
      <c r="N256" s="79" t="str">
        <f t="shared" si="41"/>
        <v>T5.0</v>
      </c>
      <c r="O256" s="80">
        <f>+VLOOKUP(N256,[3]Material!$A$3:$B$58,2,FALSE)</f>
        <v>5000</v>
      </c>
      <c r="P256" s="79" t="s">
        <v>42</v>
      </c>
      <c r="Q256" s="79" t="str">
        <f>+VLOOKUP(F256,[3]Material!$C$2:$E$12,2,FALSE)</f>
        <v>Cal 12</v>
      </c>
      <c r="R256" s="81">
        <f>+IF(P256="ACERO A36",VLOOKUP(Q256,'[3]Velocidades Std 1500 w'!$B$2:$F$15,5,FALSE),IF(P256="INOXIDABLE",VLOOKUP(Q256,'[3]Velocidades Std 1500 w'!$B$17:$F$28,5,FALSE),IF(P256="ALUMINIO",VLOOKUP(Q256,'[3]Velocidades Std 1500 w'!$B$30:$F$38,5,FALSE))))</f>
        <v>4.3859649122807014E-6</v>
      </c>
      <c r="S256" s="82">
        <f t="shared" si="31"/>
        <v>2.1929824561403508E-2</v>
      </c>
      <c r="T256" s="83">
        <f t="shared" si="32"/>
        <v>74.31665684210526</v>
      </c>
      <c r="U256" s="307">
        <f t="shared" si="33"/>
        <v>4706.7215999999999</v>
      </c>
      <c r="V256" s="80">
        <f t="shared" si="44"/>
        <v>103.21757894736841</v>
      </c>
      <c r="W256" s="98">
        <v>40</v>
      </c>
      <c r="X256" s="84">
        <f>+IF(P256="ACERO A36",VLOOKUP(Q256,'[3]Tiempo Objeto'!$B$2:$C$12,2,FALSE),IF(P256="INOXIDABLE",VLOOKUP(Q256,'[3]Tiempo Objeto'!$B$14:$C$22,2,FALSE),IF(P256="ALUMINIO",VLOOKUP(Q256,'[3]Tiempo Objeto'!$B$24:$C$32,2,FALSE))))</f>
        <v>0.6133333333333334</v>
      </c>
      <c r="Y256" s="84">
        <f t="shared" si="35"/>
        <v>24.533333333333335</v>
      </c>
      <c r="Z256" s="80">
        <f t="shared" si="36"/>
        <v>34.074074074074076</v>
      </c>
      <c r="AA256" s="100">
        <v>2</v>
      </c>
      <c r="AB256" s="86">
        <f>+AA256*Analisis!$J$6</f>
        <v>50</v>
      </c>
      <c r="AC256" s="100">
        <v>0</v>
      </c>
      <c r="AD256" s="85">
        <f t="shared" si="37"/>
        <v>0</v>
      </c>
      <c r="AE256" s="86">
        <f>+AC256*Analisis!$J$7</f>
        <v>0</v>
      </c>
      <c r="AF256" s="308">
        <f>+H256*0.0254*I256*0.0254*2*(1+[3]Analisis!$G$2)</f>
        <v>0.56921160350999989</v>
      </c>
      <c r="AG256" s="86">
        <f>+AF256*Analisis!$J$8</f>
        <v>60.648141088267863</v>
      </c>
      <c r="AH256" s="309">
        <f t="shared" si="42"/>
        <v>380.4104739280466</v>
      </c>
      <c r="AI256" s="86">
        <f>+AH256/(1-Analisis!G261)</f>
        <v>380.4104739280466</v>
      </c>
      <c r="AJ256" s="86">
        <f t="shared" si="38"/>
        <v>409.04352035273831</v>
      </c>
      <c r="AK256" s="86">
        <f t="shared" si="43"/>
        <v>0</v>
      </c>
      <c r="AL256" s="310" t="e">
        <f>+VLOOKUP(B256,#REF!,2,FALSE)</f>
        <v>#REF!</v>
      </c>
      <c r="AM256" s="311" t="e">
        <f t="shared" si="40"/>
        <v>#REF!</v>
      </c>
      <c r="AN256" s="312" t="e">
        <f t="shared" si="39"/>
        <v>#REF!</v>
      </c>
    </row>
    <row r="257" spans="1:40" s="73" customFormat="1" x14ac:dyDescent="0.25">
      <c r="A257" s="303">
        <v>197</v>
      </c>
      <c r="B257" s="304" t="s">
        <v>1036</v>
      </c>
      <c r="D257" s="74">
        <f>IFERROR(VLOOKUP(B257,'REQ. PINTADO'!B:C,2,0),0)</f>
        <v>0</v>
      </c>
      <c r="E257" s="305">
        <f t="shared" si="29"/>
        <v>181.65439019754143</v>
      </c>
      <c r="F257" s="103" t="s">
        <v>165</v>
      </c>
      <c r="G257" s="75" t="s">
        <v>147</v>
      </c>
      <c r="H257" s="90">
        <v>3.77</v>
      </c>
      <c r="I257" s="90">
        <v>31.9</v>
      </c>
      <c r="J257" s="76">
        <v>0.105</v>
      </c>
      <c r="K257" s="306">
        <v>2.56</v>
      </c>
      <c r="L257" s="78">
        <f t="shared" si="30"/>
        <v>42.955265869140632</v>
      </c>
      <c r="M257" s="58">
        <f>+VLOOKUP(F257,Material!$H$2:$M$17,6,FALSE)*H257*I257*(1+Material!$K$14)</f>
        <v>49.984309375000009</v>
      </c>
      <c r="N257" s="79" t="str">
        <f t="shared" si="41"/>
        <v>T5.0</v>
      </c>
      <c r="O257" s="80">
        <f>+VLOOKUP(N257,[3]Material!$A$3:$B$58,2,FALSE)</f>
        <v>5000</v>
      </c>
      <c r="P257" s="79" t="s">
        <v>42</v>
      </c>
      <c r="Q257" s="79" t="str">
        <f>+VLOOKUP(F257,[3]Material!$C$2:$E$12,2,FALSE)</f>
        <v>Cal 14</v>
      </c>
      <c r="R257" s="81">
        <f>+IF(P257="ACERO A36",VLOOKUP(Q257,'[3]Velocidades Std 1500 w'!$B$2:$F$15,5,FALSE),IF(P257="INOXIDABLE",VLOOKUP(Q257,'[3]Velocidades Std 1500 w'!$B$17:$F$28,5,FALSE),IF(P257="ALUMINIO",VLOOKUP(Q257,'[3]Velocidades Std 1500 w'!$B$30:$F$38,5,FALSE))))</f>
        <v>2.0080321285140564E-6</v>
      </c>
      <c r="S257" s="82">
        <f t="shared" si="31"/>
        <v>1.0040160642570283E-2</v>
      </c>
      <c r="T257" s="83">
        <f t="shared" si="32"/>
        <v>15.199972048192773</v>
      </c>
      <c r="U257" s="307">
        <f t="shared" si="33"/>
        <v>2102.6628000000001</v>
      </c>
      <c r="V257" s="80">
        <f t="shared" si="44"/>
        <v>21.111072289156631</v>
      </c>
      <c r="W257" s="98">
        <v>5</v>
      </c>
      <c r="X257" s="84">
        <f>+IF(P257="ACERO A36",VLOOKUP(Q257,'[3]Tiempo Objeto'!$B$2:$C$12,2,FALSE),IF(P257="INOXIDABLE",VLOOKUP(Q257,'[3]Tiempo Objeto'!$B$14:$C$22,2,FALSE),IF(P257="ALUMINIO",VLOOKUP(Q257,'[3]Tiempo Objeto'!$B$24:$C$32,2,FALSE))))</f>
        <v>0.3133333333333333</v>
      </c>
      <c r="Y257" s="84">
        <f t="shared" si="35"/>
        <v>1.5666666666666664</v>
      </c>
      <c r="Z257" s="80">
        <f t="shared" si="36"/>
        <v>2.1759259259259256</v>
      </c>
      <c r="AA257" s="100">
        <v>3</v>
      </c>
      <c r="AB257" s="86">
        <f>+AA257*Analisis!$J$6</f>
        <v>75</v>
      </c>
      <c r="AC257" s="100">
        <v>0</v>
      </c>
      <c r="AD257" s="85">
        <f t="shared" si="37"/>
        <v>0</v>
      </c>
      <c r="AE257" s="86">
        <f>+AC257*Analisis!$J$7</f>
        <v>0</v>
      </c>
      <c r="AF257" s="308">
        <f>+H257*0.0254*I257*0.0254*2*(1+[3]Analisis!$G$2)</f>
        <v>0.19397219269999993</v>
      </c>
      <c r="AG257" s="86">
        <f>+AF257*Analisis!$J$8</f>
        <v>20.667275293630951</v>
      </c>
      <c r="AH257" s="309">
        <f t="shared" si="42"/>
        <v>168.93858288371351</v>
      </c>
      <c r="AI257" s="86">
        <f>+AH257/(1-Analisis!G262)</f>
        <v>168.93858288371351</v>
      </c>
      <c r="AJ257" s="86">
        <f t="shared" si="38"/>
        <v>181.65439019754143</v>
      </c>
      <c r="AK257" s="86">
        <f t="shared" si="43"/>
        <v>0</v>
      </c>
      <c r="AL257" s="310" t="e">
        <f>+VLOOKUP(B257,#REF!,2,FALSE)</f>
        <v>#REF!</v>
      </c>
      <c r="AM257" s="311" t="e">
        <f t="shared" si="40"/>
        <v>#REF!</v>
      </c>
      <c r="AN257" s="312" t="e">
        <f t="shared" si="39"/>
        <v>#REF!</v>
      </c>
    </row>
    <row r="258" spans="1:40" s="73" customFormat="1" x14ac:dyDescent="0.25">
      <c r="A258" s="303">
        <v>198</v>
      </c>
      <c r="B258" s="304" t="s">
        <v>1037</v>
      </c>
      <c r="D258" s="74">
        <f>IFERROR(VLOOKUP(B258,'REQ. PINTADO'!B:C,2,0),0)</f>
        <v>0</v>
      </c>
      <c r="E258" s="305">
        <f t="shared" si="29"/>
        <v>127.41597323889174</v>
      </c>
      <c r="F258" s="103" t="s">
        <v>164</v>
      </c>
      <c r="G258" s="75" t="s">
        <v>147</v>
      </c>
      <c r="H258" s="90">
        <v>6</v>
      </c>
      <c r="I258" s="90">
        <v>2.64</v>
      </c>
      <c r="J258" s="76">
        <v>0.105</v>
      </c>
      <c r="K258" s="306">
        <v>0.62</v>
      </c>
      <c r="L258" s="78">
        <f t="shared" si="30"/>
        <v>38.934677419354841</v>
      </c>
      <c r="M258" s="58">
        <f>+VLOOKUP(F258,Material!$H$2:$M$17,6,FALSE)*H258*I258*(1+Material!$K$14)</f>
        <v>10.9725</v>
      </c>
      <c r="N258" s="79" t="str">
        <f t="shared" si="41"/>
        <v>T5.0</v>
      </c>
      <c r="O258" s="80">
        <f>+VLOOKUP(N258,[3]Material!$A$3:$B$58,2,FALSE)</f>
        <v>5000</v>
      </c>
      <c r="P258" s="79" t="s">
        <v>42</v>
      </c>
      <c r="Q258" s="79" t="str">
        <f>+VLOOKUP(F258,[3]Material!$C$2:$E$12,2,FALSE)</f>
        <v>Cal 10</v>
      </c>
      <c r="R258" s="81">
        <f>+IF(P258="ACERO A36",VLOOKUP(Q258,'[3]Velocidades Std 1500 w'!$B$2:$F$15,5,FALSE),IF(P258="INOXIDABLE",VLOOKUP(Q258,'[3]Velocidades Std 1500 w'!$B$17:$F$28,5,FALSE),IF(P258="ALUMINIO",VLOOKUP(Q258,'[3]Velocidades Std 1500 w'!$B$30:$F$38,5,FALSE))))</f>
        <v>6.1728395061728391E-6</v>
      </c>
      <c r="S258" s="82">
        <f t="shared" si="31"/>
        <v>3.0864197530864196E-2</v>
      </c>
      <c r="T258" s="83">
        <f t="shared" si="32"/>
        <v>16.464279999999999</v>
      </c>
      <c r="U258" s="307">
        <f t="shared" si="33"/>
        <v>740.89260000000002</v>
      </c>
      <c r="V258" s="80">
        <f t="shared" si="44"/>
        <v>22.867055555555556</v>
      </c>
      <c r="W258" s="98">
        <v>7</v>
      </c>
      <c r="X258" s="84">
        <f>+IF(P258="ACERO A36",VLOOKUP(Q258,'[3]Tiempo Objeto'!$B$2:$C$12,2,FALSE),IF(P258="INOXIDABLE",VLOOKUP(Q258,'[3]Tiempo Objeto'!$B$14:$C$22,2,FALSE),IF(P258="ALUMINIO",VLOOKUP(Q258,'[3]Tiempo Objeto'!$B$24:$C$32,2,FALSE))))</f>
        <v>0.71333333333333337</v>
      </c>
      <c r="Y258" s="84">
        <f t="shared" si="35"/>
        <v>4.9933333333333341</v>
      </c>
      <c r="Z258" s="80">
        <f t="shared" si="36"/>
        <v>6.9351851851851869</v>
      </c>
      <c r="AA258" s="100">
        <v>3</v>
      </c>
      <c r="AB258" s="86">
        <f>+AA258*Analisis!$J$6</f>
        <v>75</v>
      </c>
      <c r="AC258" s="100">
        <v>0</v>
      </c>
      <c r="AD258" s="85">
        <f t="shared" si="37"/>
        <v>0</v>
      </c>
      <c r="AE258" s="86">
        <f>+AC258*Analisis!$J$7</f>
        <v>0</v>
      </c>
      <c r="AF258" s="308">
        <f>+H258*0.0254*I258*0.0254*2*(1+[3]Analisis!$G$2)</f>
        <v>2.5548335999999998E-2</v>
      </c>
      <c r="AG258" s="86">
        <f>+AF258*Analisis!$J$8</f>
        <v>2.7221143714285718</v>
      </c>
      <c r="AH258" s="309">
        <f t="shared" si="42"/>
        <v>118.49685511216931</v>
      </c>
      <c r="AI258" s="86">
        <f>+AH258/(1-Analisis!G263)</f>
        <v>118.49685511216931</v>
      </c>
      <c r="AJ258" s="86">
        <f t="shared" si="38"/>
        <v>127.41597323889174</v>
      </c>
      <c r="AK258" s="86">
        <f t="shared" si="43"/>
        <v>0</v>
      </c>
      <c r="AL258" s="310" t="e">
        <f>+VLOOKUP(B258,#REF!,2,FALSE)</f>
        <v>#REF!</v>
      </c>
      <c r="AM258" s="311" t="e">
        <f t="shared" si="40"/>
        <v>#REF!</v>
      </c>
      <c r="AN258" s="312" t="e">
        <f t="shared" ref="AN258:AN321" si="46">+AM258/AL258</f>
        <v>#REF!</v>
      </c>
    </row>
    <row r="259" spans="1:40" s="73" customFormat="1" x14ac:dyDescent="0.25">
      <c r="A259" s="303"/>
      <c r="B259" s="304" t="s">
        <v>1033</v>
      </c>
      <c r="D259" s="74">
        <f>IFERROR(VLOOKUP(B259,'REQ. PINTADO'!B:C,2,0),0)</f>
        <v>0</v>
      </c>
      <c r="E259" s="305">
        <f t="shared" si="29"/>
        <v>69.266071478384774</v>
      </c>
      <c r="F259" s="103" t="s">
        <v>163</v>
      </c>
      <c r="G259" s="75" t="s">
        <v>147</v>
      </c>
      <c r="H259" s="90">
        <v>4.17</v>
      </c>
      <c r="I259" s="90">
        <v>6.5</v>
      </c>
      <c r="J259" s="76">
        <v>0.105</v>
      </c>
      <c r="K259" s="306">
        <v>0.81</v>
      </c>
      <c r="L259" s="78">
        <f t="shared" si="30"/>
        <v>27.633795276857835</v>
      </c>
      <c r="M259" s="58">
        <f>+VLOOKUP(F259,Material!$H$2:$M$17,6,FALSE)*H259*I259*(1+Material!$K$14)</f>
        <v>10.174260988297657</v>
      </c>
      <c r="N259" s="79" t="str">
        <f t="shared" si="41"/>
        <v>T5.0</v>
      </c>
      <c r="O259" s="80">
        <f>+VLOOKUP(N259,[3]Material!$A$3:$B$58,2,FALSE)</f>
        <v>5000</v>
      </c>
      <c r="P259" s="79" t="s">
        <v>42</v>
      </c>
      <c r="Q259" s="79" t="str">
        <f>+VLOOKUP(F259,[3]Material!$C$2:$E$12,2,FALSE)</f>
        <v>Cal 12</v>
      </c>
      <c r="R259" s="81">
        <f>+IF(P259="ACERO A36",VLOOKUP(Q259,'[3]Velocidades Std 1500 w'!$B$2:$F$15,5,FALSE),IF(P259="INOXIDABLE",VLOOKUP(Q259,'[3]Velocidades Std 1500 w'!$B$17:$F$28,5,FALSE),IF(P259="ALUMINIO",VLOOKUP(Q259,'[3]Velocidades Std 1500 w'!$B$30:$F$38,5,FALSE))))</f>
        <v>4.3859649122807014E-6</v>
      </c>
      <c r="S259" s="82">
        <f t="shared" si="31"/>
        <v>2.1929824561403508E-2</v>
      </c>
      <c r="T259" s="83">
        <f t="shared" si="32"/>
        <v>13.407991578947367</v>
      </c>
      <c r="U259" s="307">
        <f t="shared" si="33"/>
        <v>849.17280000000005</v>
      </c>
      <c r="V259" s="80">
        <f t="shared" si="44"/>
        <v>18.62221052631579</v>
      </c>
      <c r="W259" s="98">
        <v>7</v>
      </c>
      <c r="X259" s="84">
        <f>+IF(P259="ACERO A36",VLOOKUP(Q259,'[3]Tiempo Objeto'!$B$2:$C$12,2,FALSE),IF(P259="INOXIDABLE",VLOOKUP(Q259,'[3]Tiempo Objeto'!$B$14:$C$22,2,FALSE),IF(P259="ALUMINIO",VLOOKUP(Q259,'[3]Tiempo Objeto'!$B$24:$C$32,2,FALSE))))</f>
        <v>0.6133333333333334</v>
      </c>
      <c r="Y259" s="84">
        <f t="shared" si="35"/>
        <v>4.2933333333333339</v>
      </c>
      <c r="Z259" s="80">
        <f t="shared" si="36"/>
        <v>5.9629629629629637</v>
      </c>
      <c r="AA259" s="100">
        <v>1</v>
      </c>
      <c r="AB259" s="86">
        <f>+AA259*Analisis!$J$6</f>
        <v>25</v>
      </c>
      <c r="AC259" s="100">
        <v>0</v>
      </c>
      <c r="AD259" s="85">
        <f t="shared" si="37"/>
        <v>0</v>
      </c>
      <c r="AE259" s="86">
        <f>+AC259*Analisis!$J$7</f>
        <v>0</v>
      </c>
      <c r="AF259" s="308">
        <f>+H259*0.0254*I259*0.0254*2*(1+[3]Analisis!$G$2)</f>
        <v>4.3717654499999994E-2</v>
      </c>
      <c r="AG259" s="86">
        <f>+AF259*Analisis!$J$8</f>
        <v>4.6580119973214291</v>
      </c>
      <c r="AH259" s="309">
        <f t="shared" si="42"/>
        <v>64.417446474897829</v>
      </c>
      <c r="AI259" s="86">
        <f>+AH259/(1-Analisis!G264)</f>
        <v>64.417446474897829</v>
      </c>
      <c r="AJ259" s="86">
        <f t="shared" si="38"/>
        <v>69.266071478384774</v>
      </c>
      <c r="AK259" s="86">
        <f t="shared" si="43"/>
        <v>0</v>
      </c>
      <c r="AL259" s="310" t="e">
        <f>+VLOOKUP(B259,#REF!,2,FALSE)</f>
        <v>#REF!</v>
      </c>
      <c r="AM259" s="311" t="e">
        <f t="shared" ref="AM259:AM322" si="47">+AL259-E259</f>
        <v>#REF!</v>
      </c>
      <c r="AN259" s="312" t="e">
        <f t="shared" si="46"/>
        <v>#REF!</v>
      </c>
    </row>
    <row r="260" spans="1:40" s="73" customFormat="1" x14ac:dyDescent="0.25">
      <c r="A260" s="303">
        <v>199</v>
      </c>
      <c r="B260" s="304" t="s">
        <v>1034</v>
      </c>
      <c r="D260" s="74">
        <f>IFERROR(VLOOKUP(B260,'REQ. PINTADO'!B:C,2,0),0)</f>
        <v>0</v>
      </c>
      <c r="E260" s="305">
        <f t="shared" si="29"/>
        <v>172.19056171722107</v>
      </c>
      <c r="F260" s="103" t="s">
        <v>163</v>
      </c>
      <c r="G260" s="75" t="s">
        <v>147</v>
      </c>
      <c r="H260" s="90">
        <v>4.17</v>
      </c>
      <c r="I260" s="90">
        <v>11</v>
      </c>
      <c r="J260" s="76">
        <v>0.105</v>
      </c>
      <c r="K260" s="306">
        <v>1.32</v>
      </c>
      <c r="L260" s="78">
        <f t="shared" si="30"/>
        <v>28.696633556736984</v>
      </c>
      <c r="M260" s="58">
        <f>+VLOOKUP(F260,Material!$H$2:$M$17,6,FALSE)*H260*I260*(1+Material!$K$14)</f>
        <v>17.21798013404219</v>
      </c>
      <c r="N260" s="79" t="str">
        <f t="shared" ref="N260:N323" si="48">+N259</f>
        <v>T5.0</v>
      </c>
      <c r="O260" s="80">
        <f>+VLOOKUP(N260,[3]Material!$A$3:$B$58,2,FALSE)</f>
        <v>5000</v>
      </c>
      <c r="P260" s="79" t="s">
        <v>42</v>
      </c>
      <c r="Q260" s="79" t="str">
        <f>+VLOOKUP(F260,[3]Material!$C$2:$E$12,2,FALSE)</f>
        <v>Cal 12</v>
      </c>
      <c r="R260" s="81">
        <f>+IF(P260="ACERO A36",VLOOKUP(Q260,'[3]Velocidades Std 1500 w'!$B$2:$F$15,5,FALSE),IF(P260="INOXIDABLE",VLOOKUP(Q260,'[3]Velocidades Std 1500 w'!$B$17:$F$28,5,FALSE),IF(P260="ALUMINIO",VLOOKUP(Q260,'[3]Velocidades Std 1500 w'!$B$30:$F$38,5,FALSE))))</f>
        <v>4.3859649122807014E-6</v>
      </c>
      <c r="S260" s="82">
        <f t="shared" si="31"/>
        <v>2.1929824561403508E-2</v>
      </c>
      <c r="T260" s="83">
        <f t="shared" si="32"/>
        <v>19.092912631578947</v>
      </c>
      <c r="U260" s="307">
        <f t="shared" si="33"/>
        <v>1209.2178000000001</v>
      </c>
      <c r="V260" s="80">
        <f t="shared" si="44"/>
        <v>26.517934210526317</v>
      </c>
      <c r="W260" s="98">
        <v>10</v>
      </c>
      <c r="X260" s="84">
        <f>+IF(P260="ACERO A36",VLOOKUP(Q260,'[3]Tiempo Objeto'!$B$2:$C$12,2,FALSE),IF(P260="INOXIDABLE",VLOOKUP(Q260,'[3]Tiempo Objeto'!$B$14:$C$22,2,FALSE),IF(P260="ALUMINIO",VLOOKUP(Q260,'[3]Tiempo Objeto'!$B$24:$C$32,2,FALSE))))</f>
        <v>0.6133333333333334</v>
      </c>
      <c r="Y260" s="84">
        <f t="shared" si="35"/>
        <v>6.1333333333333337</v>
      </c>
      <c r="Z260" s="80">
        <f t="shared" si="36"/>
        <v>8.518518518518519</v>
      </c>
      <c r="AA260" s="100">
        <v>4</v>
      </c>
      <c r="AB260" s="86">
        <f>+AA260*Analisis!$J$6</f>
        <v>100</v>
      </c>
      <c r="AC260" s="100">
        <v>0</v>
      </c>
      <c r="AD260" s="85">
        <f t="shared" si="37"/>
        <v>0</v>
      </c>
      <c r="AE260" s="86">
        <f>+AC260*Analisis!$J$7</f>
        <v>0</v>
      </c>
      <c r="AF260" s="308">
        <f>+H260*0.0254*I260*0.0254*2*(1+[3]Analisis!$G$2)</f>
        <v>7.3983722999999987E-2</v>
      </c>
      <c r="AG260" s="86">
        <f>+AF260*Analisis!$J$8</f>
        <v>7.8827895339285723</v>
      </c>
      <c r="AH260" s="309">
        <f t="shared" si="42"/>
        <v>160.13722239701559</v>
      </c>
      <c r="AI260" s="86">
        <f>+AH260/(1-Analisis!G265)</f>
        <v>160.13722239701559</v>
      </c>
      <c r="AJ260" s="86">
        <f t="shared" si="38"/>
        <v>172.19056171722107</v>
      </c>
      <c r="AK260" s="86">
        <f t="shared" si="43"/>
        <v>0</v>
      </c>
      <c r="AL260" s="310" t="e">
        <f>+VLOOKUP(B260,#REF!,2,FALSE)</f>
        <v>#REF!</v>
      </c>
      <c r="AM260" s="311" t="e">
        <f t="shared" si="47"/>
        <v>#REF!</v>
      </c>
      <c r="AN260" s="312" t="e">
        <f t="shared" si="46"/>
        <v>#REF!</v>
      </c>
    </row>
    <row r="261" spans="1:40" s="73" customFormat="1" x14ac:dyDescent="0.25">
      <c r="A261" s="303">
        <v>200</v>
      </c>
      <c r="B261" s="304" t="s">
        <v>1038</v>
      </c>
      <c r="D261" s="74">
        <f>IFERROR(VLOOKUP(B261,'REQ. PINTADO'!B:C,2,0),0)</f>
        <v>0</v>
      </c>
      <c r="E261" s="305">
        <f t="shared" si="29"/>
        <v>75.606039414728116</v>
      </c>
      <c r="F261" s="103" t="s">
        <v>163</v>
      </c>
      <c r="G261" s="75" t="s">
        <v>147</v>
      </c>
      <c r="H261" s="90">
        <v>2</v>
      </c>
      <c r="I261" s="90">
        <v>4.12</v>
      </c>
      <c r="J261" s="76">
        <v>0.105</v>
      </c>
      <c r="K261" s="306">
        <v>0.25</v>
      </c>
      <c r="L261" s="78">
        <f t="shared" si="30"/>
        <v>27.218447252663342</v>
      </c>
      <c r="M261" s="58">
        <f>+VLOOKUP(F261,Material!$H$2:$M$17,6,FALSE)*H261*I261*(1+Material!$K$14)</f>
        <v>3.0930053696208342</v>
      </c>
      <c r="N261" s="79" t="str">
        <f t="shared" si="48"/>
        <v>T5.0</v>
      </c>
      <c r="O261" s="80">
        <f>+VLOOKUP(N261,[3]Material!$A$3:$B$58,2,FALSE)</f>
        <v>5000</v>
      </c>
      <c r="P261" s="79" t="s">
        <v>42</v>
      </c>
      <c r="Q261" s="79" t="str">
        <f>+VLOOKUP(F261,[3]Material!$C$2:$E$12,2,FALSE)</f>
        <v>Cal 12</v>
      </c>
      <c r="R261" s="81">
        <f>+IF(P261="ACERO A36",VLOOKUP(Q261,'[3]Velocidades Std 1500 w'!$B$2:$F$15,5,FALSE),IF(P261="INOXIDABLE",VLOOKUP(Q261,'[3]Velocidades Std 1500 w'!$B$17:$F$28,5,FALSE),IF(P261="ALUMINIO",VLOOKUP(Q261,'[3]Velocidades Std 1500 w'!$B$30:$F$38,5,FALSE))))</f>
        <v>4.3859649122807014E-6</v>
      </c>
      <c r="S261" s="82">
        <f t="shared" si="31"/>
        <v>2.1929824561403508E-2</v>
      </c>
      <c r="T261" s="83">
        <f t="shared" si="32"/>
        <v>8.3126178947368423</v>
      </c>
      <c r="U261" s="307">
        <f t="shared" si="33"/>
        <v>526.46580000000006</v>
      </c>
      <c r="V261" s="80">
        <f t="shared" si="44"/>
        <v>11.545302631578949</v>
      </c>
      <c r="W261" s="98">
        <v>5</v>
      </c>
      <c r="X261" s="84">
        <f>+IF(P261="ACERO A36",VLOOKUP(Q261,'[3]Tiempo Objeto'!$B$2:$C$12,2,FALSE),IF(P261="INOXIDABLE",VLOOKUP(Q261,'[3]Tiempo Objeto'!$B$14:$C$22,2,FALSE),IF(P261="ALUMINIO",VLOOKUP(Q261,'[3]Tiempo Objeto'!$B$24:$C$32,2,FALSE))))</f>
        <v>0.6133333333333334</v>
      </c>
      <c r="Y261" s="84">
        <f t="shared" si="35"/>
        <v>3.0666666666666669</v>
      </c>
      <c r="Z261" s="80">
        <f t="shared" si="36"/>
        <v>4.2592592592592595</v>
      </c>
      <c r="AA261" s="100">
        <v>2</v>
      </c>
      <c r="AB261" s="86">
        <f>+AA261*Analisis!$J$6</f>
        <v>50</v>
      </c>
      <c r="AC261" s="100">
        <v>0</v>
      </c>
      <c r="AD261" s="85">
        <f t="shared" si="37"/>
        <v>0</v>
      </c>
      <c r="AE261" s="86">
        <f>+AC261*Analisis!$J$7</f>
        <v>0</v>
      </c>
      <c r="AF261" s="308">
        <f>+H261*0.0254*I261*0.0254*2*(1+[3]Analisis!$G$2)</f>
        <v>1.3290296E-2</v>
      </c>
      <c r="AG261" s="86">
        <f>+AF261*Analisis!$J$8</f>
        <v>1.4160493952380957</v>
      </c>
      <c r="AH261" s="309">
        <f t="shared" si="42"/>
        <v>70.313616655697146</v>
      </c>
      <c r="AI261" s="86">
        <f>+AH261/(1-Analisis!G266)</f>
        <v>70.313616655697146</v>
      </c>
      <c r="AJ261" s="86">
        <f t="shared" si="38"/>
        <v>75.606039414728116</v>
      </c>
      <c r="AK261" s="86">
        <f t="shared" si="43"/>
        <v>0</v>
      </c>
      <c r="AL261" s="310" t="e">
        <f>+VLOOKUP(B261,#REF!,2,FALSE)</f>
        <v>#REF!</v>
      </c>
      <c r="AM261" s="311" t="e">
        <f t="shared" si="47"/>
        <v>#REF!</v>
      </c>
      <c r="AN261" s="312" t="e">
        <f t="shared" si="46"/>
        <v>#REF!</v>
      </c>
    </row>
    <row r="262" spans="1:40" s="73" customFormat="1" x14ac:dyDescent="0.25">
      <c r="A262" s="318">
        <v>201</v>
      </c>
      <c r="B262" s="319" t="s">
        <v>1044</v>
      </c>
      <c r="D262" s="74">
        <f>IFERROR(VLOOKUP(B262,'REQ. PINTADO'!B:C,2,0),0)</f>
        <v>0</v>
      </c>
      <c r="E262" s="305">
        <f t="shared" si="29"/>
        <v>0</v>
      </c>
      <c r="F262" s="103" t="s">
        <v>165</v>
      </c>
      <c r="G262" s="75" t="s">
        <v>147</v>
      </c>
      <c r="H262" s="90">
        <v>0</v>
      </c>
      <c r="I262" s="90">
        <v>0</v>
      </c>
      <c r="J262" s="76">
        <v>0.105</v>
      </c>
      <c r="K262" s="306">
        <v>1</v>
      </c>
      <c r="L262" s="78">
        <f t="shared" si="30"/>
        <v>0</v>
      </c>
      <c r="M262" s="58">
        <f>+VLOOKUP(F262,Material!$H$2:$M$17,6,FALSE)*H262*I262*(1+Material!$K$14)</f>
        <v>0</v>
      </c>
      <c r="N262" s="79" t="str">
        <f t="shared" si="48"/>
        <v>T5.0</v>
      </c>
      <c r="O262" s="80">
        <f>+VLOOKUP(N262,[3]Material!$A$3:$B$58,2,FALSE)</f>
        <v>5000</v>
      </c>
      <c r="P262" s="79" t="s">
        <v>42</v>
      </c>
      <c r="Q262" s="79" t="str">
        <f>+VLOOKUP(F262,[3]Material!$C$2:$E$12,2,FALSE)</f>
        <v>Cal 14</v>
      </c>
      <c r="R262" s="81">
        <f>+IF(P262="ACERO A36",VLOOKUP(Q262,'[3]Velocidades Std 1500 w'!$B$2:$F$15,5,FALSE),IF(P262="INOXIDABLE",VLOOKUP(Q262,'[3]Velocidades Std 1500 w'!$B$17:$F$28,5,FALSE),IF(P262="ALUMINIO",VLOOKUP(Q262,'[3]Velocidades Std 1500 w'!$B$30:$F$38,5,FALSE))))</f>
        <v>2.0080321285140564E-6</v>
      </c>
      <c r="S262" s="82">
        <f t="shared" si="31"/>
        <v>1.0040160642570283E-2</v>
      </c>
      <c r="T262" s="83">
        <f t="shared" si="32"/>
        <v>0</v>
      </c>
      <c r="U262" s="307">
        <f t="shared" si="33"/>
        <v>0</v>
      </c>
      <c r="V262" s="80">
        <f t="shared" si="44"/>
        <v>0</v>
      </c>
      <c r="W262" s="98">
        <v>0</v>
      </c>
      <c r="X262" s="84">
        <f>+IF(P262="ACERO A36",VLOOKUP(Q262,'[3]Tiempo Objeto'!$B$2:$C$12,2,FALSE),IF(P262="INOXIDABLE",VLOOKUP(Q262,'[3]Tiempo Objeto'!$B$14:$C$22,2,FALSE),IF(P262="ALUMINIO",VLOOKUP(Q262,'[3]Tiempo Objeto'!$B$24:$C$32,2,FALSE))))</f>
        <v>0.3133333333333333</v>
      </c>
      <c r="Y262" s="84">
        <f t="shared" si="35"/>
        <v>0</v>
      </c>
      <c r="Z262" s="80">
        <f t="shared" si="36"/>
        <v>0</v>
      </c>
      <c r="AA262" s="100">
        <v>0</v>
      </c>
      <c r="AB262" s="86">
        <f>+AA262*Analisis!$J$6</f>
        <v>0</v>
      </c>
      <c r="AC262" s="100">
        <v>0</v>
      </c>
      <c r="AD262" s="85">
        <f t="shared" si="37"/>
        <v>0</v>
      </c>
      <c r="AE262" s="86">
        <f>+AC262*Analisis!$J$7</f>
        <v>0</v>
      </c>
      <c r="AF262" s="308">
        <f>+H262*0.0254*I262*0.0254*2*(1+[3]Analisis!$G$2)</f>
        <v>0</v>
      </c>
      <c r="AG262" s="86">
        <f>+AF262*Analisis!$J$8</f>
        <v>0</v>
      </c>
      <c r="AH262" s="309">
        <f t="shared" si="42"/>
        <v>0</v>
      </c>
      <c r="AI262" s="86">
        <f>+AH262/(1-Analisis!G267)</f>
        <v>0</v>
      </c>
      <c r="AJ262" s="86">
        <f t="shared" si="38"/>
        <v>0</v>
      </c>
      <c r="AK262" s="86">
        <f t="shared" si="43"/>
        <v>0</v>
      </c>
      <c r="AL262" s="310" t="e">
        <f>+VLOOKUP(B262,#REF!,2,FALSE)</f>
        <v>#REF!</v>
      </c>
      <c r="AM262" s="311" t="e">
        <f t="shared" si="47"/>
        <v>#REF!</v>
      </c>
      <c r="AN262" s="312" t="e">
        <f t="shared" si="46"/>
        <v>#REF!</v>
      </c>
    </row>
    <row r="263" spans="1:40" s="73" customFormat="1" x14ac:dyDescent="0.25">
      <c r="A263" s="303">
        <v>202</v>
      </c>
      <c r="B263" s="304" t="s">
        <v>1040</v>
      </c>
      <c r="D263" s="74">
        <f>IFERROR(VLOOKUP(B263,'REQ. PINTADO'!B:C,2,0),0)</f>
        <v>0</v>
      </c>
      <c r="E263" s="305">
        <f t="shared" si="29"/>
        <v>136.52044978537612</v>
      </c>
      <c r="F263" s="103" t="s">
        <v>163</v>
      </c>
      <c r="G263" s="75" t="s">
        <v>147</v>
      </c>
      <c r="H263" s="90">
        <v>5.98</v>
      </c>
      <c r="I263" s="90">
        <v>6.62</v>
      </c>
      <c r="J263" s="76">
        <v>0.105</v>
      </c>
      <c r="K263" s="306">
        <v>1.18</v>
      </c>
      <c r="L263" s="78">
        <f t="shared" si="30"/>
        <v>27.704690905759819</v>
      </c>
      <c r="M263" s="58">
        <f>+VLOOKUP(F263,Material!$H$2:$M$17,6,FALSE)*H263*I263*(1+Material!$K$14)</f>
        <v>14.859788758543901</v>
      </c>
      <c r="N263" s="79" t="str">
        <f t="shared" si="48"/>
        <v>T5.0</v>
      </c>
      <c r="O263" s="80">
        <f>+VLOOKUP(N263,[3]Material!$A$3:$B$58,2,FALSE)</f>
        <v>5000</v>
      </c>
      <c r="P263" s="79" t="s">
        <v>42</v>
      </c>
      <c r="Q263" s="79" t="str">
        <f>+VLOOKUP(F263,[3]Material!$C$2:$E$12,2,FALSE)</f>
        <v>Cal 12</v>
      </c>
      <c r="R263" s="81">
        <f>+IF(P263="ACERO A36",VLOOKUP(Q263,'[3]Velocidades Std 1500 w'!$B$2:$F$15,5,FALSE),IF(P263="INOXIDABLE",VLOOKUP(Q263,'[3]Velocidades Std 1500 w'!$B$17:$F$28,5,FALSE),IF(P263="ALUMINIO",VLOOKUP(Q263,'[3]Velocidades Std 1500 w'!$B$30:$F$38,5,FALSE))))</f>
        <v>4.3859649122807014E-6</v>
      </c>
      <c r="S263" s="82">
        <f t="shared" si="31"/>
        <v>2.1929824561403508E-2</v>
      </c>
      <c r="T263" s="83">
        <f t="shared" si="32"/>
        <v>16.296773684210525</v>
      </c>
      <c r="U263" s="307">
        <f t="shared" si="33"/>
        <v>1032.1290000000001</v>
      </c>
      <c r="V263" s="80">
        <f t="shared" si="44"/>
        <v>22.634407894736842</v>
      </c>
      <c r="W263" s="98">
        <v>9</v>
      </c>
      <c r="X263" s="84">
        <f>+IF(P263="ACERO A36",VLOOKUP(Q263,'[3]Tiempo Objeto'!$B$2:$C$12,2,FALSE),IF(P263="INOXIDABLE",VLOOKUP(Q263,'[3]Tiempo Objeto'!$B$14:$C$22,2,FALSE),IF(P263="ALUMINIO",VLOOKUP(Q263,'[3]Tiempo Objeto'!$B$24:$C$32,2,FALSE))))</f>
        <v>0.6133333333333334</v>
      </c>
      <c r="Y263" s="84">
        <f t="shared" si="35"/>
        <v>5.5200000000000005</v>
      </c>
      <c r="Z263" s="80">
        <f t="shared" si="36"/>
        <v>7.6666666666666679</v>
      </c>
      <c r="AA263" s="100">
        <v>3</v>
      </c>
      <c r="AB263" s="86">
        <f>+AA263*Analisis!$J$6</f>
        <v>75</v>
      </c>
      <c r="AC263" s="100">
        <v>0</v>
      </c>
      <c r="AD263" s="85">
        <f t="shared" si="37"/>
        <v>0</v>
      </c>
      <c r="AE263" s="86">
        <f>+AC263*Analisis!$J$7</f>
        <v>0</v>
      </c>
      <c r="AF263" s="308">
        <f>+H263*0.0254*I263*0.0254*2*(1+[3]Analisis!$G$2)</f>
        <v>6.3850840039999995E-2</v>
      </c>
      <c r="AG263" s="86">
        <f>+AF263*Analisis!$J$8</f>
        <v>6.8031549804523825</v>
      </c>
      <c r="AH263" s="309">
        <f t="shared" si="42"/>
        <v>126.96401830039979</v>
      </c>
      <c r="AI263" s="86">
        <f>+AH263/(1-Analisis!G268)</f>
        <v>126.96401830039979</v>
      </c>
      <c r="AJ263" s="86">
        <f t="shared" si="38"/>
        <v>136.52044978537612</v>
      </c>
      <c r="AK263" s="86">
        <f t="shared" si="43"/>
        <v>0</v>
      </c>
      <c r="AL263" s="310" t="e">
        <f>+VLOOKUP(B263,#REF!,2,FALSE)</f>
        <v>#REF!</v>
      </c>
      <c r="AM263" s="311" t="e">
        <f t="shared" si="47"/>
        <v>#REF!</v>
      </c>
      <c r="AN263" s="312" t="e">
        <f t="shared" si="46"/>
        <v>#REF!</v>
      </c>
    </row>
    <row r="264" spans="1:40" s="73" customFormat="1" x14ac:dyDescent="0.25">
      <c r="A264" s="303">
        <v>203</v>
      </c>
      <c r="B264" s="304" t="s">
        <v>1041</v>
      </c>
      <c r="D264" s="74">
        <f>IFERROR(VLOOKUP(B264,'REQ. PINTADO'!B:C,2,0),0)</f>
        <v>0</v>
      </c>
      <c r="E264" s="305">
        <f t="shared" si="29"/>
        <v>155.26094146901181</v>
      </c>
      <c r="F264" s="103" t="s">
        <v>163</v>
      </c>
      <c r="G264" s="75" t="s">
        <v>147</v>
      </c>
      <c r="H264" s="90">
        <v>5.88</v>
      </c>
      <c r="I264" s="90">
        <v>6.58</v>
      </c>
      <c r="J264" s="76">
        <v>0.105</v>
      </c>
      <c r="K264" s="306">
        <v>1.1499999999999999</v>
      </c>
      <c r="L264" s="78">
        <f t="shared" si="30"/>
        <v>27.783152479538987</v>
      </c>
      <c r="M264" s="58">
        <f>+VLOOKUP(F264,Material!$H$2:$M$17,6,FALSE)*H264*I264*(1+Material!$K$14)</f>
        <v>14.523011523395377</v>
      </c>
      <c r="N264" s="79" t="str">
        <f t="shared" si="48"/>
        <v>T5.0</v>
      </c>
      <c r="O264" s="80">
        <f>+VLOOKUP(N264,[3]Material!$A$3:$B$58,2,FALSE)</f>
        <v>5000</v>
      </c>
      <c r="P264" s="79" t="s">
        <v>42</v>
      </c>
      <c r="Q264" s="79" t="str">
        <f>+VLOOKUP(F264,[3]Material!$C$2:$E$12,2,FALSE)</f>
        <v>Cal 12</v>
      </c>
      <c r="R264" s="81">
        <f>+IF(P264="ACERO A36",VLOOKUP(Q264,'[3]Velocidades Std 1500 w'!$B$2:$F$15,5,FALSE),IF(P264="INOXIDABLE",VLOOKUP(Q264,'[3]Velocidades Std 1500 w'!$B$17:$F$28,5,FALSE),IF(P264="ALUMINIO",VLOOKUP(Q264,'[3]Velocidades Std 1500 w'!$B$30:$F$38,5,FALSE))))</f>
        <v>4.3859649122807014E-6</v>
      </c>
      <c r="S264" s="82">
        <f t="shared" si="31"/>
        <v>2.1929824561403508E-2</v>
      </c>
      <c r="T264" s="83">
        <f t="shared" si="32"/>
        <v>13.652232631578947</v>
      </c>
      <c r="U264" s="307">
        <f t="shared" si="33"/>
        <v>864.64139999999998</v>
      </c>
      <c r="V264" s="80">
        <f t="shared" si="44"/>
        <v>18.961434210526313</v>
      </c>
      <c r="W264" s="98">
        <v>5</v>
      </c>
      <c r="X264" s="84">
        <f>+IF(P264="ACERO A36",VLOOKUP(Q264,'[3]Tiempo Objeto'!$B$2:$C$12,2,FALSE),IF(P264="INOXIDABLE",VLOOKUP(Q264,'[3]Tiempo Objeto'!$B$14:$C$22,2,FALSE),IF(P264="ALUMINIO",VLOOKUP(Q264,'[3]Tiempo Objeto'!$B$24:$C$32,2,FALSE))))</f>
        <v>0.6133333333333334</v>
      </c>
      <c r="Y264" s="84">
        <f t="shared" si="35"/>
        <v>3.0666666666666669</v>
      </c>
      <c r="Z264" s="80">
        <f t="shared" si="36"/>
        <v>4.2592592592592595</v>
      </c>
      <c r="AA264" s="100">
        <v>4</v>
      </c>
      <c r="AB264" s="86">
        <f>+AA264*Analisis!$J$6</f>
        <v>100</v>
      </c>
      <c r="AC264" s="100">
        <v>0</v>
      </c>
      <c r="AD264" s="85">
        <f t="shared" si="37"/>
        <v>0</v>
      </c>
      <c r="AE264" s="86">
        <f>+AC264*Analisis!$J$7</f>
        <v>0</v>
      </c>
      <c r="AF264" s="308">
        <f>+H264*0.0254*I264*0.0254*2*(1+[3]Analisis!$G$2)</f>
        <v>6.2403746159999995E-2</v>
      </c>
      <c r="AG264" s="86">
        <f>+AF264*Analisis!$J$8</f>
        <v>6.6489705730000015</v>
      </c>
      <c r="AH264" s="309">
        <f t="shared" si="42"/>
        <v>144.39267556618097</v>
      </c>
      <c r="AI264" s="86">
        <f>+AH264/(1-Analisis!G269)</f>
        <v>144.39267556618097</v>
      </c>
      <c r="AJ264" s="86">
        <f t="shared" si="38"/>
        <v>155.26094146901181</v>
      </c>
      <c r="AK264" s="86">
        <f t="shared" si="43"/>
        <v>0</v>
      </c>
      <c r="AL264" s="310" t="e">
        <f>+VLOOKUP(B264,#REF!,2,FALSE)</f>
        <v>#REF!</v>
      </c>
      <c r="AM264" s="311" t="e">
        <f t="shared" si="47"/>
        <v>#REF!</v>
      </c>
      <c r="AN264" s="312" t="e">
        <f t="shared" si="46"/>
        <v>#REF!</v>
      </c>
    </row>
    <row r="265" spans="1:40" s="73" customFormat="1" x14ac:dyDescent="0.25">
      <c r="A265" s="303">
        <v>204</v>
      </c>
      <c r="B265" s="304" t="s">
        <v>1042</v>
      </c>
      <c r="D265" s="74">
        <f>IFERROR(VLOOKUP(B265,'REQ. PINTADO'!B:C,2,0),0)</f>
        <v>0</v>
      </c>
      <c r="E265" s="305">
        <f t="shared" si="29"/>
        <v>72.909198793907223</v>
      </c>
      <c r="F265" s="103" t="s">
        <v>163</v>
      </c>
      <c r="G265" s="75" t="s">
        <v>147</v>
      </c>
      <c r="H265" s="90">
        <v>3</v>
      </c>
      <c r="I265" s="90">
        <v>3.24</v>
      </c>
      <c r="J265" s="76">
        <v>0.105</v>
      </c>
      <c r="K265" s="306">
        <v>0.28999999999999998</v>
      </c>
      <c r="L265" s="78">
        <f t="shared" si="30"/>
        <v>27.678618523590529</v>
      </c>
      <c r="M265" s="58">
        <f>+VLOOKUP(F265,Material!$H$2:$M$17,6,FALSE)*H265*I265*(1+Material!$K$14)</f>
        <v>3.6485451690187514</v>
      </c>
      <c r="N265" s="79" t="str">
        <f t="shared" si="48"/>
        <v>T5.0</v>
      </c>
      <c r="O265" s="80">
        <f>+VLOOKUP(N265,[3]Material!$A$3:$B$58,2,FALSE)</f>
        <v>5000</v>
      </c>
      <c r="P265" s="79" t="s">
        <v>42</v>
      </c>
      <c r="Q265" s="79" t="str">
        <f>+VLOOKUP(F265,[3]Material!$C$2:$E$12,2,FALSE)</f>
        <v>Cal 12</v>
      </c>
      <c r="R265" s="81">
        <f>+IF(P265="ACERO A36",VLOOKUP(Q265,'[3]Velocidades Std 1500 w'!$B$2:$F$15,5,FALSE),IF(P265="INOXIDABLE",VLOOKUP(Q265,'[3]Velocidades Std 1500 w'!$B$17:$F$28,5,FALSE),IF(P265="ALUMINIO",VLOOKUP(Q265,'[3]Velocidades Std 1500 w'!$B$30:$F$38,5,FALSE))))</f>
        <v>4.3859649122807014E-6</v>
      </c>
      <c r="S265" s="82">
        <f t="shared" si="31"/>
        <v>2.1929824561403508E-2</v>
      </c>
      <c r="T265" s="83">
        <f t="shared" si="32"/>
        <v>7.1503673684210529</v>
      </c>
      <c r="U265" s="307">
        <f t="shared" si="33"/>
        <v>452.85660000000001</v>
      </c>
      <c r="V265" s="80">
        <f t="shared" si="44"/>
        <v>9.9310657894736831</v>
      </c>
      <c r="W265" s="98">
        <v>3</v>
      </c>
      <c r="X265" s="84">
        <f>+IF(P265="ACERO A36",VLOOKUP(Q265,'[3]Tiempo Objeto'!$B$2:$C$12,2,FALSE),IF(P265="INOXIDABLE",VLOOKUP(Q265,'[3]Tiempo Objeto'!$B$14:$C$22,2,FALSE),IF(P265="ALUMINIO",VLOOKUP(Q265,'[3]Tiempo Objeto'!$B$24:$C$32,2,FALSE))))</f>
        <v>0.6133333333333334</v>
      </c>
      <c r="Y265" s="84">
        <f t="shared" si="35"/>
        <v>1.8400000000000003</v>
      </c>
      <c r="Z265" s="80">
        <f t="shared" si="36"/>
        <v>2.5555555555555562</v>
      </c>
      <c r="AA265" s="100">
        <v>2</v>
      </c>
      <c r="AB265" s="86">
        <f>+AA265*Analisis!$J$6</f>
        <v>50</v>
      </c>
      <c r="AC265" s="100">
        <v>0</v>
      </c>
      <c r="AD265" s="85">
        <f t="shared" si="37"/>
        <v>0</v>
      </c>
      <c r="AE265" s="86">
        <f>+AC265*Analisis!$J$7</f>
        <v>0</v>
      </c>
      <c r="AF265" s="308">
        <f>+H265*0.0254*I265*0.0254*2*(1+[3]Analisis!$G$2)</f>
        <v>1.5677388E-2</v>
      </c>
      <c r="AG265" s="86">
        <f>+AF265*Analisis!$J$8</f>
        <v>1.6703883642857149</v>
      </c>
      <c r="AH265" s="309">
        <f t="shared" si="42"/>
        <v>67.805554878333709</v>
      </c>
      <c r="AI265" s="86">
        <f>+AH265/(1-Analisis!G270)</f>
        <v>67.805554878333709</v>
      </c>
      <c r="AJ265" s="86">
        <f t="shared" si="38"/>
        <v>72.909198793907223</v>
      </c>
      <c r="AK265" s="86">
        <f t="shared" si="43"/>
        <v>0</v>
      </c>
      <c r="AL265" s="310" t="e">
        <f>+VLOOKUP(B265,#REF!,2,FALSE)</f>
        <v>#REF!</v>
      </c>
      <c r="AM265" s="311" t="e">
        <f t="shared" si="47"/>
        <v>#REF!</v>
      </c>
      <c r="AN265" s="312" t="e">
        <f t="shared" si="46"/>
        <v>#REF!</v>
      </c>
    </row>
    <row r="266" spans="1:40" s="73" customFormat="1" x14ac:dyDescent="0.25">
      <c r="A266" s="303">
        <v>205</v>
      </c>
      <c r="B266" s="304" t="s">
        <v>1045</v>
      </c>
      <c r="D266" s="74">
        <f>IFERROR(VLOOKUP(B266,'REQ. PINTADO'!B:C,2,0),0)</f>
        <v>0</v>
      </c>
      <c r="E266" s="305">
        <f t="shared" si="29"/>
        <v>2062.316376735947</v>
      </c>
      <c r="F266" s="103" t="s">
        <v>165</v>
      </c>
      <c r="G266" s="75" t="s">
        <v>147</v>
      </c>
      <c r="H266" s="90">
        <v>34.61</v>
      </c>
      <c r="I266" s="90">
        <v>90.82</v>
      </c>
      <c r="J266" s="76">
        <v>0.105</v>
      </c>
      <c r="K266" s="306">
        <v>70.53</v>
      </c>
      <c r="L266" s="78">
        <f t="shared" si="30"/>
        <v>40.75055767581172</v>
      </c>
      <c r="M266" s="58">
        <f>+VLOOKUP(F266,Material!$H$2:$M$17,6,FALSE)*H266*I266*(1+Material!$K$14)</f>
        <v>1306.4258331250001</v>
      </c>
      <c r="N266" s="79" t="str">
        <f t="shared" si="48"/>
        <v>T5.0</v>
      </c>
      <c r="O266" s="80">
        <f>+VLOOKUP(N266,[3]Material!$A$3:$B$58,2,FALSE)</f>
        <v>5000</v>
      </c>
      <c r="P266" s="79" t="s">
        <v>42</v>
      </c>
      <c r="Q266" s="79" t="str">
        <f>+VLOOKUP(F266,[3]Material!$C$2:$E$12,2,FALSE)</f>
        <v>Cal 14</v>
      </c>
      <c r="R266" s="81">
        <f>+IF(P266="ACERO A36",VLOOKUP(Q266,'[3]Velocidades Std 1500 w'!$B$2:$F$15,5,FALSE),IF(P266="INOXIDABLE",VLOOKUP(Q266,'[3]Velocidades Std 1500 w'!$B$17:$F$28,5,FALSE),IF(P266="ALUMINIO",VLOOKUP(Q266,'[3]Velocidades Std 1500 w'!$B$30:$F$38,5,FALSE))))</f>
        <v>2.0080321285140564E-6</v>
      </c>
      <c r="S266" s="82">
        <f t="shared" si="31"/>
        <v>1.0040160642570283E-2</v>
      </c>
      <c r="T266" s="83">
        <f t="shared" si="32"/>
        <v>46.987951807228917</v>
      </c>
      <c r="U266" s="307">
        <v>6500</v>
      </c>
      <c r="V266" s="80">
        <f t="shared" si="44"/>
        <v>65.261044176706832</v>
      </c>
      <c r="W266" s="98">
        <v>14</v>
      </c>
      <c r="X266" s="84">
        <f>+IF(P266="ACERO A36",VLOOKUP(Q266,'[3]Tiempo Objeto'!$B$2:$C$12,2,FALSE),IF(P266="INOXIDABLE",VLOOKUP(Q266,'[3]Tiempo Objeto'!$B$14:$C$22,2,FALSE),IF(P266="ALUMINIO",VLOOKUP(Q266,'[3]Tiempo Objeto'!$B$24:$C$32,2,FALSE))))</f>
        <v>0.3133333333333333</v>
      </c>
      <c r="Y266" s="84">
        <f t="shared" si="35"/>
        <v>4.3866666666666658</v>
      </c>
      <c r="Z266" s="80">
        <f t="shared" si="36"/>
        <v>6.0925925925925917</v>
      </c>
      <c r="AA266" s="100">
        <v>0</v>
      </c>
      <c r="AB266" s="86">
        <f>+AA266*Analisis!$J$6</f>
        <v>0</v>
      </c>
      <c r="AC266" s="100">
        <v>0</v>
      </c>
      <c r="AD266" s="85">
        <f t="shared" si="37"/>
        <v>0</v>
      </c>
      <c r="AE266" s="86">
        <f>+AC266*Analisis!$J$7</f>
        <v>0</v>
      </c>
      <c r="AF266" s="308">
        <f>+H266*0.0254*I266*0.0254*2*(1+[3]Analisis!$G$2)</f>
        <v>5.0697966345799994</v>
      </c>
      <c r="AG266" s="86">
        <f>+AF266*Analisis!$J$8</f>
        <v>540.1747604701311</v>
      </c>
      <c r="AH266" s="309">
        <f t="shared" ref="AH266:AH329" si="49">+AE266+AB266+Z266+V266+M266+AG266</f>
        <v>1917.9542303644305</v>
      </c>
      <c r="AI266" s="86">
        <f>+AH266/(1-Analisis!G271)</f>
        <v>1917.9542303644305</v>
      </c>
      <c r="AJ266" s="86">
        <f t="shared" si="38"/>
        <v>2062.316376735947</v>
      </c>
      <c r="AK266" s="86">
        <f t="shared" ref="AK266:AK329" si="50">+AJ266*D266</f>
        <v>0</v>
      </c>
      <c r="AL266" s="310" t="e">
        <f>+VLOOKUP(B266,#REF!,2,FALSE)</f>
        <v>#REF!</v>
      </c>
      <c r="AM266" s="311" t="e">
        <f t="shared" si="47"/>
        <v>#REF!</v>
      </c>
      <c r="AN266" s="312" t="e">
        <f t="shared" si="46"/>
        <v>#REF!</v>
      </c>
    </row>
    <row r="267" spans="1:40" s="73" customFormat="1" x14ac:dyDescent="0.25">
      <c r="A267" s="303">
        <v>206</v>
      </c>
      <c r="B267" s="304" t="s">
        <v>1046</v>
      </c>
      <c r="D267" s="74">
        <f>IFERROR(VLOOKUP(B267,'REQ. PINTADO'!B:C,2,0),0)</f>
        <v>0</v>
      </c>
      <c r="E267" s="305">
        <f t="shared" si="29"/>
        <v>285.03758882880697</v>
      </c>
      <c r="F267" s="103" t="s">
        <v>163</v>
      </c>
      <c r="G267" s="75" t="s">
        <v>147</v>
      </c>
      <c r="H267" s="90">
        <v>8.0500000000000007</v>
      </c>
      <c r="I267" s="90">
        <v>32.549999999999997</v>
      </c>
      <c r="J267" s="76">
        <v>0.105</v>
      </c>
      <c r="K267" s="306">
        <v>8.0399999999999991</v>
      </c>
      <c r="L267" s="78">
        <f t="shared" si="30"/>
        <v>26.913300938787728</v>
      </c>
      <c r="M267" s="58">
        <f>+VLOOKUP(F267,Material!$H$2:$M$17,6,FALSE)*H267*I267*(1+Material!$K$14)</f>
        <v>98.355881612660582</v>
      </c>
      <c r="N267" s="79" t="str">
        <f t="shared" si="48"/>
        <v>T5.0</v>
      </c>
      <c r="O267" s="80">
        <f>+VLOOKUP(N267,[3]Material!$A$3:$B$58,2,FALSE)</f>
        <v>5000</v>
      </c>
      <c r="P267" s="79" t="s">
        <v>42</v>
      </c>
      <c r="Q267" s="79" t="str">
        <f>+VLOOKUP(F267,[3]Material!$C$2:$E$12,2,FALSE)</f>
        <v>Cal 12</v>
      </c>
      <c r="R267" s="81">
        <f>+IF(P267="ACERO A36",VLOOKUP(Q267,'[3]Velocidades Std 1500 w'!$B$2:$F$15,5,FALSE),IF(P267="INOXIDABLE",VLOOKUP(Q267,'[3]Velocidades Std 1500 w'!$B$17:$F$28,5,FALSE),IF(P267="ALUMINIO",VLOOKUP(Q267,'[3]Velocidades Std 1500 w'!$B$30:$F$38,5,FALSE))))</f>
        <v>4.3859649122807014E-6</v>
      </c>
      <c r="S267" s="82">
        <f t="shared" si="31"/>
        <v>2.1929824561403508E-2</v>
      </c>
      <c r="T267" s="83">
        <f t="shared" si="32"/>
        <v>43.036957894736837</v>
      </c>
      <c r="U267" s="307">
        <f t="shared" si="33"/>
        <v>2725.674</v>
      </c>
      <c r="V267" s="80">
        <f t="shared" si="44"/>
        <v>59.773552631578944</v>
      </c>
      <c r="W267" s="98">
        <v>14</v>
      </c>
      <c r="X267" s="84">
        <f>+IF(P267="ACERO A36",VLOOKUP(Q267,'[3]Tiempo Objeto'!$B$2:$C$12,2,FALSE),IF(P267="INOXIDABLE",VLOOKUP(Q267,'[3]Tiempo Objeto'!$B$14:$C$22,2,FALSE),IF(P267="ALUMINIO",VLOOKUP(Q267,'[3]Tiempo Objeto'!$B$24:$C$32,2,FALSE))))</f>
        <v>0.6133333333333334</v>
      </c>
      <c r="Y267" s="84">
        <f t="shared" si="35"/>
        <v>8.5866666666666678</v>
      </c>
      <c r="Z267" s="80">
        <f t="shared" si="36"/>
        <v>11.925925925925927</v>
      </c>
      <c r="AA267" s="100">
        <v>2</v>
      </c>
      <c r="AB267" s="86">
        <f>+AA267*Analisis!$J$6</f>
        <v>50</v>
      </c>
      <c r="AC267" s="100">
        <v>0</v>
      </c>
      <c r="AD267" s="85">
        <f t="shared" si="37"/>
        <v>0</v>
      </c>
      <c r="AE267" s="86">
        <f>+AC267*Analisis!$J$7</f>
        <v>0</v>
      </c>
      <c r="AF267" s="308">
        <f>+H267*0.0254*I267*0.0254*2*(1+[3]Analisis!$G$2)</f>
        <v>0.42262415475000004</v>
      </c>
      <c r="AG267" s="86">
        <f>+AF267*Analisis!$J$8</f>
        <v>45.029597440625018</v>
      </c>
      <c r="AH267" s="309">
        <f t="shared" si="49"/>
        <v>265.08495761079047</v>
      </c>
      <c r="AI267" s="86">
        <f>+AH267/(1-Analisis!G272)</f>
        <v>265.08495761079047</v>
      </c>
      <c r="AJ267" s="86">
        <f t="shared" si="38"/>
        <v>285.03758882880697</v>
      </c>
      <c r="AK267" s="86">
        <f t="shared" si="50"/>
        <v>0</v>
      </c>
      <c r="AL267" s="310" t="e">
        <f>+VLOOKUP(B267,#REF!,2,FALSE)</f>
        <v>#REF!</v>
      </c>
      <c r="AM267" s="311" t="e">
        <f t="shared" si="47"/>
        <v>#REF!</v>
      </c>
      <c r="AN267" s="312" t="e">
        <f t="shared" si="46"/>
        <v>#REF!</v>
      </c>
    </row>
    <row r="268" spans="1:40" s="73" customFormat="1" x14ac:dyDescent="0.25">
      <c r="A268" s="303">
        <v>207</v>
      </c>
      <c r="B268" s="304" t="s">
        <v>1047</v>
      </c>
      <c r="D268" s="74">
        <f>IFERROR(VLOOKUP(B268,'REQ. PINTADO'!B:C,2,0),0)</f>
        <v>0</v>
      </c>
      <c r="E268" s="305">
        <f t="shared" si="29"/>
        <v>315.6530688192363</v>
      </c>
      <c r="F268" s="103" t="s">
        <v>163</v>
      </c>
      <c r="G268" s="75" t="s">
        <v>147</v>
      </c>
      <c r="H268" s="90">
        <v>9.5500000000000007</v>
      </c>
      <c r="I268" s="90">
        <v>32.549999999999997</v>
      </c>
      <c r="J268" s="76">
        <v>0.105</v>
      </c>
      <c r="K268" s="306">
        <v>9.0500000000000007</v>
      </c>
      <c r="L268" s="78">
        <f t="shared" si="30"/>
        <v>28.364943861665676</v>
      </c>
      <c r="M268" s="58">
        <f>+VLOOKUP(F268,Material!$H$2:$M$17,6,FALSE)*H268*I268*(1+Material!$K$14)</f>
        <v>116.68306452185197</v>
      </c>
      <c r="N268" s="79" t="str">
        <f t="shared" si="48"/>
        <v>T5.0</v>
      </c>
      <c r="O268" s="80">
        <f>+VLOOKUP(N268,[3]Material!$A$3:$B$58,2,FALSE)</f>
        <v>5000</v>
      </c>
      <c r="P268" s="79" t="s">
        <v>42</v>
      </c>
      <c r="Q268" s="79" t="str">
        <f>+VLOOKUP(F268,[3]Material!$C$2:$E$12,2,FALSE)</f>
        <v>Cal 12</v>
      </c>
      <c r="R268" s="81">
        <f>+IF(P268="ACERO A36",VLOOKUP(Q268,'[3]Velocidades Std 1500 w'!$B$2:$F$15,5,FALSE),IF(P268="INOXIDABLE",VLOOKUP(Q268,'[3]Velocidades Std 1500 w'!$B$17:$F$28,5,FALSE),IF(P268="ALUMINIO",VLOOKUP(Q268,'[3]Velocidades Std 1500 w'!$B$30:$F$38,5,FALSE))))</f>
        <v>4.3859649122807014E-6</v>
      </c>
      <c r="S268" s="82">
        <f t="shared" si="31"/>
        <v>2.1929824561403508E-2</v>
      </c>
      <c r="T268" s="83">
        <f t="shared" si="32"/>
        <v>44.300273684210516</v>
      </c>
      <c r="U268" s="307">
        <f t="shared" si="33"/>
        <v>2805.6839999999997</v>
      </c>
      <c r="V268" s="80">
        <f t="shared" si="44"/>
        <v>61.528157894736836</v>
      </c>
      <c r="W268" s="98">
        <v>14</v>
      </c>
      <c r="X268" s="84">
        <f>+IF(P268="ACERO A36",VLOOKUP(Q268,'[3]Tiempo Objeto'!$B$2:$C$12,2,FALSE),IF(P268="INOXIDABLE",VLOOKUP(Q268,'[3]Tiempo Objeto'!$B$14:$C$22,2,FALSE),IF(P268="ALUMINIO",VLOOKUP(Q268,'[3]Tiempo Objeto'!$B$24:$C$32,2,FALSE))))</f>
        <v>0.6133333333333334</v>
      </c>
      <c r="Y268" s="84">
        <f t="shared" si="35"/>
        <v>8.5866666666666678</v>
      </c>
      <c r="Z268" s="80">
        <f t="shared" si="36"/>
        <v>11.925925925925927</v>
      </c>
      <c r="AA268" s="100">
        <v>2</v>
      </c>
      <c r="AB268" s="86">
        <f>+AA268*Analisis!$J$6</f>
        <v>50</v>
      </c>
      <c r="AC268" s="100">
        <v>0</v>
      </c>
      <c r="AD268" s="85">
        <f t="shared" si="37"/>
        <v>0</v>
      </c>
      <c r="AE268" s="86">
        <f>+AC268*Analisis!$J$7</f>
        <v>0</v>
      </c>
      <c r="AF268" s="308">
        <f>+H268*0.0254*I268*0.0254*2*(1+[3]Analisis!$G$2)</f>
        <v>0.50137399724999998</v>
      </c>
      <c r="AG268" s="86">
        <f>+AF268*Analisis!$J$8</f>
        <v>53.420205659375014</v>
      </c>
      <c r="AH268" s="309">
        <f t="shared" si="49"/>
        <v>293.55735400188973</v>
      </c>
      <c r="AI268" s="86">
        <f>+AH268/(1-Analisis!G273)</f>
        <v>293.55735400188973</v>
      </c>
      <c r="AJ268" s="86">
        <f t="shared" si="38"/>
        <v>315.6530688192363</v>
      </c>
      <c r="AK268" s="86">
        <f t="shared" si="50"/>
        <v>0</v>
      </c>
      <c r="AL268" s="310" t="e">
        <f>+VLOOKUP(B268,#REF!,2,FALSE)</f>
        <v>#REF!</v>
      </c>
      <c r="AM268" s="311" t="e">
        <f t="shared" si="47"/>
        <v>#REF!</v>
      </c>
      <c r="AN268" s="312" t="e">
        <f t="shared" si="46"/>
        <v>#REF!</v>
      </c>
    </row>
    <row r="269" spans="1:40" s="73" customFormat="1" x14ac:dyDescent="0.25">
      <c r="A269" s="303">
        <v>208</v>
      </c>
      <c r="B269" s="304" t="s">
        <v>1048</v>
      </c>
      <c r="D269" s="74">
        <f>IFERROR(VLOOKUP(B269,'REQ. PINTADO'!B:C,2,0),0)</f>
        <v>0</v>
      </c>
      <c r="E269" s="305">
        <f t="shared" si="29"/>
        <v>253.1787864874423</v>
      </c>
      <c r="F269" s="103" t="s">
        <v>163</v>
      </c>
      <c r="G269" s="75" t="s">
        <v>147</v>
      </c>
      <c r="H269" s="90">
        <v>8.11</v>
      </c>
      <c r="I269" s="90">
        <v>27.68</v>
      </c>
      <c r="J269" s="76">
        <v>0.105</v>
      </c>
      <c r="K269" s="306">
        <v>6.88</v>
      </c>
      <c r="L269" s="78">
        <f t="shared" si="30"/>
        <v>26.944780176750008</v>
      </c>
      <c r="M269" s="58">
        <f>+VLOOKUP(F269,Material!$H$2:$M$17,6,FALSE)*H269*I269*(1+Material!$K$14)</f>
        <v>84.263676189109106</v>
      </c>
      <c r="N269" s="79" t="str">
        <f t="shared" si="48"/>
        <v>T5.0</v>
      </c>
      <c r="O269" s="80">
        <f>+VLOOKUP(N269,[3]Material!$A$3:$B$58,2,FALSE)</f>
        <v>5000</v>
      </c>
      <c r="P269" s="79" t="s">
        <v>42</v>
      </c>
      <c r="Q269" s="79" t="str">
        <f>+VLOOKUP(F269,[3]Material!$C$2:$E$12,2,FALSE)</f>
        <v>Cal 12</v>
      </c>
      <c r="R269" s="81">
        <f>+IF(P269="ACERO A36",VLOOKUP(Q269,'[3]Velocidades Std 1500 w'!$B$2:$F$15,5,FALSE),IF(P269="INOXIDABLE",VLOOKUP(Q269,'[3]Velocidades Std 1500 w'!$B$17:$F$28,5,FALSE),IF(P269="ALUMINIO",VLOOKUP(Q269,'[3]Velocidades Std 1500 w'!$B$30:$F$38,5,FALSE))))</f>
        <v>4.3859649122807014E-6</v>
      </c>
      <c r="S269" s="82">
        <f t="shared" si="31"/>
        <v>2.1929824561403508E-2</v>
      </c>
      <c r="T269" s="83">
        <f t="shared" si="32"/>
        <v>37.722609473684209</v>
      </c>
      <c r="U269" s="307">
        <f t="shared" si="33"/>
        <v>2389.0985999999998</v>
      </c>
      <c r="V269" s="80">
        <f t="shared" si="44"/>
        <v>52.392513157894733</v>
      </c>
      <c r="W269" s="98">
        <v>12</v>
      </c>
      <c r="X269" s="84">
        <f>+IF(P269="ACERO A36",VLOOKUP(Q269,'[3]Tiempo Objeto'!$B$2:$C$12,2,FALSE),IF(P269="INOXIDABLE",VLOOKUP(Q269,'[3]Tiempo Objeto'!$B$14:$C$22,2,FALSE),IF(P269="ALUMINIO",VLOOKUP(Q269,'[3]Tiempo Objeto'!$B$24:$C$32,2,FALSE))))</f>
        <v>0.6133333333333334</v>
      </c>
      <c r="Y269" s="84">
        <f t="shared" si="35"/>
        <v>7.3600000000000012</v>
      </c>
      <c r="Z269" s="80">
        <f t="shared" si="36"/>
        <v>10.222222222222225</v>
      </c>
      <c r="AA269" s="100">
        <v>2</v>
      </c>
      <c r="AB269" s="86">
        <f>+AA269*Analisis!$J$6</f>
        <v>50</v>
      </c>
      <c r="AC269" s="100">
        <v>0</v>
      </c>
      <c r="AD269" s="85">
        <f t="shared" si="37"/>
        <v>0</v>
      </c>
      <c r="AE269" s="86">
        <f>+AC269*Analisis!$J$7</f>
        <v>0</v>
      </c>
      <c r="AF269" s="308">
        <f>+H269*0.0254*I269*0.0254*2*(1+[3]Analisis!$G$2)</f>
        <v>0.36207153391999991</v>
      </c>
      <c r="AG269" s="86">
        <f>+AF269*Analisis!$J$8</f>
        <v>38.577859864095238</v>
      </c>
      <c r="AH269" s="309">
        <f t="shared" si="49"/>
        <v>235.45627143332132</v>
      </c>
      <c r="AI269" s="86">
        <f>+AH269/(1-Analisis!G274)</f>
        <v>235.45627143332132</v>
      </c>
      <c r="AJ269" s="86">
        <f t="shared" si="38"/>
        <v>253.1787864874423</v>
      </c>
      <c r="AK269" s="86">
        <f t="shared" si="50"/>
        <v>0</v>
      </c>
      <c r="AL269" s="310" t="e">
        <f>+VLOOKUP(B269,#REF!,2,FALSE)</f>
        <v>#REF!</v>
      </c>
      <c r="AM269" s="311" t="e">
        <f t="shared" si="47"/>
        <v>#REF!</v>
      </c>
      <c r="AN269" s="312" t="e">
        <f t="shared" si="46"/>
        <v>#REF!</v>
      </c>
    </row>
    <row r="270" spans="1:40" s="73" customFormat="1" x14ac:dyDescent="0.25">
      <c r="A270" s="303">
        <v>209</v>
      </c>
      <c r="B270" s="304" t="s">
        <v>1049</v>
      </c>
      <c r="D270" s="74">
        <f>IFERROR(VLOOKUP(B270,'REQ. PINTADO'!B:C,2,0),0)</f>
        <v>0</v>
      </c>
      <c r="E270" s="305">
        <f t="shared" si="29"/>
        <v>233.84371160038253</v>
      </c>
      <c r="F270" s="103" t="s">
        <v>166</v>
      </c>
      <c r="G270" s="75" t="s">
        <v>147</v>
      </c>
      <c r="H270" s="90">
        <v>8.43</v>
      </c>
      <c r="I270" s="90">
        <v>29.11</v>
      </c>
      <c r="J270" s="76">
        <v>0.105</v>
      </c>
      <c r="K270" s="306">
        <v>4.18</v>
      </c>
      <c r="L270" s="78">
        <f t="shared" si="30"/>
        <v>29.273278231218807</v>
      </c>
      <c r="M270" s="58">
        <f>+VLOOKUP(F270,Material!$H$2:$M$17,6,FALSE)*H270*I270*(1+Material!$K$14)</f>
        <v>55.619228639315722</v>
      </c>
      <c r="N270" s="79" t="str">
        <f t="shared" si="48"/>
        <v>T5.0</v>
      </c>
      <c r="O270" s="80">
        <f>+VLOOKUP(N270,[3]Material!$A$3:$B$58,2,FALSE)</f>
        <v>5000</v>
      </c>
      <c r="P270" s="79" t="s">
        <v>42</v>
      </c>
      <c r="Q270" s="79" t="str">
        <f>+VLOOKUP(F270,[3]Material!$C$2:$E$12,2,FALSE)</f>
        <v>Cal 16</v>
      </c>
      <c r="R270" s="81">
        <f>+IF(P270="ACERO A36",VLOOKUP(Q270,'[3]Velocidades Std 1500 w'!$B$2:$F$15,5,FALSE),IF(P270="INOXIDABLE",VLOOKUP(Q270,'[3]Velocidades Std 1500 w'!$B$17:$F$28,5,FALSE),IF(P270="ALUMINIO",VLOOKUP(Q270,'[3]Velocidades Std 1500 w'!$B$30:$F$38,5,FALSE))))</f>
        <v>9.1575091575091579E-7</v>
      </c>
      <c r="S270" s="82">
        <f t="shared" si="31"/>
        <v>4.578754578754579E-3</v>
      </c>
      <c r="T270" s="83">
        <f t="shared" si="32"/>
        <v>9.2389569230769233</v>
      </c>
      <c r="U270" s="307">
        <f t="shared" si="33"/>
        <v>2802.4836</v>
      </c>
      <c r="V270" s="80">
        <f t="shared" si="44"/>
        <v>12.831884615384617</v>
      </c>
      <c r="W270" s="98">
        <v>20</v>
      </c>
      <c r="X270" s="84">
        <f>+IF(P270="ACERO A36",VLOOKUP(Q270,'[3]Tiempo Objeto'!$B$2:$C$12,2,FALSE),IF(P270="INOXIDABLE",VLOOKUP(Q270,'[3]Tiempo Objeto'!$B$14:$C$22,2,FALSE),IF(P270="ALUMINIO",VLOOKUP(Q270,'[3]Tiempo Objeto'!$B$24:$C$32,2,FALSE))))</f>
        <v>0.24666666666666667</v>
      </c>
      <c r="Y270" s="84">
        <f t="shared" si="35"/>
        <v>4.9333333333333336</v>
      </c>
      <c r="Z270" s="80">
        <f t="shared" si="36"/>
        <v>6.8518518518518521</v>
      </c>
      <c r="AA270" s="100">
        <v>4</v>
      </c>
      <c r="AB270" s="86">
        <f>+AA270*Analisis!$J$6</f>
        <v>100</v>
      </c>
      <c r="AC270" s="100">
        <v>0</v>
      </c>
      <c r="AD270" s="85">
        <f t="shared" si="37"/>
        <v>0</v>
      </c>
      <c r="AE270" s="86">
        <f>+AC270*Analisis!$J$7</f>
        <v>0</v>
      </c>
      <c r="AF270" s="308">
        <f>+H270*0.0254*I270*0.0254*2*(1+[3]Analisis!$G$2)</f>
        <v>0.39580130516999995</v>
      </c>
      <c r="AG270" s="86">
        <f>+AF270*Analisis!$J$8</f>
        <v>42.171686681803578</v>
      </c>
      <c r="AH270" s="309">
        <f t="shared" si="49"/>
        <v>217.47465178835574</v>
      </c>
      <c r="AI270" s="86">
        <f>+AH270/(1-Analisis!G275)</f>
        <v>217.47465178835574</v>
      </c>
      <c r="AJ270" s="86">
        <f t="shared" si="38"/>
        <v>233.84371160038253</v>
      </c>
      <c r="AK270" s="86">
        <f t="shared" si="50"/>
        <v>0</v>
      </c>
      <c r="AL270" s="310" t="e">
        <f>+VLOOKUP(B270,#REF!,2,FALSE)</f>
        <v>#REF!</v>
      </c>
      <c r="AM270" s="311" t="e">
        <f t="shared" si="47"/>
        <v>#REF!</v>
      </c>
      <c r="AN270" s="312" t="e">
        <f t="shared" si="46"/>
        <v>#REF!</v>
      </c>
    </row>
    <row r="271" spans="1:40" s="73" customFormat="1" x14ac:dyDescent="0.25">
      <c r="A271" s="303">
        <v>210</v>
      </c>
      <c r="B271" s="304" t="s">
        <v>1050</v>
      </c>
      <c r="D271" s="74">
        <f>IFERROR(VLOOKUP(B271,'REQ. PINTADO'!B:C,2,0),0)</f>
        <v>0</v>
      </c>
      <c r="E271" s="305">
        <f t="shared" si="29"/>
        <v>124.77698370864042</v>
      </c>
      <c r="F271" s="103" t="s">
        <v>166</v>
      </c>
      <c r="G271" s="75" t="s">
        <v>147</v>
      </c>
      <c r="H271" s="90">
        <v>2.4900000000000002</v>
      </c>
      <c r="I271" s="90">
        <v>31</v>
      </c>
      <c r="J271" s="76">
        <v>0.105</v>
      </c>
      <c r="K271" s="306">
        <v>1.32</v>
      </c>
      <c r="L271" s="78">
        <f t="shared" si="30"/>
        <v>29.158486113938377</v>
      </c>
      <c r="M271" s="58">
        <f>+VLOOKUP(F271,Material!$H$2:$M$17,6,FALSE)*H271*I271*(1+Material!$K$14)</f>
        <v>17.495091668363024</v>
      </c>
      <c r="N271" s="79" t="str">
        <f t="shared" si="48"/>
        <v>T5.0</v>
      </c>
      <c r="O271" s="80">
        <f>+VLOOKUP(N271,[3]Material!$A$3:$B$58,2,FALSE)</f>
        <v>5000</v>
      </c>
      <c r="P271" s="79" t="s">
        <v>42</v>
      </c>
      <c r="Q271" s="79" t="str">
        <f>+VLOOKUP(F271,[3]Material!$C$2:$E$12,2,FALSE)</f>
        <v>Cal 16</v>
      </c>
      <c r="R271" s="81">
        <f>+IF(P271="ACERO A36",VLOOKUP(Q271,'[3]Velocidades Std 1500 w'!$B$2:$F$15,5,FALSE),IF(P271="INOXIDABLE",VLOOKUP(Q271,'[3]Velocidades Std 1500 w'!$B$17:$F$28,5,FALSE),IF(P271="ALUMINIO",VLOOKUP(Q271,'[3]Velocidades Std 1500 w'!$B$30:$F$38,5,FALSE))))</f>
        <v>9.1575091575091579E-7</v>
      </c>
      <c r="S271" s="82">
        <f t="shared" si="31"/>
        <v>4.578754578754579E-3</v>
      </c>
      <c r="T271" s="83">
        <f t="shared" si="32"/>
        <v>6.4166261538461544</v>
      </c>
      <c r="U271" s="307">
        <f t="shared" si="33"/>
        <v>1946.3766000000001</v>
      </c>
      <c r="V271" s="80">
        <f t="shared" si="44"/>
        <v>8.9119807692307695</v>
      </c>
      <c r="W271" s="98">
        <v>4</v>
      </c>
      <c r="X271" s="84">
        <f>+IF(P271="ACERO A36",VLOOKUP(Q271,'[3]Tiempo Objeto'!$B$2:$C$12,2,FALSE),IF(P271="INOXIDABLE",VLOOKUP(Q271,'[3]Tiempo Objeto'!$B$14:$C$22,2,FALSE),IF(P271="ALUMINIO",VLOOKUP(Q271,'[3]Tiempo Objeto'!$B$24:$C$32,2,FALSE))))</f>
        <v>0.24666666666666667</v>
      </c>
      <c r="Y271" s="84">
        <f t="shared" si="35"/>
        <v>0.98666666666666669</v>
      </c>
      <c r="Z271" s="80">
        <f t="shared" si="36"/>
        <v>1.3703703703703702</v>
      </c>
      <c r="AA271" s="100">
        <v>3</v>
      </c>
      <c r="AB271" s="86">
        <f>+AA271*Analisis!$J$6</f>
        <v>75</v>
      </c>
      <c r="AC271" s="100">
        <v>0</v>
      </c>
      <c r="AD271" s="85">
        <f t="shared" si="37"/>
        <v>0</v>
      </c>
      <c r="AE271" s="86">
        <f>+AC271*Analisis!$J$7</f>
        <v>0</v>
      </c>
      <c r="AF271" s="308">
        <f>+H271*0.0254*I271*0.0254*2*(1+[3]Analisis!$G$2)</f>
        <v>0.12449975099999999</v>
      </c>
      <c r="AG271" s="86">
        <f>+AF271*Analisis!$J$8</f>
        <v>13.265152041071431</v>
      </c>
      <c r="AH271" s="309">
        <f t="shared" si="49"/>
        <v>116.04259484903558</v>
      </c>
      <c r="AI271" s="86">
        <f>+AH271/(1-Analisis!G276)</f>
        <v>116.04259484903558</v>
      </c>
      <c r="AJ271" s="86">
        <f t="shared" si="38"/>
        <v>124.77698370864042</v>
      </c>
      <c r="AK271" s="86">
        <f t="shared" si="50"/>
        <v>0</v>
      </c>
      <c r="AL271" s="310" t="e">
        <f>+VLOOKUP(B271,#REF!,2,FALSE)</f>
        <v>#REF!</v>
      </c>
      <c r="AM271" s="311" t="e">
        <f t="shared" si="47"/>
        <v>#REF!</v>
      </c>
      <c r="AN271" s="312" t="e">
        <f t="shared" si="46"/>
        <v>#REF!</v>
      </c>
    </row>
    <row r="272" spans="1:40" s="73" customFormat="1" x14ac:dyDescent="0.25">
      <c r="A272" s="303">
        <v>211</v>
      </c>
      <c r="B272" s="304" t="s">
        <v>1051</v>
      </c>
      <c r="D272" s="74">
        <f>IFERROR(VLOOKUP(B272,'REQ. PINTADO'!B:C,2,0),0)</f>
        <v>0</v>
      </c>
      <c r="E272" s="305">
        <f t="shared" si="29"/>
        <v>239.25134555436779</v>
      </c>
      <c r="F272" s="103" t="s">
        <v>163</v>
      </c>
      <c r="G272" s="75" t="s">
        <v>147</v>
      </c>
      <c r="H272" s="90">
        <v>8.35</v>
      </c>
      <c r="I272" s="90">
        <v>13.48</v>
      </c>
      <c r="J272" s="76">
        <v>0.105</v>
      </c>
      <c r="K272" s="306">
        <v>3.35</v>
      </c>
      <c r="L272" s="78">
        <f t="shared" si="30"/>
        <v>27.746467775189107</v>
      </c>
      <c r="M272" s="58">
        <f>+VLOOKUP(F272,Material!$H$2:$M$17,6,FALSE)*H272*I272*(1+Material!$K$14)</f>
        <v>42.250303203128865</v>
      </c>
      <c r="N272" s="79" t="str">
        <f t="shared" si="48"/>
        <v>T5.0</v>
      </c>
      <c r="O272" s="80">
        <f>+VLOOKUP(N272,[3]Material!$A$3:$B$58,2,FALSE)</f>
        <v>5000</v>
      </c>
      <c r="P272" s="79" t="s">
        <v>42</v>
      </c>
      <c r="Q272" s="79" t="str">
        <f>+VLOOKUP(F272,[3]Material!$C$2:$E$12,2,FALSE)</f>
        <v>Cal 12</v>
      </c>
      <c r="R272" s="81">
        <f>+IF(P272="ACERO A36",VLOOKUP(Q272,'[3]Velocidades Std 1500 w'!$B$2:$F$15,5,FALSE),IF(P272="INOXIDABLE",VLOOKUP(Q272,'[3]Velocidades Std 1500 w'!$B$17:$F$28,5,FALSE),IF(P272="ALUMINIO",VLOOKUP(Q272,'[3]Velocidades Std 1500 w'!$B$30:$F$38,5,FALSE))))</f>
        <v>4.3859649122807014E-6</v>
      </c>
      <c r="S272" s="82">
        <f t="shared" si="31"/>
        <v>2.1929824561403508E-2</v>
      </c>
      <c r="T272" s="83">
        <f t="shared" si="32"/>
        <v>22.175403157894735</v>
      </c>
      <c r="U272" s="307">
        <f t="shared" si="33"/>
        <v>1404.4422</v>
      </c>
      <c r="V272" s="80">
        <f t="shared" si="44"/>
        <v>30.799171052631575</v>
      </c>
      <c r="W272" s="98">
        <v>6</v>
      </c>
      <c r="X272" s="84">
        <f>+IF(P272="ACERO A36",VLOOKUP(Q272,'[3]Tiempo Objeto'!$B$2:$C$12,2,FALSE),IF(P272="INOXIDABLE",VLOOKUP(Q272,'[3]Tiempo Objeto'!$B$14:$C$22,2,FALSE),IF(P272="ALUMINIO",VLOOKUP(Q272,'[3]Tiempo Objeto'!$B$24:$C$32,2,FALSE))))</f>
        <v>0.6133333333333334</v>
      </c>
      <c r="Y272" s="84">
        <f t="shared" si="35"/>
        <v>3.6800000000000006</v>
      </c>
      <c r="Z272" s="80">
        <f t="shared" si="36"/>
        <v>5.1111111111111125</v>
      </c>
      <c r="AA272" s="100">
        <v>5</v>
      </c>
      <c r="AB272" s="86">
        <f>+AA272*Analisis!$J$6</f>
        <v>125</v>
      </c>
      <c r="AC272" s="100">
        <v>0</v>
      </c>
      <c r="AD272" s="85">
        <f t="shared" si="37"/>
        <v>0</v>
      </c>
      <c r="AE272" s="86">
        <f>+AC272*Analisis!$J$7</f>
        <v>0</v>
      </c>
      <c r="AF272" s="308">
        <f>+H272*0.0254*I272*0.0254*2*(1+[3]Analisis!$G$2)</f>
        <v>0.1815447982</v>
      </c>
      <c r="AG272" s="86">
        <f>+AF272*Analisis!$J$8</f>
        <v>19.34316599869048</v>
      </c>
      <c r="AH272" s="309">
        <f t="shared" si="49"/>
        <v>222.50375136556204</v>
      </c>
      <c r="AI272" s="86">
        <f>+AH272/(1-Analisis!G277)</f>
        <v>222.50375136556204</v>
      </c>
      <c r="AJ272" s="86">
        <f t="shared" si="38"/>
        <v>239.25134555436779</v>
      </c>
      <c r="AK272" s="86">
        <f t="shared" si="50"/>
        <v>0</v>
      </c>
      <c r="AL272" s="310" t="e">
        <f>+VLOOKUP(B272,#REF!,2,FALSE)</f>
        <v>#REF!</v>
      </c>
      <c r="AM272" s="311" t="e">
        <f t="shared" si="47"/>
        <v>#REF!</v>
      </c>
      <c r="AN272" s="312" t="e">
        <f t="shared" si="46"/>
        <v>#REF!</v>
      </c>
    </row>
    <row r="273" spans="1:40" s="73" customFormat="1" x14ac:dyDescent="0.25">
      <c r="A273" s="303">
        <v>212</v>
      </c>
      <c r="B273" s="304" t="s">
        <v>1052</v>
      </c>
      <c r="D273" s="74">
        <f>IFERROR(VLOOKUP(B273,'REQ. PINTADO'!B:C,2,0),0)</f>
        <v>0</v>
      </c>
      <c r="E273" s="305">
        <f t="shared" si="29"/>
        <v>878.9627022350378</v>
      </c>
      <c r="F273" s="103" t="s">
        <v>163</v>
      </c>
      <c r="G273" s="75" t="s">
        <v>147</v>
      </c>
      <c r="H273" s="90">
        <v>45.83</v>
      </c>
      <c r="I273" s="90">
        <v>23.02</v>
      </c>
      <c r="J273" s="76">
        <v>0.105</v>
      </c>
      <c r="K273" s="306">
        <v>31.46</v>
      </c>
      <c r="L273" s="78">
        <f t="shared" si="30"/>
        <v>27.693165513488857</v>
      </c>
      <c r="M273" s="58">
        <f>+VLOOKUP(F273,Material!$H$2:$M$17,6,FALSE)*H273*I273*(1+Material!$K$14)</f>
        <v>396.01226684289065</v>
      </c>
      <c r="N273" s="79" t="str">
        <f t="shared" si="48"/>
        <v>T5.0</v>
      </c>
      <c r="O273" s="80">
        <f>+VLOOKUP(N273,[3]Material!$A$3:$B$58,2,FALSE)</f>
        <v>5000</v>
      </c>
      <c r="P273" s="79" t="s">
        <v>42</v>
      </c>
      <c r="Q273" s="79" t="str">
        <f>+VLOOKUP(F273,[3]Material!$C$2:$E$12,2,FALSE)</f>
        <v>Cal 12</v>
      </c>
      <c r="R273" s="81">
        <f>+IF(P273="ACERO A36",VLOOKUP(Q273,'[3]Velocidades Std 1500 w'!$B$2:$F$15,5,FALSE),IF(P273="INOXIDABLE",VLOOKUP(Q273,'[3]Velocidades Std 1500 w'!$B$17:$F$28,5,FALSE),IF(P273="ALUMINIO",VLOOKUP(Q273,'[3]Velocidades Std 1500 w'!$B$30:$F$38,5,FALSE))))</f>
        <v>4.3859649122807014E-6</v>
      </c>
      <c r="S273" s="82">
        <f t="shared" si="31"/>
        <v>2.1929824561403508E-2</v>
      </c>
      <c r="T273" s="83">
        <f t="shared" si="32"/>
        <v>70.619352631578948</v>
      </c>
      <c r="U273" s="307">
        <f t="shared" si="33"/>
        <v>4472.5590000000002</v>
      </c>
      <c r="V273" s="80">
        <f t="shared" si="44"/>
        <v>98.082434210526316</v>
      </c>
      <c r="W273" s="98">
        <v>20</v>
      </c>
      <c r="X273" s="84">
        <f>+IF(P273="ACERO A36",VLOOKUP(Q273,'[3]Tiempo Objeto'!$B$2:$C$12,2,FALSE),IF(P273="INOXIDABLE",VLOOKUP(Q273,'[3]Tiempo Objeto'!$B$14:$C$22,2,FALSE),IF(P273="ALUMINIO",VLOOKUP(Q273,'[3]Tiempo Objeto'!$B$24:$C$32,2,FALSE))))</f>
        <v>0.6133333333333334</v>
      </c>
      <c r="Y273" s="84">
        <f t="shared" si="35"/>
        <v>12.266666666666667</v>
      </c>
      <c r="Z273" s="80">
        <f t="shared" si="36"/>
        <v>17.037037037037038</v>
      </c>
      <c r="AA273" s="100">
        <v>5</v>
      </c>
      <c r="AB273" s="86">
        <f>+AA273*Analisis!$J$6</f>
        <v>125</v>
      </c>
      <c r="AC273" s="100">
        <v>0</v>
      </c>
      <c r="AD273" s="85">
        <f t="shared" si="37"/>
        <v>0</v>
      </c>
      <c r="AE273" s="86">
        <f>+AC273*Analisis!$J$7</f>
        <v>0</v>
      </c>
      <c r="AF273" s="308">
        <f>+H273*0.0254*I273*0.0254*2*(1+[3]Analisis!$G$2)</f>
        <v>1.7016201451399995</v>
      </c>
      <c r="AG273" s="86">
        <f>+AF273*Analisis!$J$8</f>
        <v>181.30357498813095</v>
      </c>
      <c r="AH273" s="309">
        <f t="shared" si="49"/>
        <v>817.43531307858507</v>
      </c>
      <c r="AI273" s="86">
        <f>+AH273/(1-Analisis!G278)</f>
        <v>817.43531307858507</v>
      </c>
      <c r="AJ273" s="86">
        <f t="shared" si="38"/>
        <v>878.9627022350378</v>
      </c>
      <c r="AK273" s="86">
        <f t="shared" si="50"/>
        <v>0</v>
      </c>
      <c r="AL273" s="310" t="e">
        <f>+VLOOKUP(B273,#REF!,2,FALSE)</f>
        <v>#REF!</v>
      </c>
      <c r="AM273" s="311" t="e">
        <f t="shared" si="47"/>
        <v>#REF!</v>
      </c>
      <c r="AN273" s="312" t="e">
        <f t="shared" si="46"/>
        <v>#REF!</v>
      </c>
    </row>
    <row r="274" spans="1:40" s="73" customFormat="1" x14ac:dyDescent="0.25">
      <c r="A274" s="303">
        <v>213</v>
      </c>
      <c r="B274" s="304" t="s">
        <v>1053</v>
      </c>
      <c r="D274" s="74">
        <f>IFERROR(VLOOKUP(B274,'REQ. PINTADO'!B:C,2,0),0)</f>
        <v>0</v>
      </c>
      <c r="E274" s="305">
        <f t="shared" si="29"/>
        <v>878.9627022350378</v>
      </c>
      <c r="F274" s="103" t="s">
        <v>163</v>
      </c>
      <c r="G274" s="75" t="s">
        <v>147</v>
      </c>
      <c r="H274" s="90">
        <v>45.83</v>
      </c>
      <c r="I274" s="90">
        <v>23.02</v>
      </c>
      <c r="J274" s="76">
        <v>0.105</v>
      </c>
      <c r="K274" s="306">
        <v>31.46</v>
      </c>
      <c r="L274" s="78">
        <f t="shared" si="30"/>
        <v>27.693165513488857</v>
      </c>
      <c r="M274" s="58">
        <f>+VLOOKUP(F274,Material!$H$2:$M$17,6,FALSE)*H274*I274*(1+Material!$K$14)</f>
        <v>396.01226684289065</v>
      </c>
      <c r="N274" s="79" t="str">
        <f t="shared" si="48"/>
        <v>T5.0</v>
      </c>
      <c r="O274" s="80">
        <f>+VLOOKUP(N274,[3]Material!$A$3:$B$58,2,FALSE)</f>
        <v>5000</v>
      </c>
      <c r="P274" s="79" t="s">
        <v>42</v>
      </c>
      <c r="Q274" s="79" t="str">
        <f>+VLOOKUP(F274,[3]Material!$C$2:$E$12,2,FALSE)</f>
        <v>Cal 12</v>
      </c>
      <c r="R274" s="81">
        <f>+IF(P274="ACERO A36",VLOOKUP(Q274,'[3]Velocidades Std 1500 w'!$B$2:$F$15,5,FALSE),IF(P274="INOXIDABLE",VLOOKUP(Q274,'[3]Velocidades Std 1500 w'!$B$17:$F$28,5,FALSE),IF(P274="ALUMINIO",VLOOKUP(Q274,'[3]Velocidades Std 1500 w'!$B$30:$F$38,5,FALSE))))</f>
        <v>4.3859649122807014E-6</v>
      </c>
      <c r="S274" s="82">
        <f t="shared" si="31"/>
        <v>2.1929824561403508E-2</v>
      </c>
      <c r="T274" s="83">
        <f t="shared" si="32"/>
        <v>70.619352631578948</v>
      </c>
      <c r="U274" s="307">
        <f t="shared" si="33"/>
        <v>4472.5590000000002</v>
      </c>
      <c r="V274" s="80">
        <f t="shared" si="44"/>
        <v>98.082434210526316</v>
      </c>
      <c r="W274" s="98">
        <v>20</v>
      </c>
      <c r="X274" s="84">
        <f>+IF(P274="ACERO A36",VLOOKUP(Q274,'[3]Tiempo Objeto'!$B$2:$C$12,2,FALSE),IF(P274="INOXIDABLE",VLOOKUP(Q274,'[3]Tiempo Objeto'!$B$14:$C$22,2,FALSE),IF(P274="ALUMINIO",VLOOKUP(Q274,'[3]Tiempo Objeto'!$B$24:$C$32,2,FALSE))))</f>
        <v>0.6133333333333334</v>
      </c>
      <c r="Y274" s="84">
        <f t="shared" si="35"/>
        <v>12.266666666666667</v>
      </c>
      <c r="Z274" s="80">
        <f t="shared" si="36"/>
        <v>17.037037037037038</v>
      </c>
      <c r="AA274" s="100">
        <v>5</v>
      </c>
      <c r="AB274" s="86">
        <f>+AA274*Analisis!$J$6</f>
        <v>125</v>
      </c>
      <c r="AC274" s="100">
        <v>0</v>
      </c>
      <c r="AD274" s="85">
        <f t="shared" si="37"/>
        <v>0</v>
      </c>
      <c r="AE274" s="86">
        <f>+AC274*Analisis!$J$7</f>
        <v>0</v>
      </c>
      <c r="AF274" s="308">
        <f>+H274*0.0254*I274*0.0254*2*(1+[3]Analisis!$G$2)</f>
        <v>1.7016201451399995</v>
      </c>
      <c r="AG274" s="86">
        <f>+AF274*Analisis!$J$8</f>
        <v>181.30357498813095</v>
      </c>
      <c r="AH274" s="309">
        <f t="shared" si="49"/>
        <v>817.43531307858507</v>
      </c>
      <c r="AI274" s="86">
        <f>+AH274/(1-Analisis!G279)</f>
        <v>817.43531307858507</v>
      </c>
      <c r="AJ274" s="86">
        <f t="shared" si="38"/>
        <v>878.9627022350378</v>
      </c>
      <c r="AK274" s="86">
        <f t="shared" si="50"/>
        <v>0</v>
      </c>
      <c r="AL274" s="310" t="e">
        <f>+VLOOKUP(B274,#REF!,2,FALSE)</f>
        <v>#REF!</v>
      </c>
      <c r="AM274" s="311" t="e">
        <f t="shared" si="47"/>
        <v>#REF!</v>
      </c>
      <c r="AN274" s="312" t="e">
        <f t="shared" si="46"/>
        <v>#REF!</v>
      </c>
    </row>
    <row r="275" spans="1:40" s="73" customFormat="1" x14ac:dyDescent="0.25">
      <c r="A275" s="303">
        <v>214</v>
      </c>
      <c r="B275" s="304" t="s">
        <v>1054</v>
      </c>
      <c r="D275" s="74">
        <f>IFERROR(VLOOKUP(B275,'REQ. PINTADO'!B:C,2,0),0)</f>
        <v>0</v>
      </c>
      <c r="E275" s="305">
        <f t="shared" si="29"/>
        <v>147.74426309673632</v>
      </c>
      <c r="F275" s="103" t="s">
        <v>165</v>
      </c>
      <c r="G275" s="75" t="s">
        <v>147</v>
      </c>
      <c r="H275" s="90">
        <v>19.291</v>
      </c>
      <c r="I275" s="90">
        <v>10.353999999999999</v>
      </c>
      <c r="J275" s="76">
        <v>0.105</v>
      </c>
      <c r="K275" s="306">
        <v>4.2549999999999999</v>
      </c>
      <c r="L275" s="78">
        <f t="shared" si="30"/>
        <v>42.922764024970625</v>
      </c>
      <c r="M275" s="58">
        <f>+VLOOKUP(F275,Material!$H$2:$M$17,6,FALSE)*H275*I275*(1+Material!$K$14)</f>
        <v>83.016527693749993</v>
      </c>
      <c r="N275" s="79" t="str">
        <f t="shared" si="48"/>
        <v>T5.0</v>
      </c>
      <c r="O275" s="80">
        <f>+VLOOKUP(N275,[3]Material!$A$3:$B$58,2,FALSE)</f>
        <v>5000</v>
      </c>
      <c r="P275" s="79" t="s">
        <v>42</v>
      </c>
      <c r="Q275" s="79" t="str">
        <f>+VLOOKUP(F275,[3]Material!$C$2:$E$12,2,FALSE)</f>
        <v>Cal 14</v>
      </c>
      <c r="R275" s="81">
        <f>+IF(P275="ACERO A36",VLOOKUP(Q275,'[3]Velocidades Std 1500 w'!$B$2:$F$15,5,FALSE),IF(P275="INOXIDABLE",VLOOKUP(Q275,'[3]Velocidades Std 1500 w'!$B$17:$F$28,5,FALSE),IF(P275="ALUMINIO",VLOOKUP(Q275,'[3]Velocidades Std 1500 w'!$B$30:$F$38,5,FALSE))))</f>
        <v>2.0080321285140564E-6</v>
      </c>
      <c r="S275" s="82">
        <f t="shared" si="31"/>
        <v>1.0040160642570283E-2</v>
      </c>
      <c r="T275" s="83">
        <f t="shared" si="32"/>
        <v>12.876790120481926</v>
      </c>
      <c r="U275" s="307">
        <f t="shared" si="33"/>
        <v>1781.2892999999997</v>
      </c>
      <c r="V275" s="80">
        <f t="shared" si="44"/>
        <v>17.884430722891565</v>
      </c>
      <c r="W275" s="98">
        <v>5</v>
      </c>
      <c r="X275" s="84">
        <f>+IF(P275="ACERO A36",VLOOKUP(Q275,'[3]Tiempo Objeto'!$B$2:$C$12,2,FALSE),IF(P275="INOXIDABLE",VLOOKUP(Q275,'[3]Tiempo Objeto'!$B$14:$C$22,2,FALSE),IF(P275="ALUMINIO",VLOOKUP(Q275,'[3]Tiempo Objeto'!$B$24:$C$32,2,FALSE))))</f>
        <v>0.3133333333333333</v>
      </c>
      <c r="Y275" s="84">
        <f t="shared" si="35"/>
        <v>1.5666666666666664</v>
      </c>
      <c r="Z275" s="80">
        <f t="shared" si="36"/>
        <v>2.1759259259259256</v>
      </c>
      <c r="AA275" s="100">
        <v>0</v>
      </c>
      <c r="AB275" s="86">
        <f>+AA275*Analisis!$J$6</f>
        <v>0</v>
      </c>
      <c r="AC275" s="100">
        <v>0</v>
      </c>
      <c r="AD275" s="85">
        <f t="shared" si="37"/>
        <v>0</v>
      </c>
      <c r="AE275" s="86">
        <f>+AC275*Analisis!$J$7</f>
        <v>0</v>
      </c>
      <c r="AF275" s="308">
        <f>+H275*0.0254*I275*0.0254*2*(1+[3]Analisis!$G$2)</f>
        <v>0.32215905568059988</v>
      </c>
      <c r="AG275" s="86">
        <f>+AF275*Analisis!$J$8</f>
        <v>34.32528033739726</v>
      </c>
      <c r="AH275" s="309">
        <f t="shared" si="49"/>
        <v>137.40216467996476</v>
      </c>
      <c r="AI275" s="86">
        <f>+AH275/(1-Analisis!G280)</f>
        <v>137.40216467996476</v>
      </c>
      <c r="AJ275" s="86">
        <f t="shared" si="38"/>
        <v>147.74426309673632</v>
      </c>
      <c r="AK275" s="86">
        <f t="shared" si="50"/>
        <v>0</v>
      </c>
      <c r="AL275" s="310" t="e">
        <f>+VLOOKUP(B275,#REF!,2,FALSE)</f>
        <v>#REF!</v>
      </c>
      <c r="AM275" s="311" t="e">
        <f t="shared" si="47"/>
        <v>#REF!</v>
      </c>
      <c r="AN275" s="312" t="e">
        <f t="shared" si="46"/>
        <v>#REF!</v>
      </c>
    </row>
    <row r="276" spans="1:40" s="73" customFormat="1" x14ac:dyDescent="0.25">
      <c r="A276" s="303">
        <v>215</v>
      </c>
      <c r="B276" s="304" t="s">
        <v>1055</v>
      </c>
      <c r="D276" s="74">
        <f>IFERROR(VLOOKUP(B276,'REQ. PINTADO'!B:C,2,0),0)</f>
        <v>0</v>
      </c>
      <c r="E276" s="305">
        <f t="shared" si="29"/>
        <v>147.74426309673632</v>
      </c>
      <c r="F276" s="103" t="s">
        <v>165</v>
      </c>
      <c r="G276" s="75" t="s">
        <v>147</v>
      </c>
      <c r="H276" s="90">
        <v>19.291</v>
      </c>
      <c r="I276" s="90">
        <v>10.353999999999999</v>
      </c>
      <c r="J276" s="76">
        <v>0.105</v>
      </c>
      <c r="K276" s="306">
        <v>4.2549999999999999</v>
      </c>
      <c r="L276" s="78">
        <f t="shared" si="30"/>
        <v>42.922764024970625</v>
      </c>
      <c r="M276" s="58">
        <f>+VLOOKUP(F276,Material!$H$2:$M$17,6,FALSE)*H276*I276*(1+Material!$K$14)</f>
        <v>83.016527693749993</v>
      </c>
      <c r="N276" s="79" t="str">
        <f t="shared" si="48"/>
        <v>T5.0</v>
      </c>
      <c r="O276" s="80">
        <f>+VLOOKUP(N276,[3]Material!$A$3:$B$58,2,FALSE)</f>
        <v>5000</v>
      </c>
      <c r="P276" s="79" t="s">
        <v>42</v>
      </c>
      <c r="Q276" s="79" t="str">
        <f>+VLOOKUP(F276,[3]Material!$C$2:$E$12,2,FALSE)</f>
        <v>Cal 14</v>
      </c>
      <c r="R276" s="81">
        <f>+IF(P276="ACERO A36",VLOOKUP(Q276,'[3]Velocidades Std 1500 w'!$B$2:$F$15,5,FALSE),IF(P276="INOXIDABLE",VLOOKUP(Q276,'[3]Velocidades Std 1500 w'!$B$17:$F$28,5,FALSE),IF(P276="ALUMINIO",VLOOKUP(Q276,'[3]Velocidades Std 1500 w'!$B$30:$F$38,5,FALSE))))</f>
        <v>2.0080321285140564E-6</v>
      </c>
      <c r="S276" s="82">
        <f t="shared" si="31"/>
        <v>1.0040160642570283E-2</v>
      </c>
      <c r="T276" s="83">
        <f t="shared" si="32"/>
        <v>12.876790120481926</v>
      </c>
      <c r="U276" s="307">
        <f t="shared" si="33"/>
        <v>1781.2892999999997</v>
      </c>
      <c r="V276" s="80">
        <f t="shared" si="44"/>
        <v>17.884430722891565</v>
      </c>
      <c r="W276" s="98">
        <v>5</v>
      </c>
      <c r="X276" s="84">
        <f>+IF(P276="ACERO A36",VLOOKUP(Q276,'[3]Tiempo Objeto'!$B$2:$C$12,2,FALSE),IF(P276="INOXIDABLE",VLOOKUP(Q276,'[3]Tiempo Objeto'!$B$14:$C$22,2,FALSE),IF(P276="ALUMINIO",VLOOKUP(Q276,'[3]Tiempo Objeto'!$B$24:$C$32,2,FALSE))))</f>
        <v>0.3133333333333333</v>
      </c>
      <c r="Y276" s="84">
        <f t="shared" si="35"/>
        <v>1.5666666666666664</v>
      </c>
      <c r="Z276" s="80">
        <f t="shared" si="36"/>
        <v>2.1759259259259256</v>
      </c>
      <c r="AA276" s="100">
        <v>0</v>
      </c>
      <c r="AB276" s="86">
        <f>+AA276*Analisis!$J$6</f>
        <v>0</v>
      </c>
      <c r="AC276" s="100">
        <v>0</v>
      </c>
      <c r="AD276" s="85">
        <f t="shared" si="37"/>
        <v>0</v>
      </c>
      <c r="AE276" s="86">
        <f>+AC276*Analisis!$J$7</f>
        <v>0</v>
      </c>
      <c r="AF276" s="308">
        <f>+H276*0.0254*I276*0.0254*2*(1+[3]Analisis!$G$2)</f>
        <v>0.32215905568059988</v>
      </c>
      <c r="AG276" s="86">
        <f>+AF276*Analisis!$J$8</f>
        <v>34.32528033739726</v>
      </c>
      <c r="AH276" s="309">
        <f t="shared" si="49"/>
        <v>137.40216467996476</v>
      </c>
      <c r="AI276" s="86">
        <f>+AH276/(1-Analisis!G281)</f>
        <v>137.40216467996476</v>
      </c>
      <c r="AJ276" s="86">
        <f t="shared" si="38"/>
        <v>147.74426309673632</v>
      </c>
      <c r="AK276" s="86">
        <f t="shared" si="50"/>
        <v>0</v>
      </c>
      <c r="AL276" s="310" t="e">
        <f>+VLOOKUP(B276,#REF!,2,FALSE)</f>
        <v>#REF!</v>
      </c>
      <c r="AM276" s="311" t="e">
        <f t="shared" si="47"/>
        <v>#REF!</v>
      </c>
      <c r="AN276" s="312" t="e">
        <f t="shared" si="46"/>
        <v>#REF!</v>
      </c>
    </row>
    <row r="277" spans="1:40" s="73" customFormat="1" x14ac:dyDescent="0.25">
      <c r="A277" s="303">
        <v>216</v>
      </c>
      <c r="B277" s="304" t="s">
        <v>1056</v>
      </c>
      <c r="D277" s="74">
        <f>IFERROR(VLOOKUP(B277,'REQ. PINTADO'!B:C,2,0),0)</f>
        <v>0</v>
      </c>
      <c r="E277" s="305">
        <f t="shared" ref="E277:E340" si="51">+AJ277</f>
        <v>527.34979741721611</v>
      </c>
      <c r="F277" s="103" t="s">
        <v>165</v>
      </c>
      <c r="G277" s="75" t="s">
        <v>147</v>
      </c>
      <c r="H277" s="90">
        <v>23.33</v>
      </c>
      <c r="I277" s="90">
        <v>23.02</v>
      </c>
      <c r="J277" s="76">
        <v>0.105</v>
      </c>
      <c r="K277" s="306">
        <v>16.38</v>
      </c>
      <c r="L277" s="78">
        <f t="shared" ref="L277:L340" si="52">+M277*2.2/K277</f>
        <v>29.979922382478637</v>
      </c>
      <c r="M277" s="58">
        <f>+VLOOKUP(F277,Material!$H$2:$M$17,6,FALSE)*H277*I277*(1+Material!$K$14)</f>
        <v>223.21414937500001</v>
      </c>
      <c r="N277" s="79" t="str">
        <f t="shared" si="48"/>
        <v>T5.0</v>
      </c>
      <c r="O277" s="80">
        <f>+VLOOKUP(N277,[3]Material!$A$3:$B$58,2,FALSE)</f>
        <v>5000</v>
      </c>
      <c r="P277" s="79" t="s">
        <v>42</v>
      </c>
      <c r="Q277" s="79" t="str">
        <f>+VLOOKUP(F277,[3]Material!$C$2:$E$12,2,FALSE)</f>
        <v>Cal 14</v>
      </c>
      <c r="R277" s="81">
        <f>+IF(P277="ACERO A36",VLOOKUP(Q277,'[3]Velocidades Std 1500 w'!$B$2:$F$15,5,FALSE),IF(P277="INOXIDABLE",VLOOKUP(Q277,'[3]Velocidades Std 1500 w'!$B$17:$F$28,5,FALSE),IF(P277="ALUMINIO",VLOOKUP(Q277,'[3]Velocidades Std 1500 w'!$B$30:$F$38,5,FALSE))))</f>
        <v>2.0080321285140564E-6</v>
      </c>
      <c r="S277" s="82">
        <f t="shared" ref="S277:S340" si="53">+R277*O277</f>
        <v>1.0040160642570283E-2</v>
      </c>
      <c r="T277" s="83">
        <f t="shared" ref="T277:T340" si="54">+R277*U277*3600</f>
        <v>26.547896385542167</v>
      </c>
      <c r="U277" s="307">
        <f t="shared" ref="U277:U340" si="55">(+I277*2+H277*2+W277*1.5)*25.4*1.05</f>
        <v>3672.4589999999994</v>
      </c>
      <c r="V277" s="80">
        <f t="shared" si="44"/>
        <v>36.872078313253013</v>
      </c>
      <c r="W277" s="98">
        <v>30</v>
      </c>
      <c r="X277" s="84">
        <f>+IF(P277="ACERO A36",VLOOKUP(Q277,'[3]Tiempo Objeto'!$B$2:$C$12,2,FALSE),IF(P277="INOXIDABLE",VLOOKUP(Q277,'[3]Tiempo Objeto'!$B$14:$C$22,2,FALSE),IF(P277="ALUMINIO",VLOOKUP(Q277,'[3]Tiempo Objeto'!$B$24:$C$32,2,FALSE))))</f>
        <v>0.3133333333333333</v>
      </c>
      <c r="Y277" s="84">
        <f t="shared" ref="Y277:Y340" si="56">+X277*W277</f>
        <v>9.3999999999999986</v>
      </c>
      <c r="Z277" s="80">
        <f t="shared" ref="Z277:Z340" si="57">+Y277*O277/3600</f>
        <v>13.055555555555554</v>
      </c>
      <c r="AA277" s="100">
        <v>5</v>
      </c>
      <c r="AB277" s="86">
        <f>+AA277*Analisis!$J$6</f>
        <v>125</v>
      </c>
      <c r="AC277" s="100">
        <v>0</v>
      </c>
      <c r="AD277" s="85">
        <f t="shared" ref="AD277:AD340" si="58">30*AC277+AC277*$D277*1.5</f>
        <v>0</v>
      </c>
      <c r="AE277" s="86">
        <f>+AC277*Analisis!$J$7</f>
        <v>0</v>
      </c>
      <c r="AF277" s="308">
        <f>+H277*0.0254*I277*0.0254*2*(1+[3]Analisis!$G$2)</f>
        <v>0.86621859013999991</v>
      </c>
      <c r="AG277" s="86">
        <f>+AF277*Analisis!$J$8</f>
        <v>92.293528354202394</v>
      </c>
      <c r="AH277" s="309">
        <f t="shared" si="49"/>
        <v>490.43531159801097</v>
      </c>
      <c r="AI277" s="86">
        <f>+AH277/(1-Analisis!G282)</f>
        <v>490.43531159801097</v>
      </c>
      <c r="AJ277" s="86">
        <f t="shared" ref="AJ277:AJ340" si="59">+AI277/(1-0.07)</f>
        <v>527.34979741721611</v>
      </c>
      <c r="AK277" s="86">
        <f t="shared" si="50"/>
        <v>0</v>
      </c>
      <c r="AL277" s="310" t="e">
        <f>+VLOOKUP(B277,#REF!,2,FALSE)</f>
        <v>#REF!</v>
      </c>
      <c r="AM277" s="311" t="e">
        <f t="shared" si="47"/>
        <v>#REF!</v>
      </c>
      <c r="AN277" s="312" t="e">
        <f t="shared" si="46"/>
        <v>#REF!</v>
      </c>
    </row>
    <row r="278" spans="1:40" s="73" customFormat="1" x14ac:dyDescent="0.25">
      <c r="A278" s="303"/>
      <c r="B278" s="304" t="s">
        <v>1057</v>
      </c>
      <c r="D278" s="74">
        <f>IFERROR(VLOOKUP(B278,'REQ. PINTADO'!B:C,2,0),0)</f>
        <v>0</v>
      </c>
      <c r="E278" s="305">
        <f t="shared" si="51"/>
        <v>527.34979741721611</v>
      </c>
      <c r="F278" s="103" t="s">
        <v>165</v>
      </c>
      <c r="G278" s="75" t="s">
        <v>147</v>
      </c>
      <c r="H278" s="90">
        <v>23.33</v>
      </c>
      <c r="I278" s="90">
        <v>23.02</v>
      </c>
      <c r="J278" s="76">
        <v>0.105</v>
      </c>
      <c r="K278" s="306">
        <v>16.38</v>
      </c>
      <c r="L278" s="78">
        <f t="shared" si="52"/>
        <v>29.979922382478637</v>
      </c>
      <c r="M278" s="58">
        <f>+VLOOKUP(F278,Material!$H$2:$M$17,6,FALSE)*H278*I278*(1+Material!$K$14)</f>
        <v>223.21414937500001</v>
      </c>
      <c r="N278" s="79" t="str">
        <f t="shared" si="48"/>
        <v>T5.0</v>
      </c>
      <c r="O278" s="80">
        <f>+VLOOKUP(N278,[3]Material!$A$3:$B$58,2,FALSE)</f>
        <v>5000</v>
      </c>
      <c r="P278" s="79" t="s">
        <v>42</v>
      </c>
      <c r="Q278" s="79" t="str">
        <f>+VLOOKUP(F278,[3]Material!$C$2:$E$12,2,FALSE)</f>
        <v>Cal 14</v>
      </c>
      <c r="R278" s="81">
        <f>+IF(P278="ACERO A36",VLOOKUP(Q278,'[3]Velocidades Std 1500 w'!$B$2:$F$15,5,FALSE),IF(P278="INOXIDABLE",VLOOKUP(Q278,'[3]Velocidades Std 1500 w'!$B$17:$F$28,5,FALSE),IF(P278="ALUMINIO",VLOOKUP(Q278,'[3]Velocidades Std 1500 w'!$B$30:$F$38,5,FALSE))))</f>
        <v>2.0080321285140564E-6</v>
      </c>
      <c r="S278" s="82">
        <f t="shared" si="53"/>
        <v>1.0040160642570283E-2</v>
      </c>
      <c r="T278" s="83">
        <f t="shared" si="54"/>
        <v>26.547896385542167</v>
      </c>
      <c r="U278" s="307">
        <f t="shared" si="55"/>
        <v>3672.4589999999994</v>
      </c>
      <c r="V278" s="80">
        <f t="shared" si="44"/>
        <v>36.872078313253013</v>
      </c>
      <c r="W278" s="98">
        <v>30</v>
      </c>
      <c r="X278" s="84">
        <f>+IF(P278="ACERO A36",VLOOKUP(Q278,'[3]Tiempo Objeto'!$B$2:$C$12,2,FALSE),IF(P278="INOXIDABLE",VLOOKUP(Q278,'[3]Tiempo Objeto'!$B$14:$C$22,2,FALSE),IF(P278="ALUMINIO",VLOOKUP(Q278,'[3]Tiempo Objeto'!$B$24:$C$32,2,FALSE))))</f>
        <v>0.3133333333333333</v>
      </c>
      <c r="Y278" s="84">
        <f t="shared" si="56"/>
        <v>9.3999999999999986</v>
      </c>
      <c r="Z278" s="80">
        <f t="shared" si="57"/>
        <v>13.055555555555554</v>
      </c>
      <c r="AA278" s="100">
        <v>5</v>
      </c>
      <c r="AB278" s="86">
        <f>+AA278*Analisis!$J$6</f>
        <v>125</v>
      </c>
      <c r="AC278" s="100">
        <v>0</v>
      </c>
      <c r="AD278" s="85">
        <f t="shared" si="58"/>
        <v>0</v>
      </c>
      <c r="AE278" s="86">
        <f>+AC278*Analisis!$J$7</f>
        <v>0</v>
      </c>
      <c r="AF278" s="308">
        <f>+H278*0.0254*I278*0.0254*2*(1+[3]Analisis!$G$2)</f>
        <v>0.86621859013999991</v>
      </c>
      <c r="AG278" s="86">
        <f>+AF278*Analisis!$J$8</f>
        <v>92.293528354202394</v>
      </c>
      <c r="AH278" s="309">
        <f t="shared" si="49"/>
        <v>490.43531159801097</v>
      </c>
      <c r="AI278" s="86">
        <f>+AH278/(1-Analisis!G283)</f>
        <v>490.43531159801097</v>
      </c>
      <c r="AJ278" s="86">
        <f t="shared" si="59"/>
        <v>527.34979741721611</v>
      </c>
      <c r="AK278" s="86">
        <f t="shared" si="50"/>
        <v>0</v>
      </c>
      <c r="AL278" s="310" t="e">
        <f>+VLOOKUP(B278,#REF!,2,FALSE)</f>
        <v>#REF!</v>
      </c>
      <c r="AM278" s="311" t="e">
        <f t="shared" si="47"/>
        <v>#REF!</v>
      </c>
      <c r="AN278" s="312" t="e">
        <f t="shared" si="46"/>
        <v>#REF!</v>
      </c>
    </row>
    <row r="279" spans="1:40" s="73" customFormat="1" x14ac:dyDescent="0.25">
      <c r="A279" s="303"/>
      <c r="B279" s="304" t="s">
        <v>1058</v>
      </c>
      <c r="D279" s="74">
        <f>IFERROR(VLOOKUP(B279,'REQ. PINTADO'!B:C,2,0),0)</f>
        <v>0</v>
      </c>
      <c r="E279" s="305">
        <f t="shared" si="51"/>
        <v>527.34979741721611</v>
      </c>
      <c r="F279" s="103" t="s">
        <v>165</v>
      </c>
      <c r="G279" s="75" t="s">
        <v>147</v>
      </c>
      <c r="H279" s="90">
        <v>23.33</v>
      </c>
      <c r="I279" s="90">
        <v>23.02</v>
      </c>
      <c r="J279" s="76">
        <v>0.105</v>
      </c>
      <c r="K279" s="306">
        <v>16.38</v>
      </c>
      <c r="L279" s="78">
        <f t="shared" si="52"/>
        <v>29.979922382478637</v>
      </c>
      <c r="M279" s="58">
        <f>+VLOOKUP(F279,Material!$H$2:$M$17,6,FALSE)*H279*I279*(1+Material!$K$14)</f>
        <v>223.21414937500001</v>
      </c>
      <c r="N279" s="79" t="str">
        <f t="shared" si="48"/>
        <v>T5.0</v>
      </c>
      <c r="O279" s="80">
        <f>+VLOOKUP(N279,[3]Material!$A$3:$B$58,2,FALSE)</f>
        <v>5000</v>
      </c>
      <c r="P279" s="79" t="s">
        <v>42</v>
      </c>
      <c r="Q279" s="79" t="str">
        <f>+VLOOKUP(F279,[3]Material!$C$2:$E$12,2,FALSE)</f>
        <v>Cal 14</v>
      </c>
      <c r="R279" s="81">
        <f>+IF(P279="ACERO A36",VLOOKUP(Q279,'[3]Velocidades Std 1500 w'!$B$2:$F$15,5,FALSE),IF(P279="INOXIDABLE",VLOOKUP(Q279,'[3]Velocidades Std 1500 w'!$B$17:$F$28,5,FALSE),IF(P279="ALUMINIO",VLOOKUP(Q279,'[3]Velocidades Std 1500 w'!$B$30:$F$38,5,FALSE))))</f>
        <v>2.0080321285140564E-6</v>
      </c>
      <c r="S279" s="82">
        <f t="shared" si="53"/>
        <v>1.0040160642570283E-2</v>
      </c>
      <c r="T279" s="83">
        <f t="shared" si="54"/>
        <v>26.547896385542167</v>
      </c>
      <c r="U279" s="307">
        <f t="shared" si="55"/>
        <v>3672.4589999999994</v>
      </c>
      <c r="V279" s="80">
        <f t="shared" si="44"/>
        <v>36.872078313253013</v>
      </c>
      <c r="W279" s="98">
        <v>30</v>
      </c>
      <c r="X279" s="84">
        <f>+IF(P279="ACERO A36",VLOOKUP(Q279,'[3]Tiempo Objeto'!$B$2:$C$12,2,FALSE),IF(P279="INOXIDABLE",VLOOKUP(Q279,'[3]Tiempo Objeto'!$B$14:$C$22,2,FALSE),IF(P279="ALUMINIO",VLOOKUP(Q279,'[3]Tiempo Objeto'!$B$24:$C$32,2,FALSE))))</f>
        <v>0.3133333333333333</v>
      </c>
      <c r="Y279" s="84">
        <f t="shared" si="56"/>
        <v>9.3999999999999986</v>
      </c>
      <c r="Z279" s="80">
        <f t="shared" si="57"/>
        <v>13.055555555555554</v>
      </c>
      <c r="AA279" s="100">
        <v>5</v>
      </c>
      <c r="AB279" s="86">
        <f>+AA279*Analisis!$J$6</f>
        <v>125</v>
      </c>
      <c r="AC279" s="100">
        <v>0</v>
      </c>
      <c r="AD279" s="85">
        <f t="shared" si="58"/>
        <v>0</v>
      </c>
      <c r="AE279" s="86">
        <f>+AC279*Analisis!$J$7</f>
        <v>0</v>
      </c>
      <c r="AF279" s="308">
        <f>+H279*0.0254*I279*0.0254*2*(1+[3]Analisis!$G$2)</f>
        <v>0.86621859013999991</v>
      </c>
      <c r="AG279" s="86">
        <f>+AF279*Analisis!$J$8</f>
        <v>92.293528354202394</v>
      </c>
      <c r="AH279" s="309">
        <f t="shared" si="49"/>
        <v>490.43531159801097</v>
      </c>
      <c r="AI279" s="86">
        <f>+AH279/(1-Analisis!G284)</f>
        <v>490.43531159801097</v>
      </c>
      <c r="AJ279" s="86">
        <f t="shared" si="59"/>
        <v>527.34979741721611</v>
      </c>
      <c r="AK279" s="86">
        <f t="shared" si="50"/>
        <v>0</v>
      </c>
      <c r="AL279" s="310" t="e">
        <f>+VLOOKUP(B279,#REF!,2,FALSE)</f>
        <v>#REF!</v>
      </c>
      <c r="AM279" s="311" t="e">
        <f t="shared" si="47"/>
        <v>#REF!</v>
      </c>
      <c r="AN279" s="312" t="e">
        <f t="shared" si="46"/>
        <v>#REF!</v>
      </c>
    </row>
    <row r="280" spans="1:40" s="73" customFormat="1" x14ac:dyDescent="0.25">
      <c r="A280" s="303"/>
      <c r="B280" s="304" t="s">
        <v>1059</v>
      </c>
      <c r="D280" s="74">
        <f>IFERROR(VLOOKUP(B280,'REQ. PINTADO'!B:C,2,0),0)</f>
        <v>0</v>
      </c>
      <c r="E280" s="305">
        <f t="shared" si="51"/>
        <v>527.34979741721611</v>
      </c>
      <c r="F280" s="103" t="s">
        <v>165</v>
      </c>
      <c r="G280" s="75" t="s">
        <v>147</v>
      </c>
      <c r="H280" s="90">
        <v>23.33</v>
      </c>
      <c r="I280" s="90">
        <v>23.02</v>
      </c>
      <c r="J280" s="76">
        <v>0.105</v>
      </c>
      <c r="K280" s="306">
        <v>16.38</v>
      </c>
      <c r="L280" s="78">
        <f t="shared" si="52"/>
        <v>29.979922382478637</v>
      </c>
      <c r="M280" s="58">
        <f>+VLOOKUP(F280,Material!$H$2:$M$17,6,FALSE)*H280*I280*(1+Material!$K$14)</f>
        <v>223.21414937500001</v>
      </c>
      <c r="N280" s="79" t="str">
        <f t="shared" si="48"/>
        <v>T5.0</v>
      </c>
      <c r="O280" s="80">
        <f>+VLOOKUP(N280,[3]Material!$A$3:$B$58,2,FALSE)</f>
        <v>5000</v>
      </c>
      <c r="P280" s="79" t="s">
        <v>42</v>
      </c>
      <c r="Q280" s="79" t="str">
        <f>+VLOOKUP(F280,[3]Material!$C$2:$E$12,2,FALSE)</f>
        <v>Cal 14</v>
      </c>
      <c r="R280" s="81">
        <f>+IF(P280="ACERO A36",VLOOKUP(Q280,'[3]Velocidades Std 1500 w'!$B$2:$F$15,5,FALSE),IF(P280="INOXIDABLE",VLOOKUP(Q280,'[3]Velocidades Std 1500 w'!$B$17:$F$28,5,FALSE),IF(P280="ALUMINIO",VLOOKUP(Q280,'[3]Velocidades Std 1500 w'!$B$30:$F$38,5,FALSE))))</f>
        <v>2.0080321285140564E-6</v>
      </c>
      <c r="S280" s="82">
        <f t="shared" si="53"/>
        <v>1.0040160642570283E-2</v>
      </c>
      <c r="T280" s="83">
        <f t="shared" si="54"/>
        <v>26.547896385542167</v>
      </c>
      <c r="U280" s="307">
        <f t="shared" si="55"/>
        <v>3672.4589999999994</v>
      </c>
      <c r="V280" s="80">
        <f t="shared" ref="V280:V343" si="60">+U280*S280</f>
        <v>36.872078313253013</v>
      </c>
      <c r="W280" s="98">
        <v>30</v>
      </c>
      <c r="X280" s="84">
        <f>+IF(P280="ACERO A36",VLOOKUP(Q280,'[3]Tiempo Objeto'!$B$2:$C$12,2,FALSE),IF(P280="INOXIDABLE",VLOOKUP(Q280,'[3]Tiempo Objeto'!$B$14:$C$22,2,FALSE),IF(P280="ALUMINIO",VLOOKUP(Q280,'[3]Tiempo Objeto'!$B$24:$C$32,2,FALSE))))</f>
        <v>0.3133333333333333</v>
      </c>
      <c r="Y280" s="84">
        <f t="shared" si="56"/>
        <v>9.3999999999999986</v>
      </c>
      <c r="Z280" s="80">
        <f t="shared" si="57"/>
        <v>13.055555555555554</v>
      </c>
      <c r="AA280" s="100">
        <v>5</v>
      </c>
      <c r="AB280" s="86">
        <f>+AA280*Analisis!$J$6</f>
        <v>125</v>
      </c>
      <c r="AC280" s="100">
        <v>0</v>
      </c>
      <c r="AD280" s="85">
        <f t="shared" si="58"/>
        <v>0</v>
      </c>
      <c r="AE280" s="86">
        <f>+AC280*Analisis!$J$7</f>
        <v>0</v>
      </c>
      <c r="AF280" s="308">
        <f>+H280*0.0254*I280*0.0254*2*(1+[3]Analisis!$G$2)</f>
        <v>0.86621859013999991</v>
      </c>
      <c r="AG280" s="86">
        <f>+AF280*Analisis!$J$8</f>
        <v>92.293528354202394</v>
      </c>
      <c r="AH280" s="309">
        <f t="shared" si="49"/>
        <v>490.43531159801097</v>
      </c>
      <c r="AI280" s="86">
        <f>+AH280/(1-Analisis!G285)</f>
        <v>490.43531159801097</v>
      </c>
      <c r="AJ280" s="86">
        <f t="shared" si="59"/>
        <v>527.34979741721611</v>
      </c>
      <c r="AK280" s="86">
        <f t="shared" si="50"/>
        <v>0</v>
      </c>
      <c r="AL280" s="310" t="e">
        <f>+VLOOKUP(B280,#REF!,2,FALSE)</f>
        <v>#REF!</v>
      </c>
      <c r="AM280" s="311" t="e">
        <f t="shared" si="47"/>
        <v>#REF!</v>
      </c>
      <c r="AN280" s="312" t="e">
        <f t="shared" si="46"/>
        <v>#REF!</v>
      </c>
    </row>
    <row r="281" spans="1:40" s="73" customFormat="1" x14ac:dyDescent="0.25">
      <c r="A281" s="303"/>
      <c r="B281" s="304" t="s">
        <v>1060</v>
      </c>
      <c r="D281" s="74">
        <f>IFERROR(VLOOKUP(B281,'REQ. PINTADO'!B:C,2,0),0)</f>
        <v>0</v>
      </c>
      <c r="E281" s="305">
        <f t="shared" si="51"/>
        <v>527.34979741721611</v>
      </c>
      <c r="F281" s="103" t="s">
        <v>165</v>
      </c>
      <c r="G281" s="75" t="s">
        <v>147</v>
      </c>
      <c r="H281" s="90">
        <v>23.33</v>
      </c>
      <c r="I281" s="90">
        <v>23.02</v>
      </c>
      <c r="J281" s="76">
        <v>0.105</v>
      </c>
      <c r="K281" s="306">
        <v>16.38</v>
      </c>
      <c r="L281" s="78">
        <f t="shared" si="52"/>
        <v>29.979922382478637</v>
      </c>
      <c r="M281" s="58">
        <f>+VLOOKUP(F281,Material!$H$2:$M$17,6,FALSE)*H281*I281*(1+Material!$K$14)</f>
        <v>223.21414937500001</v>
      </c>
      <c r="N281" s="79" t="str">
        <f t="shared" si="48"/>
        <v>T5.0</v>
      </c>
      <c r="O281" s="80">
        <f>+VLOOKUP(N281,[3]Material!$A$3:$B$58,2,FALSE)</f>
        <v>5000</v>
      </c>
      <c r="P281" s="79" t="s">
        <v>42</v>
      </c>
      <c r="Q281" s="79" t="str">
        <f>+VLOOKUP(F281,[3]Material!$C$2:$E$12,2,FALSE)</f>
        <v>Cal 14</v>
      </c>
      <c r="R281" s="81">
        <f>+IF(P281="ACERO A36",VLOOKUP(Q281,'[3]Velocidades Std 1500 w'!$B$2:$F$15,5,FALSE),IF(P281="INOXIDABLE",VLOOKUP(Q281,'[3]Velocidades Std 1500 w'!$B$17:$F$28,5,FALSE),IF(P281="ALUMINIO",VLOOKUP(Q281,'[3]Velocidades Std 1500 w'!$B$30:$F$38,5,FALSE))))</f>
        <v>2.0080321285140564E-6</v>
      </c>
      <c r="S281" s="82">
        <f t="shared" si="53"/>
        <v>1.0040160642570283E-2</v>
      </c>
      <c r="T281" s="83">
        <f t="shared" si="54"/>
        <v>26.547896385542167</v>
      </c>
      <c r="U281" s="307">
        <f t="shared" si="55"/>
        <v>3672.4589999999994</v>
      </c>
      <c r="V281" s="80">
        <f t="shared" si="60"/>
        <v>36.872078313253013</v>
      </c>
      <c r="W281" s="98">
        <v>30</v>
      </c>
      <c r="X281" s="84">
        <f>+IF(P281="ACERO A36",VLOOKUP(Q281,'[3]Tiempo Objeto'!$B$2:$C$12,2,FALSE),IF(P281="INOXIDABLE",VLOOKUP(Q281,'[3]Tiempo Objeto'!$B$14:$C$22,2,FALSE),IF(P281="ALUMINIO",VLOOKUP(Q281,'[3]Tiempo Objeto'!$B$24:$C$32,2,FALSE))))</f>
        <v>0.3133333333333333</v>
      </c>
      <c r="Y281" s="84">
        <f t="shared" si="56"/>
        <v>9.3999999999999986</v>
      </c>
      <c r="Z281" s="80">
        <f t="shared" si="57"/>
        <v>13.055555555555554</v>
      </c>
      <c r="AA281" s="100">
        <v>5</v>
      </c>
      <c r="AB281" s="86">
        <f>+AA281*Analisis!$J$6</f>
        <v>125</v>
      </c>
      <c r="AC281" s="100">
        <v>0</v>
      </c>
      <c r="AD281" s="85">
        <f t="shared" si="58"/>
        <v>0</v>
      </c>
      <c r="AE281" s="86">
        <f>+AC281*Analisis!$J$7</f>
        <v>0</v>
      </c>
      <c r="AF281" s="308">
        <f>+H281*0.0254*I281*0.0254*2*(1+[3]Analisis!$G$2)</f>
        <v>0.86621859013999991</v>
      </c>
      <c r="AG281" s="86">
        <f>+AF281*Analisis!$J$8</f>
        <v>92.293528354202394</v>
      </c>
      <c r="AH281" s="309">
        <f t="shared" si="49"/>
        <v>490.43531159801097</v>
      </c>
      <c r="AI281" s="86">
        <f>+AH281/(1-Analisis!G286)</f>
        <v>490.43531159801097</v>
      </c>
      <c r="AJ281" s="86">
        <f t="shared" si="59"/>
        <v>527.34979741721611</v>
      </c>
      <c r="AK281" s="86">
        <f t="shared" si="50"/>
        <v>0</v>
      </c>
      <c r="AL281" s="310" t="e">
        <f>+VLOOKUP(B281,#REF!,2,FALSE)</f>
        <v>#REF!</v>
      </c>
      <c r="AM281" s="311" t="e">
        <f t="shared" si="47"/>
        <v>#REF!</v>
      </c>
      <c r="AN281" s="312" t="e">
        <f t="shared" si="46"/>
        <v>#REF!</v>
      </c>
    </row>
    <row r="282" spans="1:40" s="73" customFormat="1" x14ac:dyDescent="0.25">
      <c r="A282" s="303"/>
      <c r="B282" s="304" t="s">
        <v>1061</v>
      </c>
      <c r="D282" s="74">
        <f>IFERROR(VLOOKUP(B282,'REQ. PINTADO'!B:C,2,0),0)</f>
        <v>0</v>
      </c>
      <c r="E282" s="305">
        <f t="shared" si="51"/>
        <v>527.34979741721611</v>
      </c>
      <c r="F282" s="103" t="s">
        <v>165</v>
      </c>
      <c r="G282" s="75" t="s">
        <v>147</v>
      </c>
      <c r="H282" s="90">
        <v>23.33</v>
      </c>
      <c r="I282" s="90">
        <v>23.02</v>
      </c>
      <c r="J282" s="76">
        <v>0.105</v>
      </c>
      <c r="K282" s="306">
        <v>16.38</v>
      </c>
      <c r="L282" s="78">
        <f t="shared" si="52"/>
        <v>29.979922382478637</v>
      </c>
      <c r="M282" s="58">
        <f>+VLOOKUP(F282,Material!$H$2:$M$17,6,FALSE)*H282*I282*(1+Material!$K$14)</f>
        <v>223.21414937500001</v>
      </c>
      <c r="N282" s="79" t="str">
        <f t="shared" si="48"/>
        <v>T5.0</v>
      </c>
      <c r="O282" s="80">
        <f>+VLOOKUP(N282,[3]Material!$A$3:$B$58,2,FALSE)</f>
        <v>5000</v>
      </c>
      <c r="P282" s="79" t="s">
        <v>42</v>
      </c>
      <c r="Q282" s="79" t="str">
        <f>+VLOOKUP(F282,[3]Material!$C$2:$E$12,2,FALSE)</f>
        <v>Cal 14</v>
      </c>
      <c r="R282" s="81">
        <f>+IF(P282="ACERO A36",VLOOKUP(Q282,'[3]Velocidades Std 1500 w'!$B$2:$F$15,5,FALSE),IF(P282="INOXIDABLE",VLOOKUP(Q282,'[3]Velocidades Std 1500 w'!$B$17:$F$28,5,FALSE),IF(P282="ALUMINIO",VLOOKUP(Q282,'[3]Velocidades Std 1500 w'!$B$30:$F$38,5,FALSE))))</f>
        <v>2.0080321285140564E-6</v>
      </c>
      <c r="S282" s="82">
        <f t="shared" si="53"/>
        <v>1.0040160642570283E-2</v>
      </c>
      <c r="T282" s="83">
        <f t="shared" si="54"/>
        <v>26.547896385542167</v>
      </c>
      <c r="U282" s="307">
        <f t="shared" si="55"/>
        <v>3672.4589999999994</v>
      </c>
      <c r="V282" s="80">
        <f t="shared" si="60"/>
        <v>36.872078313253013</v>
      </c>
      <c r="W282" s="98">
        <v>30</v>
      </c>
      <c r="X282" s="84">
        <f>+IF(P282="ACERO A36",VLOOKUP(Q282,'[3]Tiempo Objeto'!$B$2:$C$12,2,FALSE),IF(P282="INOXIDABLE",VLOOKUP(Q282,'[3]Tiempo Objeto'!$B$14:$C$22,2,FALSE),IF(P282="ALUMINIO",VLOOKUP(Q282,'[3]Tiempo Objeto'!$B$24:$C$32,2,FALSE))))</f>
        <v>0.3133333333333333</v>
      </c>
      <c r="Y282" s="84">
        <f t="shared" si="56"/>
        <v>9.3999999999999986</v>
      </c>
      <c r="Z282" s="80">
        <f t="shared" si="57"/>
        <v>13.055555555555554</v>
      </c>
      <c r="AA282" s="100">
        <v>5</v>
      </c>
      <c r="AB282" s="86">
        <f>+AA282*Analisis!$J$6</f>
        <v>125</v>
      </c>
      <c r="AC282" s="100">
        <v>0</v>
      </c>
      <c r="AD282" s="85">
        <f t="shared" si="58"/>
        <v>0</v>
      </c>
      <c r="AE282" s="86">
        <f>+AC282*Analisis!$J$7</f>
        <v>0</v>
      </c>
      <c r="AF282" s="308">
        <f>+H282*0.0254*I282*0.0254*2*(1+[3]Analisis!$G$2)</f>
        <v>0.86621859013999991</v>
      </c>
      <c r="AG282" s="86">
        <f>+AF282*Analisis!$J$8</f>
        <v>92.293528354202394</v>
      </c>
      <c r="AH282" s="309">
        <f t="shared" si="49"/>
        <v>490.43531159801097</v>
      </c>
      <c r="AI282" s="86">
        <f>+AH282/(1-Analisis!G287)</f>
        <v>490.43531159801097</v>
      </c>
      <c r="AJ282" s="86">
        <f t="shared" si="59"/>
        <v>527.34979741721611</v>
      </c>
      <c r="AK282" s="86">
        <f t="shared" si="50"/>
        <v>0</v>
      </c>
      <c r="AL282" s="310" t="e">
        <f>+VLOOKUP(B282,#REF!,2,FALSE)</f>
        <v>#REF!</v>
      </c>
      <c r="AM282" s="311" t="e">
        <f t="shared" si="47"/>
        <v>#REF!</v>
      </c>
      <c r="AN282" s="312" t="e">
        <f t="shared" si="46"/>
        <v>#REF!</v>
      </c>
    </row>
    <row r="283" spans="1:40" s="73" customFormat="1" x14ac:dyDescent="0.25">
      <c r="A283" s="303">
        <v>1</v>
      </c>
      <c r="B283" s="304" t="s">
        <v>1062</v>
      </c>
      <c r="D283" s="74">
        <f>IFERROR(VLOOKUP(B283,'REQ. PINTADO'!B:C,2,0),0)</f>
        <v>0</v>
      </c>
      <c r="E283" s="305">
        <f t="shared" si="51"/>
        <v>527.30589366685524</v>
      </c>
      <c r="F283" s="103" t="s">
        <v>163</v>
      </c>
      <c r="G283" s="75" t="s">
        <v>147</v>
      </c>
      <c r="H283" s="90">
        <v>23.33</v>
      </c>
      <c r="I283" s="90">
        <v>23.02</v>
      </c>
      <c r="J283" s="76">
        <v>0.105</v>
      </c>
      <c r="K283" s="306">
        <v>16.38</v>
      </c>
      <c r="L283" s="78">
        <f t="shared" si="52"/>
        <v>27.075862737374187</v>
      </c>
      <c r="M283" s="58">
        <f>+VLOOKUP(F283,Material!$H$2:$M$17,6,FALSE)*H283*I283*(1+Material!$K$14)</f>
        <v>201.59210529008595</v>
      </c>
      <c r="N283" s="79" t="str">
        <f t="shared" si="48"/>
        <v>T5.0</v>
      </c>
      <c r="O283" s="80">
        <f>+VLOOKUP(N283,[3]Material!$A$3:$B$58,2,FALSE)</f>
        <v>5000</v>
      </c>
      <c r="P283" s="79" t="s">
        <v>42</v>
      </c>
      <c r="Q283" s="79" t="str">
        <f>+VLOOKUP(F283,[3]Material!$C$2:$E$12,2,FALSE)</f>
        <v>Cal 12</v>
      </c>
      <c r="R283" s="81">
        <f>+IF(P283="ACERO A36",VLOOKUP(Q283,'[3]Velocidades Std 1500 w'!$B$2:$F$15,5,FALSE),IF(P283="INOXIDABLE",VLOOKUP(Q283,'[3]Velocidades Std 1500 w'!$B$17:$F$28,5,FALSE),IF(P283="ALUMINIO",VLOOKUP(Q283,'[3]Velocidades Std 1500 w'!$B$30:$F$38,5,FALSE))))</f>
        <v>4.3859649122807014E-6</v>
      </c>
      <c r="S283" s="82">
        <f t="shared" si="53"/>
        <v>2.1929824561403508E-2</v>
      </c>
      <c r="T283" s="83">
        <f t="shared" si="54"/>
        <v>45.353036842105254</v>
      </c>
      <c r="U283" s="307">
        <f t="shared" si="55"/>
        <v>2872.3589999999995</v>
      </c>
      <c r="V283" s="80">
        <f t="shared" si="60"/>
        <v>62.990328947368404</v>
      </c>
      <c r="W283" s="98">
        <v>10</v>
      </c>
      <c r="X283" s="84">
        <f>+IF(P283="ACERO A36",VLOOKUP(Q283,'[3]Tiempo Objeto'!$B$2:$C$12,2,FALSE),IF(P283="INOXIDABLE",VLOOKUP(Q283,'[3]Tiempo Objeto'!$B$14:$C$22,2,FALSE),IF(P283="ALUMINIO",VLOOKUP(Q283,'[3]Tiempo Objeto'!$B$24:$C$32,2,FALSE))))</f>
        <v>0.6133333333333334</v>
      </c>
      <c r="Y283" s="84">
        <f t="shared" si="56"/>
        <v>6.1333333333333337</v>
      </c>
      <c r="Z283" s="80">
        <f t="shared" si="57"/>
        <v>8.518518518518519</v>
      </c>
      <c r="AA283" s="100">
        <v>5</v>
      </c>
      <c r="AB283" s="86">
        <f>+AA283*Analisis!$J$6</f>
        <v>125</v>
      </c>
      <c r="AC283" s="100"/>
      <c r="AD283" s="85">
        <f t="shared" si="58"/>
        <v>0</v>
      </c>
      <c r="AE283" s="86">
        <f>+AC283*Analisis!$J$7</f>
        <v>0</v>
      </c>
      <c r="AF283" s="308">
        <f>+H283*0.0254*I283*0.0254*2*(1+[3]Analisis!$G$2)</f>
        <v>0.86621859013999991</v>
      </c>
      <c r="AG283" s="86">
        <f>+AF283*Analisis!$J$8</f>
        <v>92.293528354202394</v>
      </c>
      <c r="AH283" s="309">
        <f t="shared" si="49"/>
        <v>490.39448111017532</v>
      </c>
      <c r="AI283" s="86">
        <f>+AH283/(1-Analisis!G288)</f>
        <v>490.39448111017532</v>
      </c>
      <c r="AJ283" s="86">
        <f t="shared" si="59"/>
        <v>527.30589366685524</v>
      </c>
      <c r="AK283" s="86">
        <f t="shared" si="50"/>
        <v>0</v>
      </c>
      <c r="AL283" s="310" t="e">
        <f>+VLOOKUP(B283,#REF!,2,FALSE)</f>
        <v>#REF!</v>
      </c>
      <c r="AM283" s="311" t="e">
        <f t="shared" si="47"/>
        <v>#REF!</v>
      </c>
      <c r="AN283" s="312" t="e">
        <f t="shared" si="46"/>
        <v>#REF!</v>
      </c>
    </row>
    <row r="284" spans="1:40" s="73" customFormat="1" x14ac:dyDescent="0.25">
      <c r="A284" s="303">
        <v>2</v>
      </c>
      <c r="B284" s="304" t="s">
        <v>1063</v>
      </c>
      <c r="D284" s="74">
        <f>IFERROR(VLOOKUP(B284,'REQ. PINTADO'!B:C,2,0),0)</f>
        <v>0</v>
      </c>
      <c r="E284" s="305">
        <f t="shared" si="51"/>
        <v>677.1582781056095</v>
      </c>
      <c r="F284" s="103" t="s">
        <v>163</v>
      </c>
      <c r="G284" s="75" t="s">
        <v>147</v>
      </c>
      <c r="H284" s="90">
        <v>23.33</v>
      </c>
      <c r="I284" s="90">
        <v>33.020000000000003</v>
      </c>
      <c r="J284" s="76">
        <v>0.105</v>
      </c>
      <c r="K284" s="306">
        <v>16.38</v>
      </c>
      <c r="L284" s="78">
        <f t="shared" si="52"/>
        <v>38.837749243618411</v>
      </c>
      <c r="M284" s="58">
        <f>+VLOOKUP(F284,Material!$H$2:$M$17,6,FALSE)*H284*I284*(1+Material!$K$14)</f>
        <v>289.16469664112248</v>
      </c>
      <c r="N284" s="79" t="str">
        <f t="shared" si="48"/>
        <v>T5.0</v>
      </c>
      <c r="O284" s="80">
        <f>+VLOOKUP(N284,[3]Material!$A$3:$B$58,2,FALSE)</f>
        <v>5000</v>
      </c>
      <c r="P284" s="79" t="s">
        <v>42</v>
      </c>
      <c r="Q284" s="79" t="str">
        <f>+VLOOKUP(F284,[3]Material!$C$2:$E$12,2,FALSE)</f>
        <v>Cal 12</v>
      </c>
      <c r="R284" s="81">
        <f>+IF(P284="ACERO A36",VLOOKUP(Q284,'[3]Velocidades Std 1500 w'!$B$2:$F$15,5,FALSE),IF(P284="INOXIDABLE",VLOOKUP(Q284,'[3]Velocidades Std 1500 w'!$B$17:$F$28,5,FALSE),IF(P284="ALUMINIO",VLOOKUP(Q284,'[3]Velocidades Std 1500 w'!$B$30:$F$38,5,FALSE))))</f>
        <v>4.3859649122807014E-6</v>
      </c>
      <c r="S284" s="82">
        <f t="shared" si="53"/>
        <v>2.1929824561403508E-2</v>
      </c>
      <c r="T284" s="83">
        <f t="shared" si="54"/>
        <v>53.775142105263157</v>
      </c>
      <c r="U284" s="307">
        <f t="shared" si="55"/>
        <v>3405.759</v>
      </c>
      <c r="V284" s="80">
        <f t="shared" si="60"/>
        <v>74.687697368421055</v>
      </c>
      <c r="W284" s="98">
        <v>10</v>
      </c>
      <c r="X284" s="84">
        <f>+IF(P284="ACERO A36",VLOOKUP(Q284,'[3]Tiempo Objeto'!$B$2:$C$12,2,FALSE),IF(P284="INOXIDABLE",VLOOKUP(Q284,'[3]Tiempo Objeto'!$B$14:$C$22,2,FALSE),IF(P284="ALUMINIO",VLOOKUP(Q284,'[3]Tiempo Objeto'!$B$24:$C$32,2,FALSE))))</f>
        <v>0.6133333333333334</v>
      </c>
      <c r="Y284" s="84">
        <f t="shared" si="56"/>
        <v>6.1333333333333337</v>
      </c>
      <c r="Z284" s="80">
        <f t="shared" si="57"/>
        <v>8.518518518518519</v>
      </c>
      <c r="AA284" s="100">
        <v>5</v>
      </c>
      <c r="AB284" s="86">
        <f>+AA284*Analisis!$J$6</f>
        <v>125</v>
      </c>
      <c r="AC284" s="100"/>
      <c r="AD284" s="85">
        <f t="shared" si="58"/>
        <v>0</v>
      </c>
      <c r="AE284" s="86">
        <f>+AC284*Analisis!$J$7</f>
        <v>0</v>
      </c>
      <c r="AF284" s="308">
        <f>+H284*0.0254*I284*0.0254*2*(1+[3]Analisis!$G$2)</f>
        <v>1.2425081601400001</v>
      </c>
      <c r="AG284" s="86">
        <f>+AF284*Analisis!$J$8</f>
        <v>132.3862861101548</v>
      </c>
      <c r="AH284" s="309">
        <f t="shared" si="49"/>
        <v>629.75719863821678</v>
      </c>
      <c r="AI284" s="86">
        <f>+AH284/(1-Analisis!G289)</f>
        <v>629.75719863821678</v>
      </c>
      <c r="AJ284" s="86">
        <f t="shared" si="59"/>
        <v>677.1582781056095</v>
      </c>
      <c r="AK284" s="86">
        <f t="shared" si="50"/>
        <v>0</v>
      </c>
      <c r="AL284" s="310" t="e">
        <f>+VLOOKUP(B284,#REF!,2,FALSE)</f>
        <v>#REF!</v>
      </c>
      <c r="AM284" s="311" t="e">
        <f t="shared" si="47"/>
        <v>#REF!</v>
      </c>
      <c r="AN284" s="312" t="e">
        <f t="shared" si="46"/>
        <v>#REF!</v>
      </c>
    </row>
    <row r="285" spans="1:40" s="73" customFormat="1" x14ac:dyDescent="0.25">
      <c r="A285" s="303">
        <v>3</v>
      </c>
      <c r="B285" s="304" t="s">
        <v>1064</v>
      </c>
      <c r="D285" s="74">
        <f>IFERROR(VLOOKUP(B285,'REQ. PINTADO'!B:C,2,0),0)</f>
        <v>0</v>
      </c>
      <c r="E285" s="305">
        <f t="shared" si="51"/>
        <v>1146.3314582346936</v>
      </c>
      <c r="F285" s="103" t="s">
        <v>163</v>
      </c>
      <c r="G285" s="75" t="s">
        <v>147</v>
      </c>
      <c r="H285" s="90">
        <v>33.020000000000003</v>
      </c>
      <c r="I285" s="90">
        <v>45.83</v>
      </c>
      <c r="J285" s="76">
        <v>0.105</v>
      </c>
      <c r="K285" s="306">
        <v>16.38</v>
      </c>
      <c r="L285" s="78">
        <f t="shared" si="52"/>
        <v>76.29378687676946</v>
      </c>
      <c r="M285" s="58">
        <f>+VLOOKUP(F285,Material!$H$2:$M$17,6,FALSE)*H285*I285*(1+Material!$K$14)</f>
        <v>568.04192229158343</v>
      </c>
      <c r="N285" s="79" t="str">
        <f t="shared" si="48"/>
        <v>T5.0</v>
      </c>
      <c r="O285" s="80">
        <f>+VLOOKUP(N285,[3]Material!$A$3:$B$58,2,FALSE)</f>
        <v>5000</v>
      </c>
      <c r="P285" s="79" t="s">
        <v>42</v>
      </c>
      <c r="Q285" s="79" t="str">
        <f>+VLOOKUP(F285,[3]Material!$C$2:$E$12,2,FALSE)</f>
        <v>Cal 12</v>
      </c>
      <c r="R285" s="81">
        <f>+IF(P285="ACERO A36",VLOOKUP(Q285,'[3]Velocidades Std 1500 w'!$B$2:$F$15,5,FALSE),IF(P285="INOXIDABLE",VLOOKUP(Q285,'[3]Velocidades Std 1500 w'!$B$17:$F$28,5,FALSE),IF(P285="ALUMINIO",VLOOKUP(Q285,'[3]Velocidades Std 1500 w'!$B$30:$F$38,5,FALSE))))</f>
        <v>4.3859649122807014E-6</v>
      </c>
      <c r="S285" s="82">
        <f t="shared" si="53"/>
        <v>2.1929824561403508E-2</v>
      </c>
      <c r="T285" s="83">
        <f t="shared" si="54"/>
        <v>73.988194736842104</v>
      </c>
      <c r="U285" s="307">
        <f t="shared" si="55"/>
        <v>4685.9189999999999</v>
      </c>
      <c r="V285" s="80">
        <f t="shared" si="60"/>
        <v>102.76138157894736</v>
      </c>
      <c r="W285" s="98">
        <v>12</v>
      </c>
      <c r="X285" s="84">
        <f>+IF(P285="ACERO A36",VLOOKUP(Q285,'[3]Tiempo Objeto'!$B$2:$C$12,2,FALSE),IF(P285="INOXIDABLE",VLOOKUP(Q285,'[3]Tiempo Objeto'!$B$14:$C$22,2,FALSE),IF(P285="ALUMINIO",VLOOKUP(Q285,'[3]Tiempo Objeto'!$B$24:$C$32,2,FALSE))))</f>
        <v>0.6133333333333334</v>
      </c>
      <c r="Y285" s="84">
        <f t="shared" si="56"/>
        <v>7.3600000000000012</v>
      </c>
      <c r="Z285" s="80">
        <f t="shared" si="57"/>
        <v>10.222222222222225</v>
      </c>
      <c r="AA285" s="100">
        <v>5</v>
      </c>
      <c r="AB285" s="86">
        <f>+AA285*Analisis!$J$6</f>
        <v>125</v>
      </c>
      <c r="AC285" s="100"/>
      <c r="AD285" s="85">
        <f t="shared" si="58"/>
        <v>0</v>
      </c>
      <c r="AE285" s="86">
        <f>+AC285*Analisis!$J$7</f>
        <v>0</v>
      </c>
      <c r="AF285" s="308">
        <f>+H285*0.0254*I285*0.0254*2*(1+[3]Analisis!$G$2)</f>
        <v>2.4408122151399998</v>
      </c>
      <c r="AG285" s="86">
        <f>+AF285*Analisis!$J$8</f>
        <v>260.06273006551197</v>
      </c>
      <c r="AH285" s="309">
        <f t="shared" si="49"/>
        <v>1066.088256158265</v>
      </c>
      <c r="AI285" s="86">
        <f>+AH285/(1-Analisis!G290)</f>
        <v>1066.088256158265</v>
      </c>
      <c r="AJ285" s="86">
        <f t="shared" si="59"/>
        <v>1146.3314582346936</v>
      </c>
      <c r="AK285" s="86">
        <f t="shared" si="50"/>
        <v>0</v>
      </c>
      <c r="AL285" s="310" t="e">
        <f>+VLOOKUP(B285,#REF!,2,FALSE)</f>
        <v>#REF!</v>
      </c>
      <c r="AM285" s="311" t="e">
        <f t="shared" si="47"/>
        <v>#REF!</v>
      </c>
      <c r="AN285" s="312" t="e">
        <f t="shared" si="46"/>
        <v>#REF!</v>
      </c>
    </row>
    <row r="286" spans="1:40" s="73" customFormat="1" x14ac:dyDescent="0.25">
      <c r="A286" s="303">
        <v>4</v>
      </c>
      <c r="B286" s="304" t="s">
        <v>1065</v>
      </c>
      <c r="D286" s="74">
        <f>IFERROR(VLOOKUP(B286,'REQ. PINTADO'!B:C,2,0),0)</f>
        <v>0</v>
      </c>
      <c r="E286" s="305">
        <f t="shared" si="51"/>
        <v>1337.344725808259</v>
      </c>
      <c r="F286" s="103" t="s">
        <v>165</v>
      </c>
      <c r="G286" s="75" t="s">
        <v>147</v>
      </c>
      <c r="H286" s="90">
        <v>19.079999999999998</v>
      </c>
      <c r="I286" s="90">
        <v>93.53</v>
      </c>
      <c r="J286" s="76">
        <v>0.105</v>
      </c>
      <c r="K286" s="306">
        <v>16.38</v>
      </c>
      <c r="L286" s="78">
        <f t="shared" si="52"/>
        <v>99.618443269230781</v>
      </c>
      <c r="M286" s="58">
        <f>+VLOOKUP(F286,Material!$H$2:$M$17,6,FALSE)*H286*I286*(1+Material!$K$14)</f>
        <v>741.70459124999991</v>
      </c>
      <c r="N286" s="79" t="str">
        <f t="shared" si="48"/>
        <v>T5.0</v>
      </c>
      <c r="O286" s="80">
        <f>+VLOOKUP(N286,[3]Material!$A$3:$B$58,2,FALSE)</f>
        <v>5000</v>
      </c>
      <c r="P286" s="79" t="s">
        <v>42</v>
      </c>
      <c r="Q286" s="79" t="str">
        <f>+VLOOKUP(F286,[3]Material!$C$2:$E$12,2,FALSE)</f>
        <v>Cal 14</v>
      </c>
      <c r="R286" s="81">
        <f>+IF(P286="ACERO A36",VLOOKUP(Q286,'[3]Velocidades Std 1500 w'!$B$2:$F$15,5,FALSE),IF(P286="INOXIDABLE",VLOOKUP(Q286,'[3]Velocidades Std 1500 w'!$B$17:$F$28,5,FALSE),IF(P286="ALUMINIO",VLOOKUP(Q286,'[3]Velocidades Std 1500 w'!$B$30:$F$38,5,FALSE))))</f>
        <v>2.0080321285140564E-6</v>
      </c>
      <c r="S286" s="82">
        <f t="shared" si="53"/>
        <v>1.0040160642570283E-2</v>
      </c>
      <c r="T286" s="83">
        <f t="shared" si="54"/>
        <v>46.891643855421684</v>
      </c>
      <c r="U286" s="307">
        <f t="shared" si="55"/>
        <v>6486.6773999999996</v>
      </c>
      <c r="V286" s="80">
        <f t="shared" si="60"/>
        <v>65.127283132530124</v>
      </c>
      <c r="W286" s="98">
        <v>12</v>
      </c>
      <c r="X286" s="84">
        <f>+IF(P286="ACERO A36",VLOOKUP(Q286,'[3]Tiempo Objeto'!$B$2:$C$12,2,FALSE),IF(P286="INOXIDABLE",VLOOKUP(Q286,'[3]Tiempo Objeto'!$B$14:$C$22,2,FALSE),IF(P286="ALUMINIO",VLOOKUP(Q286,'[3]Tiempo Objeto'!$B$24:$C$32,2,FALSE))))</f>
        <v>0.3133333333333333</v>
      </c>
      <c r="Y286" s="84">
        <f t="shared" si="56"/>
        <v>3.76</v>
      </c>
      <c r="Z286" s="80">
        <f t="shared" si="57"/>
        <v>5.2222222222222223</v>
      </c>
      <c r="AA286" s="100">
        <v>5</v>
      </c>
      <c r="AB286" s="86">
        <f>+AA286*Analisis!$J$6</f>
        <v>125</v>
      </c>
      <c r="AC286" s="100"/>
      <c r="AD286" s="85">
        <f t="shared" si="58"/>
        <v>0</v>
      </c>
      <c r="AE286" s="86">
        <f>+AC286*Analisis!$J$7</f>
        <v>0</v>
      </c>
      <c r="AF286" s="308">
        <f>+H286*0.0254*I286*0.0254*2*(1+[3]Analisis!$G$2)</f>
        <v>2.8783045659599993</v>
      </c>
      <c r="AG286" s="86">
        <f>+AF286*Analisis!$J$8</f>
        <v>306.67649839692859</v>
      </c>
      <c r="AH286" s="309">
        <f t="shared" si="49"/>
        <v>1243.7305950016807</v>
      </c>
      <c r="AI286" s="86">
        <f>+AH286/(1-Analisis!G291)</f>
        <v>1243.7305950016807</v>
      </c>
      <c r="AJ286" s="86">
        <f t="shared" si="59"/>
        <v>1337.344725808259</v>
      </c>
      <c r="AK286" s="86">
        <f t="shared" si="50"/>
        <v>0</v>
      </c>
      <c r="AL286" s="310" t="e">
        <f>+VLOOKUP(B286,#REF!,2,FALSE)</f>
        <v>#REF!</v>
      </c>
      <c r="AM286" s="311" t="e">
        <f t="shared" si="47"/>
        <v>#REF!</v>
      </c>
      <c r="AN286" s="312" t="e">
        <f t="shared" si="46"/>
        <v>#REF!</v>
      </c>
    </row>
    <row r="287" spans="1:40" s="73" customFormat="1" x14ac:dyDescent="0.25">
      <c r="A287" s="303">
        <v>5</v>
      </c>
      <c r="B287" s="304" t="s">
        <v>1066</v>
      </c>
      <c r="D287" s="74">
        <f>IFERROR(VLOOKUP(B287,'REQ. PINTADO'!B:C,2,0),0)</f>
        <v>0</v>
      </c>
      <c r="E287" s="305">
        <f t="shared" si="51"/>
        <v>1635.6358019295262</v>
      </c>
      <c r="F287" s="103" t="s">
        <v>165</v>
      </c>
      <c r="G287" s="75" t="s">
        <v>147</v>
      </c>
      <c r="H287" s="90">
        <v>24.08</v>
      </c>
      <c r="I287" s="90">
        <v>93.53</v>
      </c>
      <c r="J287" s="76">
        <v>0.105</v>
      </c>
      <c r="K287" s="306">
        <v>16.38</v>
      </c>
      <c r="L287" s="78">
        <f t="shared" si="52"/>
        <v>125.72390534188035</v>
      </c>
      <c r="M287" s="58">
        <f>+VLOOKUP(F287,Material!$H$2:$M$17,6,FALSE)*H287*I287*(1+Material!$K$14)</f>
        <v>936.07162249999999</v>
      </c>
      <c r="N287" s="79" t="str">
        <f t="shared" si="48"/>
        <v>T5.0</v>
      </c>
      <c r="O287" s="80">
        <f>+VLOOKUP(N287,[3]Material!$A$3:$B$58,2,FALSE)</f>
        <v>5000</v>
      </c>
      <c r="P287" s="79" t="s">
        <v>42</v>
      </c>
      <c r="Q287" s="79" t="str">
        <f>+VLOOKUP(F287,[3]Material!$C$2:$E$12,2,FALSE)</f>
        <v>Cal 14</v>
      </c>
      <c r="R287" s="81">
        <f>+IF(P287="ACERO A36",VLOOKUP(Q287,'[3]Velocidades Std 1500 w'!$B$2:$F$15,5,FALSE),IF(P287="INOXIDABLE",VLOOKUP(Q287,'[3]Velocidades Std 1500 w'!$B$17:$F$28,5,FALSE),IF(P287="ALUMINIO",VLOOKUP(Q287,'[3]Velocidades Std 1500 w'!$B$30:$F$38,5,FALSE))))</f>
        <v>2.0080321285140564E-6</v>
      </c>
      <c r="S287" s="82">
        <f t="shared" si="53"/>
        <v>1.0040160642570283E-2</v>
      </c>
      <c r="T287" s="83">
        <f t="shared" si="54"/>
        <v>48.819595662650599</v>
      </c>
      <c r="U287" s="307">
        <f t="shared" si="55"/>
        <v>6753.3773999999994</v>
      </c>
      <c r="V287" s="80">
        <f t="shared" si="60"/>
        <v>67.804993975903614</v>
      </c>
      <c r="W287" s="98">
        <v>12</v>
      </c>
      <c r="X287" s="84">
        <f>+IF(P287="ACERO A36",VLOOKUP(Q287,'[3]Tiempo Objeto'!$B$2:$C$12,2,FALSE),IF(P287="INOXIDABLE",VLOOKUP(Q287,'[3]Tiempo Objeto'!$B$14:$C$22,2,FALSE),IF(P287="ALUMINIO",VLOOKUP(Q287,'[3]Tiempo Objeto'!$B$24:$C$32,2,FALSE))))</f>
        <v>0.3133333333333333</v>
      </c>
      <c r="Y287" s="84">
        <f t="shared" si="56"/>
        <v>3.76</v>
      </c>
      <c r="Z287" s="80">
        <f t="shared" si="57"/>
        <v>5.2222222222222223</v>
      </c>
      <c r="AA287" s="100">
        <v>5</v>
      </c>
      <c r="AB287" s="86">
        <f>+AA287*Analisis!$J$6</f>
        <v>125</v>
      </c>
      <c r="AC287" s="100"/>
      <c r="AD287" s="85">
        <f t="shared" si="58"/>
        <v>0</v>
      </c>
      <c r="AE287" s="86">
        <f>+AC287*Analisis!$J$7</f>
        <v>0</v>
      </c>
      <c r="AF287" s="308">
        <f>+H287*0.0254*I287*0.0254*2*(1+[3]Analisis!$G$2)</f>
        <v>3.6325772509599998</v>
      </c>
      <c r="AG287" s="86">
        <f>+AF287*Analisis!$J$8</f>
        <v>387.04245709633341</v>
      </c>
      <c r="AH287" s="309">
        <f t="shared" si="49"/>
        <v>1521.1412957944592</v>
      </c>
      <c r="AI287" s="86">
        <f>+AH287/(1-Analisis!G292)</f>
        <v>1521.1412957944592</v>
      </c>
      <c r="AJ287" s="86">
        <f t="shared" si="59"/>
        <v>1635.6358019295262</v>
      </c>
      <c r="AK287" s="86">
        <f t="shared" si="50"/>
        <v>0</v>
      </c>
      <c r="AL287" s="310" t="e">
        <f>+VLOOKUP(B287,#REF!,2,FALSE)</f>
        <v>#REF!</v>
      </c>
      <c r="AM287" s="311" t="e">
        <f t="shared" si="47"/>
        <v>#REF!</v>
      </c>
      <c r="AN287" s="312" t="e">
        <f t="shared" si="46"/>
        <v>#REF!</v>
      </c>
    </row>
    <row r="288" spans="1:40" s="73" customFormat="1" x14ac:dyDescent="0.25">
      <c r="A288" s="303">
        <v>6</v>
      </c>
      <c r="B288" s="304" t="s">
        <v>1067</v>
      </c>
      <c r="D288" s="74">
        <f>IFERROR(VLOOKUP(B288,'REQ. PINTADO'!B:C,2,0),0)</f>
        <v>0</v>
      </c>
      <c r="E288" s="305">
        <f t="shared" si="51"/>
        <v>2030.2145886753665</v>
      </c>
      <c r="F288" s="103" t="s">
        <v>165</v>
      </c>
      <c r="G288" s="75" t="s">
        <v>147</v>
      </c>
      <c r="H288" s="90">
        <v>31.22</v>
      </c>
      <c r="I288" s="90">
        <v>93.53</v>
      </c>
      <c r="J288" s="76">
        <v>0.105</v>
      </c>
      <c r="K288" s="306">
        <v>16.38</v>
      </c>
      <c r="L288" s="78">
        <f t="shared" si="52"/>
        <v>163.00250518162395</v>
      </c>
      <c r="M288" s="58">
        <f>+VLOOKUP(F288,Material!$H$2:$M$17,6,FALSE)*H288*I288*(1+Material!$K$14)</f>
        <v>1213.6277431250001</v>
      </c>
      <c r="N288" s="79" t="str">
        <f t="shared" si="48"/>
        <v>T5.0</v>
      </c>
      <c r="O288" s="80">
        <f>+VLOOKUP(N288,[3]Material!$A$3:$B$58,2,FALSE)</f>
        <v>5000</v>
      </c>
      <c r="P288" s="79" t="s">
        <v>42</v>
      </c>
      <c r="Q288" s="79" t="str">
        <f>+VLOOKUP(F288,[3]Material!$C$2:$E$12,2,FALSE)</f>
        <v>Cal 14</v>
      </c>
      <c r="R288" s="81">
        <f>+IF(P288="ACERO A36",VLOOKUP(Q288,'[3]Velocidades Std 1500 w'!$B$2:$F$15,5,FALSE),IF(P288="INOXIDABLE",VLOOKUP(Q288,'[3]Velocidades Std 1500 w'!$B$17:$F$28,5,FALSE),IF(P288="ALUMINIO",VLOOKUP(Q288,'[3]Velocidades Std 1500 w'!$B$30:$F$38,5,FALSE))))</f>
        <v>2.0080321285140564E-6</v>
      </c>
      <c r="S288" s="82">
        <f t="shared" si="53"/>
        <v>1.0040160642570283E-2</v>
      </c>
      <c r="T288" s="83">
        <f t="shared" si="54"/>
        <v>50.126746987951819</v>
      </c>
      <c r="U288" s="307">
        <f t="shared" si="55"/>
        <v>6934.2000000000007</v>
      </c>
      <c r="V288" s="80">
        <f t="shared" si="60"/>
        <v>69.620481927710856</v>
      </c>
      <c r="W288" s="98">
        <v>7</v>
      </c>
      <c r="X288" s="84">
        <f>+IF(P288="ACERO A36",VLOOKUP(Q288,'[3]Tiempo Objeto'!$B$2:$C$12,2,FALSE),IF(P288="INOXIDABLE",VLOOKUP(Q288,'[3]Tiempo Objeto'!$B$14:$C$22,2,FALSE),IF(P288="ALUMINIO",VLOOKUP(Q288,'[3]Tiempo Objeto'!$B$24:$C$32,2,FALSE))))</f>
        <v>0.3133333333333333</v>
      </c>
      <c r="Y288" s="84">
        <f t="shared" si="56"/>
        <v>2.1933333333333329</v>
      </c>
      <c r="Z288" s="80">
        <f t="shared" si="57"/>
        <v>3.0462962962962958</v>
      </c>
      <c r="AA288" s="100">
        <v>4</v>
      </c>
      <c r="AB288" s="86">
        <f>+AA288*Analisis!$J$6</f>
        <v>100</v>
      </c>
      <c r="AC288" s="100"/>
      <c r="AD288" s="85">
        <f t="shared" si="58"/>
        <v>0</v>
      </c>
      <c r="AE288" s="86">
        <f>+AC288*Analisis!$J$7</f>
        <v>0</v>
      </c>
      <c r="AF288" s="308">
        <f>+H288*0.0254*I288*0.0254*2*(1+[3]Analisis!$G$2)</f>
        <v>4.7096786451399995</v>
      </c>
      <c r="AG288" s="86">
        <f>+AF288*Analisis!$J$8</f>
        <v>501.80504611908344</v>
      </c>
      <c r="AH288" s="309">
        <f t="shared" si="49"/>
        <v>1888.0995674680908</v>
      </c>
      <c r="AI288" s="86">
        <f>+AH288/(1-Analisis!G293)</f>
        <v>1888.0995674680908</v>
      </c>
      <c r="AJ288" s="86">
        <f t="shared" si="59"/>
        <v>2030.2145886753665</v>
      </c>
      <c r="AK288" s="86">
        <f t="shared" si="50"/>
        <v>0</v>
      </c>
      <c r="AL288" s="310" t="e">
        <f>+VLOOKUP(B288,#REF!,2,FALSE)</f>
        <v>#REF!</v>
      </c>
      <c r="AM288" s="311" t="e">
        <f t="shared" si="47"/>
        <v>#REF!</v>
      </c>
      <c r="AN288" s="312" t="e">
        <f t="shared" si="46"/>
        <v>#REF!</v>
      </c>
    </row>
    <row r="289" spans="1:40" s="73" customFormat="1" x14ac:dyDescent="0.25">
      <c r="A289" s="303">
        <v>7</v>
      </c>
      <c r="B289" s="304" t="s">
        <v>1068</v>
      </c>
      <c r="D289" s="74">
        <f>IFERROR(VLOOKUP(B289,'REQ. PINTADO'!B:C,2,0),0)</f>
        <v>0</v>
      </c>
      <c r="E289" s="305">
        <f t="shared" si="51"/>
        <v>44.296379911861273</v>
      </c>
      <c r="F289" s="103" t="s">
        <v>166</v>
      </c>
      <c r="G289" s="75" t="s">
        <v>147</v>
      </c>
      <c r="H289" s="90">
        <v>3.32</v>
      </c>
      <c r="I289" s="90">
        <v>8.81</v>
      </c>
      <c r="J289" s="76">
        <v>0.105</v>
      </c>
      <c r="K289" s="306">
        <v>16.38</v>
      </c>
      <c r="L289" s="78">
        <f t="shared" si="52"/>
        <v>0.89038525008523917</v>
      </c>
      <c r="M289" s="58">
        <f>+VLOOKUP(F289,Material!$H$2:$M$17,6,FALSE)*H289*I289*(1+Material!$K$14)</f>
        <v>6.629322907452825</v>
      </c>
      <c r="N289" s="79" t="str">
        <f t="shared" si="48"/>
        <v>T5.0</v>
      </c>
      <c r="O289" s="80">
        <f>+VLOOKUP(N289,[3]Material!$A$3:$B$58,2,FALSE)</f>
        <v>5000</v>
      </c>
      <c r="P289" s="79" t="s">
        <v>42</v>
      </c>
      <c r="Q289" s="79" t="str">
        <f>+VLOOKUP(F289,[3]Material!$C$2:$E$12,2,FALSE)</f>
        <v>Cal 16</v>
      </c>
      <c r="R289" s="81">
        <f>+IF(P289="ACERO A36",VLOOKUP(Q289,'[3]Velocidades Std 1500 w'!$B$2:$F$15,5,FALSE),IF(P289="INOXIDABLE",VLOOKUP(Q289,'[3]Velocidades Std 1500 w'!$B$17:$F$28,5,FALSE),IF(P289="ALUMINIO",VLOOKUP(Q289,'[3]Velocidades Std 1500 w'!$B$30:$F$38,5,FALSE))))</f>
        <v>9.1575091575091579E-7</v>
      </c>
      <c r="S289" s="82">
        <f t="shared" si="53"/>
        <v>4.578754578754579E-3</v>
      </c>
      <c r="T289" s="83">
        <f t="shared" si="54"/>
        <v>2.5286676923076925</v>
      </c>
      <c r="U289" s="307">
        <f t="shared" si="55"/>
        <v>767.02920000000006</v>
      </c>
      <c r="V289" s="80">
        <f t="shared" si="60"/>
        <v>3.5120384615384621</v>
      </c>
      <c r="W289" s="98">
        <v>3</v>
      </c>
      <c r="X289" s="84">
        <f>+IF(P289="ACERO A36",VLOOKUP(Q289,'[3]Tiempo Objeto'!$B$2:$C$12,2,FALSE),IF(P289="INOXIDABLE",VLOOKUP(Q289,'[3]Tiempo Objeto'!$B$14:$C$22,2,FALSE),IF(P289="ALUMINIO",VLOOKUP(Q289,'[3]Tiempo Objeto'!$B$24:$C$32,2,FALSE))))</f>
        <v>0.24666666666666667</v>
      </c>
      <c r="Y289" s="84">
        <f t="shared" si="56"/>
        <v>0.74</v>
      </c>
      <c r="Z289" s="80">
        <f t="shared" si="57"/>
        <v>1.0277777777777777</v>
      </c>
      <c r="AA289" s="100">
        <v>1</v>
      </c>
      <c r="AB289" s="86">
        <f>+AA289*Analisis!$J$6</f>
        <v>25</v>
      </c>
      <c r="AC289" s="100"/>
      <c r="AD289" s="85">
        <f t="shared" si="58"/>
        <v>0</v>
      </c>
      <c r="AE289" s="86">
        <f>+AC289*Analisis!$J$7</f>
        <v>0</v>
      </c>
      <c r="AF289" s="308">
        <f>+H289*0.0254*I289*0.0254*2*(1+[3]Analisis!$G$2)</f>
        <v>4.7176034679999999E-2</v>
      </c>
      <c r="AG289" s="86">
        <f>+AF289*Analisis!$J$8</f>
        <v>5.0264941712619065</v>
      </c>
      <c r="AH289" s="309">
        <f t="shared" si="49"/>
        <v>41.195633318030978</v>
      </c>
      <c r="AI289" s="86">
        <f>+AH289/(1-Analisis!G294)</f>
        <v>41.195633318030978</v>
      </c>
      <c r="AJ289" s="86">
        <f t="shared" si="59"/>
        <v>44.296379911861273</v>
      </c>
      <c r="AK289" s="86">
        <f t="shared" si="50"/>
        <v>0</v>
      </c>
      <c r="AL289" s="310" t="e">
        <f>+VLOOKUP(B289,#REF!,2,FALSE)</f>
        <v>#REF!</v>
      </c>
      <c r="AM289" s="311" t="e">
        <f t="shared" si="47"/>
        <v>#REF!</v>
      </c>
      <c r="AN289" s="312" t="e">
        <f t="shared" si="46"/>
        <v>#REF!</v>
      </c>
    </row>
    <row r="290" spans="1:40" s="73" customFormat="1" x14ac:dyDescent="0.25">
      <c r="A290" s="303">
        <v>8</v>
      </c>
      <c r="B290" s="304" t="s">
        <v>1069</v>
      </c>
      <c r="D290" s="74">
        <f>IFERROR(VLOOKUP(B290,'REQ. PINTADO'!B:C,2,0),0)</f>
        <v>0</v>
      </c>
      <c r="E290" s="305">
        <f t="shared" si="51"/>
        <v>194.37920236232657</v>
      </c>
      <c r="F290" s="103" t="s">
        <v>166</v>
      </c>
      <c r="G290" s="75" t="s">
        <v>147</v>
      </c>
      <c r="H290" s="90">
        <v>25.3</v>
      </c>
      <c r="I290" s="90">
        <v>7.02</v>
      </c>
      <c r="J290" s="76">
        <v>0.105</v>
      </c>
      <c r="K290" s="306">
        <v>16.38</v>
      </c>
      <c r="L290" s="78">
        <f t="shared" si="52"/>
        <v>5.4065671104385427</v>
      </c>
      <c r="M290" s="58">
        <f>+VLOOKUP(F290,Material!$H$2:$M$17,6,FALSE)*H290*I290*(1+Material!$K$14)</f>
        <v>40.254349667719687</v>
      </c>
      <c r="N290" s="79" t="str">
        <f t="shared" si="48"/>
        <v>T5.0</v>
      </c>
      <c r="O290" s="80">
        <f>+VLOOKUP(N290,[3]Material!$A$3:$B$58,2,FALSE)</f>
        <v>5000</v>
      </c>
      <c r="P290" s="79" t="s">
        <v>42</v>
      </c>
      <c r="Q290" s="79" t="str">
        <f>+VLOOKUP(F290,[3]Material!$C$2:$E$12,2,FALSE)</f>
        <v>Cal 16</v>
      </c>
      <c r="R290" s="81">
        <f>+IF(P290="ACERO A36",VLOOKUP(Q290,'[3]Velocidades Std 1500 w'!$B$2:$F$15,5,FALSE),IF(P290="INOXIDABLE",VLOOKUP(Q290,'[3]Velocidades Std 1500 w'!$B$17:$F$28,5,FALSE),IF(P290="ALUMINIO",VLOOKUP(Q290,'[3]Velocidades Std 1500 w'!$B$30:$F$38,5,FALSE))))</f>
        <v>9.1575091575091579E-7</v>
      </c>
      <c r="S290" s="82">
        <f t="shared" si="53"/>
        <v>4.578754578754579E-3</v>
      </c>
      <c r="T290" s="83">
        <f t="shared" si="54"/>
        <v>6.2108861538461539</v>
      </c>
      <c r="U290" s="307">
        <f t="shared" si="55"/>
        <v>1883.9687999999999</v>
      </c>
      <c r="V290" s="80">
        <f t="shared" si="60"/>
        <v>8.6262307692307694</v>
      </c>
      <c r="W290" s="98">
        <v>4</v>
      </c>
      <c r="X290" s="84">
        <f>+IF(P290="ACERO A36",VLOOKUP(Q290,'[3]Tiempo Objeto'!$B$2:$C$12,2,FALSE),IF(P290="INOXIDABLE",VLOOKUP(Q290,'[3]Tiempo Objeto'!$B$14:$C$22,2,FALSE),IF(P290="ALUMINIO",VLOOKUP(Q290,'[3]Tiempo Objeto'!$B$24:$C$32,2,FALSE))))</f>
        <v>0.24666666666666667</v>
      </c>
      <c r="Y290" s="84">
        <f t="shared" si="56"/>
        <v>0.98666666666666669</v>
      </c>
      <c r="Z290" s="80">
        <f t="shared" si="57"/>
        <v>1.3703703703703702</v>
      </c>
      <c r="AA290" s="100">
        <v>4</v>
      </c>
      <c r="AB290" s="86">
        <f>+AA290*Analisis!$J$6</f>
        <v>100</v>
      </c>
      <c r="AC290" s="100"/>
      <c r="AD290" s="85">
        <f t="shared" si="58"/>
        <v>0</v>
      </c>
      <c r="AE290" s="86">
        <f>+AC290*Analisis!$J$7</f>
        <v>0</v>
      </c>
      <c r="AF290" s="308">
        <f>+H290*0.0254*I290*0.0254*2*(1+[3]Analisis!$G$2)</f>
        <v>0.28646071739999995</v>
      </c>
      <c r="AG290" s="86">
        <f>+AF290*Analisis!$J$8</f>
        <v>30.521707389642863</v>
      </c>
      <c r="AH290" s="309">
        <f t="shared" si="49"/>
        <v>180.7726581969637</v>
      </c>
      <c r="AI290" s="86">
        <f>+AH290/(1-Analisis!G295)</f>
        <v>180.7726581969637</v>
      </c>
      <c r="AJ290" s="86">
        <f t="shared" si="59"/>
        <v>194.37920236232657</v>
      </c>
      <c r="AK290" s="86">
        <f t="shared" si="50"/>
        <v>0</v>
      </c>
      <c r="AL290" s="310" t="e">
        <f>+VLOOKUP(B290,#REF!,2,FALSE)</f>
        <v>#REF!</v>
      </c>
      <c r="AM290" s="311" t="e">
        <f t="shared" si="47"/>
        <v>#REF!</v>
      </c>
      <c r="AN290" s="312" t="e">
        <f t="shared" si="46"/>
        <v>#REF!</v>
      </c>
    </row>
    <row r="291" spans="1:40" s="73" customFormat="1" x14ac:dyDescent="0.25">
      <c r="A291" s="303">
        <v>9</v>
      </c>
      <c r="B291" s="304" t="s">
        <v>155</v>
      </c>
      <c r="D291" s="74">
        <f>IFERROR(VLOOKUP(B291,'REQ. PINTADO'!B:C,2,0),0)</f>
        <v>0</v>
      </c>
      <c r="E291" s="305">
        <f t="shared" si="51"/>
        <v>194.61747691232259</v>
      </c>
      <c r="F291" s="103" t="s">
        <v>166</v>
      </c>
      <c r="G291" s="75" t="s">
        <v>147</v>
      </c>
      <c r="H291" s="90">
        <v>7.02</v>
      </c>
      <c r="I291" s="90">
        <v>25.2</v>
      </c>
      <c r="J291" s="76">
        <v>0.105</v>
      </c>
      <c r="K291" s="306">
        <v>16.38</v>
      </c>
      <c r="L291" s="78">
        <f t="shared" si="52"/>
        <v>5.3851972799625001</v>
      </c>
      <c r="M291" s="58">
        <f>+VLOOKUP(F291,Material!$H$2:$M$17,6,FALSE)*H291*I291*(1+Material!$K$14)</f>
        <v>40.095241566266246</v>
      </c>
      <c r="N291" s="79" t="str">
        <f t="shared" si="48"/>
        <v>T5.0</v>
      </c>
      <c r="O291" s="80">
        <f>+VLOOKUP(N291,[3]Material!$A$3:$B$58,2,FALSE)</f>
        <v>5000</v>
      </c>
      <c r="P291" s="79" t="s">
        <v>42</v>
      </c>
      <c r="Q291" s="79" t="str">
        <f>+VLOOKUP(F291,[3]Material!$C$2:$E$12,2,FALSE)</f>
        <v>Cal 16</v>
      </c>
      <c r="R291" s="81">
        <f>+IF(P291="ACERO A36",VLOOKUP(Q291,'[3]Velocidades Std 1500 w'!$B$2:$F$15,5,FALSE),IF(P291="INOXIDABLE",VLOOKUP(Q291,'[3]Velocidades Std 1500 w'!$B$17:$F$28,5,FALSE),IF(P291="ALUMINIO",VLOOKUP(Q291,'[3]Velocidades Std 1500 w'!$B$30:$F$38,5,FALSE))))</f>
        <v>9.1575091575091579E-7</v>
      </c>
      <c r="S291" s="82">
        <f t="shared" si="53"/>
        <v>4.578754578754579E-3</v>
      </c>
      <c r="T291" s="83">
        <f t="shared" si="54"/>
        <v>6.325186153846154</v>
      </c>
      <c r="U291" s="307">
        <f t="shared" si="55"/>
        <v>1918.6397999999999</v>
      </c>
      <c r="V291" s="80">
        <f t="shared" si="60"/>
        <v>8.7849807692307689</v>
      </c>
      <c r="W291" s="98">
        <v>5</v>
      </c>
      <c r="X291" s="84">
        <f>+IF(P291="ACERO A36",VLOOKUP(Q291,'[3]Tiempo Objeto'!$B$2:$C$12,2,FALSE),IF(P291="INOXIDABLE",VLOOKUP(Q291,'[3]Tiempo Objeto'!$B$14:$C$22,2,FALSE),IF(P291="ALUMINIO",VLOOKUP(Q291,'[3]Tiempo Objeto'!$B$24:$C$32,2,FALSE))))</f>
        <v>0.24666666666666667</v>
      </c>
      <c r="Y291" s="84">
        <f t="shared" si="56"/>
        <v>1.2333333333333334</v>
      </c>
      <c r="Z291" s="80">
        <f t="shared" si="57"/>
        <v>1.712962962962963</v>
      </c>
      <c r="AA291" s="100">
        <v>4</v>
      </c>
      <c r="AB291" s="86">
        <f>+AA291*Analisis!$J$6</f>
        <v>100</v>
      </c>
      <c r="AC291" s="100"/>
      <c r="AD291" s="85">
        <f t="shared" si="58"/>
        <v>0</v>
      </c>
      <c r="AE291" s="86">
        <f>+AC291*Analisis!$J$7</f>
        <v>0</v>
      </c>
      <c r="AF291" s="308">
        <f>+H291*0.0254*I291*0.0254*2*(1+[3]Analisis!$G$2)</f>
        <v>0.28532846160000003</v>
      </c>
      <c r="AG291" s="86">
        <f>+AF291*Analisis!$J$8</f>
        <v>30.401068230000011</v>
      </c>
      <c r="AH291" s="309">
        <f t="shared" si="49"/>
        <v>180.99425352846001</v>
      </c>
      <c r="AI291" s="86">
        <f>+AH291/(1-Analisis!G296)</f>
        <v>180.99425352846001</v>
      </c>
      <c r="AJ291" s="86">
        <f t="shared" si="59"/>
        <v>194.61747691232259</v>
      </c>
      <c r="AK291" s="86">
        <f t="shared" si="50"/>
        <v>0</v>
      </c>
      <c r="AL291" s="310" t="e">
        <f>+VLOOKUP(B291,#REF!,2,FALSE)</f>
        <v>#REF!</v>
      </c>
      <c r="AM291" s="311" t="e">
        <f t="shared" si="47"/>
        <v>#REF!</v>
      </c>
      <c r="AN291" s="312" t="e">
        <f t="shared" si="46"/>
        <v>#REF!</v>
      </c>
    </row>
    <row r="292" spans="1:40" s="73" customFormat="1" x14ac:dyDescent="0.25">
      <c r="A292" s="303">
        <v>10</v>
      </c>
      <c r="B292" s="304" t="s">
        <v>1070</v>
      </c>
      <c r="D292" s="74">
        <f>IFERROR(VLOOKUP(B292,'REQ. PINTADO'!B:C,2,0),0)</f>
        <v>0</v>
      </c>
      <c r="E292" s="305">
        <f t="shared" si="51"/>
        <v>104.04661627709774</v>
      </c>
      <c r="F292" s="103" t="s">
        <v>165</v>
      </c>
      <c r="G292" s="75" t="s">
        <v>147</v>
      </c>
      <c r="H292" s="90">
        <v>3.66</v>
      </c>
      <c r="I292" s="90">
        <v>21.94</v>
      </c>
      <c r="J292" s="76">
        <v>0.105</v>
      </c>
      <c r="K292" s="306">
        <v>16.38</v>
      </c>
      <c r="L292" s="78">
        <f t="shared" si="52"/>
        <v>4.4825810897435918</v>
      </c>
      <c r="M292" s="58">
        <f>+VLOOKUP(F292,Material!$H$2:$M$17,6,FALSE)*H292*I292*(1+Material!$K$14)</f>
        <v>33.374853750000007</v>
      </c>
      <c r="N292" s="79" t="str">
        <f t="shared" si="48"/>
        <v>T5.0</v>
      </c>
      <c r="O292" s="80">
        <f>+VLOOKUP(N292,[3]Material!$A$3:$B$58,2,FALSE)</f>
        <v>5000</v>
      </c>
      <c r="P292" s="79" t="s">
        <v>42</v>
      </c>
      <c r="Q292" s="79" t="str">
        <f>+VLOOKUP(F292,[3]Material!$C$2:$E$12,2,FALSE)</f>
        <v>Cal 14</v>
      </c>
      <c r="R292" s="81">
        <f>+IF(P292="ACERO A36",VLOOKUP(Q292,'[3]Velocidades Std 1500 w'!$B$2:$F$15,5,FALSE),IF(P292="INOXIDABLE",VLOOKUP(Q292,'[3]Velocidades Std 1500 w'!$B$17:$F$28,5,FALSE),IF(P292="ALUMINIO",VLOOKUP(Q292,'[3]Velocidades Std 1500 w'!$B$30:$F$38,5,FALSE))))</f>
        <v>2.0080321285140564E-6</v>
      </c>
      <c r="S292" s="82">
        <f t="shared" si="53"/>
        <v>1.0040160642570283E-2</v>
      </c>
      <c r="T292" s="83">
        <f t="shared" si="54"/>
        <v>13.630619277108435</v>
      </c>
      <c r="U292" s="307">
        <f t="shared" si="55"/>
        <v>1885.569</v>
      </c>
      <c r="V292" s="80">
        <f t="shared" si="60"/>
        <v>18.931415662650604</v>
      </c>
      <c r="W292" s="98">
        <v>13</v>
      </c>
      <c r="X292" s="84">
        <f>+IF(P292="ACERO A36",VLOOKUP(Q292,'[3]Tiempo Objeto'!$B$2:$C$12,2,FALSE),IF(P292="INOXIDABLE",VLOOKUP(Q292,'[3]Tiempo Objeto'!$B$14:$C$22,2,FALSE),IF(P292="ALUMINIO",VLOOKUP(Q292,'[3]Tiempo Objeto'!$B$24:$C$32,2,FALSE))))</f>
        <v>0.3133333333333333</v>
      </c>
      <c r="Y292" s="84">
        <f t="shared" si="56"/>
        <v>4.0733333333333333</v>
      </c>
      <c r="Z292" s="80">
        <f t="shared" si="57"/>
        <v>5.6574074074074074</v>
      </c>
      <c r="AA292" s="100">
        <v>1</v>
      </c>
      <c r="AB292" s="86">
        <f>+AA292*Analisis!$J$6</f>
        <v>25</v>
      </c>
      <c r="AC292" s="100"/>
      <c r="AD292" s="85">
        <f t="shared" si="58"/>
        <v>0</v>
      </c>
      <c r="AE292" s="86">
        <f>+AC292*Analisis!$J$7</f>
        <v>0</v>
      </c>
      <c r="AF292" s="308">
        <f>+H292*0.0254*I292*0.0254*2*(1+[3]Analisis!$G$2)</f>
        <v>0.12951651516000001</v>
      </c>
      <c r="AG292" s="86">
        <f>+AF292*Analisis!$J$8</f>
        <v>13.799676317642863</v>
      </c>
      <c r="AH292" s="309">
        <f t="shared" si="49"/>
        <v>96.763353137700889</v>
      </c>
      <c r="AI292" s="86">
        <f>+AH292/(1-Analisis!G297)</f>
        <v>96.763353137700889</v>
      </c>
      <c r="AJ292" s="86">
        <f t="shared" si="59"/>
        <v>104.04661627709774</v>
      </c>
      <c r="AK292" s="86">
        <f t="shared" si="50"/>
        <v>0</v>
      </c>
      <c r="AL292" s="310" t="e">
        <f>+VLOOKUP(B292,#REF!,2,FALSE)</f>
        <v>#REF!</v>
      </c>
      <c r="AM292" s="311" t="e">
        <f t="shared" si="47"/>
        <v>#REF!</v>
      </c>
      <c r="AN292" s="312" t="e">
        <f t="shared" si="46"/>
        <v>#REF!</v>
      </c>
    </row>
    <row r="293" spans="1:40" s="73" customFormat="1" x14ac:dyDescent="0.25">
      <c r="A293" s="303"/>
      <c r="B293" s="304" t="s">
        <v>1071</v>
      </c>
      <c r="D293" s="74">
        <f>IFERROR(VLOOKUP(B293,'REQ. PINTADO'!B:C,2,0),0)</f>
        <v>0</v>
      </c>
      <c r="E293" s="305">
        <f t="shared" si="51"/>
        <v>161.78751104763919</v>
      </c>
      <c r="F293" s="103" t="s">
        <v>165</v>
      </c>
      <c r="G293" s="75" t="s">
        <v>147</v>
      </c>
      <c r="H293" s="90">
        <v>7.66</v>
      </c>
      <c r="I293" s="90">
        <v>21.94</v>
      </c>
      <c r="J293" s="76">
        <v>0.105</v>
      </c>
      <c r="K293" s="306">
        <v>16.38</v>
      </c>
      <c r="L293" s="78">
        <f t="shared" si="52"/>
        <v>9.3815768162393169</v>
      </c>
      <c r="M293" s="58">
        <f>+VLOOKUP(F293,Material!$H$2:$M$17,6,FALSE)*H293*I293*(1+Material!$K$14)</f>
        <v>69.850103750000002</v>
      </c>
      <c r="N293" s="79" t="str">
        <f t="shared" si="48"/>
        <v>T5.0</v>
      </c>
      <c r="O293" s="80">
        <f>+VLOOKUP(N293,[3]Material!$A$3:$B$58,2,FALSE)</f>
        <v>5000</v>
      </c>
      <c r="P293" s="79" t="s">
        <v>42</v>
      </c>
      <c r="Q293" s="79" t="str">
        <f>+VLOOKUP(F293,[3]Material!$C$2:$E$12,2,FALSE)</f>
        <v>Cal 14</v>
      </c>
      <c r="R293" s="81">
        <f>+IF(P293="ACERO A36",VLOOKUP(Q293,'[3]Velocidades Std 1500 w'!$B$2:$F$15,5,FALSE),IF(P293="INOXIDABLE",VLOOKUP(Q293,'[3]Velocidades Std 1500 w'!$B$17:$F$28,5,FALSE),IF(P293="ALUMINIO",VLOOKUP(Q293,'[3]Velocidades Std 1500 w'!$B$30:$F$38,5,FALSE))))</f>
        <v>2.0080321285140564E-6</v>
      </c>
      <c r="S293" s="82">
        <f t="shared" si="53"/>
        <v>1.0040160642570283E-2</v>
      </c>
      <c r="T293" s="83">
        <f t="shared" si="54"/>
        <v>15.172980722891568</v>
      </c>
      <c r="U293" s="307">
        <f t="shared" si="55"/>
        <v>2098.9290000000001</v>
      </c>
      <c r="V293" s="80">
        <f t="shared" si="60"/>
        <v>21.073584337349402</v>
      </c>
      <c r="W293" s="98">
        <v>13</v>
      </c>
      <c r="X293" s="84">
        <f>+IF(P293="ACERO A36",VLOOKUP(Q293,'[3]Tiempo Objeto'!$B$2:$C$12,2,FALSE),IF(P293="INOXIDABLE",VLOOKUP(Q293,'[3]Tiempo Objeto'!$B$14:$C$22,2,FALSE),IF(P293="ALUMINIO",VLOOKUP(Q293,'[3]Tiempo Objeto'!$B$24:$C$32,2,FALSE))))</f>
        <v>0.3133333333333333</v>
      </c>
      <c r="Y293" s="84">
        <f t="shared" si="56"/>
        <v>4.0733333333333333</v>
      </c>
      <c r="Z293" s="80">
        <f t="shared" si="57"/>
        <v>5.6574074074074074</v>
      </c>
      <c r="AA293" s="100">
        <v>1</v>
      </c>
      <c r="AB293" s="86">
        <f>+AA293*Analisis!$J$6</f>
        <v>25</v>
      </c>
      <c r="AC293" s="100"/>
      <c r="AD293" s="85">
        <f t="shared" si="58"/>
        <v>0</v>
      </c>
      <c r="AE293" s="86">
        <f>+AC293*Analisis!$J$7</f>
        <v>0</v>
      </c>
      <c r="AF293" s="308">
        <f>+H293*0.0254*I293*0.0254*2*(1+[3]Analisis!$G$2)</f>
        <v>0.27106461916000002</v>
      </c>
      <c r="AG293" s="86">
        <f>+AF293*Analisis!$J$8</f>
        <v>28.881289779547629</v>
      </c>
      <c r="AH293" s="309">
        <f t="shared" si="49"/>
        <v>150.46238527430444</v>
      </c>
      <c r="AI293" s="86">
        <f>+AH293/(1-Analisis!G298)</f>
        <v>150.46238527430444</v>
      </c>
      <c r="AJ293" s="86">
        <f t="shared" si="59"/>
        <v>161.78751104763919</v>
      </c>
      <c r="AK293" s="86">
        <f t="shared" si="50"/>
        <v>0</v>
      </c>
      <c r="AL293" s="310" t="e">
        <f>+VLOOKUP(B293,#REF!,2,FALSE)</f>
        <v>#REF!</v>
      </c>
      <c r="AM293" s="311" t="e">
        <f t="shared" si="47"/>
        <v>#REF!</v>
      </c>
      <c r="AN293" s="312" t="e">
        <f t="shared" si="46"/>
        <v>#REF!</v>
      </c>
    </row>
    <row r="294" spans="1:40" s="73" customFormat="1" x14ac:dyDescent="0.25">
      <c r="A294" s="303">
        <v>11</v>
      </c>
      <c r="B294" s="304" t="s">
        <v>1072</v>
      </c>
      <c r="D294" s="74">
        <f>IFERROR(VLOOKUP(B294,'REQ. PINTADO'!B:C,2,0),0)</f>
        <v>0</v>
      </c>
      <c r="E294" s="305">
        <f t="shared" si="51"/>
        <v>132.92514385885335</v>
      </c>
      <c r="F294" s="103" t="s">
        <v>165</v>
      </c>
      <c r="G294" s="75" t="s">
        <v>147</v>
      </c>
      <c r="H294" s="90">
        <v>3.66</v>
      </c>
      <c r="I294" s="90">
        <v>31.94</v>
      </c>
      <c r="J294" s="76">
        <v>0.105</v>
      </c>
      <c r="K294" s="306">
        <v>16.38</v>
      </c>
      <c r="L294" s="78">
        <f t="shared" si="52"/>
        <v>6.5256900641025659</v>
      </c>
      <c r="M294" s="58">
        <f>+VLOOKUP(F294,Material!$H$2:$M$17,6,FALSE)*H294*I294*(1+Material!$K$14)</f>
        <v>48.586728750000006</v>
      </c>
      <c r="N294" s="79" t="str">
        <f t="shared" si="48"/>
        <v>T5.0</v>
      </c>
      <c r="O294" s="80">
        <f>+VLOOKUP(N294,[3]Material!$A$3:$B$58,2,FALSE)</f>
        <v>5000</v>
      </c>
      <c r="P294" s="79" t="s">
        <v>42</v>
      </c>
      <c r="Q294" s="79" t="str">
        <f>+VLOOKUP(F294,[3]Material!$C$2:$E$12,2,FALSE)</f>
        <v>Cal 14</v>
      </c>
      <c r="R294" s="81">
        <f>+IF(P294="ACERO A36",VLOOKUP(Q294,'[3]Velocidades Std 1500 w'!$B$2:$F$15,5,FALSE),IF(P294="INOXIDABLE",VLOOKUP(Q294,'[3]Velocidades Std 1500 w'!$B$17:$F$28,5,FALSE),IF(P294="ALUMINIO",VLOOKUP(Q294,'[3]Velocidades Std 1500 w'!$B$30:$F$38,5,FALSE))))</f>
        <v>2.0080321285140564E-6</v>
      </c>
      <c r="S294" s="82">
        <f t="shared" si="53"/>
        <v>1.0040160642570283E-2</v>
      </c>
      <c r="T294" s="83">
        <f t="shared" si="54"/>
        <v>17.486522891566267</v>
      </c>
      <c r="U294" s="307">
        <f t="shared" si="55"/>
        <v>2418.9690000000001</v>
      </c>
      <c r="V294" s="80">
        <f t="shared" si="60"/>
        <v>24.286837349397594</v>
      </c>
      <c r="W294" s="98">
        <v>13</v>
      </c>
      <c r="X294" s="84">
        <f>+IF(P294="ACERO A36",VLOOKUP(Q294,'[3]Tiempo Objeto'!$B$2:$C$12,2,FALSE),IF(P294="INOXIDABLE",VLOOKUP(Q294,'[3]Tiempo Objeto'!$B$14:$C$22,2,FALSE),IF(P294="ALUMINIO",VLOOKUP(Q294,'[3]Tiempo Objeto'!$B$24:$C$32,2,FALSE))))</f>
        <v>0.3133333333333333</v>
      </c>
      <c r="Y294" s="84">
        <f t="shared" si="56"/>
        <v>4.0733333333333333</v>
      </c>
      <c r="Z294" s="80">
        <f t="shared" si="57"/>
        <v>5.6574074074074074</v>
      </c>
      <c r="AA294" s="100">
        <v>1</v>
      </c>
      <c r="AB294" s="86">
        <f>+AA294*Analisis!$J$6</f>
        <v>25</v>
      </c>
      <c r="AC294" s="100"/>
      <c r="AD294" s="85">
        <f t="shared" si="58"/>
        <v>0</v>
      </c>
      <c r="AE294" s="86">
        <f>+AC294*Analisis!$J$7</f>
        <v>0</v>
      </c>
      <c r="AF294" s="308">
        <f>+H294*0.0254*I294*0.0254*2*(1+[3]Analisis!$G$2)</f>
        <v>0.18854865516000002</v>
      </c>
      <c r="AG294" s="86">
        <f>+AF294*Analisis!$J$8</f>
        <v>20.089410281928579</v>
      </c>
      <c r="AH294" s="309">
        <f t="shared" si="49"/>
        <v>123.62038378873359</v>
      </c>
      <c r="AI294" s="86">
        <f>+AH294/(1-Analisis!G299)</f>
        <v>123.62038378873359</v>
      </c>
      <c r="AJ294" s="86">
        <f t="shared" si="59"/>
        <v>132.92514385885335</v>
      </c>
      <c r="AK294" s="86">
        <f t="shared" si="50"/>
        <v>0</v>
      </c>
      <c r="AL294" s="310" t="e">
        <f>+VLOOKUP(B294,#REF!,2,FALSE)</f>
        <v>#REF!</v>
      </c>
      <c r="AM294" s="311" t="e">
        <f t="shared" si="47"/>
        <v>#REF!</v>
      </c>
      <c r="AN294" s="312" t="e">
        <f t="shared" si="46"/>
        <v>#REF!</v>
      </c>
    </row>
    <row r="295" spans="1:40" s="73" customFormat="1" x14ac:dyDescent="0.25">
      <c r="A295" s="303"/>
      <c r="B295" s="304" t="s">
        <v>1073</v>
      </c>
      <c r="D295" s="74">
        <f>IFERROR(VLOOKUP(B295,'REQ. PINTADO'!B:C,2,0),0)</f>
        <v>0</v>
      </c>
      <c r="E295" s="305">
        <f t="shared" si="51"/>
        <v>215.93380872668101</v>
      </c>
      <c r="F295" s="103" t="s">
        <v>165</v>
      </c>
      <c r="G295" s="75" t="s">
        <v>147</v>
      </c>
      <c r="H295" s="90">
        <v>7.66</v>
      </c>
      <c r="I295" s="90">
        <v>31.94</v>
      </c>
      <c r="J295" s="76">
        <v>0.105</v>
      </c>
      <c r="K295" s="306">
        <v>16.38</v>
      </c>
      <c r="L295" s="78">
        <f t="shared" si="52"/>
        <v>13.657591773504274</v>
      </c>
      <c r="M295" s="58">
        <f>+VLOOKUP(F295,Material!$H$2:$M$17,6,FALSE)*H295*I295*(1+Material!$K$14)</f>
        <v>101.68697874999999</v>
      </c>
      <c r="N295" s="79" t="str">
        <f t="shared" si="48"/>
        <v>T5.0</v>
      </c>
      <c r="O295" s="80">
        <f>+VLOOKUP(N295,[3]Material!$A$3:$B$58,2,FALSE)</f>
        <v>5000</v>
      </c>
      <c r="P295" s="79" t="s">
        <v>42</v>
      </c>
      <c r="Q295" s="79" t="str">
        <f>+VLOOKUP(F295,[3]Material!$C$2:$E$12,2,FALSE)</f>
        <v>Cal 14</v>
      </c>
      <c r="R295" s="81">
        <f>+IF(P295="ACERO A36",VLOOKUP(Q295,'[3]Velocidades Std 1500 w'!$B$2:$F$15,5,FALSE),IF(P295="INOXIDABLE",VLOOKUP(Q295,'[3]Velocidades Std 1500 w'!$B$17:$F$28,5,FALSE),IF(P295="ALUMINIO",VLOOKUP(Q295,'[3]Velocidades Std 1500 w'!$B$30:$F$38,5,FALSE))))</f>
        <v>2.0080321285140564E-6</v>
      </c>
      <c r="S295" s="82">
        <f t="shared" si="53"/>
        <v>1.0040160642570283E-2</v>
      </c>
      <c r="T295" s="83">
        <f t="shared" si="54"/>
        <v>19.0288843373494</v>
      </c>
      <c r="U295" s="307">
        <f t="shared" si="55"/>
        <v>2632.3290000000002</v>
      </c>
      <c r="V295" s="80">
        <f t="shared" si="60"/>
        <v>26.429006024096392</v>
      </c>
      <c r="W295" s="98">
        <v>13</v>
      </c>
      <c r="X295" s="84">
        <f>+IF(P295="ACERO A36",VLOOKUP(Q295,'[3]Tiempo Objeto'!$B$2:$C$12,2,FALSE),IF(P295="INOXIDABLE",VLOOKUP(Q295,'[3]Tiempo Objeto'!$B$14:$C$22,2,FALSE),IF(P295="ALUMINIO",VLOOKUP(Q295,'[3]Tiempo Objeto'!$B$24:$C$32,2,FALSE))))</f>
        <v>0.3133333333333333</v>
      </c>
      <c r="Y295" s="84">
        <f t="shared" si="56"/>
        <v>4.0733333333333333</v>
      </c>
      <c r="Z295" s="80">
        <f t="shared" si="57"/>
        <v>5.6574074074074074</v>
      </c>
      <c r="AA295" s="100">
        <v>1</v>
      </c>
      <c r="AB295" s="86">
        <f>+AA295*Analisis!$J$6</f>
        <v>25</v>
      </c>
      <c r="AC295" s="100"/>
      <c r="AD295" s="85">
        <f t="shared" si="58"/>
        <v>0</v>
      </c>
      <c r="AE295" s="86">
        <f>+AC295*Analisis!$J$7</f>
        <v>0</v>
      </c>
      <c r="AF295" s="308">
        <f>+H295*0.0254*I295*0.0254*2*(1+[3]Analisis!$G$2)</f>
        <v>0.39461275916000005</v>
      </c>
      <c r="AG295" s="86">
        <f>+AF295*Analisis!$J$8</f>
        <v>42.045049934309539</v>
      </c>
      <c r="AH295" s="309">
        <f t="shared" si="49"/>
        <v>200.81844211581333</v>
      </c>
      <c r="AI295" s="86">
        <f>+AH295/(1-Analisis!G300)</f>
        <v>200.81844211581333</v>
      </c>
      <c r="AJ295" s="86">
        <f t="shared" si="59"/>
        <v>215.93380872668101</v>
      </c>
      <c r="AK295" s="86">
        <f t="shared" si="50"/>
        <v>0</v>
      </c>
      <c r="AL295" s="310" t="e">
        <f>+VLOOKUP(B295,#REF!,2,FALSE)</f>
        <v>#REF!</v>
      </c>
      <c r="AM295" s="311" t="e">
        <f t="shared" si="47"/>
        <v>#REF!</v>
      </c>
      <c r="AN295" s="312" t="e">
        <f t="shared" si="46"/>
        <v>#REF!</v>
      </c>
    </row>
    <row r="296" spans="1:40" s="73" customFormat="1" x14ac:dyDescent="0.25">
      <c r="A296" s="303"/>
      <c r="B296" s="304" t="s">
        <v>1074</v>
      </c>
      <c r="D296" s="74">
        <f>IFERROR(VLOOKUP(B296,'REQ. PINTADO'!B:C,2,0),0)</f>
        <v>0</v>
      </c>
      <c r="E296" s="305">
        <f t="shared" si="51"/>
        <v>161.80367144060892</v>
      </c>
      <c r="F296" s="103" t="s">
        <v>165</v>
      </c>
      <c r="G296" s="75" t="s">
        <v>147</v>
      </c>
      <c r="H296" s="90">
        <v>3.66</v>
      </c>
      <c r="I296" s="90">
        <v>41.94</v>
      </c>
      <c r="J296" s="76">
        <v>0.105</v>
      </c>
      <c r="K296" s="306">
        <v>16.38</v>
      </c>
      <c r="L296" s="78">
        <f t="shared" si="52"/>
        <v>8.56879903846154</v>
      </c>
      <c r="M296" s="58">
        <f>+VLOOKUP(F296,Material!$H$2:$M$17,6,FALSE)*H296*I296*(1+Material!$K$14)</f>
        <v>63.798603749999998</v>
      </c>
      <c r="N296" s="79" t="str">
        <f t="shared" si="48"/>
        <v>T5.0</v>
      </c>
      <c r="O296" s="80">
        <f>+VLOOKUP(N296,[3]Material!$A$3:$B$58,2,FALSE)</f>
        <v>5000</v>
      </c>
      <c r="P296" s="79" t="s">
        <v>42</v>
      </c>
      <c r="Q296" s="79" t="str">
        <f>+VLOOKUP(F296,[3]Material!$C$2:$E$12,2,FALSE)</f>
        <v>Cal 14</v>
      </c>
      <c r="R296" s="81">
        <f>+IF(P296="ACERO A36",VLOOKUP(Q296,'[3]Velocidades Std 1500 w'!$B$2:$F$15,5,FALSE),IF(P296="INOXIDABLE",VLOOKUP(Q296,'[3]Velocidades Std 1500 w'!$B$17:$F$28,5,FALSE),IF(P296="ALUMINIO",VLOOKUP(Q296,'[3]Velocidades Std 1500 w'!$B$30:$F$38,5,FALSE))))</f>
        <v>2.0080321285140564E-6</v>
      </c>
      <c r="S296" s="82">
        <f t="shared" si="53"/>
        <v>1.0040160642570283E-2</v>
      </c>
      <c r="T296" s="83">
        <f t="shared" si="54"/>
        <v>21.342426506024093</v>
      </c>
      <c r="U296" s="307">
        <f t="shared" si="55"/>
        <v>2952.3689999999997</v>
      </c>
      <c r="V296" s="80">
        <f t="shared" si="60"/>
        <v>29.64225903614458</v>
      </c>
      <c r="W296" s="98">
        <v>13</v>
      </c>
      <c r="X296" s="84">
        <f>+IF(P296="ACERO A36",VLOOKUP(Q296,'[3]Tiempo Objeto'!$B$2:$C$12,2,FALSE),IF(P296="INOXIDABLE",VLOOKUP(Q296,'[3]Tiempo Objeto'!$B$14:$C$22,2,FALSE),IF(P296="ALUMINIO",VLOOKUP(Q296,'[3]Tiempo Objeto'!$B$24:$C$32,2,FALSE))))</f>
        <v>0.3133333333333333</v>
      </c>
      <c r="Y296" s="84">
        <f t="shared" si="56"/>
        <v>4.0733333333333333</v>
      </c>
      <c r="Z296" s="80">
        <f t="shared" si="57"/>
        <v>5.6574074074074074</v>
      </c>
      <c r="AA296" s="100">
        <v>1</v>
      </c>
      <c r="AB296" s="86">
        <f>+AA296*Analisis!$J$6</f>
        <v>25</v>
      </c>
      <c r="AC296" s="100"/>
      <c r="AD296" s="85">
        <f t="shared" si="58"/>
        <v>0</v>
      </c>
      <c r="AE296" s="86">
        <f>+AC296*Analisis!$J$7</f>
        <v>0</v>
      </c>
      <c r="AF296" s="308">
        <f>+H296*0.0254*I296*0.0254*2*(1+[3]Analisis!$G$2)</f>
        <v>0.24758079515999998</v>
      </c>
      <c r="AG296" s="86">
        <f>+AF296*Analisis!$J$8</f>
        <v>26.379144246214292</v>
      </c>
      <c r="AH296" s="309">
        <f t="shared" si="49"/>
        <v>150.47741443976628</v>
      </c>
      <c r="AI296" s="86">
        <f>+AH296/(1-Analisis!G301)</f>
        <v>150.47741443976628</v>
      </c>
      <c r="AJ296" s="86">
        <f t="shared" si="59"/>
        <v>161.80367144060892</v>
      </c>
      <c r="AK296" s="86">
        <f t="shared" si="50"/>
        <v>0</v>
      </c>
      <c r="AL296" s="310" t="e">
        <f>+VLOOKUP(B296,#REF!,2,FALSE)</f>
        <v>#REF!</v>
      </c>
      <c r="AM296" s="311" t="e">
        <f t="shared" si="47"/>
        <v>#REF!</v>
      </c>
      <c r="AN296" s="312" t="e">
        <f t="shared" si="46"/>
        <v>#REF!</v>
      </c>
    </row>
    <row r="297" spans="1:40" s="73" customFormat="1" x14ac:dyDescent="0.25">
      <c r="A297" s="303"/>
      <c r="B297" s="304" t="s">
        <v>1075</v>
      </c>
      <c r="D297" s="74">
        <f>IFERROR(VLOOKUP(B297,'REQ. PINTADO'!B:C,2,0),0)</f>
        <v>0</v>
      </c>
      <c r="E297" s="305">
        <f t="shared" si="51"/>
        <v>150.25226040790668</v>
      </c>
      <c r="F297" s="103" t="s">
        <v>165</v>
      </c>
      <c r="G297" s="75" t="s">
        <v>147</v>
      </c>
      <c r="H297" s="90">
        <v>3.66</v>
      </c>
      <c r="I297" s="90">
        <v>37.94</v>
      </c>
      <c r="J297" s="76">
        <v>0.105</v>
      </c>
      <c r="K297" s="306">
        <v>16.38</v>
      </c>
      <c r="L297" s="78">
        <f t="shared" si="52"/>
        <v>7.7515554487179505</v>
      </c>
      <c r="M297" s="58">
        <f>+VLOOKUP(F297,Material!$H$2:$M$17,6,FALSE)*H297*I297*(1+Material!$K$14)</f>
        <v>57.713853750000006</v>
      </c>
      <c r="N297" s="79" t="str">
        <f t="shared" si="48"/>
        <v>T5.0</v>
      </c>
      <c r="O297" s="80">
        <f>+VLOOKUP(N297,[3]Material!$A$3:$B$58,2,FALSE)</f>
        <v>5000</v>
      </c>
      <c r="P297" s="79" t="s">
        <v>42</v>
      </c>
      <c r="Q297" s="79" t="str">
        <f>+VLOOKUP(F297,[3]Material!$C$2:$E$12,2,FALSE)</f>
        <v>Cal 14</v>
      </c>
      <c r="R297" s="81">
        <f>+IF(P297="ACERO A36",VLOOKUP(Q297,'[3]Velocidades Std 1500 w'!$B$2:$F$15,5,FALSE),IF(P297="INOXIDABLE",VLOOKUP(Q297,'[3]Velocidades Std 1500 w'!$B$17:$F$28,5,FALSE),IF(P297="ALUMINIO",VLOOKUP(Q297,'[3]Velocidades Std 1500 w'!$B$30:$F$38,5,FALSE))))</f>
        <v>2.0080321285140564E-6</v>
      </c>
      <c r="S297" s="82">
        <f t="shared" si="53"/>
        <v>1.0040160642570283E-2</v>
      </c>
      <c r="T297" s="83">
        <f t="shared" si="54"/>
        <v>19.800065060240961</v>
      </c>
      <c r="U297" s="307">
        <f t="shared" si="55"/>
        <v>2739.0089999999996</v>
      </c>
      <c r="V297" s="80">
        <f t="shared" si="60"/>
        <v>27.500090361445782</v>
      </c>
      <c r="W297" s="98">
        <v>13</v>
      </c>
      <c r="X297" s="84">
        <f>+IF(P297="ACERO A36",VLOOKUP(Q297,'[3]Tiempo Objeto'!$B$2:$C$12,2,FALSE),IF(P297="INOXIDABLE",VLOOKUP(Q297,'[3]Tiempo Objeto'!$B$14:$C$22,2,FALSE),IF(P297="ALUMINIO",VLOOKUP(Q297,'[3]Tiempo Objeto'!$B$24:$C$32,2,FALSE))))</f>
        <v>0.3133333333333333</v>
      </c>
      <c r="Y297" s="84">
        <f t="shared" si="56"/>
        <v>4.0733333333333333</v>
      </c>
      <c r="Z297" s="80">
        <f t="shared" si="57"/>
        <v>5.6574074074074074</v>
      </c>
      <c r="AA297" s="100">
        <v>1</v>
      </c>
      <c r="AB297" s="86">
        <f>+AA297*Analisis!$J$6</f>
        <v>25</v>
      </c>
      <c r="AC297" s="100"/>
      <c r="AD297" s="85">
        <f t="shared" si="58"/>
        <v>0</v>
      </c>
      <c r="AE297" s="86">
        <f>+AC297*Analisis!$J$7</f>
        <v>0</v>
      </c>
      <c r="AF297" s="308">
        <f>+H297*0.0254*I297*0.0254*2*(1+[3]Analisis!$G$2)</f>
        <v>0.22396793915999999</v>
      </c>
      <c r="AG297" s="86">
        <f>+AF297*Analisis!$J$8</f>
        <v>23.863250660500007</v>
      </c>
      <c r="AH297" s="309">
        <f t="shared" si="49"/>
        <v>139.7346021793532</v>
      </c>
      <c r="AI297" s="86">
        <f>+AH297/(1-Analisis!G302)</f>
        <v>139.7346021793532</v>
      </c>
      <c r="AJ297" s="86">
        <f t="shared" si="59"/>
        <v>150.25226040790668</v>
      </c>
      <c r="AK297" s="86">
        <f t="shared" si="50"/>
        <v>0</v>
      </c>
      <c r="AL297" s="310" t="e">
        <f>+VLOOKUP(B297,#REF!,2,FALSE)</f>
        <v>#REF!</v>
      </c>
      <c r="AM297" s="311" t="e">
        <f t="shared" si="47"/>
        <v>#REF!</v>
      </c>
      <c r="AN297" s="312" t="e">
        <f t="shared" si="46"/>
        <v>#REF!</v>
      </c>
    </row>
    <row r="298" spans="1:40" s="73" customFormat="1" x14ac:dyDescent="0.25">
      <c r="A298" s="303"/>
      <c r="B298" s="304" t="s">
        <v>1076</v>
      </c>
      <c r="D298" s="74">
        <f>IFERROR(VLOOKUP(B298,'REQ. PINTADO'!B:C,2,0),0)</f>
        <v>0</v>
      </c>
      <c r="E298" s="305">
        <f t="shared" si="51"/>
        <v>156.02796592425778</v>
      </c>
      <c r="F298" s="103" t="s">
        <v>165</v>
      </c>
      <c r="G298" s="75" t="s">
        <v>147</v>
      </c>
      <c r="H298" s="90">
        <v>3.66</v>
      </c>
      <c r="I298" s="90">
        <v>39.94</v>
      </c>
      <c r="J298" s="76">
        <v>0.105</v>
      </c>
      <c r="K298" s="306">
        <v>16.38</v>
      </c>
      <c r="L298" s="78">
        <f t="shared" si="52"/>
        <v>8.1601772435897431</v>
      </c>
      <c r="M298" s="58">
        <f>+VLOOKUP(F298,Material!$H$2:$M$17,6,FALSE)*H298*I298*(1+Material!$K$14)</f>
        <v>60.756228749999998</v>
      </c>
      <c r="N298" s="79" t="str">
        <f t="shared" si="48"/>
        <v>T5.0</v>
      </c>
      <c r="O298" s="80">
        <f>+VLOOKUP(N298,[3]Material!$A$3:$B$58,2,FALSE)</f>
        <v>5000</v>
      </c>
      <c r="P298" s="79" t="s">
        <v>42</v>
      </c>
      <c r="Q298" s="79" t="str">
        <f>+VLOOKUP(F298,[3]Material!$C$2:$E$12,2,FALSE)</f>
        <v>Cal 14</v>
      </c>
      <c r="R298" s="81">
        <f>+IF(P298="ACERO A36",VLOOKUP(Q298,'[3]Velocidades Std 1500 w'!$B$2:$F$15,5,FALSE),IF(P298="INOXIDABLE",VLOOKUP(Q298,'[3]Velocidades Std 1500 w'!$B$17:$F$28,5,FALSE),IF(P298="ALUMINIO",VLOOKUP(Q298,'[3]Velocidades Std 1500 w'!$B$30:$F$38,5,FALSE))))</f>
        <v>2.0080321285140564E-6</v>
      </c>
      <c r="S298" s="82">
        <f t="shared" si="53"/>
        <v>1.0040160642570283E-2</v>
      </c>
      <c r="T298" s="83">
        <f t="shared" si="54"/>
        <v>20.571245783132529</v>
      </c>
      <c r="U298" s="307">
        <f t="shared" si="55"/>
        <v>2845.6889999999994</v>
      </c>
      <c r="V298" s="80">
        <f t="shared" si="60"/>
        <v>28.571174698795179</v>
      </c>
      <c r="W298" s="98">
        <v>13</v>
      </c>
      <c r="X298" s="84">
        <f>+IF(P298="ACERO A36",VLOOKUP(Q298,'[3]Tiempo Objeto'!$B$2:$C$12,2,FALSE),IF(P298="INOXIDABLE",VLOOKUP(Q298,'[3]Tiempo Objeto'!$B$14:$C$22,2,FALSE),IF(P298="ALUMINIO",VLOOKUP(Q298,'[3]Tiempo Objeto'!$B$24:$C$32,2,FALSE))))</f>
        <v>0.3133333333333333</v>
      </c>
      <c r="Y298" s="84">
        <f t="shared" si="56"/>
        <v>4.0733333333333333</v>
      </c>
      <c r="Z298" s="80">
        <f t="shared" si="57"/>
        <v>5.6574074074074074</v>
      </c>
      <c r="AA298" s="100">
        <v>1</v>
      </c>
      <c r="AB298" s="86">
        <f>+AA298*Analisis!$J$6</f>
        <v>25</v>
      </c>
      <c r="AC298" s="100"/>
      <c r="AD298" s="85">
        <f t="shared" si="58"/>
        <v>0</v>
      </c>
      <c r="AE298" s="86">
        <f>+AC298*Analisis!$J$7</f>
        <v>0</v>
      </c>
      <c r="AF298" s="308">
        <f>+H298*0.0254*I298*0.0254*2*(1+[3]Analisis!$G$2)</f>
        <v>0.23577436716</v>
      </c>
      <c r="AG298" s="86">
        <f>+AF298*Analisis!$J$8</f>
        <v>25.121197453357151</v>
      </c>
      <c r="AH298" s="309">
        <f t="shared" si="49"/>
        <v>145.10600830955974</v>
      </c>
      <c r="AI298" s="86">
        <f>+AH298/(1-Analisis!G303)</f>
        <v>145.10600830955974</v>
      </c>
      <c r="AJ298" s="86">
        <f t="shared" si="59"/>
        <v>156.02796592425778</v>
      </c>
      <c r="AK298" s="86">
        <f t="shared" si="50"/>
        <v>0</v>
      </c>
      <c r="AL298" s="310" t="e">
        <f>+VLOOKUP(B298,#REF!,2,FALSE)</f>
        <v>#REF!</v>
      </c>
      <c r="AM298" s="311" t="e">
        <f t="shared" si="47"/>
        <v>#REF!</v>
      </c>
      <c r="AN298" s="312" t="e">
        <f t="shared" si="46"/>
        <v>#REF!</v>
      </c>
    </row>
    <row r="299" spans="1:40" s="73" customFormat="1" x14ac:dyDescent="0.25">
      <c r="A299" s="303">
        <v>12</v>
      </c>
      <c r="B299" s="304" t="s">
        <v>1077</v>
      </c>
      <c r="D299" s="74">
        <f>IFERROR(VLOOKUP(B299,'REQ. PINTADO'!B:C,2,0),0)</f>
        <v>0</v>
      </c>
      <c r="E299" s="305">
        <f t="shared" si="51"/>
        <v>394.03153316539931</v>
      </c>
      <c r="F299" s="103" t="s">
        <v>163</v>
      </c>
      <c r="G299" s="75" t="s">
        <v>147</v>
      </c>
      <c r="H299" s="90">
        <v>3.33</v>
      </c>
      <c r="I299" s="90">
        <v>91.75</v>
      </c>
      <c r="J299" s="76">
        <v>0.105</v>
      </c>
      <c r="K299" s="306">
        <v>16.38</v>
      </c>
      <c r="L299" s="78">
        <f t="shared" si="52"/>
        <v>15.403256663251309</v>
      </c>
      <c r="M299" s="58">
        <f>+VLOOKUP(F299,Material!$H$2:$M$17,6,FALSE)*H299*I299*(1+Material!$K$14)</f>
        <v>114.68424733820746</v>
      </c>
      <c r="N299" s="79" t="str">
        <f t="shared" si="48"/>
        <v>T5.0</v>
      </c>
      <c r="O299" s="80">
        <f>+VLOOKUP(N299,[3]Material!$A$3:$B$58,2,FALSE)</f>
        <v>5000</v>
      </c>
      <c r="P299" s="79" t="s">
        <v>42</v>
      </c>
      <c r="Q299" s="79" t="str">
        <f>+VLOOKUP(F299,[3]Material!$C$2:$E$12,2,FALSE)</f>
        <v>Cal 12</v>
      </c>
      <c r="R299" s="81">
        <f>+IF(P299="ACERO A36",VLOOKUP(Q299,'[3]Velocidades Std 1500 w'!$B$2:$F$15,5,FALSE),IF(P299="INOXIDABLE",VLOOKUP(Q299,'[3]Velocidades Std 1500 w'!$B$17:$F$28,5,FALSE),IF(P299="ALUMINIO",VLOOKUP(Q299,'[3]Velocidades Std 1500 w'!$B$30:$F$38,5,FALSE))))</f>
        <v>4.3859649122807014E-6</v>
      </c>
      <c r="S299" s="82">
        <f t="shared" si="53"/>
        <v>2.1929824561403508E-2</v>
      </c>
      <c r="T299" s="83">
        <f t="shared" si="54"/>
        <v>93.973850526315772</v>
      </c>
      <c r="U299" s="307">
        <f t="shared" si="55"/>
        <v>5951.6771999999992</v>
      </c>
      <c r="V299" s="80">
        <f t="shared" si="60"/>
        <v>130.51923684210524</v>
      </c>
      <c r="W299" s="98">
        <v>22</v>
      </c>
      <c r="X299" s="84">
        <f>+IF(P299="ACERO A36",VLOOKUP(Q299,'[3]Tiempo Objeto'!$B$2:$C$12,2,FALSE),IF(P299="INOXIDABLE",VLOOKUP(Q299,'[3]Tiempo Objeto'!$B$14:$C$22,2,FALSE),IF(P299="ALUMINIO",VLOOKUP(Q299,'[3]Tiempo Objeto'!$B$24:$C$32,2,FALSE))))</f>
        <v>0.6133333333333334</v>
      </c>
      <c r="Y299" s="84">
        <f t="shared" si="56"/>
        <v>13.493333333333334</v>
      </c>
      <c r="Z299" s="80">
        <f t="shared" si="57"/>
        <v>18.74074074074074</v>
      </c>
      <c r="AA299" s="100">
        <v>2</v>
      </c>
      <c r="AB299" s="86">
        <f>+AA299*Analisis!$J$6</f>
        <v>50</v>
      </c>
      <c r="AC299" s="100"/>
      <c r="AD299" s="85">
        <f t="shared" si="58"/>
        <v>0</v>
      </c>
      <c r="AE299" s="86">
        <f>+AC299*Analisis!$J$7</f>
        <v>0</v>
      </c>
      <c r="AF299" s="308">
        <f>+H299*0.0254*I299*0.0254*2*(1+[3]Analisis!$G$2)</f>
        <v>0.49278530474999999</v>
      </c>
      <c r="AG299" s="86">
        <f>+AF299*Analisis!$J$8</f>
        <v>52.505100922767873</v>
      </c>
      <c r="AH299" s="309">
        <f t="shared" si="49"/>
        <v>366.44932584382133</v>
      </c>
      <c r="AI299" s="86">
        <f>+AH299/(1-Analisis!G304)</f>
        <v>366.44932584382133</v>
      </c>
      <c r="AJ299" s="86">
        <f t="shared" si="59"/>
        <v>394.03153316539931</v>
      </c>
      <c r="AK299" s="86">
        <f t="shared" si="50"/>
        <v>0</v>
      </c>
      <c r="AL299" s="310" t="e">
        <f>+VLOOKUP(B299,#REF!,2,FALSE)</f>
        <v>#REF!</v>
      </c>
      <c r="AM299" s="311" t="e">
        <f t="shared" si="47"/>
        <v>#REF!</v>
      </c>
      <c r="AN299" s="312" t="e">
        <f t="shared" si="46"/>
        <v>#REF!</v>
      </c>
    </row>
    <row r="300" spans="1:40" s="73" customFormat="1" x14ac:dyDescent="0.25">
      <c r="A300" s="303"/>
      <c r="B300" s="304" t="s">
        <v>1078</v>
      </c>
      <c r="D300" s="74">
        <f>IFERROR(VLOOKUP(B300,'REQ. PINTADO'!B:C,2,0),0)</f>
        <v>0</v>
      </c>
      <c r="E300" s="305">
        <f t="shared" si="51"/>
        <v>396.05096234898537</v>
      </c>
      <c r="F300" s="103" t="s">
        <v>165</v>
      </c>
      <c r="G300" s="75" t="s">
        <v>147</v>
      </c>
      <c r="H300" s="90">
        <v>12.89</v>
      </c>
      <c r="I300" s="90">
        <v>43.75</v>
      </c>
      <c r="J300" s="76">
        <v>0.105</v>
      </c>
      <c r="K300" s="306">
        <v>16.38</v>
      </c>
      <c r="L300" s="78">
        <f t="shared" si="52"/>
        <v>31.480485443376075</v>
      </c>
      <c r="M300" s="58">
        <f>+VLOOKUP(F300,Material!$H$2:$M$17,6,FALSE)*H300*I300*(1+Material!$K$14)</f>
        <v>234.38652343750002</v>
      </c>
      <c r="N300" s="79" t="str">
        <f t="shared" si="48"/>
        <v>T5.0</v>
      </c>
      <c r="O300" s="80">
        <f>+VLOOKUP(N300,[3]Material!$A$3:$B$58,2,FALSE)</f>
        <v>5000</v>
      </c>
      <c r="P300" s="79" t="s">
        <v>42</v>
      </c>
      <c r="Q300" s="79" t="str">
        <f>+VLOOKUP(F300,[3]Material!$C$2:$E$12,2,FALSE)</f>
        <v>Cal 14</v>
      </c>
      <c r="R300" s="81">
        <f>+IF(P300="ACERO A36",VLOOKUP(Q300,'[3]Velocidades Std 1500 w'!$B$2:$F$15,5,FALSE),IF(P300="INOXIDABLE",VLOOKUP(Q300,'[3]Velocidades Std 1500 w'!$B$17:$F$28,5,FALSE),IF(P300="ALUMINIO",VLOOKUP(Q300,'[3]Velocidades Std 1500 w'!$B$30:$F$38,5,FALSE))))</f>
        <v>2.0080321285140564E-6</v>
      </c>
      <c r="S300" s="82">
        <f t="shared" si="53"/>
        <v>1.0040160642570283E-2</v>
      </c>
      <c r="T300" s="83">
        <f t="shared" si="54"/>
        <v>24.153380240963859</v>
      </c>
      <c r="U300" s="307">
        <f t="shared" si="55"/>
        <v>3341.2175999999999</v>
      </c>
      <c r="V300" s="80">
        <f t="shared" si="60"/>
        <v>33.546361445783141</v>
      </c>
      <c r="W300" s="98">
        <v>8</v>
      </c>
      <c r="X300" s="84">
        <f>+IF(P300="ACERO A36",VLOOKUP(Q300,'[3]Tiempo Objeto'!$B$2:$C$12,2,FALSE),IF(P300="INOXIDABLE",VLOOKUP(Q300,'[3]Tiempo Objeto'!$B$14:$C$22,2,FALSE),IF(P300="ALUMINIO",VLOOKUP(Q300,'[3]Tiempo Objeto'!$B$24:$C$32,2,FALSE))))</f>
        <v>0.3133333333333333</v>
      </c>
      <c r="Y300" s="84">
        <f t="shared" si="56"/>
        <v>2.5066666666666664</v>
      </c>
      <c r="Z300" s="80">
        <f t="shared" si="57"/>
        <v>3.481481481481481</v>
      </c>
      <c r="AA300" s="100"/>
      <c r="AB300" s="86">
        <f>+AA300*Analisis!$J$6</f>
        <v>0</v>
      </c>
      <c r="AC300" s="100"/>
      <c r="AD300" s="85">
        <f t="shared" si="58"/>
        <v>0</v>
      </c>
      <c r="AE300" s="86">
        <f>+AC300*Analisis!$J$7</f>
        <v>0</v>
      </c>
      <c r="AF300" s="308">
        <f>+H300*0.0254*I300*0.0254*2*(1+[3]Analisis!$G$2)</f>
        <v>0.90957479374999983</v>
      </c>
      <c r="AG300" s="86">
        <f>+AF300*Analisis!$J$8</f>
        <v>96.913028619791675</v>
      </c>
      <c r="AH300" s="309">
        <f t="shared" si="49"/>
        <v>368.32739498455635</v>
      </c>
      <c r="AI300" s="86">
        <f>+AH300/(1-Analisis!G305)</f>
        <v>368.32739498455635</v>
      </c>
      <c r="AJ300" s="86">
        <f t="shared" si="59"/>
        <v>396.05096234898537</v>
      </c>
      <c r="AK300" s="86">
        <f t="shared" si="50"/>
        <v>0</v>
      </c>
      <c r="AL300" s="310" t="e">
        <f>+VLOOKUP(B300,#REF!,2,FALSE)</f>
        <v>#REF!</v>
      </c>
      <c r="AM300" s="311" t="e">
        <f t="shared" si="47"/>
        <v>#REF!</v>
      </c>
      <c r="AN300" s="312" t="e">
        <f t="shared" si="46"/>
        <v>#REF!</v>
      </c>
    </row>
    <row r="301" spans="1:40" s="73" customFormat="1" x14ac:dyDescent="0.25">
      <c r="A301" s="303"/>
      <c r="B301" s="304" t="s">
        <v>1079</v>
      </c>
      <c r="D301" s="74">
        <f>IFERROR(VLOOKUP(B301,'REQ. PINTADO'!B:C,2,0),0)</f>
        <v>0</v>
      </c>
      <c r="E301" s="305">
        <f t="shared" si="51"/>
        <v>133.36585031319842</v>
      </c>
      <c r="F301" s="103" t="s">
        <v>165</v>
      </c>
      <c r="G301" s="75" t="s">
        <v>147</v>
      </c>
      <c r="H301" s="90">
        <v>12.89</v>
      </c>
      <c r="I301" s="90">
        <v>13.62</v>
      </c>
      <c r="J301" s="76">
        <v>0.105</v>
      </c>
      <c r="K301" s="306">
        <v>16.38</v>
      </c>
      <c r="L301" s="78">
        <f t="shared" si="52"/>
        <v>9.80032483974359</v>
      </c>
      <c r="M301" s="58">
        <f>+VLOOKUP(F301,Material!$H$2:$M$17,6,FALSE)*H301*I301*(1+Material!$K$14)</f>
        <v>72.967873124999997</v>
      </c>
      <c r="N301" s="79" t="str">
        <f t="shared" si="48"/>
        <v>T5.0</v>
      </c>
      <c r="O301" s="80">
        <f>+VLOOKUP(N301,[3]Material!$A$3:$B$58,2,FALSE)</f>
        <v>5000</v>
      </c>
      <c r="P301" s="79" t="s">
        <v>42</v>
      </c>
      <c r="Q301" s="79" t="str">
        <f>+VLOOKUP(F301,[3]Material!$C$2:$E$12,2,FALSE)</f>
        <v>Cal 14</v>
      </c>
      <c r="R301" s="81">
        <f>+IF(P301="ACERO A36",VLOOKUP(Q301,'[3]Velocidades Std 1500 w'!$B$2:$F$15,5,FALSE),IF(P301="INOXIDABLE",VLOOKUP(Q301,'[3]Velocidades Std 1500 w'!$B$17:$F$28,5,FALSE),IF(P301="ALUMINIO",VLOOKUP(Q301,'[3]Velocidades Std 1500 w'!$B$30:$F$38,5,FALSE))))</f>
        <v>2.0080321285140564E-6</v>
      </c>
      <c r="S301" s="82">
        <f t="shared" si="53"/>
        <v>1.0040160642570283E-2</v>
      </c>
      <c r="T301" s="83">
        <f t="shared" si="54"/>
        <v>12.535542650602411</v>
      </c>
      <c r="U301" s="307">
        <f t="shared" si="55"/>
        <v>1734.0834</v>
      </c>
      <c r="V301" s="80">
        <f t="shared" si="60"/>
        <v>17.410475903614461</v>
      </c>
      <c r="W301" s="98">
        <v>8</v>
      </c>
      <c r="X301" s="84">
        <f>+IF(P301="ACERO A36",VLOOKUP(Q301,'[3]Tiempo Objeto'!$B$2:$C$12,2,FALSE),IF(P301="INOXIDABLE",VLOOKUP(Q301,'[3]Tiempo Objeto'!$B$14:$C$22,2,FALSE),IF(P301="ALUMINIO",VLOOKUP(Q301,'[3]Tiempo Objeto'!$B$24:$C$32,2,FALSE))))</f>
        <v>0.3133333333333333</v>
      </c>
      <c r="Y301" s="84">
        <f t="shared" si="56"/>
        <v>2.5066666666666664</v>
      </c>
      <c r="Z301" s="80">
        <f t="shared" si="57"/>
        <v>3.481481481481481</v>
      </c>
      <c r="AA301" s="100"/>
      <c r="AB301" s="86">
        <f>+AA301*Analisis!$J$6</f>
        <v>0</v>
      </c>
      <c r="AC301" s="100"/>
      <c r="AD301" s="85">
        <f t="shared" si="58"/>
        <v>0</v>
      </c>
      <c r="AE301" s="86">
        <f>+AC301*Analisis!$J$7</f>
        <v>0</v>
      </c>
      <c r="AF301" s="308">
        <f>+H301*0.0254*I301*0.0254*2*(1+[3]Analisis!$G$2)</f>
        <v>0.28316362721999994</v>
      </c>
      <c r="AG301" s="86">
        <f>+AF301*Analisis!$J$8</f>
        <v>30.170410281178572</v>
      </c>
      <c r="AH301" s="309">
        <f t="shared" si="49"/>
        <v>124.03024079127452</v>
      </c>
      <c r="AI301" s="86">
        <f>+AH301/(1-Analisis!G306)</f>
        <v>124.03024079127452</v>
      </c>
      <c r="AJ301" s="86">
        <f t="shared" si="59"/>
        <v>133.36585031319842</v>
      </c>
      <c r="AK301" s="86">
        <f t="shared" si="50"/>
        <v>0</v>
      </c>
      <c r="AL301" s="310" t="e">
        <f>+VLOOKUP(B301,#REF!,2,FALSE)</f>
        <v>#REF!</v>
      </c>
      <c r="AM301" s="311" t="e">
        <f t="shared" si="47"/>
        <v>#REF!</v>
      </c>
      <c r="AN301" s="312" t="e">
        <f t="shared" si="46"/>
        <v>#REF!</v>
      </c>
    </row>
    <row r="302" spans="1:40" s="73" customFormat="1" x14ac:dyDescent="0.25">
      <c r="A302" s="303">
        <v>13</v>
      </c>
      <c r="B302" s="304" t="s">
        <v>1080</v>
      </c>
      <c r="D302" s="74">
        <f>IFERROR(VLOOKUP(B302,'REQ. PINTADO'!B:C,2,0),0)</f>
        <v>0</v>
      </c>
      <c r="E302" s="305">
        <f t="shared" si="51"/>
        <v>335.34193321152759</v>
      </c>
      <c r="F302" s="103" t="s">
        <v>165</v>
      </c>
      <c r="G302" s="75" t="s">
        <v>147</v>
      </c>
      <c r="H302" s="90">
        <v>12.89</v>
      </c>
      <c r="I302" s="90">
        <v>30.62</v>
      </c>
      <c r="J302" s="76">
        <v>0.105</v>
      </c>
      <c r="K302" s="306">
        <v>16.38</v>
      </c>
      <c r="L302" s="78">
        <f t="shared" si="52"/>
        <v>22.032742040598297</v>
      </c>
      <c r="M302" s="58">
        <f>+VLOOKUP(F302,Material!$H$2:$M$17,6,FALSE)*H302*I302*(1+Material!$K$14)</f>
        <v>164.04377937500001</v>
      </c>
      <c r="N302" s="79" t="str">
        <f t="shared" si="48"/>
        <v>T5.0</v>
      </c>
      <c r="O302" s="80">
        <f>+VLOOKUP(N302,[3]Material!$A$3:$B$58,2,FALSE)</f>
        <v>5000</v>
      </c>
      <c r="P302" s="79" t="s">
        <v>42</v>
      </c>
      <c r="Q302" s="79" t="str">
        <f>+VLOOKUP(F302,[3]Material!$C$2:$E$12,2,FALSE)</f>
        <v>Cal 14</v>
      </c>
      <c r="R302" s="81">
        <f>+IF(P302="ACERO A36",VLOOKUP(Q302,'[3]Velocidades Std 1500 w'!$B$2:$F$15,5,FALSE),IF(P302="INOXIDABLE",VLOOKUP(Q302,'[3]Velocidades Std 1500 w'!$B$17:$F$28,5,FALSE),IF(P302="ALUMINIO",VLOOKUP(Q302,'[3]Velocidades Std 1500 w'!$B$30:$F$38,5,FALSE))))</f>
        <v>2.0080321285140564E-6</v>
      </c>
      <c r="S302" s="82">
        <f t="shared" si="53"/>
        <v>1.0040160642570283E-2</v>
      </c>
      <c r="T302" s="83">
        <f t="shared" si="54"/>
        <v>19.090578795180726</v>
      </c>
      <c r="U302" s="307">
        <f t="shared" si="55"/>
        <v>2640.8634000000002</v>
      </c>
      <c r="V302" s="80">
        <f t="shared" si="60"/>
        <v>26.514692771084345</v>
      </c>
      <c r="W302" s="98">
        <v>8</v>
      </c>
      <c r="X302" s="84">
        <f>+IF(P302="ACERO A36",VLOOKUP(Q302,'[3]Tiempo Objeto'!$B$2:$C$12,2,FALSE),IF(P302="INOXIDABLE",VLOOKUP(Q302,'[3]Tiempo Objeto'!$B$14:$C$22,2,FALSE),IF(P302="ALUMINIO",VLOOKUP(Q302,'[3]Tiempo Objeto'!$B$24:$C$32,2,FALSE))))</f>
        <v>0.3133333333333333</v>
      </c>
      <c r="Y302" s="84">
        <f t="shared" si="56"/>
        <v>2.5066666666666664</v>
      </c>
      <c r="Z302" s="80">
        <f t="shared" si="57"/>
        <v>3.481481481481481</v>
      </c>
      <c r="AA302" s="100">
        <v>2</v>
      </c>
      <c r="AB302" s="86">
        <f>+AA302*Analisis!$J$6</f>
        <v>50</v>
      </c>
      <c r="AC302" s="100"/>
      <c r="AD302" s="85">
        <f t="shared" si="58"/>
        <v>0</v>
      </c>
      <c r="AE302" s="86">
        <f>+AC302*Analisis!$J$7</f>
        <v>0</v>
      </c>
      <c r="AF302" s="308">
        <f>+H302*0.0254*I302*0.0254*2*(1+[3]Analisis!$G$2)</f>
        <v>0.63659840422000002</v>
      </c>
      <c r="AG302" s="86">
        <f>+AF302*Analisis!$J$8</f>
        <v>67.82804425915478</v>
      </c>
      <c r="AH302" s="309">
        <f t="shared" si="49"/>
        <v>311.86799788672062</v>
      </c>
      <c r="AI302" s="86">
        <f>+AH302/(1-Analisis!G307)</f>
        <v>311.86799788672062</v>
      </c>
      <c r="AJ302" s="86">
        <f t="shared" si="59"/>
        <v>335.34193321152759</v>
      </c>
      <c r="AK302" s="86">
        <f t="shared" si="50"/>
        <v>0</v>
      </c>
      <c r="AL302" s="310" t="e">
        <f>+VLOOKUP(B302,#REF!,2,FALSE)</f>
        <v>#REF!</v>
      </c>
      <c r="AM302" s="311" t="e">
        <f t="shared" si="47"/>
        <v>#REF!</v>
      </c>
      <c r="AN302" s="312" t="e">
        <f t="shared" si="46"/>
        <v>#REF!</v>
      </c>
    </row>
    <row r="303" spans="1:40" s="73" customFormat="1" x14ac:dyDescent="0.25">
      <c r="A303" s="303">
        <v>14</v>
      </c>
      <c r="B303" s="304" t="s">
        <v>1081</v>
      </c>
      <c r="D303" s="74">
        <f>IFERROR(VLOOKUP(B303,'REQ. PINTADO'!B:C,2,0),0)</f>
        <v>0</v>
      </c>
      <c r="E303" s="305">
        <f t="shared" si="51"/>
        <v>340.8345665978182</v>
      </c>
      <c r="F303" s="103" t="s">
        <v>165</v>
      </c>
      <c r="G303" s="75" t="s">
        <v>147</v>
      </c>
      <c r="H303" s="90">
        <v>12.89</v>
      </c>
      <c r="I303" s="90">
        <v>22</v>
      </c>
      <c r="J303" s="76">
        <v>0.105</v>
      </c>
      <c r="K303" s="306">
        <v>16.38</v>
      </c>
      <c r="L303" s="78">
        <f t="shared" si="52"/>
        <v>15.830186965811968</v>
      </c>
      <c r="M303" s="58">
        <f>+VLOOKUP(F303,Material!$H$2:$M$17,6,FALSE)*H303*I303*(1+Material!$K$14)</f>
        <v>117.86293750000002</v>
      </c>
      <c r="N303" s="79" t="str">
        <f t="shared" si="48"/>
        <v>T5.0</v>
      </c>
      <c r="O303" s="80">
        <f>+VLOOKUP(N303,[3]Material!$A$3:$B$58,2,FALSE)</f>
        <v>5000</v>
      </c>
      <c r="P303" s="79" t="s">
        <v>42</v>
      </c>
      <c r="Q303" s="79" t="str">
        <f>+VLOOKUP(F303,[3]Material!$C$2:$E$12,2,FALSE)</f>
        <v>Cal 14</v>
      </c>
      <c r="R303" s="81">
        <f>+IF(P303="ACERO A36",VLOOKUP(Q303,'[3]Velocidades Std 1500 w'!$B$2:$F$15,5,FALSE),IF(P303="INOXIDABLE",VLOOKUP(Q303,'[3]Velocidades Std 1500 w'!$B$17:$F$28,5,FALSE),IF(P303="ALUMINIO",VLOOKUP(Q303,'[3]Velocidades Std 1500 w'!$B$30:$F$38,5,FALSE))))</f>
        <v>2.0080321285140564E-6</v>
      </c>
      <c r="S303" s="82">
        <f t="shared" si="53"/>
        <v>1.0040160642570283E-2</v>
      </c>
      <c r="T303" s="83">
        <f t="shared" si="54"/>
        <v>15.766789879518074</v>
      </c>
      <c r="U303" s="307">
        <f t="shared" si="55"/>
        <v>2181.0726</v>
      </c>
      <c r="V303" s="80">
        <f t="shared" si="60"/>
        <v>21.898319277108438</v>
      </c>
      <c r="W303" s="98">
        <v>8</v>
      </c>
      <c r="X303" s="84">
        <f>+IF(P303="ACERO A36",VLOOKUP(Q303,'[3]Tiempo Objeto'!$B$2:$C$12,2,FALSE),IF(P303="INOXIDABLE",VLOOKUP(Q303,'[3]Tiempo Objeto'!$B$14:$C$22,2,FALSE),IF(P303="ALUMINIO",VLOOKUP(Q303,'[3]Tiempo Objeto'!$B$24:$C$32,2,FALSE))))</f>
        <v>0.3133333333333333</v>
      </c>
      <c r="Y303" s="84">
        <f t="shared" si="56"/>
        <v>2.5066666666666664</v>
      </c>
      <c r="Z303" s="80">
        <f t="shared" si="57"/>
        <v>3.481481481481481</v>
      </c>
      <c r="AA303" s="100">
        <v>5</v>
      </c>
      <c r="AB303" s="86">
        <f>+AA303*Analisis!$J$6</f>
        <v>125</v>
      </c>
      <c r="AC303" s="100"/>
      <c r="AD303" s="85">
        <f t="shared" si="58"/>
        <v>0</v>
      </c>
      <c r="AE303" s="86">
        <f>+AC303*Analisis!$J$7</f>
        <v>0</v>
      </c>
      <c r="AF303" s="308">
        <f>+H303*0.0254*I303*0.0254*2*(1+[3]Analisis!$G$2)</f>
        <v>0.45738618199999997</v>
      </c>
      <c r="AG303" s="86">
        <f>+AF303*Analisis!$J$8</f>
        <v>48.733408677380964</v>
      </c>
      <c r="AH303" s="309">
        <f t="shared" si="49"/>
        <v>316.97614693597092</v>
      </c>
      <c r="AI303" s="86">
        <f>+AH303/(1-Analisis!G308)</f>
        <v>316.97614693597092</v>
      </c>
      <c r="AJ303" s="86">
        <f t="shared" si="59"/>
        <v>340.8345665978182</v>
      </c>
      <c r="AK303" s="86">
        <f t="shared" si="50"/>
        <v>0</v>
      </c>
      <c r="AL303" s="310" t="e">
        <f>+VLOOKUP(B303,#REF!,2,FALSE)</f>
        <v>#REF!</v>
      </c>
      <c r="AM303" s="311" t="e">
        <f t="shared" si="47"/>
        <v>#REF!</v>
      </c>
      <c r="AN303" s="312" t="e">
        <f t="shared" si="46"/>
        <v>#REF!</v>
      </c>
    </row>
    <row r="304" spans="1:40" s="73" customFormat="1" x14ac:dyDescent="0.25">
      <c r="A304" s="303"/>
      <c r="B304" s="304" t="s">
        <v>1082</v>
      </c>
      <c r="D304" s="74">
        <f>IFERROR(VLOOKUP(B304,'REQ. PINTADO'!B:C,2,0),0)</f>
        <v>0</v>
      </c>
      <c r="E304" s="305">
        <f t="shared" si="51"/>
        <v>281.57849235131249</v>
      </c>
      <c r="F304" s="103" t="s">
        <v>165</v>
      </c>
      <c r="G304" s="75" t="s">
        <v>147</v>
      </c>
      <c r="H304" s="90">
        <v>12.89</v>
      </c>
      <c r="I304" s="90">
        <v>30.62</v>
      </c>
      <c r="J304" s="76">
        <v>0.105</v>
      </c>
      <c r="K304" s="306">
        <v>16.38</v>
      </c>
      <c r="L304" s="78">
        <f t="shared" si="52"/>
        <v>22.032742040598297</v>
      </c>
      <c r="M304" s="58">
        <f>+VLOOKUP(F304,Material!$H$2:$M$17,6,FALSE)*H304*I304*(1+Material!$K$14)</f>
        <v>164.04377937500001</v>
      </c>
      <c r="N304" s="79" t="str">
        <f t="shared" si="48"/>
        <v>T5.0</v>
      </c>
      <c r="O304" s="80">
        <f>+VLOOKUP(N304,[3]Material!$A$3:$B$58,2,FALSE)</f>
        <v>5000</v>
      </c>
      <c r="P304" s="79" t="s">
        <v>42</v>
      </c>
      <c r="Q304" s="79" t="str">
        <f>+VLOOKUP(F304,[3]Material!$C$2:$E$12,2,FALSE)</f>
        <v>Cal 14</v>
      </c>
      <c r="R304" s="81">
        <f>+IF(P304="ACERO A36",VLOOKUP(Q304,'[3]Velocidades Std 1500 w'!$B$2:$F$15,5,FALSE),IF(P304="INOXIDABLE",VLOOKUP(Q304,'[3]Velocidades Std 1500 w'!$B$17:$F$28,5,FALSE),IF(P304="ALUMINIO",VLOOKUP(Q304,'[3]Velocidades Std 1500 w'!$B$30:$F$38,5,FALSE))))</f>
        <v>2.0080321285140564E-6</v>
      </c>
      <c r="S304" s="82">
        <f t="shared" si="53"/>
        <v>1.0040160642570283E-2</v>
      </c>
      <c r="T304" s="83">
        <f t="shared" si="54"/>
        <v>19.090578795180726</v>
      </c>
      <c r="U304" s="307">
        <f t="shared" si="55"/>
        <v>2640.8634000000002</v>
      </c>
      <c r="V304" s="80">
        <f t="shared" si="60"/>
        <v>26.514692771084345</v>
      </c>
      <c r="W304" s="98">
        <v>8</v>
      </c>
      <c r="X304" s="84">
        <f>+IF(P304="ACERO A36",VLOOKUP(Q304,'[3]Tiempo Objeto'!$B$2:$C$12,2,FALSE),IF(P304="INOXIDABLE",VLOOKUP(Q304,'[3]Tiempo Objeto'!$B$14:$C$22,2,FALSE),IF(P304="ALUMINIO",VLOOKUP(Q304,'[3]Tiempo Objeto'!$B$24:$C$32,2,FALSE))))</f>
        <v>0.3133333333333333</v>
      </c>
      <c r="Y304" s="84">
        <f t="shared" si="56"/>
        <v>2.5066666666666664</v>
      </c>
      <c r="Z304" s="80">
        <f t="shared" si="57"/>
        <v>3.481481481481481</v>
      </c>
      <c r="AA304" s="100"/>
      <c r="AB304" s="86">
        <f>+AA304*Analisis!$J$6</f>
        <v>0</v>
      </c>
      <c r="AC304" s="100"/>
      <c r="AD304" s="85">
        <f t="shared" si="58"/>
        <v>0</v>
      </c>
      <c r="AE304" s="86">
        <f>+AC304*Analisis!$J$7</f>
        <v>0</v>
      </c>
      <c r="AF304" s="308">
        <f>+H304*0.0254*I304*0.0254*2*(1+[3]Analisis!$G$2)</f>
        <v>0.63659840422000002</v>
      </c>
      <c r="AG304" s="86">
        <f>+AF304*Analisis!$J$8</f>
        <v>67.82804425915478</v>
      </c>
      <c r="AH304" s="309">
        <f t="shared" si="49"/>
        <v>261.86799788672062</v>
      </c>
      <c r="AI304" s="86">
        <f>+AH304/(1-Analisis!G309)</f>
        <v>261.86799788672062</v>
      </c>
      <c r="AJ304" s="86">
        <f t="shared" si="59"/>
        <v>281.57849235131249</v>
      </c>
      <c r="AK304" s="86">
        <f t="shared" si="50"/>
        <v>0</v>
      </c>
      <c r="AL304" s="310" t="e">
        <f>+VLOOKUP(B304,#REF!,2,FALSE)</f>
        <v>#REF!</v>
      </c>
      <c r="AM304" s="311" t="e">
        <f t="shared" si="47"/>
        <v>#REF!</v>
      </c>
      <c r="AN304" s="312" t="e">
        <f t="shared" si="46"/>
        <v>#REF!</v>
      </c>
    </row>
    <row r="305" spans="1:40" s="73" customFormat="1" x14ac:dyDescent="0.25">
      <c r="A305" s="303">
        <v>15</v>
      </c>
      <c r="B305" s="304" t="s">
        <v>1083</v>
      </c>
      <c r="D305" s="74">
        <f>IFERROR(VLOOKUP(B305,'REQ. PINTADO'!B:C,2,0),0)</f>
        <v>0</v>
      </c>
      <c r="E305" s="305">
        <f t="shared" si="51"/>
        <v>394.03153316539931</v>
      </c>
      <c r="F305" s="103" t="s">
        <v>163</v>
      </c>
      <c r="G305" s="75" t="s">
        <v>147</v>
      </c>
      <c r="H305" s="90">
        <v>3.33</v>
      </c>
      <c r="I305" s="90">
        <v>91.75</v>
      </c>
      <c r="J305" s="76">
        <v>0.105</v>
      </c>
      <c r="K305" s="306">
        <v>16.38</v>
      </c>
      <c r="L305" s="78">
        <f t="shared" si="52"/>
        <v>15.403256663251309</v>
      </c>
      <c r="M305" s="58">
        <f>+VLOOKUP(F305,Material!$H$2:$M$17,6,FALSE)*H305*I305*(1+Material!$K$14)</f>
        <v>114.68424733820746</v>
      </c>
      <c r="N305" s="79" t="str">
        <f t="shared" si="48"/>
        <v>T5.0</v>
      </c>
      <c r="O305" s="80">
        <f>+VLOOKUP(N305,[3]Material!$A$3:$B$58,2,FALSE)</f>
        <v>5000</v>
      </c>
      <c r="P305" s="79" t="s">
        <v>42</v>
      </c>
      <c r="Q305" s="79" t="str">
        <f>+VLOOKUP(F305,[3]Material!$C$2:$E$12,2,FALSE)</f>
        <v>Cal 12</v>
      </c>
      <c r="R305" s="81">
        <f>+IF(P305="ACERO A36",VLOOKUP(Q305,'[3]Velocidades Std 1500 w'!$B$2:$F$15,5,FALSE),IF(P305="INOXIDABLE",VLOOKUP(Q305,'[3]Velocidades Std 1500 w'!$B$17:$F$28,5,FALSE),IF(P305="ALUMINIO",VLOOKUP(Q305,'[3]Velocidades Std 1500 w'!$B$30:$F$38,5,FALSE))))</f>
        <v>4.3859649122807014E-6</v>
      </c>
      <c r="S305" s="82">
        <f t="shared" si="53"/>
        <v>2.1929824561403508E-2</v>
      </c>
      <c r="T305" s="83">
        <f t="shared" si="54"/>
        <v>93.973850526315772</v>
      </c>
      <c r="U305" s="307">
        <f t="shared" si="55"/>
        <v>5951.6771999999992</v>
      </c>
      <c r="V305" s="80">
        <f t="shared" si="60"/>
        <v>130.51923684210524</v>
      </c>
      <c r="W305" s="98">
        <v>22</v>
      </c>
      <c r="X305" s="84">
        <f>+IF(P305="ACERO A36",VLOOKUP(Q305,'[3]Tiempo Objeto'!$B$2:$C$12,2,FALSE),IF(P305="INOXIDABLE",VLOOKUP(Q305,'[3]Tiempo Objeto'!$B$14:$C$22,2,FALSE),IF(P305="ALUMINIO",VLOOKUP(Q305,'[3]Tiempo Objeto'!$B$24:$C$32,2,FALSE))))</f>
        <v>0.6133333333333334</v>
      </c>
      <c r="Y305" s="84">
        <f t="shared" si="56"/>
        <v>13.493333333333334</v>
      </c>
      <c r="Z305" s="80">
        <f t="shared" si="57"/>
        <v>18.74074074074074</v>
      </c>
      <c r="AA305" s="100">
        <v>2</v>
      </c>
      <c r="AB305" s="86">
        <f>+AA305*Analisis!$J$6</f>
        <v>50</v>
      </c>
      <c r="AC305" s="100"/>
      <c r="AD305" s="85">
        <f t="shared" si="58"/>
        <v>0</v>
      </c>
      <c r="AE305" s="86">
        <f>+AC305*Analisis!$J$7</f>
        <v>0</v>
      </c>
      <c r="AF305" s="308">
        <f>+H305*0.0254*I305*0.0254*2*(1+[3]Analisis!$G$2)</f>
        <v>0.49278530474999999</v>
      </c>
      <c r="AG305" s="86">
        <f>+AF305*Analisis!$J$8</f>
        <v>52.505100922767873</v>
      </c>
      <c r="AH305" s="309">
        <f t="shared" si="49"/>
        <v>366.44932584382133</v>
      </c>
      <c r="AI305" s="86">
        <f>+AH305/(1-Analisis!G310)</f>
        <v>366.44932584382133</v>
      </c>
      <c r="AJ305" s="86">
        <f t="shared" si="59"/>
        <v>394.03153316539931</v>
      </c>
      <c r="AK305" s="86">
        <f t="shared" si="50"/>
        <v>0</v>
      </c>
      <c r="AL305" s="310" t="e">
        <f>+VLOOKUP(B305,#REF!,2,FALSE)</f>
        <v>#REF!</v>
      </c>
      <c r="AM305" s="311" t="e">
        <f t="shared" si="47"/>
        <v>#REF!</v>
      </c>
      <c r="AN305" s="312" t="e">
        <f t="shared" si="46"/>
        <v>#REF!</v>
      </c>
    </row>
    <row r="306" spans="1:40" s="73" customFormat="1" x14ac:dyDescent="0.25">
      <c r="A306" s="303"/>
      <c r="B306" s="304" t="s">
        <v>1084</v>
      </c>
      <c r="D306" s="74">
        <f>IFERROR(VLOOKUP(B306,'REQ. PINTADO'!B:C,2,0),0)</f>
        <v>0</v>
      </c>
      <c r="E306" s="305">
        <f t="shared" si="51"/>
        <v>2031.1144185804108</v>
      </c>
      <c r="F306" s="103" t="s">
        <v>165</v>
      </c>
      <c r="G306" s="75" t="s">
        <v>147</v>
      </c>
      <c r="H306" s="90">
        <v>31.22</v>
      </c>
      <c r="I306" s="90">
        <v>93.53</v>
      </c>
      <c r="J306" s="76">
        <v>0.105</v>
      </c>
      <c r="K306" s="306">
        <v>16.38</v>
      </c>
      <c r="L306" s="78">
        <f t="shared" si="52"/>
        <v>163.00250518162395</v>
      </c>
      <c r="M306" s="58">
        <f>+VLOOKUP(F306,Material!$H$2:$M$17,6,FALSE)*H306*I306*(1+Material!$K$14)</f>
        <v>1213.6277431250001</v>
      </c>
      <c r="N306" s="79" t="str">
        <f t="shared" si="48"/>
        <v>T5.0</v>
      </c>
      <c r="O306" s="80">
        <f>+VLOOKUP(N306,[3]Material!$A$3:$B$58,2,FALSE)</f>
        <v>5000</v>
      </c>
      <c r="P306" s="79" t="s">
        <v>42</v>
      </c>
      <c r="Q306" s="79" t="str">
        <f>+VLOOKUP(F306,[3]Material!$C$2:$E$12,2,FALSE)</f>
        <v>Cal 14</v>
      </c>
      <c r="R306" s="81">
        <f>+IF(P306="ACERO A36",VLOOKUP(Q306,'[3]Velocidades Std 1500 w'!$B$2:$F$15,5,FALSE),IF(P306="INOXIDABLE",VLOOKUP(Q306,'[3]Velocidades Std 1500 w'!$B$17:$F$28,5,FALSE),IF(P306="ALUMINIO",VLOOKUP(Q306,'[3]Velocidades Std 1500 w'!$B$30:$F$38,5,FALSE))))</f>
        <v>2.0080321285140564E-6</v>
      </c>
      <c r="S306" s="82">
        <f t="shared" si="53"/>
        <v>1.0040160642570283E-2</v>
      </c>
      <c r="T306" s="83">
        <f t="shared" si="54"/>
        <v>50.415939759036149</v>
      </c>
      <c r="U306" s="307">
        <f t="shared" si="55"/>
        <v>6974.2049999999999</v>
      </c>
      <c r="V306" s="80">
        <f t="shared" si="60"/>
        <v>70.02213855421688</v>
      </c>
      <c r="W306" s="98">
        <v>8</v>
      </c>
      <c r="X306" s="84">
        <f>+IF(P306="ACERO A36",VLOOKUP(Q306,'[3]Tiempo Objeto'!$B$2:$C$12,2,FALSE),IF(P306="INOXIDABLE",VLOOKUP(Q306,'[3]Tiempo Objeto'!$B$14:$C$22,2,FALSE),IF(P306="ALUMINIO",VLOOKUP(Q306,'[3]Tiempo Objeto'!$B$24:$C$32,2,FALSE))))</f>
        <v>0.3133333333333333</v>
      </c>
      <c r="Y306" s="84">
        <f t="shared" si="56"/>
        <v>2.5066666666666664</v>
      </c>
      <c r="Z306" s="80">
        <f t="shared" si="57"/>
        <v>3.481481481481481</v>
      </c>
      <c r="AA306" s="100">
        <v>4</v>
      </c>
      <c r="AB306" s="86">
        <f>+AA306*Analisis!$J$6</f>
        <v>100</v>
      </c>
      <c r="AC306" s="100"/>
      <c r="AD306" s="85">
        <f t="shared" si="58"/>
        <v>0</v>
      </c>
      <c r="AE306" s="86">
        <f>+AC306*Analisis!$J$7</f>
        <v>0</v>
      </c>
      <c r="AF306" s="308">
        <f>+H306*0.0254*I306*0.0254*2*(1+[3]Analisis!$G$2)</f>
        <v>4.7096786451399995</v>
      </c>
      <c r="AG306" s="86">
        <f>+AF306*Analisis!$J$8</f>
        <v>501.80504611908344</v>
      </c>
      <c r="AH306" s="309">
        <f t="shared" si="49"/>
        <v>1888.9364092797819</v>
      </c>
      <c r="AI306" s="86">
        <f>+AH306/(1-Analisis!G311)</f>
        <v>1888.9364092797819</v>
      </c>
      <c r="AJ306" s="86">
        <f t="shared" si="59"/>
        <v>2031.1144185804108</v>
      </c>
      <c r="AK306" s="86">
        <f t="shared" si="50"/>
        <v>0</v>
      </c>
      <c r="AL306" s="310" t="e">
        <f>+VLOOKUP(B306,#REF!,2,FALSE)</f>
        <v>#REF!</v>
      </c>
      <c r="AM306" s="311" t="e">
        <f t="shared" si="47"/>
        <v>#REF!</v>
      </c>
      <c r="AN306" s="312" t="e">
        <f t="shared" si="46"/>
        <v>#REF!</v>
      </c>
    </row>
    <row r="307" spans="1:40" s="73" customFormat="1" x14ac:dyDescent="0.25">
      <c r="A307" s="303">
        <v>16</v>
      </c>
      <c r="B307" s="304" t="s">
        <v>1085</v>
      </c>
      <c r="D307" s="74">
        <f>IFERROR(VLOOKUP(B307,'REQ. PINTADO'!B:C,2,0),0)</f>
        <v>0</v>
      </c>
      <c r="E307" s="305">
        <f t="shared" si="51"/>
        <v>2031.1144185804108</v>
      </c>
      <c r="F307" s="103" t="s">
        <v>165</v>
      </c>
      <c r="G307" s="75" t="s">
        <v>147</v>
      </c>
      <c r="H307" s="90">
        <v>31.22</v>
      </c>
      <c r="I307" s="90">
        <v>93.53</v>
      </c>
      <c r="J307" s="76">
        <v>0.105</v>
      </c>
      <c r="K307" s="306">
        <v>16.38</v>
      </c>
      <c r="L307" s="78">
        <f t="shared" si="52"/>
        <v>163.00250518162395</v>
      </c>
      <c r="M307" s="58">
        <f>+VLOOKUP(F307,Material!$H$2:$M$17,6,FALSE)*H307*I307*(1+Material!$K$14)</f>
        <v>1213.6277431250001</v>
      </c>
      <c r="N307" s="79" t="str">
        <f t="shared" si="48"/>
        <v>T5.0</v>
      </c>
      <c r="O307" s="80">
        <f>+VLOOKUP(N307,[3]Material!$A$3:$B$58,2,FALSE)</f>
        <v>5000</v>
      </c>
      <c r="P307" s="79" t="s">
        <v>42</v>
      </c>
      <c r="Q307" s="79" t="str">
        <f>+VLOOKUP(F307,[3]Material!$C$2:$E$12,2,FALSE)</f>
        <v>Cal 14</v>
      </c>
      <c r="R307" s="81">
        <f>+IF(P307="ACERO A36",VLOOKUP(Q307,'[3]Velocidades Std 1500 w'!$B$2:$F$15,5,FALSE),IF(P307="INOXIDABLE",VLOOKUP(Q307,'[3]Velocidades Std 1500 w'!$B$17:$F$28,5,FALSE),IF(P307="ALUMINIO",VLOOKUP(Q307,'[3]Velocidades Std 1500 w'!$B$30:$F$38,5,FALSE))))</f>
        <v>2.0080321285140564E-6</v>
      </c>
      <c r="S307" s="82">
        <f t="shared" si="53"/>
        <v>1.0040160642570283E-2</v>
      </c>
      <c r="T307" s="83">
        <f t="shared" si="54"/>
        <v>50.415939759036149</v>
      </c>
      <c r="U307" s="307">
        <f t="shared" si="55"/>
        <v>6974.2049999999999</v>
      </c>
      <c r="V307" s="80">
        <f t="shared" si="60"/>
        <v>70.02213855421688</v>
      </c>
      <c r="W307" s="98">
        <v>8</v>
      </c>
      <c r="X307" s="84">
        <f>+IF(P307="ACERO A36",VLOOKUP(Q307,'[3]Tiempo Objeto'!$B$2:$C$12,2,FALSE),IF(P307="INOXIDABLE",VLOOKUP(Q307,'[3]Tiempo Objeto'!$B$14:$C$22,2,FALSE),IF(P307="ALUMINIO",VLOOKUP(Q307,'[3]Tiempo Objeto'!$B$24:$C$32,2,FALSE))))</f>
        <v>0.3133333333333333</v>
      </c>
      <c r="Y307" s="84">
        <f t="shared" si="56"/>
        <v>2.5066666666666664</v>
      </c>
      <c r="Z307" s="80">
        <f t="shared" si="57"/>
        <v>3.481481481481481</v>
      </c>
      <c r="AA307" s="100">
        <v>4</v>
      </c>
      <c r="AB307" s="86">
        <f>+AA307*Analisis!$J$6</f>
        <v>100</v>
      </c>
      <c r="AC307" s="100"/>
      <c r="AD307" s="85">
        <f t="shared" si="58"/>
        <v>0</v>
      </c>
      <c r="AE307" s="86">
        <f>+AC307*Analisis!$J$7</f>
        <v>0</v>
      </c>
      <c r="AF307" s="308">
        <f>+H307*0.0254*I307*0.0254*2*(1+[3]Analisis!$G$2)</f>
        <v>4.7096786451399995</v>
      </c>
      <c r="AG307" s="86">
        <f>+AF307*Analisis!$J$8</f>
        <v>501.80504611908344</v>
      </c>
      <c r="AH307" s="309">
        <f t="shared" si="49"/>
        <v>1888.9364092797819</v>
      </c>
      <c r="AI307" s="86">
        <f>+AH307/(1-Analisis!G312)</f>
        <v>1888.9364092797819</v>
      </c>
      <c r="AJ307" s="86">
        <f t="shared" si="59"/>
        <v>2031.1144185804108</v>
      </c>
      <c r="AK307" s="86">
        <f t="shared" si="50"/>
        <v>0</v>
      </c>
      <c r="AL307" s="310" t="e">
        <f>+VLOOKUP(B307,#REF!,2,FALSE)</f>
        <v>#REF!</v>
      </c>
      <c r="AM307" s="311" t="e">
        <f t="shared" si="47"/>
        <v>#REF!</v>
      </c>
      <c r="AN307" s="312" t="e">
        <f t="shared" si="46"/>
        <v>#REF!</v>
      </c>
    </row>
    <row r="308" spans="1:40" s="73" customFormat="1" x14ac:dyDescent="0.25">
      <c r="A308" s="303">
        <v>17</v>
      </c>
      <c r="B308" s="304" t="s">
        <v>1086</v>
      </c>
      <c r="D308" s="74">
        <f>IFERROR(VLOOKUP(B308,'REQ. PINTADO'!B:C,2,0),0)</f>
        <v>0</v>
      </c>
      <c r="E308" s="305">
        <f t="shared" si="51"/>
        <v>1336.4448959032147</v>
      </c>
      <c r="F308" s="103" t="s">
        <v>165</v>
      </c>
      <c r="G308" s="75" t="s">
        <v>147</v>
      </c>
      <c r="H308" s="90">
        <v>19.079999999999998</v>
      </c>
      <c r="I308" s="90">
        <v>93.53</v>
      </c>
      <c r="J308" s="76">
        <v>0.105</v>
      </c>
      <c r="K308" s="306">
        <v>16.38</v>
      </c>
      <c r="L308" s="78">
        <f t="shared" si="52"/>
        <v>99.618443269230781</v>
      </c>
      <c r="M308" s="58">
        <f>+VLOOKUP(F308,Material!$H$2:$M$17,6,FALSE)*H308*I308*(1+Material!$K$14)</f>
        <v>741.70459124999991</v>
      </c>
      <c r="N308" s="79" t="str">
        <f t="shared" si="48"/>
        <v>T5.0</v>
      </c>
      <c r="O308" s="80">
        <f>+VLOOKUP(N308,[3]Material!$A$3:$B$58,2,FALSE)</f>
        <v>5000</v>
      </c>
      <c r="P308" s="79" t="s">
        <v>42</v>
      </c>
      <c r="Q308" s="79" t="str">
        <f>+VLOOKUP(F308,[3]Material!$C$2:$E$12,2,FALSE)</f>
        <v>Cal 14</v>
      </c>
      <c r="R308" s="81">
        <f>+IF(P308="ACERO A36",VLOOKUP(Q308,'[3]Velocidades Std 1500 w'!$B$2:$F$15,5,FALSE),IF(P308="INOXIDABLE",VLOOKUP(Q308,'[3]Velocidades Std 1500 w'!$B$17:$F$28,5,FALSE),IF(P308="ALUMINIO",VLOOKUP(Q308,'[3]Velocidades Std 1500 w'!$B$30:$F$38,5,FALSE))))</f>
        <v>2.0080321285140564E-6</v>
      </c>
      <c r="S308" s="82">
        <f t="shared" si="53"/>
        <v>1.0040160642570283E-2</v>
      </c>
      <c r="T308" s="83">
        <f t="shared" si="54"/>
        <v>46.602451084337353</v>
      </c>
      <c r="U308" s="307">
        <f t="shared" si="55"/>
        <v>6446.6723999999995</v>
      </c>
      <c r="V308" s="80">
        <f t="shared" si="60"/>
        <v>64.725626506024099</v>
      </c>
      <c r="W308" s="98">
        <v>11</v>
      </c>
      <c r="X308" s="84">
        <f>+IF(P308="ACERO A36",VLOOKUP(Q308,'[3]Tiempo Objeto'!$B$2:$C$12,2,FALSE),IF(P308="INOXIDABLE",VLOOKUP(Q308,'[3]Tiempo Objeto'!$B$14:$C$22,2,FALSE),IF(P308="ALUMINIO",VLOOKUP(Q308,'[3]Tiempo Objeto'!$B$24:$C$32,2,FALSE))))</f>
        <v>0.3133333333333333</v>
      </c>
      <c r="Y308" s="84">
        <f t="shared" si="56"/>
        <v>3.4466666666666663</v>
      </c>
      <c r="Z308" s="80">
        <f t="shared" si="57"/>
        <v>4.7870370370370363</v>
      </c>
      <c r="AA308" s="100">
        <v>5</v>
      </c>
      <c r="AB308" s="86">
        <f>+AA308*Analisis!$J$6</f>
        <v>125</v>
      </c>
      <c r="AC308" s="100"/>
      <c r="AD308" s="85">
        <f t="shared" si="58"/>
        <v>0</v>
      </c>
      <c r="AE308" s="86">
        <f>+AC308*Analisis!$J$7</f>
        <v>0</v>
      </c>
      <c r="AF308" s="308">
        <f>+H308*0.0254*I308*0.0254*2*(1+[3]Analisis!$G$2)</f>
        <v>2.8783045659599993</v>
      </c>
      <c r="AG308" s="86">
        <f>+AF308*Analisis!$J$8</f>
        <v>306.67649839692859</v>
      </c>
      <c r="AH308" s="309">
        <f t="shared" si="49"/>
        <v>1242.8937531899896</v>
      </c>
      <c r="AI308" s="86">
        <f>+AH308/(1-Analisis!G313)</f>
        <v>1242.8937531899896</v>
      </c>
      <c r="AJ308" s="86">
        <f t="shared" si="59"/>
        <v>1336.4448959032147</v>
      </c>
      <c r="AK308" s="86">
        <f t="shared" si="50"/>
        <v>0</v>
      </c>
      <c r="AL308" s="310" t="e">
        <f>+VLOOKUP(B308,#REF!,2,FALSE)</f>
        <v>#REF!</v>
      </c>
      <c r="AM308" s="311" t="e">
        <f t="shared" si="47"/>
        <v>#REF!</v>
      </c>
      <c r="AN308" s="312" t="e">
        <f t="shared" si="46"/>
        <v>#REF!</v>
      </c>
    </row>
    <row r="309" spans="1:40" s="73" customFormat="1" x14ac:dyDescent="0.25">
      <c r="A309" s="303">
        <v>18</v>
      </c>
      <c r="B309" s="304" t="s">
        <v>1087</v>
      </c>
      <c r="D309" s="74">
        <f>IFERROR(VLOOKUP(B309,'REQ. PINTADO'!B:C,2,0),0)</f>
        <v>0</v>
      </c>
      <c r="E309" s="305">
        <f t="shared" si="51"/>
        <v>1634.735972024482</v>
      </c>
      <c r="F309" s="103" t="s">
        <v>165</v>
      </c>
      <c r="G309" s="75" t="s">
        <v>147</v>
      </c>
      <c r="H309" s="90">
        <v>24.08</v>
      </c>
      <c r="I309" s="90">
        <v>93.53</v>
      </c>
      <c r="J309" s="76">
        <v>0.105</v>
      </c>
      <c r="K309" s="306">
        <v>16.38</v>
      </c>
      <c r="L309" s="78">
        <f t="shared" si="52"/>
        <v>125.72390534188035</v>
      </c>
      <c r="M309" s="58">
        <f>+VLOOKUP(F309,Material!$H$2:$M$17,6,FALSE)*H309*I309*(1+Material!$K$14)</f>
        <v>936.07162249999999</v>
      </c>
      <c r="N309" s="79" t="str">
        <f t="shared" si="48"/>
        <v>T5.0</v>
      </c>
      <c r="O309" s="80">
        <f>+VLOOKUP(N309,[3]Material!$A$3:$B$58,2,FALSE)</f>
        <v>5000</v>
      </c>
      <c r="P309" s="79" t="s">
        <v>42</v>
      </c>
      <c r="Q309" s="79" t="str">
        <f>+VLOOKUP(F309,[3]Material!$C$2:$E$12,2,FALSE)</f>
        <v>Cal 14</v>
      </c>
      <c r="R309" s="81">
        <f>+IF(P309="ACERO A36",VLOOKUP(Q309,'[3]Velocidades Std 1500 w'!$B$2:$F$15,5,FALSE),IF(P309="INOXIDABLE",VLOOKUP(Q309,'[3]Velocidades Std 1500 w'!$B$17:$F$28,5,FALSE),IF(P309="ALUMINIO",VLOOKUP(Q309,'[3]Velocidades Std 1500 w'!$B$30:$F$38,5,FALSE))))</f>
        <v>2.0080321285140564E-6</v>
      </c>
      <c r="S309" s="82">
        <f t="shared" si="53"/>
        <v>1.0040160642570283E-2</v>
      </c>
      <c r="T309" s="83">
        <f t="shared" si="54"/>
        <v>48.530402891566261</v>
      </c>
      <c r="U309" s="307">
        <f t="shared" si="55"/>
        <v>6713.3723999999993</v>
      </c>
      <c r="V309" s="80">
        <f t="shared" si="60"/>
        <v>67.403337349397589</v>
      </c>
      <c r="W309" s="98">
        <v>11</v>
      </c>
      <c r="X309" s="84">
        <f>+IF(P309="ACERO A36",VLOOKUP(Q309,'[3]Tiempo Objeto'!$B$2:$C$12,2,FALSE),IF(P309="INOXIDABLE",VLOOKUP(Q309,'[3]Tiempo Objeto'!$B$14:$C$22,2,FALSE),IF(P309="ALUMINIO",VLOOKUP(Q309,'[3]Tiempo Objeto'!$B$24:$C$32,2,FALSE))))</f>
        <v>0.3133333333333333</v>
      </c>
      <c r="Y309" s="84">
        <f t="shared" si="56"/>
        <v>3.4466666666666663</v>
      </c>
      <c r="Z309" s="80">
        <f t="shared" si="57"/>
        <v>4.7870370370370363</v>
      </c>
      <c r="AA309" s="100">
        <v>5</v>
      </c>
      <c r="AB309" s="86">
        <f>+AA309*Analisis!$J$6</f>
        <v>125</v>
      </c>
      <c r="AC309" s="100"/>
      <c r="AD309" s="85">
        <f t="shared" si="58"/>
        <v>0</v>
      </c>
      <c r="AE309" s="86">
        <f>+AC309*Analisis!$J$7</f>
        <v>0</v>
      </c>
      <c r="AF309" s="308">
        <f>+H309*0.0254*I309*0.0254*2*(1+[3]Analisis!$G$2)</f>
        <v>3.6325772509599998</v>
      </c>
      <c r="AG309" s="86">
        <f>+AF309*Analisis!$J$8</f>
        <v>387.04245709633341</v>
      </c>
      <c r="AH309" s="309">
        <f t="shared" si="49"/>
        <v>1520.3044539827681</v>
      </c>
      <c r="AI309" s="86">
        <f>+AH309/(1-Analisis!G314)</f>
        <v>1520.3044539827681</v>
      </c>
      <c r="AJ309" s="86">
        <f t="shared" si="59"/>
        <v>1634.735972024482</v>
      </c>
      <c r="AK309" s="86">
        <f t="shared" si="50"/>
        <v>0</v>
      </c>
      <c r="AL309" s="310" t="e">
        <f>+VLOOKUP(B309,#REF!,2,FALSE)</f>
        <v>#REF!</v>
      </c>
      <c r="AM309" s="311" t="e">
        <f t="shared" si="47"/>
        <v>#REF!</v>
      </c>
      <c r="AN309" s="312" t="e">
        <f t="shared" si="46"/>
        <v>#REF!</v>
      </c>
    </row>
    <row r="310" spans="1:40" s="73" customFormat="1" x14ac:dyDescent="0.25">
      <c r="A310" s="303">
        <v>18</v>
      </c>
      <c r="B310" s="304" t="s">
        <v>1088</v>
      </c>
      <c r="D310" s="74">
        <f>IFERROR(VLOOKUP(B310,'REQ. PINTADO'!B:C,2,0),0)</f>
        <v>0</v>
      </c>
      <c r="E310" s="305">
        <f t="shared" si="51"/>
        <v>1634.735972024482</v>
      </c>
      <c r="F310" s="103" t="s">
        <v>165</v>
      </c>
      <c r="G310" s="75" t="s">
        <v>147</v>
      </c>
      <c r="H310" s="90">
        <v>24.08</v>
      </c>
      <c r="I310" s="90">
        <v>93.53</v>
      </c>
      <c r="J310" s="76">
        <v>0.105</v>
      </c>
      <c r="K310" s="306">
        <v>16.38</v>
      </c>
      <c r="L310" s="78">
        <f t="shared" si="52"/>
        <v>125.72390534188035</v>
      </c>
      <c r="M310" s="58">
        <f>+VLOOKUP(F310,Material!$H$2:$M$17,6,FALSE)*H310*I310*(1+Material!$K$14)</f>
        <v>936.07162249999999</v>
      </c>
      <c r="N310" s="79" t="str">
        <f t="shared" si="48"/>
        <v>T5.0</v>
      </c>
      <c r="O310" s="80">
        <f>+VLOOKUP(N310,[3]Material!$A$3:$B$58,2,FALSE)</f>
        <v>5000</v>
      </c>
      <c r="P310" s="79" t="s">
        <v>42</v>
      </c>
      <c r="Q310" s="79" t="str">
        <f>+VLOOKUP(F310,[3]Material!$C$2:$E$12,2,FALSE)</f>
        <v>Cal 14</v>
      </c>
      <c r="R310" s="81">
        <f>+IF(P310="ACERO A36",VLOOKUP(Q310,'[3]Velocidades Std 1500 w'!$B$2:$F$15,5,FALSE),IF(P310="INOXIDABLE",VLOOKUP(Q310,'[3]Velocidades Std 1500 w'!$B$17:$F$28,5,FALSE),IF(P310="ALUMINIO",VLOOKUP(Q310,'[3]Velocidades Std 1500 w'!$B$30:$F$38,5,FALSE))))</f>
        <v>2.0080321285140564E-6</v>
      </c>
      <c r="S310" s="82">
        <f t="shared" si="53"/>
        <v>1.0040160642570283E-2</v>
      </c>
      <c r="T310" s="83">
        <f t="shared" si="54"/>
        <v>48.530402891566261</v>
      </c>
      <c r="U310" s="307">
        <f t="shared" si="55"/>
        <v>6713.3723999999993</v>
      </c>
      <c r="V310" s="80">
        <f t="shared" si="60"/>
        <v>67.403337349397589</v>
      </c>
      <c r="W310" s="98">
        <v>11</v>
      </c>
      <c r="X310" s="84">
        <f>+IF(P310="ACERO A36",VLOOKUP(Q310,'[3]Tiempo Objeto'!$B$2:$C$12,2,FALSE),IF(P310="INOXIDABLE",VLOOKUP(Q310,'[3]Tiempo Objeto'!$B$14:$C$22,2,FALSE),IF(P310="ALUMINIO",VLOOKUP(Q310,'[3]Tiempo Objeto'!$B$24:$C$32,2,FALSE))))</f>
        <v>0.3133333333333333</v>
      </c>
      <c r="Y310" s="84">
        <f t="shared" si="56"/>
        <v>3.4466666666666663</v>
      </c>
      <c r="Z310" s="80">
        <f t="shared" si="57"/>
        <v>4.7870370370370363</v>
      </c>
      <c r="AA310" s="100">
        <v>5</v>
      </c>
      <c r="AB310" s="86">
        <f>+AA310*Analisis!$J$6</f>
        <v>125</v>
      </c>
      <c r="AC310" s="100"/>
      <c r="AD310" s="85">
        <f t="shared" si="58"/>
        <v>0</v>
      </c>
      <c r="AE310" s="86">
        <f>+AC310*Analisis!$J$7</f>
        <v>0</v>
      </c>
      <c r="AF310" s="308">
        <f>+H310*0.0254*I310*0.0254*2*(1+[3]Analisis!$G$2)</f>
        <v>3.6325772509599998</v>
      </c>
      <c r="AG310" s="86">
        <f>+AF310*Analisis!$J$8</f>
        <v>387.04245709633341</v>
      </c>
      <c r="AH310" s="309">
        <f t="shared" si="49"/>
        <v>1520.3044539827681</v>
      </c>
      <c r="AI310" s="86">
        <f>+AH310/(1-Analisis!G315)</f>
        <v>1520.3044539827681</v>
      </c>
      <c r="AJ310" s="86">
        <f t="shared" si="59"/>
        <v>1634.735972024482</v>
      </c>
      <c r="AK310" s="86">
        <f t="shared" si="50"/>
        <v>0</v>
      </c>
      <c r="AL310" s="310" t="e">
        <f>+VLOOKUP(B310,#REF!,2,FALSE)</f>
        <v>#REF!</v>
      </c>
      <c r="AM310" s="311" t="e">
        <f t="shared" si="47"/>
        <v>#REF!</v>
      </c>
      <c r="AN310" s="312" t="e">
        <f t="shared" si="46"/>
        <v>#REF!</v>
      </c>
    </row>
    <row r="311" spans="1:40" s="73" customFormat="1" x14ac:dyDescent="0.25">
      <c r="A311" s="303">
        <v>19</v>
      </c>
      <c r="B311" s="304" t="s">
        <v>1089</v>
      </c>
      <c r="D311" s="74">
        <f>IFERROR(VLOOKUP(B311,'REQ. PINTADO'!B:C,2,0),0)</f>
        <v>0</v>
      </c>
      <c r="E311" s="305">
        <f t="shared" si="51"/>
        <v>241.98275945515098</v>
      </c>
      <c r="F311" s="103" t="s">
        <v>165</v>
      </c>
      <c r="G311" s="75" t="s">
        <v>147</v>
      </c>
      <c r="H311" s="90">
        <v>2.7</v>
      </c>
      <c r="I311" s="90">
        <v>91.63</v>
      </c>
      <c r="J311" s="76">
        <v>0.105</v>
      </c>
      <c r="K311" s="306">
        <v>16.38</v>
      </c>
      <c r="L311" s="78">
        <f t="shared" si="52"/>
        <v>13.810579326923078</v>
      </c>
      <c r="M311" s="58">
        <f>+VLOOKUP(F311,Material!$H$2:$M$17,6,FALSE)*H311*I311*(1+Material!$K$14)</f>
        <v>102.82604062499999</v>
      </c>
      <c r="N311" s="79" t="str">
        <f t="shared" si="48"/>
        <v>T5.0</v>
      </c>
      <c r="O311" s="80">
        <f>+VLOOKUP(N311,[3]Material!$A$3:$B$58,2,FALSE)</f>
        <v>5000</v>
      </c>
      <c r="P311" s="79" t="s">
        <v>42</v>
      </c>
      <c r="Q311" s="79" t="str">
        <f>+VLOOKUP(F311,[3]Material!$C$2:$E$12,2,FALSE)</f>
        <v>Cal 14</v>
      </c>
      <c r="R311" s="81">
        <f>+IF(P311="ACERO A36",VLOOKUP(Q311,'[3]Velocidades Std 1500 w'!$B$2:$F$15,5,FALSE),IF(P311="INOXIDABLE",VLOOKUP(Q311,'[3]Velocidades Std 1500 w'!$B$17:$F$28,5,FALSE),IF(P311="ALUMINIO",VLOOKUP(Q311,'[3]Velocidades Std 1500 w'!$B$30:$F$38,5,FALSE))))</f>
        <v>2.0080321285140564E-6</v>
      </c>
      <c r="S311" s="82">
        <f t="shared" si="53"/>
        <v>1.0040160642570283E-2</v>
      </c>
      <c r="T311" s="83">
        <f t="shared" si="54"/>
        <v>37.818702650602411</v>
      </c>
      <c r="U311" s="307">
        <f t="shared" si="55"/>
        <v>5231.5871999999999</v>
      </c>
      <c r="V311" s="80">
        <f t="shared" si="60"/>
        <v>52.525975903614466</v>
      </c>
      <c r="W311" s="98">
        <v>5</v>
      </c>
      <c r="X311" s="84">
        <f>+IF(P311="ACERO A36",VLOOKUP(Q311,'[3]Tiempo Objeto'!$B$2:$C$12,2,FALSE),IF(P311="INOXIDABLE",VLOOKUP(Q311,'[3]Tiempo Objeto'!$B$14:$C$22,2,FALSE),IF(P311="ALUMINIO",VLOOKUP(Q311,'[3]Tiempo Objeto'!$B$24:$C$32,2,FALSE))))</f>
        <v>0.3133333333333333</v>
      </c>
      <c r="Y311" s="84">
        <f t="shared" si="56"/>
        <v>1.5666666666666664</v>
      </c>
      <c r="Z311" s="80">
        <f t="shared" si="57"/>
        <v>2.1759259259259256</v>
      </c>
      <c r="AA311" s="100">
        <v>1</v>
      </c>
      <c r="AB311" s="86">
        <f>+AA311*Analisis!$J$6</f>
        <v>25</v>
      </c>
      <c r="AC311" s="100"/>
      <c r="AD311" s="85">
        <f t="shared" si="58"/>
        <v>0</v>
      </c>
      <c r="AE311" s="86">
        <f>+AC311*Analisis!$J$7</f>
        <v>0</v>
      </c>
      <c r="AF311" s="308">
        <f>+H311*0.0254*I311*0.0254*2*(1+[3]Analisis!$G$2)</f>
        <v>0.39903307289999995</v>
      </c>
      <c r="AG311" s="86">
        <f>+AF311*Analisis!$J$8</f>
        <v>42.516023838750009</v>
      </c>
      <c r="AH311" s="309">
        <f t="shared" si="49"/>
        <v>225.0439662932904</v>
      </c>
      <c r="AI311" s="86">
        <f>+AH311/(1-Analisis!G316)</f>
        <v>225.0439662932904</v>
      </c>
      <c r="AJ311" s="86">
        <f t="shared" si="59"/>
        <v>241.98275945515098</v>
      </c>
      <c r="AK311" s="86">
        <f t="shared" si="50"/>
        <v>0</v>
      </c>
      <c r="AL311" s="310" t="e">
        <f>+VLOOKUP(B311,#REF!,2,FALSE)</f>
        <v>#REF!</v>
      </c>
      <c r="AM311" s="311" t="e">
        <f t="shared" si="47"/>
        <v>#REF!</v>
      </c>
      <c r="AN311" s="312" t="e">
        <f t="shared" si="46"/>
        <v>#REF!</v>
      </c>
    </row>
    <row r="312" spans="1:40" s="73" customFormat="1" x14ac:dyDescent="0.25">
      <c r="A312" s="303">
        <v>20</v>
      </c>
      <c r="B312" s="304" t="s">
        <v>161</v>
      </c>
      <c r="D312" s="74">
        <f>IFERROR(VLOOKUP(B312,'REQ. PINTADO'!B:C,2,0),0)</f>
        <v>0</v>
      </c>
      <c r="E312" s="305">
        <f t="shared" si="51"/>
        <v>1328.5471652324177</v>
      </c>
      <c r="F312" s="103" t="s">
        <v>164</v>
      </c>
      <c r="G312" s="75" t="s">
        <v>147</v>
      </c>
      <c r="H312" s="90">
        <v>13.56</v>
      </c>
      <c r="I312" s="90">
        <v>76.44</v>
      </c>
      <c r="J312" s="76">
        <v>0.105</v>
      </c>
      <c r="K312" s="306">
        <v>16.38</v>
      </c>
      <c r="L312" s="78">
        <f t="shared" si="52"/>
        <v>96.436083333333372</v>
      </c>
      <c r="M312" s="58">
        <f>+VLOOKUP(F312,Material!$H$2:$M$17,6,FALSE)*H312*I312*(1+Material!$K$14)</f>
        <v>718.01047500000016</v>
      </c>
      <c r="N312" s="79" t="str">
        <f t="shared" si="48"/>
        <v>T5.0</v>
      </c>
      <c r="O312" s="80">
        <f>+VLOOKUP(N312,[3]Material!$A$3:$B$58,2,FALSE)</f>
        <v>5000</v>
      </c>
      <c r="P312" s="79" t="s">
        <v>42</v>
      </c>
      <c r="Q312" s="79" t="str">
        <f>+VLOOKUP(F312,[3]Material!$C$2:$E$12,2,FALSE)</f>
        <v>Cal 10</v>
      </c>
      <c r="R312" s="81">
        <f>+IF(P312="ACERO A36",VLOOKUP(Q312,'[3]Velocidades Std 1500 w'!$B$2:$F$15,5,FALSE),IF(P312="INOXIDABLE",VLOOKUP(Q312,'[3]Velocidades Std 1500 w'!$B$17:$F$28,5,FALSE),IF(P312="ALUMINIO",VLOOKUP(Q312,'[3]Velocidades Std 1500 w'!$B$30:$F$38,5,FALSE))))</f>
        <v>6.1728395061728391E-6</v>
      </c>
      <c r="S312" s="82">
        <f t="shared" si="53"/>
        <v>3.0864197530864196E-2</v>
      </c>
      <c r="T312" s="83">
        <f t="shared" si="54"/>
        <v>143.12899999999996</v>
      </c>
      <c r="U312" s="307">
        <f t="shared" si="55"/>
        <v>6440.8049999999994</v>
      </c>
      <c r="V312" s="80">
        <f t="shared" si="60"/>
        <v>198.79027777777776</v>
      </c>
      <c r="W312" s="98">
        <v>41</v>
      </c>
      <c r="X312" s="84">
        <f>+IF(P312="ACERO A36",VLOOKUP(Q312,'[3]Tiempo Objeto'!$B$2:$C$12,2,FALSE),IF(P312="INOXIDABLE",VLOOKUP(Q312,'[3]Tiempo Objeto'!$B$14:$C$22,2,FALSE),IF(P312="ALUMINIO",VLOOKUP(Q312,'[3]Tiempo Objeto'!$B$24:$C$32,2,FALSE))))</f>
        <v>0.71333333333333337</v>
      </c>
      <c r="Y312" s="84">
        <f t="shared" si="56"/>
        <v>29.24666666666667</v>
      </c>
      <c r="Z312" s="80">
        <f t="shared" si="57"/>
        <v>40.620370370370374</v>
      </c>
      <c r="AA312" s="100">
        <v>4</v>
      </c>
      <c r="AB312" s="86">
        <f>+AA312*Analisis!$J$6</f>
        <v>100</v>
      </c>
      <c r="AC312" s="100"/>
      <c r="AD312" s="85">
        <f t="shared" si="58"/>
        <v>0</v>
      </c>
      <c r="AE312" s="86">
        <f>+AC312*Analisis!$J$7</f>
        <v>0</v>
      </c>
      <c r="AF312" s="308">
        <f>+H312*0.0254*I312*0.0254*2*(1+[3]Analisis!$G$2)</f>
        <v>1.6718134305599999</v>
      </c>
      <c r="AG312" s="86">
        <f>+AF312*Analisis!$J$8</f>
        <v>178.12774051800005</v>
      </c>
      <c r="AH312" s="309">
        <f t="shared" si="49"/>
        <v>1235.5488636661485</v>
      </c>
      <c r="AI312" s="86">
        <f>+AH312/(1-Analisis!G317)</f>
        <v>1235.5488636661485</v>
      </c>
      <c r="AJ312" s="86">
        <f t="shared" si="59"/>
        <v>1328.5471652324177</v>
      </c>
      <c r="AK312" s="86">
        <f t="shared" si="50"/>
        <v>0</v>
      </c>
      <c r="AL312" s="310" t="e">
        <f>+VLOOKUP(B312,#REF!,2,FALSE)</f>
        <v>#REF!</v>
      </c>
      <c r="AM312" s="311" t="e">
        <f t="shared" si="47"/>
        <v>#REF!</v>
      </c>
      <c r="AN312" s="312" t="e">
        <f t="shared" si="46"/>
        <v>#REF!</v>
      </c>
    </row>
    <row r="313" spans="1:40" s="73" customFormat="1" x14ac:dyDescent="0.25">
      <c r="A313" s="303">
        <v>21</v>
      </c>
      <c r="B313" s="304" t="s">
        <v>162</v>
      </c>
      <c r="D313" s="74">
        <f>IFERROR(VLOOKUP(B313,'REQ. PINTADO'!B:C,2,0),0)</f>
        <v>0</v>
      </c>
      <c r="E313" s="305">
        <f t="shared" si="51"/>
        <v>1182.884401046834</v>
      </c>
      <c r="F313" s="103" t="s">
        <v>164</v>
      </c>
      <c r="G313" s="75" t="s">
        <v>147</v>
      </c>
      <c r="H313" s="90">
        <v>11.56</v>
      </c>
      <c r="I313" s="90">
        <v>76.44</v>
      </c>
      <c r="J313" s="76">
        <v>0.105</v>
      </c>
      <c r="K313" s="306">
        <v>16.38</v>
      </c>
      <c r="L313" s="78">
        <f t="shared" si="52"/>
        <v>82.212472222222232</v>
      </c>
      <c r="M313" s="58">
        <f>+VLOOKUP(F313,Material!$H$2:$M$17,6,FALSE)*H313*I313*(1+Material!$K$14)</f>
        <v>612.10922500000004</v>
      </c>
      <c r="N313" s="79" t="str">
        <f t="shared" si="48"/>
        <v>T5.0</v>
      </c>
      <c r="O313" s="80">
        <f>+VLOOKUP(N313,[3]Material!$A$3:$B$58,2,FALSE)</f>
        <v>5000</v>
      </c>
      <c r="P313" s="79" t="s">
        <v>42</v>
      </c>
      <c r="Q313" s="79" t="str">
        <f>+VLOOKUP(F313,[3]Material!$C$2:$E$12,2,FALSE)</f>
        <v>Cal 10</v>
      </c>
      <c r="R313" s="81">
        <f>+IF(P313="ACERO A36",VLOOKUP(Q313,'[3]Velocidades Std 1500 w'!$B$2:$F$15,5,FALSE),IF(P313="INOXIDABLE",VLOOKUP(Q313,'[3]Velocidades Std 1500 w'!$B$17:$F$28,5,FALSE),IF(P313="ALUMINIO",VLOOKUP(Q313,'[3]Velocidades Std 1500 w'!$B$30:$F$38,5,FALSE))))</f>
        <v>6.1728395061728391E-6</v>
      </c>
      <c r="S313" s="82">
        <f t="shared" si="53"/>
        <v>3.0864197530864196E-2</v>
      </c>
      <c r="T313" s="83">
        <f t="shared" si="54"/>
        <v>140.75833333333333</v>
      </c>
      <c r="U313" s="307">
        <f t="shared" si="55"/>
        <v>6334.125</v>
      </c>
      <c r="V313" s="80">
        <f t="shared" si="60"/>
        <v>195.49768518518516</v>
      </c>
      <c r="W313" s="98">
        <v>41</v>
      </c>
      <c r="X313" s="84">
        <f>+IF(P313="ACERO A36",VLOOKUP(Q313,'[3]Tiempo Objeto'!$B$2:$C$12,2,FALSE),IF(P313="INOXIDABLE",VLOOKUP(Q313,'[3]Tiempo Objeto'!$B$14:$C$22,2,FALSE),IF(P313="ALUMINIO",VLOOKUP(Q313,'[3]Tiempo Objeto'!$B$24:$C$32,2,FALSE))))</f>
        <v>0.71333333333333337</v>
      </c>
      <c r="Y313" s="84">
        <f t="shared" si="56"/>
        <v>29.24666666666667</v>
      </c>
      <c r="Z313" s="80">
        <f t="shared" si="57"/>
        <v>40.620370370370374</v>
      </c>
      <c r="AA313" s="100">
        <v>4</v>
      </c>
      <c r="AB313" s="86">
        <f>+AA313*Analisis!$J$6</f>
        <v>100</v>
      </c>
      <c r="AC313" s="100"/>
      <c r="AD313" s="85">
        <f t="shared" si="58"/>
        <v>0</v>
      </c>
      <c r="AE313" s="86">
        <f>+AC313*Analisis!$J$7</f>
        <v>0</v>
      </c>
      <c r="AF313" s="308">
        <f>+H313*0.0254*I313*0.0254*2*(1+[3]Analisis!$G$2)</f>
        <v>1.4252332785599999</v>
      </c>
      <c r="AG313" s="86">
        <f>+AF313*Analisis!$J$8</f>
        <v>151.85521241800004</v>
      </c>
      <c r="AH313" s="309">
        <f t="shared" si="49"/>
        <v>1100.0824929735556</v>
      </c>
      <c r="AI313" s="86">
        <f>+AH313/(1-Analisis!G318)</f>
        <v>1100.0824929735556</v>
      </c>
      <c r="AJ313" s="86">
        <f t="shared" si="59"/>
        <v>1182.884401046834</v>
      </c>
      <c r="AK313" s="86">
        <f t="shared" si="50"/>
        <v>0</v>
      </c>
      <c r="AL313" s="310" t="e">
        <f>+VLOOKUP(B313,#REF!,2,FALSE)</f>
        <v>#REF!</v>
      </c>
      <c r="AM313" s="311" t="e">
        <f t="shared" si="47"/>
        <v>#REF!</v>
      </c>
      <c r="AN313" s="312" t="e">
        <f t="shared" si="46"/>
        <v>#REF!</v>
      </c>
    </row>
    <row r="314" spans="1:40" s="73" customFormat="1" x14ac:dyDescent="0.25">
      <c r="A314" s="303">
        <v>22</v>
      </c>
      <c r="B314" s="304" t="s">
        <v>1090</v>
      </c>
      <c r="D314" s="74">
        <f>IFERROR(VLOOKUP(B314,'REQ. PINTADO'!B:C,2,0),0)</f>
        <v>0</v>
      </c>
      <c r="E314" s="305">
        <f t="shared" si="51"/>
        <v>345.29014725301533</v>
      </c>
      <c r="F314" s="103" t="s">
        <v>164</v>
      </c>
      <c r="G314" s="75" t="s">
        <v>147</v>
      </c>
      <c r="H314" s="90">
        <v>9.7799999999999994</v>
      </c>
      <c r="I314" s="90">
        <v>21.5</v>
      </c>
      <c r="J314" s="76">
        <v>0.105</v>
      </c>
      <c r="K314" s="306">
        <v>16.38</v>
      </c>
      <c r="L314" s="78">
        <f t="shared" si="52"/>
        <v>19.563047542735045</v>
      </c>
      <c r="M314" s="58">
        <f>+VLOOKUP(F314,Material!$H$2:$M$17,6,FALSE)*H314*I314*(1+Material!$K$14)</f>
        <v>145.65578125000002</v>
      </c>
      <c r="N314" s="79" t="str">
        <f t="shared" si="48"/>
        <v>T5.0</v>
      </c>
      <c r="O314" s="80">
        <f>+VLOOKUP(N314,[3]Material!$A$3:$B$58,2,FALSE)</f>
        <v>5000</v>
      </c>
      <c r="P314" s="79" t="s">
        <v>42</v>
      </c>
      <c r="Q314" s="79" t="str">
        <f>+VLOOKUP(F314,[3]Material!$C$2:$E$12,2,FALSE)</f>
        <v>Cal 10</v>
      </c>
      <c r="R314" s="81">
        <f>+IF(P314="ACERO A36",VLOOKUP(Q314,'[3]Velocidades Std 1500 w'!$B$2:$F$15,5,FALSE),IF(P314="INOXIDABLE",VLOOKUP(Q314,'[3]Velocidades Std 1500 w'!$B$17:$F$28,5,FALSE),IF(P314="ALUMINIO",VLOOKUP(Q314,'[3]Velocidades Std 1500 w'!$B$30:$F$38,5,FALSE))))</f>
        <v>6.1728395061728391E-6</v>
      </c>
      <c r="S314" s="82">
        <f t="shared" si="53"/>
        <v>3.0864197530864196E-2</v>
      </c>
      <c r="T314" s="83">
        <f t="shared" si="54"/>
        <v>52.190226666666675</v>
      </c>
      <c r="U314" s="307">
        <f t="shared" si="55"/>
        <v>2348.5602000000003</v>
      </c>
      <c r="V314" s="80">
        <f t="shared" si="60"/>
        <v>72.486425925925928</v>
      </c>
      <c r="W314" s="98">
        <v>17</v>
      </c>
      <c r="X314" s="84">
        <f>+IF(P314="ACERO A36",VLOOKUP(Q314,'[3]Tiempo Objeto'!$B$2:$C$12,2,FALSE),IF(P314="INOXIDABLE",VLOOKUP(Q314,'[3]Tiempo Objeto'!$B$14:$C$22,2,FALSE),IF(P314="ALUMINIO",VLOOKUP(Q314,'[3]Tiempo Objeto'!$B$24:$C$32,2,FALSE))))</f>
        <v>0.71333333333333337</v>
      </c>
      <c r="Y314" s="84">
        <f t="shared" si="56"/>
        <v>12.126666666666667</v>
      </c>
      <c r="Z314" s="80">
        <f t="shared" si="57"/>
        <v>16.842592592592592</v>
      </c>
      <c r="AA314" s="100">
        <v>2</v>
      </c>
      <c r="AB314" s="86">
        <f>+AA314*Analisis!$J$6</f>
        <v>50</v>
      </c>
      <c r="AC314" s="100"/>
      <c r="AD314" s="85">
        <f t="shared" si="58"/>
        <v>0</v>
      </c>
      <c r="AE314" s="86">
        <f>+AC314*Analisis!$J$7</f>
        <v>0</v>
      </c>
      <c r="AF314" s="308">
        <f>+H314*0.0254*I314*0.0254*2*(1+[3]Analisis!$G$2)</f>
        <v>0.33914448299999989</v>
      </c>
      <c r="AG314" s="86">
        <f>+AF314*Analisis!$J$8</f>
        <v>36.135037176785715</v>
      </c>
      <c r="AH314" s="309">
        <f t="shared" si="49"/>
        <v>321.11983694530426</v>
      </c>
      <c r="AI314" s="86">
        <f>+AH314/(1-Analisis!G319)</f>
        <v>321.11983694530426</v>
      </c>
      <c r="AJ314" s="86">
        <f t="shared" si="59"/>
        <v>345.29014725301533</v>
      </c>
      <c r="AK314" s="86">
        <f t="shared" si="50"/>
        <v>0</v>
      </c>
      <c r="AL314" s="310" t="e">
        <f>+VLOOKUP(B314,#REF!,2,FALSE)</f>
        <v>#REF!</v>
      </c>
      <c r="AM314" s="311" t="e">
        <f t="shared" si="47"/>
        <v>#REF!</v>
      </c>
      <c r="AN314" s="312" t="e">
        <f t="shared" si="46"/>
        <v>#REF!</v>
      </c>
    </row>
    <row r="315" spans="1:40" s="73" customFormat="1" x14ac:dyDescent="0.25">
      <c r="A315" s="303">
        <v>23</v>
      </c>
      <c r="B315" s="304" t="s">
        <v>1091</v>
      </c>
      <c r="D315" s="74">
        <f>IFERROR(VLOOKUP(B315,'REQ. PINTADO'!B:C,2,0),0)</f>
        <v>0</v>
      </c>
      <c r="E315" s="305">
        <f t="shared" si="51"/>
        <v>449.1244548581243</v>
      </c>
      <c r="F315" s="103" t="s">
        <v>164</v>
      </c>
      <c r="G315" s="75" t="s">
        <v>147</v>
      </c>
      <c r="H315" s="90">
        <v>9.7799999999999994</v>
      </c>
      <c r="I315" s="90">
        <v>31.5</v>
      </c>
      <c r="J315" s="76">
        <v>0.105</v>
      </c>
      <c r="K315" s="306">
        <v>16.38</v>
      </c>
      <c r="L315" s="78">
        <f t="shared" si="52"/>
        <v>28.66213942307693</v>
      </c>
      <c r="M315" s="58">
        <f>+VLOOKUP(F315,Material!$H$2:$M$17,6,FALSE)*H315*I315*(1+Material!$K$14)</f>
        <v>213.40265625000001</v>
      </c>
      <c r="N315" s="79" t="str">
        <f t="shared" si="48"/>
        <v>T5.0</v>
      </c>
      <c r="O315" s="80">
        <f>+VLOOKUP(N315,[3]Material!$A$3:$B$58,2,FALSE)</f>
        <v>5000</v>
      </c>
      <c r="P315" s="79" t="s">
        <v>42</v>
      </c>
      <c r="Q315" s="79" t="str">
        <f>+VLOOKUP(F315,[3]Material!$C$2:$E$12,2,FALSE)</f>
        <v>Cal 10</v>
      </c>
      <c r="R315" s="81">
        <f>+IF(P315="ACERO A36",VLOOKUP(Q315,'[3]Velocidades Std 1500 w'!$B$2:$F$15,5,FALSE),IF(P315="INOXIDABLE",VLOOKUP(Q315,'[3]Velocidades Std 1500 w'!$B$17:$F$28,5,FALSE),IF(P315="ALUMINIO",VLOOKUP(Q315,'[3]Velocidades Std 1500 w'!$B$30:$F$38,5,FALSE))))</f>
        <v>6.1728395061728391E-6</v>
      </c>
      <c r="S315" s="82">
        <f t="shared" si="53"/>
        <v>3.0864197530864196E-2</v>
      </c>
      <c r="T315" s="83">
        <f t="shared" si="54"/>
        <v>62.265559999999994</v>
      </c>
      <c r="U315" s="307">
        <f t="shared" si="55"/>
        <v>2801.9502000000002</v>
      </c>
      <c r="V315" s="80">
        <f t="shared" si="60"/>
        <v>86.479944444444442</v>
      </c>
      <c r="W315" s="98">
        <v>15</v>
      </c>
      <c r="X315" s="84">
        <f>+IF(P315="ACERO A36",VLOOKUP(Q315,'[3]Tiempo Objeto'!$B$2:$C$12,2,FALSE),IF(P315="INOXIDABLE",VLOOKUP(Q315,'[3]Tiempo Objeto'!$B$14:$C$22,2,FALSE),IF(P315="ALUMINIO",VLOOKUP(Q315,'[3]Tiempo Objeto'!$B$24:$C$32,2,FALSE))))</f>
        <v>0.71333333333333337</v>
      </c>
      <c r="Y315" s="84">
        <f t="shared" si="56"/>
        <v>10.700000000000001</v>
      </c>
      <c r="Z315" s="80">
        <f t="shared" si="57"/>
        <v>14.861111111111112</v>
      </c>
      <c r="AA315" s="100">
        <v>2</v>
      </c>
      <c r="AB315" s="86">
        <f>+AA315*Analisis!$J$6</f>
        <v>50</v>
      </c>
      <c r="AC315" s="100"/>
      <c r="AD315" s="85">
        <f t="shared" si="58"/>
        <v>0</v>
      </c>
      <c r="AE315" s="86">
        <f>+AC315*Analisis!$J$7</f>
        <v>0</v>
      </c>
      <c r="AF315" s="308">
        <f>+H315*0.0254*I315*0.0254*2*(1+[3]Analisis!$G$2)</f>
        <v>0.49688610299999991</v>
      </c>
      <c r="AG315" s="86">
        <f>+AF315*Analisis!$J$8</f>
        <v>52.942031212500005</v>
      </c>
      <c r="AH315" s="309">
        <f t="shared" si="49"/>
        <v>417.68574301805558</v>
      </c>
      <c r="AI315" s="86">
        <f>+AH315/(1-Analisis!G320)</f>
        <v>417.68574301805558</v>
      </c>
      <c r="AJ315" s="86">
        <f t="shared" si="59"/>
        <v>449.1244548581243</v>
      </c>
      <c r="AK315" s="86">
        <f t="shared" si="50"/>
        <v>0</v>
      </c>
      <c r="AL315" s="310" t="e">
        <f>+VLOOKUP(B315,#REF!,2,FALSE)</f>
        <v>#REF!</v>
      </c>
      <c r="AM315" s="311" t="e">
        <f t="shared" si="47"/>
        <v>#REF!</v>
      </c>
      <c r="AN315" s="312" t="e">
        <f t="shared" si="46"/>
        <v>#REF!</v>
      </c>
    </row>
    <row r="316" spans="1:40" s="73" customFormat="1" x14ac:dyDescent="0.25">
      <c r="A316" s="303">
        <v>24</v>
      </c>
      <c r="B316" s="304" t="s">
        <v>1092</v>
      </c>
      <c r="D316" s="74">
        <f>IFERROR(VLOOKUP(B316,'REQ. PINTADO'!B:C,2,0),0)</f>
        <v>0</v>
      </c>
      <c r="E316" s="305">
        <f t="shared" si="51"/>
        <v>263.26669818342157</v>
      </c>
      <c r="F316" s="103" t="s">
        <v>164</v>
      </c>
      <c r="G316" s="75" t="s">
        <v>147</v>
      </c>
      <c r="H316" s="90">
        <v>6.56</v>
      </c>
      <c r="I316" s="90">
        <v>21.5</v>
      </c>
      <c r="J316" s="76">
        <v>0.105</v>
      </c>
      <c r="K316" s="306">
        <v>16.38</v>
      </c>
      <c r="L316" s="78">
        <f t="shared" si="52"/>
        <v>13.122044159544163</v>
      </c>
      <c r="M316" s="58">
        <f>+VLOOKUP(F316,Material!$H$2:$M$17,6,FALSE)*H316*I316*(1+Material!$K$14)</f>
        <v>97.699583333333337</v>
      </c>
      <c r="N316" s="79" t="str">
        <f t="shared" si="48"/>
        <v>T5.0</v>
      </c>
      <c r="O316" s="80">
        <f>+VLOOKUP(N316,[3]Material!$A$3:$B$58,2,FALSE)</f>
        <v>5000</v>
      </c>
      <c r="P316" s="79" t="s">
        <v>42</v>
      </c>
      <c r="Q316" s="79" t="str">
        <f>+VLOOKUP(F316,[3]Material!$C$2:$E$12,2,FALSE)</f>
        <v>Cal 10</v>
      </c>
      <c r="R316" s="81">
        <f>+IF(P316="ACERO A36",VLOOKUP(Q316,'[3]Velocidades Std 1500 w'!$B$2:$F$15,5,FALSE),IF(P316="INOXIDABLE",VLOOKUP(Q316,'[3]Velocidades Std 1500 w'!$B$17:$F$28,5,FALSE),IF(P316="ALUMINIO",VLOOKUP(Q316,'[3]Velocidades Std 1500 w'!$B$30:$F$38,5,FALSE))))</f>
        <v>6.1728395061728391E-6</v>
      </c>
      <c r="S316" s="82">
        <f t="shared" si="53"/>
        <v>3.0864197530864196E-2</v>
      </c>
      <c r="T316" s="83">
        <f t="shared" si="54"/>
        <v>43.928453333333337</v>
      </c>
      <c r="U316" s="307">
        <f t="shared" si="55"/>
        <v>1976.7804000000001</v>
      </c>
      <c r="V316" s="80">
        <f t="shared" si="60"/>
        <v>61.011740740740741</v>
      </c>
      <c r="W316" s="98">
        <v>12</v>
      </c>
      <c r="X316" s="84">
        <f>+IF(P316="ACERO A36",VLOOKUP(Q316,'[3]Tiempo Objeto'!$B$2:$C$12,2,FALSE),IF(P316="INOXIDABLE",VLOOKUP(Q316,'[3]Tiempo Objeto'!$B$14:$C$22,2,FALSE),IF(P316="ALUMINIO",VLOOKUP(Q316,'[3]Tiempo Objeto'!$B$24:$C$32,2,FALSE))))</f>
        <v>0.71333333333333337</v>
      </c>
      <c r="Y316" s="84">
        <f t="shared" si="56"/>
        <v>8.56</v>
      </c>
      <c r="Z316" s="80">
        <f t="shared" si="57"/>
        <v>11.888888888888889</v>
      </c>
      <c r="AA316" s="100">
        <v>2</v>
      </c>
      <c r="AB316" s="86">
        <f>+AA316*Analisis!$J$6</f>
        <v>50</v>
      </c>
      <c r="AC316" s="100"/>
      <c r="AD316" s="85">
        <f t="shared" si="58"/>
        <v>0</v>
      </c>
      <c r="AE316" s="86">
        <f>+AC316*Analisis!$J$7</f>
        <v>0</v>
      </c>
      <c r="AF316" s="308">
        <f>+H316*0.0254*I316*0.0254*2*(1+[3]Analisis!$G$2)</f>
        <v>0.22748341599999999</v>
      </c>
      <c r="AG316" s="86">
        <f>+AF316*Analisis!$J$8</f>
        <v>24.237816347619056</v>
      </c>
      <c r="AH316" s="309">
        <f t="shared" si="49"/>
        <v>244.83802931058204</v>
      </c>
      <c r="AI316" s="86">
        <f>+AH316/(1-Analisis!G321)</f>
        <v>244.83802931058204</v>
      </c>
      <c r="AJ316" s="86">
        <f t="shared" si="59"/>
        <v>263.26669818342157</v>
      </c>
      <c r="AK316" s="86">
        <f t="shared" si="50"/>
        <v>0</v>
      </c>
      <c r="AL316" s="310" t="e">
        <f>+VLOOKUP(B316,#REF!,2,FALSE)</f>
        <v>#REF!</v>
      </c>
      <c r="AM316" s="311" t="e">
        <f t="shared" si="47"/>
        <v>#REF!</v>
      </c>
      <c r="AN316" s="312" t="e">
        <f t="shared" si="46"/>
        <v>#REF!</v>
      </c>
    </row>
    <row r="317" spans="1:40" s="73" customFormat="1" x14ac:dyDescent="0.25">
      <c r="A317" s="303">
        <v>25</v>
      </c>
      <c r="B317" s="304" t="s">
        <v>1093</v>
      </c>
      <c r="D317" s="74">
        <f>IFERROR(VLOOKUP(B317,'REQ. PINTADO'!B:C,2,0),0)</f>
        <v>0</v>
      </c>
      <c r="E317" s="305">
        <f t="shared" si="51"/>
        <v>344.34572565113501</v>
      </c>
      <c r="F317" s="103" t="s">
        <v>164</v>
      </c>
      <c r="G317" s="75" t="s">
        <v>147</v>
      </c>
      <c r="H317" s="90">
        <v>6.56</v>
      </c>
      <c r="I317" s="90">
        <v>31.5</v>
      </c>
      <c r="J317" s="76">
        <v>0.105</v>
      </c>
      <c r="K317" s="306">
        <v>16.38</v>
      </c>
      <c r="L317" s="78">
        <f t="shared" si="52"/>
        <v>19.225320512820517</v>
      </c>
      <c r="M317" s="58">
        <f>+VLOOKUP(F317,Material!$H$2:$M$17,6,FALSE)*H317*I317*(1+Material!$K$14)</f>
        <v>143.14125000000001</v>
      </c>
      <c r="N317" s="79" t="str">
        <f t="shared" si="48"/>
        <v>T5.0</v>
      </c>
      <c r="O317" s="80">
        <f>+VLOOKUP(N317,[3]Material!$A$3:$B$58,2,FALSE)</f>
        <v>5000</v>
      </c>
      <c r="P317" s="79" t="s">
        <v>42</v>
      </c>
      <c r="Q317" s="79" t="str">
        <f>+VLOOKUP(F317,[3]Material!$C$2:$E$12,2,FALSE)</f>
        <v>Cal 10</v>
      </c>
      <c r="R317" s="81">
        <f>+IF(P317="ACERO A36",VLOOKUP(Q317,'[3]Velocidades Std 1500 w'!$B$2:$F$15,5,FALSE),IF(P317="INOXIDABLE",VLOOKUP(Q317,'[3]Velocidades Std 1500 w'!$B$17:$F$28,5,FALSE),IF(P317="ALUMINIO",VLOOKUP(Q317,'[3]Velocidades Std 1500 w'!$B$30:$F$38,5,FALSE))))</f>
        <v>6.1728395061728391E-6</v>
      </c>
      <c r="S317" s="82">
        <f t="shared" si="53"/>
        <v>3.0864197530864196E-2</v>
      </c>
      <c r="T317" s="83">
        <f t="shared" si="54"/>
        <v>56.670786666666672</v>
      </c>
      <c r="U317" s="307">
        <f t="shared" si="55"/>
        <v>2550.1854000000003</v>
      </c>
      <c r="V317" s="80">
        <f t="shared" si="60"/>
        <v>78.709425925925927</v>
      </c>
      <c r="W317" s="98">
        <v>13</v>
      </c>
      <c r="X317" s="84">
        <f>+IF(P317="ACERO A36",VLOOKUP(Q317,'[3]Tiempo Objeto'!$B$2:$C$12,2,FALSE),IF(P317="INOXIDABLE",VLOOKUP(Q317,'[3]Tiempo Objeto'!$B$14:$C$22,2,FALSE),IF(P317="ALUMINIO",VLOOKUP(Q317,'[3]Tiempo Objeto'!$B$24:$C$32,2,FALSE))))</f>
        <v>0.71333333333333337</v>
      </c>
      <c r="Y317" s="84">
        <f t="shared" si="56"/>
        <v>9.2733333333333334</v>
      </c>
      <c r="Z317" s="80">
        <f t="shared" si="57"/>
        <v>12.87962962962963</v>
      </c>
      <c r="AA317" s="100">
        <v>2</v>
      </c>
      <c r="AB317" s="86">
        <f>+AA317*Analisis!$J$6</f>
        <v>50</v>
      </c>
      <c r="AC317" s="100"/>
      <c r="AD317" s="85">
        <f t="shared" si="58"/>
        <v>0</v>
      </c>
      <c r="AE317" s="86">
        <f>+AC317*Analisis!$J$7</f>
        <v>0</v>
      </c>
      <c r="AF317" s="308">
        <f>+H317*0.0254*I317*0.0254*2*(1+[3]Analisis!$G$2)</f>
        <v>0.33328965599999993</v>
      </c>
      <c r="AG317" s="86">
        <f>+AF317*Analisis!$J$8</f>
        <v>35.5112193</v>
      </c>
      <c r="AH317" s="309">
        <f t="shared" si="49"/>
        <v>320.24152485555555</v>
      </c>
      <c r="AI317" s="86">
        <f>+AH317/(1-Analisis!G322)</f>
        <v>320.24152485555555</v>
      </c>
      <c r="AJ317" s="86">
        <f t="shared" si="59"/>
        <v>344.34572565113501</v>
      </c>
      <c r="AK317" s="86">
        <f t="shared" si="50"/>
        <v>0</v>
      </c>
      <c r="AL317" s="310" t="e">
        <f>+VLOOKUP(B317,#REF!,2,FALSE)</f>
        <v>#REF!</v>
      </c>
      <c r="AM317" s="311" t="e">
        <f t="shared" si="47"/>
        <v>#REF!</v>
      </c>
      <c r="AN317" s="312" t="e">
        <f t="shared" si="46"/>
        <v>#REF!</v>
      </c>
    </row>
    <row r="318" spans="1:40" s="73" customFormat="1" x14ac:dyDescent="0.25">
      <c r="A318" s="303">
        <v>26</v>
      </c>
      <c r="B318" s="304" t="s">
        <v>1094</v>
      </c>
      <c r="D318" s="74">
        <f>IFERROR(VLOOKUP(B318,'REQ. PINTADO'!B:C,2,0),0)</f>
        <v>0</v>
      </c>
      <c r="E318" s="305">
        <f t="shared" si="51"/>
        <v>307.86821420307791</v>
      </c>
      <c r="F318" s="103" t="s">
        <v>164</v>
      </c>
      <c r="G318" s="75" t="s">
        <v>147</v>
      </c>
      <c r="H318" s="90">
        <v>8.2799999999999994</v>
      </c>
      <c r="I318" s="90">
        <v>21.5</v>
      </c>
      <c r="J318" s="76">
        <v>0.105</v>
      </c>
      <c r="K318" s="306">
        <v>16.38</v>
      </c>
      <c r="L318" s="78">
        <f t="shared" si="52"/>
        <v>16.562580128205131</v>
      </c>
      <c r="M318" s="58">
        <f>+VLOOKUP(F318,Material!$H$2:$M$17,6,FALSE)*H318*I318*(1+Material!$K$14)</f>
        <v>123.3159375</v>
      </c>
      <c r="N318" s="79" t="str">
        <f t="shared" si="48"/>
        <v>T5.0</v>
      </c>
      <c r="O318" s="80">
        <f>+VLOOKUP(N318,[3]Material!$A$3:$B$58,2,FALSE)</f>
        <v>5000</v>
      </c>
      <c r="P318" s="79" t="s">
        <v>42</v>
      </c>
      <c r="Q318" s="79" t="str">
        <f>+VLOOKUP(F318,[3]Material!$C$2:$E$12,2,FALSE)</f>
        <v>Cal 10</v>
      </c>
      <c r="R318" s="81">
        <f>+IF(P318="ACERO A36",VLOOKUP(Q318,'[3]Velocidades Std 1500 w'!$B$2:$F$15,5,FALSE),IF(P318="INOXIDABLE",VLOOKUP(Q318,'[3]Velocidades Std 1500 w'!$B$17:$F$28,5,FALSE),IF(P318="ALUMINIO",VLOOKUP(Q318,'[3]Velocidades Std 1500 w'!$B$30:$F$38,5,FALSE))))</f>
        <v>6.1728395061728391E-6</v>
      </c>
      <c r="S318" s="82">
        <f t="shared" si="53"/>
        <v>3.0864197530864196E-2</v>
      </c>
      <c r="T318" s="83">
        <f t="shared" si="54"/>
        <v>48.63422666666667</v>
      </c>
      <c r="U318" s="307">
        <f t="shared" si="55"/>
        <v>2188.5402000000004</v>
      </c>
      <c r="V318" s="80">
        <f t="shared" si="60"/>
        <v>67.547537037037046</v>
      </c>
      <c r="W318" s="98">
        <v>15</v>
      </c>
      <c r="X318" s="84">
        <f>+IF(P318="ACERO A36",VLOOKUP(Q318,'[3]Tiempo Objeto'!$B$2:$C$12,2,FALSE),IF(P318="INOXIDABLE",VLOOKUP(Q318,'[3]Tiempo Objeto'!$B$14:$C$22,2,FALSE),IF(P318="ALUMINIO",VLOOKUP(Q318,'[3]Tiempo Objeto'!$B$24:$C$32,2,FALSE))))</f>
        <v>0.71333333333333337</v>
      </c>
      <c r="Y318" s="84">
        <f t="shared" si="56"/>
        <v>10.700000000000001</v>
      </c>
      <c r="Z318" s="80">
        <f t="shared" si="57"/>
        <v>14.861111111111112</v>
      </c>
      <c r="AA318" s="100">
        <v>2</v>
      </c>
      <c r="AB318" s="86">
        <f>+AA318*Analisis!$J$6</f>
        <v>50</v>
      </c>
      <c r="AC318" s="100"/>
      <c r="AD318" s="85">
        <f t="shared" si="58"/>
        <v>0</v>
      </c>
      <c r="AE318" s="86">
        <f>+AC318*Analisis!$J$7</f>
        <v>0</v>
      </c>
      <c r="AF318" s="308">
        <f>+H318*0.0254*I318*0.0254*2*(1+[3]Analisis!$G$2)</f>
        <v>0.28712845799999992</v>
      </c>
      <c r="AG318" s="86">
        <f>+AF318*Analisis!$J$8</f>
        <v>30.592853560714286</v>
      </c>
      <c r="AH318" s="309">
        <f t="shared" si="49"/>
        <v>286.31743920886242</v>
      </c>
      <c r="AI318" s="86">
        <f>+AH318/(1-Analisis!G323)</f>
        <v>286.31743920886242</v>
      </c>
      <c r="AJ318" s="86">
        <f t="shared" si="59"/>
        <v>307.86821420307791</v>
      </c>
      <c r="AK318" s="86">
        <f t="shared" si="50"/>
        <v>0</v>
      </c>
      <c r="AL318" s="310" t="e">
        <f>+VLOOKUP(B318,#REF!,2,FALSE)</f>
        <v>#REF!</v>
      </c>
      <c r="AM318" s="311" t="e">
        <f t="shared" si="47"/>
        <v>#REF!</v>
      </c>
      <c r="AN318" s="312" t="e">
        <f t="shared" si="46"/>
        <v>#REF!</v>
      </c>
    </row>
    <row r="319" spans="1:40" s="73" customFormat="1" x14ac:dyDescent="0.25">
      <c r="A319" s="303">
        <v>27</v>
      </c>
      <c r="B319" s="304" t="s">
        <v>1095</v>
      </c>
      <c r="D319" s="74">
        <f>IFERROR(VLOOKUP(B319,'REQ. PINTADO'!B:C,2,0),0)</f>
        <v>0</v>
      </c>
      <c r="E319" s="305">
        <f t="shared" si="51"/>
        <v>402.54396385603349</v>
      </c>
      <c r="F319" s="103" t="s">
        <v>164</v>
      </c>
      <c r="G319" s="75" t="s">
        <v>147</v>
      </c>
      <c r="H319" s="90">
        <v>8.2799999999999994</v>
      </c>
      <c r="I319" s="90">
        <v>31.5</v>
      </c>
      <c r="J319" s="76">
        <v>0.105</v>
      </c>
      <c r="K319" s="306">
        <v>16.38</v>
      </c>
      <c r="L319" s="78">
        <f t="shared" si="52"/>
        <v>24.266105769230773</v>
      </c>
      <c r="M319" s="58">
        <f>+VLOOKUP(F319,Material!$H$2:$M$17,6,FALSE)*H319*I319*(1+Material!$K$14)</f>
        <v>180.67218750000001</v>
      </c>
      <c r="N319" s="79" t="str">
        <f t="shared" si="48"/>
        <v>T5.0</v>
      </c>
      <c r="O319" s="80">
        <f>+VLOOKUP(N319,[3]Material!$A$3:$B$58,2,FALSE)</f>
        <v>5000</v>
      </c>
      <c r="P319" s="79" t="s">
        <v>42</v>
      </c>
      <c r="Q319" s="79" t="str">
        <f>+VLOOKUP(F319,[3]Material!$C$2:$E$12,2,FALSE)</f>
        <v>Cal 10</v>
      </c>
      <c r="R319" s="81">
        <f>+IF(P319="ACERO A36",VLOOKUP(Q319,'[3]Velocidades Std 1500 w'!$B$2:$F$15,5,FALSE),IF(P319="INOXIDABLE",VLOOKUP(Q319,'[3]Velocidades Std 1500 w'!$B$17:$F$28,5,FALSE),IF(P319="ALUMINIO",VLOOKUP(Q319,'[3]Velocidades Std 1500 w'!$B$30:$F$38,5,FALSE))))</f>
        <v>6.1728395061728391E-6</v>
      </c>
      <c r="S319" s="82">
        <f t="shared" si="53"/>
        <v>3.0864197530864196E-2</v>
      </c>
      <c r="T319" s="83">
        <f t="shared" si="54"/>
        <v>60.487560000000002</v>
      </c>
      <c r="U319" s="307">
        <f t="shared" si="55"/>
        <v>2721.9402</v>
      </c>
      <c r="V319" s="80">
        <f t="shared" si="60"/>
        <v>84.010499999999993</v>
      </c>
      <c r="W319" s="98">
        <v>15</v>
      </c>
      <c r="X319" s="84">
        <f>+IF(P319="ACERO A36",VLOOKUP(Q319,'[3]Tiempo Objeto'!$B$2:$C$12,2,FALSE),IF(P319="INOXIDABLE",VLOOKUP(Q319,'[3]Tiempo Objeto'!$B$14:$C$22,2,FALSE),IF(P319="ALUMINIO",VLOOKUP(Q319,'[3]Tiempo Objeto'!$B$24:$C$32,2,FALSE))))</f>
        <v>0.71333333333333337</v>
      </c>
      <c r="Y319" s="84">
        <f t="shared" si="56"/>
        <v>10.700000000000001</v>
      </c>
      <c r="Z319" s="80">
        <f t="shared" si="57"/>
        <v>14.861111111111112</v>
      </c>
      <c r="AA319" s="100">
        <v>2</v>
      </c>
      <c r="AB319" s="86">
        <f>+AA319*Analisis!$J$6</f>
        <v>50</v>
      </c>
      <c r="AC319" s="100"/>
      <c r="AD319" s="85">
        <f t="shared" si="58"/>
        <v>0</v>
      </c>
      <c r="AE319" s="86">
        <f>+AC319*Analisis!$J$7</f>
        <v>0</v>
      </c>
      <c r="AF319" s="308">
        <f>+H319*0.0254*I319*0.0254*2*(1+[3]Analisis!$G$2)</f>
        <v>0.42067657799999991</v>
      </c>
      <c r="AG319" s="86">
        <f>+AF319*Analisis!$J$8</f>
        <v>44.822087775000007</v>
      </c>
      <c r="AH319" s="309">
        <f t="shared" si="49"/>
        <v>374.36588638611113</v>
      </c>
      <c r="AI319" s="86">
        <f>+AH319/(1-Analisis!G324)</f>
        <v>374.36588638611113</v>
      </c>
      <c r="AJ319" s="86">
        <f t="shared" si="59"/>
        <v>402.54396385603349</v>
      </c>
      <c r="AK319" s="86">
        <f t="shared" si="50"/>
        <v>0</v>
      </c>
      <c r="AL319" s="310" t="e">
        <f>+VLOOKUP(B319,#REF!,2,FALSE)</f>
        <v>#REF!</v>
      </c>
      <c r="AM319" s="311" t="e">
        <f t="shared" si="47"/>
        <v>#REF!</v>
      </c>
      <c r="AN319" s="312" t="e">
        <f t="shared" si="46"/>
        <v>#REF!</v>
      </c>
    </row>
    <row r="320" spans="1:40" s="73" customFormat="1" x14ac:dyDescent="0.25">
      <c r="A320" s="303">
        <v>28</v>
      </c>
      <c r="B320" s="304" t="s">
        <v>1096</v>
      </c>
      <c r="D320" s="74">
        <f>IFERROR(VLOOKUP(B320,'REQ. PINTADO'!B:C,2,0),0)</f>
        <v>0</v>
      </c>
      <c r="E320" s="305">
        <f t="shared" si="51"/>
        <v>154.36042466971981</v>
      </c>
      <c r="F320" s="103" t="s">
        <v>163</v>
      </c>
      <c r="G320" s="75" t="s">
        <v>147</v>
      </c>
      <c r="H320" s="90">
        <v>4.3499999999999996</v>
      </c>
      <c r="I320" s="90">
        <v>22.22</v>
      </c>
      <c r="J320" s="76">
        <v>0.105</v>
      </c>
      <c r="K320" s="306">
        <v>16.38</v>
      </c>
      <c r="L320" s="78">
        <f t="shared" si="52"/>
        <v>4.8729904159196193</v>
      </c>
      <c r="M320" s="58">
        <f>+VLOOKUP(F320,Material!$H$2:$M$17,6,FALSE)*H320*I320*(1+Material!$K$14)</f>
        <v>36.28162864216516</v>
      </c>
      <c r="N320" s="79" t="str">
        <f t="shared" si="48"/>
        <v>T5.0</v>
      </c>
      <c r="O320" s="80">
        <f>+VLOOKUP(N320,[3]Material!$A$3:$B$58,2,FALSE)</f>
        <v>5000</v>
      </c>
      <c r="P320" s="79" t="s">
        <v>42</v>
      </c>
      <c r="Q320" s="79" t="str">
        <f>+VLOOKUP(F320,[3]Material!$C$2:$E$12,2,FALSE)</f>
        <v>Cal 12</v>
      </c>
      <c r="R320" s="81">
        <f>+IF(P320="ACERO A36",VLOOKUP(Q320,'[3]Velocidades Std 1500 w'!$B$2:$F$15,5,FALSE),IF(P320="INOXIDABLE",VLOOKUP(Q320,'[3]Velocidades Std 1500 w'!$B$17:$F$28,5,FALSE),IF(P320="ALUMINIO",VLOOKUP(Q320,'[3]Velocidades Std 1500 w'!$B$30:$F$38,5,FALSE))))</f>
        <v>4.3859649122807014E-6</v>
      </c>
      <c r="S320" s="82">
        <f t="shared" si="53"/>
        <v>2.1929824561403508E-2</v>
      </c>
      <c r="T320" s="83">
        <f t="shared" si="54"/>
        <v>35.010691578947366</v>
      </c>
      <c r="U320" s="307">
        <f t="shared" si="55"/>
        <v>2217.3438000000001</v>
      </c>
      <c r="V320" s="80">
        <f t="shared" si="60"/>
        <v>48.625960526315787</v>
      </c>
      <c r="W320" s="98">
        <v>20</v>
      </c>
      <c r="X320" s="84">
        <f>+IF(P320="ACERO A36",VLOOKUP(Q320,'[3]Tiempo Objeto'!$B$2:$C$12,2,FALSE),IF(P320="INOXIDABLE",VLOOKUP(Q320,'[3]Tiempo Objeto'!$B$14:$C$22,2,FALSE),IF(P320="ALUMINIO",VLOOKUP(Q320,'[3]Tiempo Objeto'!$B$24:$C$32,2,FALSE))))</f>
        <v>0.6133333333333334</v>
      </c>
      <c r="Y320" s="84">
        <f t="shared" si="56"/>
        <v>12.266666666666667</v>
      </c>
      <c r="Z320" s="80">
        <f t="shared" si="57"/>
        <v>17.037037037037038</v>
      </c>
      <c r="AA320" s="100">
        <v>1</v>
      </c>
      <c r="AB320" s="86">
        <f>+AA320*Analisis!$J$6</f>
        <v>25</v>
      </c>
      <c r="AC320" s="100"/>
      <c r="AD320" s="85">
        <f t="shared" si="58"/>
        <v>0</v>
      </c>
      <c r="AE320" s="86">
        <f>+AC320*Analisis!$J$7</f>
        <v>0</v>
      </c>
      <c r="AF320" s="308">
        <f>+H320*0.0254*I320*0.0254*2*(1+[3]Analisis!$G$2)</f>
        <v>0.15589807529999997</v>
      </c>
      <c r="AG320" s="86">
        <f>+AF320*Analisis!$J$8</f>
        <v>16.610568737321429</v>
      </c>
      <c r="AH320" s="309">
        <f t="shared" si="49"/>
        <v>143.55519494283942</v>
      </c>
      <c r="AI320" s="86">
        <f>+AH320/(1-Analisis!G325)</f>
        <v>143.55519494283942</v>
      </c>
      <c r="AJ320" s="86">
        <f t="shared" si="59"/>
        <v>154.36042466971981</v>
      </c>
      <c r="AK320" s="86">
        <f t="shared" si="50"/>
        <v>0</v>
      </c>
      <c r="AL320" s="310" t="e">
        <f>+VLOOKUP(B320,#REF!,2,FALSE)</f>
        <v>#REF!</v>
      </c>
      <c r="AM320" s="311" t="e">
        <f t="shared" si="47"/>
        <v>#REF!</v>
      </c>
      <c r="AN320" s="312" t="e">
        <f t="shared" si="46"/>
        <v>#REF!</v>
      </c>
    </row>
    <row r="321" spans="1:40" s="73" customFormat="1" x14ac:dyDescent="0.25">
      <c r="A321" s="303">
        <v>29</v>
      </c>
      <c r="B321" s="304" t="s">
        <v>1097</v>
      </c>
      <c r="D321" s="74">
        <f>IFERROR(VLOOKUP(B321,'REQ. PINTADO'!B:C,2,0),0)</f>
        <v>0</v>
      </c>
      <c r="E321" s="305">
        <f t="shared" si="51"/>
        <v>737.43123663595156</v>
      </c>
      <c r="F321" s="103" t="s">
        <v>165</v>
      </c>
      <c r="G321" s="75" t="s">
        <v>147</v>
      </c>
      <c r="H321" s="90">
        <v>21.94</v>
      </c>
      <c r="I321" s="90">
        <v>41.39</v>
      </c>
      <c r="J321" s="76">
        <v>0.105</v>
      </c>
      <c r="K321" s="306">
        <v>16.38</v>
      </c>
      <c r="L321" s="78">
        <f t="shared" si="52"/>
        <v>50.692358279914544</v>
      </c>
      <c r="M321" s="58">
        <f>+VLOOKUP(F321,Material!$H$2:$M$17,6,FALSE)*H321*I321*(1+Material!$K$14)</f>
        <v>377.42764937500004</v>
      </c>
      <c r="N321" s="79" t="str">
        <f t="shared" si="48"/>
        <v>T5.0</v>
      </c>
      <c r="O321" s="80">
        <f>+VLOOKUP(N321,[3]Material!$A$3:$B$58,2,FALSE)</f>
        <v>5000</v>
      </c>
      <c r="P321" s="79" t="s">
        <v>42</v>
      </c>
      <c r="Q321" s="79" t="str">
        <f>+VLOOKUP(F321,[3]Material!$C$2:$E$12,2,FALSE)</f>
        <v>Cal 14</v>
      </c>
      <c r="R321" s="81">
        <f>+IF(P321="ACERO A36",VLOOKUP(Q321,'[3]Velocidades Std 1500 w'!$B$2:$F$15,5,FALSE),IF(P321="INOXIDABLE",VLOOKUP(Q321,'[3]Velocidades Std 1500 w'!$B$17:$F$28,5,FALSE),IF(P321="ALUMINIO",VLOOKUP(Q321,'[3]Velocidades Std 1500 w'!$B$30:$F$38,5,FALSE))))</f>
        <v>2.0080321285140564E-6</v>
      </c>
      <c r="S321" s="82">
        <f t="shared" si="53"/>
        <v>1.0040160642570283E-2</v>
      </c>
      <c r="T321" s="83">
        <f t="shared" si="54"/>
        <v>30.781678554216874</v>
      </c>
      <c r="U321" s="307">
        <f t="shared" si="55"/>
        <v>4258.1322</v>
      </c>
      <c r="V321" s="80">
        <f t="shared" si="60"/>
        <v>42.752331325301213</v>
      </c>
      <c r="W321" s="98">
        <v>22</v>
      </c>
      <c r="X321" s="84">
        <f>+IF(P321="ACERO A36",VLOOKUP(Q321,'[3]Tiempo Objeto'!$B$2:$C$12,2,FALSE),IF(P321="INOXIDABLE",VLOOKUP(Q321,'[3]Tiempo Objeto'!$B$14:$C$22,2,FALSE),IF(P321="ALUMINIO",VLOOKUP(Q321,'[3]Tiempo Objeto'!$B$24:$C$32,2,FALSE))))</f>
        <v>0.3133333333333333</v>
      </c>
      <c r="Y321" s="84">
        <f t="shared" si="56"/>
        <v>6.8933333333333326</v>
      </c>
      <c r="Z321" s="80">
        <f t="shared" si="57"/>
        <v>9.5740740740740726</v>
      </c>
      <c r="AA321" s="100">
        <v>4</v>
      </c>
      <c r="AB321" s="86">
        <f>+AA321*Analisis!$J$6</f>
        <v>100</v>
      </c>
      <c r="AC321" s="100"/>
      <c r="AD321" s="85">
        <f t="shared" si="58"/>
        <v>0</v>
      </c>
      <c r="AE321" s="86">
        <f>+AC321*Analisis!$J$7</f>
        <v>0</v>
      </c>
      <c r="AF321" s="308">
        <f>+H321*0.0254*I321*0.0254*2*(1+[3]Analisis!$G$2)</f>
        <v>1.4646690061400001</v>
      </c>
      <c r="AG321" s="86">
        <f>+AF321*Analisis!$J$8</f>
        <v>156.05699529705959</v>
      </c>
      <c r="AH321" s="309">
        <f t="shared" si="49"/>
        <v>685.81105007143492</v>
      </c>
      <c r="AI321" s="86">
        <f>+AH321/(1-Analisis!G326)</f>
        <v>685.81105007143492</v>
      </c>
      <c r="AJ321" s="86">
        <f t="shared" si="59"/>
        <v>737.43123663595156</v>
      </c>
      <c r="AK321" s="86">
        <f t="shared" si="50"/>
        <v>0</v>
      </c>
      <c r="AL321" s="310" t="e">
        <f>+VLOOKUP(B321,#REF!,2,FALSE)</f>
        <v>#REF!</v>
      </c>
      <c r="AM321" s="311" t="e">
        <f t="shared" si="47"/>
        <v>#REF!</v>
      </c>
      <c r="AN321" s="312" t="e">
        <f t="shared" si="46"/>
        <v>#REF!</v>
      </c>
    </row>
    <row r="322" spans="1:40" s="73" customFormat="1" x14ac:dyDescent="0.25">
      <c r="A322" s="303"/>
      <c r="B322" s="304" t="s">
        <v>1098</v>
      </c>
      <c r="D322" s="74">
        <f>IFERROR(VLOOKUP(B322,'REQ. PINTADO'!B:C,2,0),0)</f>
        <v>0</v>
      </c>
      <c r="E322" s="305">
        <f t="shared" si="51"/>
        <v>1004.6480056603597</v>
      </c>
      <c r="F322" s="103" t="s">
        <v>165</v>
      </c>
      <c r="G322" s="75" t="s">
        <v>147</v>
      </c>
      <c r="H322" s="90">
        <v>31.94</v>
      </c>
      <c r="I322" s="90">
        <v>41.39</v>
      </c>
      <c r="J322" s="76">
        <v>0.105</v>
      </c>
      <c r="K322" s="306">
        <v>16.38</v>
      </c>
      <c r="L322" s="78">
        <f t="shared" si="52"/>
        <v>73.797352938034209</v>
      </c>
      <c r="M322" s="58">
        <f>+VLOOKUP(F322,Material!$H$2:$M$17,6,FALSE)*H322*I322*(1+Material!$K$14)</f>
        <v>549.45483687500007</v>
      </c>
      <c r="N322" s="79" t="str">
        <f t="shared" si="48"/>
        <v>T5.0</v>
      </c>
      <c r="O322" s="80">
        <f>+VLOOKUP(N322,[3]Material!$A$3:$B$58,2,FALSE)</f>
        <v>5000</v>
      </c>
      <c r="P322" s="79" t="s">
        <v>42</v>
      </c>
      <c r="Q322" s="79" t="str">
        <f>+VLOOKUP(F322,[3]Material!$C$2:$E$12,2,FALSE)</f>
        <v>Cal 14</v>
      </c>
      <c r="R322" s="81">
        <f>+IF(P322="ACERO A36",VLOOKUP(Q322,'[3]Velocidades Std 1500 w'!$B$2:$F$15,5,FALSE),IF(P322="INOXIDABLE",VLOOKUP(Q322,'[3]Velocidades Std 1500 w'!$B$17:$F$28,5,FALSE),IF(P322="ALUMINIO",VLOOKUP(Q322,'[3]Velocidades Std 1500 w'!$B$30:$F$38,5,FALSE))))</f>
        <v>2.0080321285140564E-6</v>
      </c>
      <c r="S322" s="82">
        <f t="shared" si="53"/>
        <v>1.0040160642570283E-2</v>
      </c>
      <c r="T322" s="83">
        <f t="shared" si="54"/>
        <v>34.637582168674697</v>
      </c>
      <c r="U322" s="307">
        <f t="shared" si="55"/>
        <v>4791.5321999999996</v>
      </c>
      <c r="V322" s="80">
        <f t="shared" si="60"/>
        <v>48.1077530120482</v>
      </c>
      <c r="W322" s="98">
        <v>22</v>
      </c>
      <c r="X322" s="84">
        <f>+IF(P322="ACERO A36",VLOOKUP(Q322,'[3]Tiempo Objeto'!$B$2:$C$12,2,FALSE),IF(P322="INOXIDABLE",VLOOKUP(Q322,'[3]Tiempo Objeto'!$B$14:$C$22,2,FALSE),IF(P322="ALUMINIO",VLOOKUP(Q322,'[3]Tiempo Objeto'!$B$24:$C$32,2,FALSE))))</f>
        <v>0.3133333333333333</v>
      </c>
      <c r="Y322" s="84">
        <f t="shared" si="56"/>
        <v>6.8933333333333326</v>
      </c>
      <c r="Z322" s="80">
        <f t="shared" si="57"/>
        <v>9.5740740740740726</v>
      </c>
      <c r="AA322" s="100">
        <v>4</v>
      </c>
      <c r="AB322" s="86">
        <f>+AA322*Analisis!$J$6</f>
        <v>100</v>
      </c>
      <c r="AC322" s="100"/>
      <c r="AD322" s="85">
        <f t="shared" si="58"/>
        <v>0</v>
      </c>
      <c r="AE322" s="86">
        <f>+AC322*Analisis!$J$7</f>
        <v>0</v>
      </c>
      <c r="AF322" s="308">
        <f>+H322*0.0254*I322*0.0254*2*(1+[3]Analisis!$G$2)</f>
        <v>2.1322483161400001</v>
      </c>
      <c r="AG322" s="86">
        <f>+AF322*Analisis!$J$8</f>
        <v>227.18598130301197</v>
      </c>
      <c r="AH322" s="309">
        <f t="shared" si="49"/>
        <v>934.32264526413439</v>
      </c>
      <c r="AI322" s="86">
        <f>+AH322/(1-Analisis!G327)</f>
        <v>934.32264526413439</v>
      </c>
      <c r="AJ322" s="86">
        <f t="shared" si="59"/>
        <v>1004.6480056603597</v>
      </c>
      <c r="AK322" s="86">
        <f t="shared" si="50"/>
        <v>0</v>
      </c>
      <c r="AL322" s="310" t="e">
        <f>+VLOOKUP(B322,#REF!,2,FALSE)</f>
        <v>#REF!</v>
      </c>
      <c r="AM322" s="311" t="e">
        <f t="shared" si="47"/>
        <v>#REF!</v>
      </c>
      <c r="AN322" s="312" t="e">
        <f t="shared" ref="AN322:AN412" si="61">+AM322/AL322</f>
        <v>#REF!</v>
      </c>
    </row>
    <row r="323" spans="1:40" s="73" customFormat="1" x14ac:dyDescent="0.25">
      <c r="A323" s="303">
        <v>30</v>
      </c>
      <c r="B323" s="304" t="s">
        <v>1099</v>
      </c>
      <c r="D323" s="74">
        <f>IFERROR(VLOOKUP(B323,'REQ. PINTADO'!B:C,2,0),0)</f>
        <v>0</v>
      </c>
      <c r="E323" s="305">
        <f t="shared" si="51"/>
        <v>819.14492390764269</v>
      </c>
      <c r="F323" s="103" t="s">
        <v>165</v>
      </c>
      <c r="G323" s="75" t="s">
        <v>147</v>
      </c>
      <c r="H323" s="90">
        <v>25.2</v>
      </c>
      <c r="I323" s="90">
        <v>41.39</v>
      </c>
      <c r="J323" s="76">
        <v>0.105</v>
      </c>
      <c r="K323" s="306">
        <v>16.38</v>
      </c>
      <c r="L323" s="78">
        <f t="shared" si="52"/>
        <v>58.224586538461558</v>
      </c>
      <c r="M323" s="58">
        <f>+VLOOKUP(F323,Material!$H$2:$M$17,6,FALSE)*H323*I323*(1+Material!$K$14)</f>
        <v>433.50851250000005</v>
      </c>
      <c r="N323" s="79" t="str">
        <f t="shared" si="48"/>
        <v>T5.0</v>
      </c>
      <c r="O323" s="80">
        <f>+VLOOKUP(N323,[3]Material!$A$3:$B$58,2,FALSE)</f>
        <v>5000</v>
      </c>
      <c r="P323" s="79" t="s">
        <v>42</v>
      </c>
      <c r="Q323" s="79" t="str">
        <f>+VLOOKUP(F323,[3]Material!$C$2:$E$12,2,FALSE)</f>
        <v>Cal 14</v>
      </c>
      <c r="R323" s="81">
        <f>+IF(P323="ACERO A36",VLOOKUP(Q323,'[3]Velocidades Std 1500 w'!$B$2:$F$15,5,FALSE),IF(P323="INOXIDABLE",VLOOKUP(Q323,'[3]Velocidades Std 1500 w'!$B$17:$F$28,5,FALSE),IF(P323="ALUMINIO",VLOOKUP(Q323,'[3]Velocidades Std 1500 w'!$B$30:$F$38,5,FALSE))))</f>
        <v>2.0080321285140564E-6</v>
      </c>
      <c r="S323" s="82">
        <f t="shared" si="53"/>
        <v>1.0040160642570283E-2</v>
      </c>
      <c r="T323" s="83">
        <f t="shared" si="54"/>
        <v>30.303546506024102</v>
      </c>
      <c r="U323" s="307">
        <f t="shared" si="55"/>
        <v>4191.9906000000001</v>
      </c>
      <c r="V323" s="80">
        <f t="shared" si="60"/>
        <v>42.088259036144585</v>
      </c>
      <c r="W323" s="98">
        <v>16</v>
      </c>
      <c r="X323" s="84">
        <f>+IF(P323="ACERO A36",VLOOKUP(Q323,'[3]Tiempo Objeto'!$B$2:$C$12,2,FALSE),IF(P323="INOXIDABLE",VLOOKUP(Q323,'[3]Tiempo Objeto'!$B$14:$C$22,2,FALSE),IF(P323="ALUMINIO",VLOOKUP(Q323,'[3]Tiempo Objeto'!$B$24:$C$32,2,FALSE))))</f>
        <v>0.3133333333333333</v>
      </c>
      <c r="Y323" s="84">
        <f t="shared" si="56"/>
        <v>5.0133333333333328</v>
      </c>
      <c r="Z323" s="80">
        <f t="shared" si="57"/>
        <v>6.9629629629629619</v>
      </c>
      <c r="AA323" s="100">
        <v>4</v>
      </c>
      <c r="AB323" s="86">
        <f>+AA323*Analisis!$J$6</f>
        <v>100</v>
      </c>
      <c r="AC323" s="100"/>
      <c r="AD323" s="85">
        <f t="shared" si="58"/>
        <v>0</v>
      </c>
      <c r="AE323" s="86">
        <f>+AC323*Analisis!$J$7</f>
        <v>0</v>
      </c>
      <c r="AF323" s="308">
        <f>+H323*0.0254*I323*0.0254*2*(1+[3]Analisis!$G$2)</f>
        <v>1.6822998611999997</v>
      </c>
      <c r="AG323" s="86">
        <f>+AF323*Analisis!$J$8</f>
        <v>179.24504473500002</v>
      </c>
      <c r="AH323" s="309">
        <f t="shared" si="49"/>
        <v>761.80477923410763</v>
      </c>
      <c r="AI323" s="86">
        <f>+AH323/(1-Analisis!G328)</f>
        <v>761.80477923410763</v>
      </c>
      <c r="AJ323" s="86">
        <f t="shared" si="59"/>
        <v>819.14492390764269</v>
      </c>
      <c r="AK323" s="86">
        <f t="shared" si="50"/>
        <v>0</v>
      </c>
      <c r="AL323" s="310" t="e">
        <f>+VLOOKUP(B323,#REF!,2,FALSE)</f>
        <v>#REF!</v>
      </c>
      <c r="AM323" s="311" t="e">
        <f t="shared" ref="AM323:AM413" si="62">+AL323-E323</f>
        <v>#REF!</v>
      </c>
      <c r="AN323" s="312" t="e">
        <f t="shared" si="61"/>
        <v>#REF!</v>
      </c>
    </row>
    <row r="324" spans="1:40" s="73" customFormat="1" x14ac:dyDescent="0.25">
      <c r="A324" s="303"/>
      <c r="B324" s="304" t="s">
        <v>1100</v>
      </c>
      <c r="D324" s="74">
        <f>IFERROR(VLOOKUP(B324,'REQ. PINTADO'!B:C,2,0),0)</f>
        <v>0</v>
      </c>
      <c r="E324" s="305">
        <f t="shared" si="51"/>
        <v>1090.8710016942644</v>
      </c>
      <c r="F324" s="103" t="s">
        <v>163</v>
      </c>
      <c r="G324" s="75" t="s">
        <v>147</v>
      </c>
      <c r="H324" s="90">
        <v>35.200000000000003</v>
      </c>
      <c r="I324" s="90">
        <v>41.39</v>
      </c>
      <c r="J324" s="76">
        <v>0.105</v>
      </c>
      <c r="K324" s="306">
        <v>16.38</v>
      </c>
      <c r="L324" s="78">
        <f t="shared" si="52"/>
        <v>73.451443565235223</v>
      </c>
      <c r="M324" s="58">
        <f>+VLOOKUP(F324,Material!$H$2:$M$17,6,FALSE)*H324*I324*(1+Material!$K$14)</f>
        <v>546.8793843629785</v>
      </c>
      <c r="N324" s="79" t="str">
        <f t="shared" ref="N324:N387" si="63">+N323</f>
        <v>T5.0</v>
      </c>
      <c r="O324" s="80">
        <f>+VLOOKUP(N324,[3]Material!$A$3:$B$58,2,FALSE)</f>
        <v>5000</v>
      </c>
      <c r="P324" s="79" t="s">
        <v>42</v>
      </c>
      <c r="Q324" s="79" t="str">
        <f>+VLOOKUP(F324,[3]Material!$C$2:$E$12,2,FALSE)</f>
        <v>Cal 12</v>
      </c>
      <c r="R324" s="81">
        <f>+IF(P324="ACERO A36",VLOOKUP(Q324,'[3]Velocidades Std 1500 w'!$B$2:$F$15,5,FALSE),IF(P324="INOXIDABLE",VLOOKUP(Q324,'[3]Velocidades Std 1500 w'!$B$17:$F$28,5,FALSE),IF(P324="ALUMINIO",VLOOKUP(Q324,'[3]Velocidades Std 1500 w'!$B$30:$F$38,5,FALSE))))</f>
        <v>4.3859649122807014E-6</v>
      </c>
      <c r="S324" s="82">
        <f t="shared" si="53"/>
        <v>2.1929824561403508E-2</v>
      </c>
      <c r="T324" s="83">
        <f t="shared" si="54"/>
        <v>74.6114305263158</v>
      </c>
      <c r="U324" s="307">
        <f t="shared" si="55"/>
        <v>4725.3906000000006</v>
      </c>
      <c r="V324" s="80">
        <f t="shared" si="60"/>
        <v>103.62698684210527</v>
      </c>
      <c r="W324" s="98">
        <v>16</v>
      </c>
      <c r="X324" s="84">
        <f>+IF(P324="ACERO A36",VLOOKUP(Q324,'[3]Tiempo Objeto'!$B$2:$C$12,2,FALSE),IF(P324="INOXIDABLE",VLOOKUP(Q324,'[3]Tiempo Objeto'!$B$14:$C$22,2,FALSE),IF(P324="ALUMINIO",VLOOKUP(Q324,'[3]Tiempo Objeto'!$B$24:$C$32,2,FALSE))))</f>
        <v>0.6133333333333334</v>
      </c>
      <c r="Y324" s="84">
        <f t="shared" si="56"/>
        <v>9.8133333333333344</v>
      </c>
      <c r="Z324" s="80">
        <f t="shared" si="57"/>
        <v>13.629629629629632</v>
      </c>
      <c r="AA324" s="100">
        <v>4</v>
      </c>
      <c r="AB324" s="86">
        <f>+AA324*Analisis!$J$6</f>
        <v>100</v>
      </c>
      <c r="AC324" s="100"/>
      <c r="AD324" s="85">
        <f t="shared" si="58"/>
        <v>0</v>
      </c>
      <c r="AE324" s="86">
        <f>+AC324*Analisis!$J$7</f>
        <v>0</v>
      </c>
      <c r="AF324" s="308">
        <f>+H324*0.0254*I324*0.0254*2*(1+[3]Analisis!$G$2)</f>
        <v>2.3498791711999996</v>
      </c>
      <c r="AG324" s="86">
        <f>+AF324*Analisis!$J$8</f>
        <v>250.37403074095241</v>
      </c>
      <c r="AH324" s="309">
        <f t="shared" si="49"/>
        <v>1014.5100315756658</v>
      </c>
      <c r="AI324" s="86">
        <f>+AH324/(1-Analisis!G329)</f>
        <v>1014.5100315756658</v>
      </c>
      <c r="AJ324" s="86">
        <f t="shared" si="59"/>
        <v>1090.8710016942644</v>
      </c>
      <c r="AK324" s="86">
        <f t="shared" si="50"/>
        <v>0</v>
      </c>
      <c r="AL324" s="310" t="e">
        <f>+VLOOKUP(B324,#REF!,2,FALSE)</f>
        <v>#REF!</v>
      </c>
      <c r="AM324" s="311" t="e">
        <f t="shared" si="62"/>
        <v>#REF!</v>
      </c>
      <c r="AN324" s="312" t="e">
        <f t="shared" si="61"/>
        <v>#REF!</v>
      </c>
    </row>
    <row r="325" spans="1:40" s="73" customFormat="1" x14ac:dyDescent="0.25">
      <c r="A325" s="303"/>
      <c r="B325" s="304" t="s">
        <v>1101</v>
      </c>
      <c r="D325" s="74">
        <f>IFERROR(VLOOKUP(B325,'REQ. PINTADO'!B:C,2,0),0)</f>
        <v>0</v>
      </c>
      <c r="E325" s="305">
        <f t="shared" si="51"/>
        <v>834.75292008807037</v>
      </c>
      <c r="F325" s="103" t="s">
        <v>163</v>
      </c>
      <c r="G325" s="75" t="s">
        <v>147</v>
      </c>
      <c r="H325" s="90">
        <v>25.2</v>
      </c>
      <c r="I325" s="90">
        <v>41.39</v>
      </c>
      <c r="J325" s="76">
        <v>0.105</v>
      </c>
      <c r="K325" s="306">
        <v>16.38</v>
      </c>
      <c r="L325" s="78">
        <f t="shared" si="52"/>
        <v>52.584556188747925</v>
      </c>
      <c r="M325" s="58">
        <f>+VLOOKUP(F325,Material!$H$2:$M$17,6,FALSE)*H325*I325*(1+Material!$K$14)</f>
        <v>391.51592289622317</v>
      </c>
      <c r="N325" s="79" t="str">
        <f t="shared" si="63"/>
        <v>T5.0</v>
      </c>
      <c r="O325" s="80">
        <f>+VLOOKUP(N325,[3]Material!$A$3:$B$58,2,FALSE)</f>
        <v>5000</v>
      </c>
      <c r="P325" s="79" t="s">
        <v>42</v>
      </c>
      <c r="Q325" s="79" t="str">
        <f>+VLOOKUP(F325,[3]Material!$C$2:$E$12,2,FALSE)</f>
        <v>Cal 12</v>
      </c>
      <c r="R325" s="81">
        <f>+IF(P325="ACERO A36",VLOOKUP(Q325,'[3]Velocidades Std 1500 w'!$B$2:$F$15,5,FALSE),IF(P325="INOXIDABLE",VLOOKUP(Q325,'[3]Velocidades Std 1500 w'!$B$17:$F$28,5,FALSE),IF(P325="ALUMINIO",VLOOKUP(Q325,'[3]Velocidades Std 1500 w'!$B$30:$F$38,5,FALSE))))</f>
        <v>4.3859649122807014E-6</v>
      </c>
      <c r="S325" s="82">
        <f t="shared" si="53"/>
        <v>2.1929824561403508E-2</v>
      </c>
      <c r="T325" s="83">
        <f t="shared" si="54"/>
        <v>66.189325263157897</v>
      </c>
      <c r="U325" s="307">
        <f t="shared" si="55"/>
        <v>4191.9906000000001</v>
      </c>
      <c r="V325" s="80">
        <f t="shared" si="60"/>
        <v>91.929618421052623</v>
      </c>
      <c r="W325" s="98">
        <v>16</v>
      </c>
      <c r="X325" s="84">
        <f>+IF(P325="ACERO A36",VLOOKUP(Q325,'[3]Tiempo Objeto'!$B$2:$C$12,2,FALSE),IF(P325="INOXIDABLE",VLOOKUP(Q325,'[3]Tiempo Objeto'!$B$14:$C$22,2,FALSE),IF(P325="ALUMINIO",VLOOKUP(Q325,'[3]Tiempo Objeto'!$B$24:$C$32,2,FALSE))))</f>
        <v>0.6133333333333334</v>
      </c>
      <c r="Y325" s="84">
        <f t="shared" si="56"/>
        <v>9.8133333333333344</v>
      </c>
      <c r="Z325" s="80">
        <f t="shared" si="57"/>
        <v>13.629629629629632</v>
      </c>
      <c r="AA325" s="100">
        <v>4</v>
      </c>
      <c r="AB325" s="86">
        <f>+AA325*Analisis!$J$6</f>
        <v>100</v>
      </c>
      <c r="AC325" s="100"/>
      <c r="AD325" s="85">
        <f t="shared" si="58"/>
        <v>0</v>
      </c>
      <c r="AE325" s="86">
        <f>+AC325*Analisis!$J$7</f>
        <v>0</v>
      </c>
      <c r="AF325" s="308">
        <f>+H325*0.0254*I325*0.0254*2*(1+[3]Analisis!$G$2)</f>
        <v>1.6822998611999997</v>
      </c>
      <c r="AG325" s="86">
        <f>+AF325*Analisis!$J$8</f>
        <v>179.24504473500002</v>
      </c>
      <c r="AH325" s="309">
        <f t="shared" si="49"/>
        <v>776.32021568190544</v>
      </c>
      <c r="AI325" s="86">
        <f>+AH325/(1-Analisis!G330)</f>
        <v>776.32021568190544</v>
      </c>
      <c r="AJ325" s="86">
        <f t="shared" si="59"/>
        <v>834.75292008807037</v>
      </c>
      <c r="AK325" s="86">
        <f t="shared" si="50"/>
        <v>0</v>
      </c>
      <c r="AL325" s="310" t="e">
        <f>+VLOOKUP(B325,#REF!,2,FALSE)</f>
        <v>#REF!</v>
      </c>
      <c r="AM325" s="311" t="e">
        <f t="shared" si="62"/>
        <v>#REF!</v>
      </c>
      <c r="AN325" s="312" t="e">
        <f t="shared" si="61"/>
        <v>#REF!</v>
      </c>
    </row>
    <row r="326" spans="1:40" s="73" customFormat="1" x14ac:dyDescent="0.25">
      <c r="A326" s="303">
        <v>31</v>
      </c>
      <c r="B326" s="304" t="s">
        <v>1102</v>
      </c>
      <c r="D326" s="74">
        <f>IFERROR(VLOOKUP(B326,'REQ. PINTADO'!B:C,2,0),0)</f>
        <v>0</v>
      </c>
      <c r="E326" s="305">
        <f t="shared" si="51"/>
        <v>1090.8710016942644</v>
      </c>
      <c r="F326" s="103" t="s">
        <v>163</v>
      </c>
      <c r="G326" s="75" t="s">
        <v>147</v>
      </c>
      <c r="H326" s="90">
        <v>35.200000000000003</v>
      </c>
      <c r="I326" s="90">
        <v>41.39</v>
      </c>
      <c r="J326" s="76">
        <v>0.105</v>
      </c>
      <c r="K326" s="306">
        <v>16.38</v>
      </c>
      <c r="L326" s="78">
        <f t="shared" si="52"/>
        <v>73.451443565235223</v>
      </c>
      <c r="M326" s="58">
        <f>+VLOOKUP(F326,Material!$H$2:$M$17,6,FALSE)*H326*I326*(1+Material!$K$14)</f>
        <v>546.8793843629785</v>
      </c>
      <c r="N326" s="79" t="str">
        <f t="shared" si="63"/>
        <v>T5.0</v>
      </c>
      <c r="O326" s="80">
        <f>+VLOOKUP(N326,[3]Material!$A$3:$B$58,2,FALSE)</f>
        <v>5000</v>
      </c>
      <c r="P326" s="79" t="s">
        <v>42</v>
      </c>
      <c r="Q326" s="79" t="str">
        <f>+VLOOKUP(F326,[3]Material!$C$2:$E$12,2,FALSE)</f>
        <v>Cal 12</v>
      </c>
      <c r="R326" s="81">
        <f>+IF(P326="ACERO A36",VLOOKUP(Q326,'[3]Velocidades Std 1500 w'!$B$2:$F$15,5,FALSE),IF(P326="INOXIDABLE",VLOOKUP(Q326,'[3]Velocidades Std 1500 w'!$B$17:$F$28,5,FALSE),IF(P326="ALUMINIO",VLOOKUP(Q326,'[3]Velocidades Std 1500 w'!$B$30:$F$38,5,FALSE))))</f>
        <v>4.3859649122807014E-6</v>
      </c>
      <c r="S326" s="82">
        <f t="shared" si="53"/>
        <v>2.1929824561403508E-2</v>
      </c>
      <c r="T326" s="83">
        <f t="shared" si="54"/>
        <v>74.6114305263158</v>
      </c>
      <c r="U326" s="307">
        <f t="shared" si="55"/>
        <v>4725.3906000000006</v>
      </c>
      <c r="V326" s="80">
        <f t="shared" si="60"/>
        <v>103.62698684210527</v>
      </c>
      <c r="W326" s="98">
        <v>16</v>
      </c>
      <c r="X326" s="84">
        <f>+IF(P326="ACERO A36",VLOOKUP(Q326,'[3]Tiempo Objeto'!$B$2:$C$12,2,FALSE),IF(P326="INOXIDABLE",VLOOKUP(Q326,'[3]Tiempo Objeto'!$B$14:$C$22,2,FALSE),IF(P326="ALUMINIO",VLOOKUP(Q326,'[3]Tiempo Objeto'!$B$24:$C$32,2,FALSE))))</f>
        <v>0.6133333333333334</v>
      </c>
      <c r="Y326" s="84">
        <f t="shared" si="56"/>
        <v>9.8133333333333344</v>
      </c>
      <c r="Z326" s="80">
        <f t="shared" si="57"/>
        <v>13.629629629629632</v>
      </c>
      <c r="AA326" s="100">
        <v>4</v>
      </c>
      <c r="AB326" s="86">
        <f>+AA326*Analisis!$J$6</f>
        <v>100</v>
      </c>
      <c r="AC326" s="100"/>
      <c r="AD326" s="85">
        <f t="shared" si="58"/>
        <v>0</v>
      </c>
      <c r="AE326" s="86">
        <f>+AC326*Analisis!$J$7</f>
        <v>0</v>
      </c>
      <c r="AF326" s="308">
        <f>+H326*0.0254*I326*0.0254*2*(1+[3]Analisis!$G$2)</f>
        <v>2.3498791711999996</v>
      </c>
      <c r="AG326" s="86">
        <f>+AF326*Analisis!$J$8</f>
        <v>250.37403074095241</v>
      </c>
      <c r="AH326" s="309">
        <f t="shared" si="49"/>
        <v>1014.5100315756658</v>
      </c>
      <c r="AI326" s="86">
        <f>+AH326/(1-Analisis!G331)</f>
        <v>1014.5100315756658</v>
      </c>
      <c r="AJ326" s="86">
        <f t="shared" si="59"/>
        <v>1090.8710016942644</v>
      </c>
      <c r="AK326" s="86">
        <f t="shared" si="50"/>
        <v>0</v>
      </c>
      <c r="AL326" s="310" t="e">
        <f>+VLOOKUP(B326,#REF!,2,FALSE)</f>
        <v>#REF!</v>
      </c>
      <c r="AM326" s="311" t="e">
        <f t="shared" si="62"/>
        <v>#REF!</v>
      </c>
      <c r="AN326" s="312" t="e">
        <f t="shared" si="61"/>
        <v>#REF!</v>
      </c>
    </row>
    <row r="327" spans="1:40" s="73" customFormat="1" x14ac:dyDescent="0.25">
      <c r="A327" s="303">
        <v>32</v>
      </c>
      <c r="B327" s="304" t="s">
        <v>1103</v>
      </c>
      <c r="D327" s="74">
        <f>IFERROR(VLOOKUP(B327,'REQ. PINTADO'!B:C,2,0),0)</f>
        <v>0</v>
      </c>
      <c r="E327" s="305">
        <f t="shared" si="51"/>
        <v>24.401567696777043</v>
      </c>
      <c r="F327" s="103" t="s">
        <v>165</v>
      </c>
      <c r="G327" s="75" t="s">
        <v>147</v>
      </c>
      <c r="H327" s="90">
        <v>1</v>
      </c>
      <c r="I327" s="90">
        <v>16.75</v>
      </c>
      <c r="J327" s="76">
        <v>0.105</v>
      </c>
      <c r="K327" s="306">
        <v>16.38</v>
      </c>
      <c r="L327" s="78">
        <f t="shared" si="52"/>
        <v>0.93502938034188054</v>
      </c>
      <c r="M327" s="58">
        <f>+VLOOKUP(F327,Material!$H$2:$M$17,6,FALSE)*H327*I327*(1+Material!$K$14)</f>
        <v>6.9617187500000002</v>
      </c>
      <c r="N327" s="79" t="str">
        <f t="shared" si="63"/>
        <v>T5.0</v>
      </c>
      <c r="O327" s="80">
        <f>+VLOOKUP(N327,[3]Material!$A$3:$B$58,2,FALSE)</f>
        <v>5000</v>
      </c>
      <c r="P327" s="79" t="s">
        <v>42</v>
      </c>
      <c r="Q327" s="79" t="str">
        <f>+VLOOKUP(F327,[3]Material!$C$2:$E$12,2,FALSE)</f>
        <v>Cal 14</v>
      </c>
      <c r="R327" s="81">
        <f>+IF(P327="ACERO A36",VLOOKUP(Q327,'[3]Velocidades Std 1500 w'!$B$2:$F$15,5,FALSE),IF(P327="INOXIDABLE",VLOOKUP(Q327,'[3]Velocidades Std 1500 w'!$B$17:$F$28,5,FALSE),IF(P327="ALUMINIO",VLOOKUP(Q327,'[3]Velocidades Std 1500 w'!$B$30:$F$38,5,FALSE))))</f>
        <v>2.0080321285140564E-6</v>
      </c>
      <c r="S327" s="82">
        <f t="shared" si="53"/>
        <v>1.0040160642570283E-2</v>
      </c>
      <c r="T327" s="83">
        <f t="shared" si="54"/>
        <v>8.0010000000000012</v>
      </c>
      <c r="U327" s="307">
        <f t="shared" si="55"/>
        <v>1106.8050000000001</v>
      </c>
      <c r="V327" s="80">
        <f t="shared" si="60"/>
        <v>11.112500000000002</v>
      </c>
      <c r="W327" s="98">
        <v>4</v>
      </c>
      <c r="X327" s="84">
        <f>+IF(P327="ACERO A36",VLOOKUP(Q327,'[3]Tiempo Objeto'!$B$2:$C$12,2,FALSE),IF(P327="INOXIDABLE",VLOOKUP(Q327,'[3]Tiempo Objeto'!$B$14:$C$22,2,FALSE),IF(P327="ALUMINIO",VLOOKUP(Q327,'[3]Tiempo Objeto'!$B$24:$C$32,2,FALSE))))</f>
        <v>0.3133333333333333</v>
      </c>
      <c r="Y327" s="84">
        <f t="shared" si="56"/>
        <v>1.2533333333333332</v>
      </c>
      <c r="Z327" s="80">
        <f t="shared" si="57"/>
        <v>1.7407407407407405</v>
      </c>
      <c r="AA327" s="100">
        <v>0</v>
      </c>
      <c r="AB327" s="86">
        <f>+AA327*Analisis!$J$6</f>
        <v>0</v>
      </c>
      <c r="AC327" s="100"/>
      <c r="AD327" s="85">
        <f t="shared" si="58"/>
        <v>0</v>
      </c>
      <c r="AE327" s="86">
        <f>+AC327*Analisis!$J$7</f>
        <v>0</v>
      </c>
      <c r="AF327" s="308">
        <f>+H327*0.0254*I327*0.0254*2*(1+[3]Analisis!$G$2)</f>
        <v>2.7016074999999997E-2</v>
      </c>
      <c r="AG327" s="86">
        <f>+AF327*Analisis!$J$8</f>
        <v>2.8784984672619052</v>
      </c>
      <c r="AH327" s="309">
        <f t="shared" si="49"/>
        <v>22.69345795800265</v>
      </c>
      <c r="AI327" s="86">
        <f>+AH327/(1-Analisis!G332)</f>
        <v>22.69345795800265</v>
      </c>
      <c r="AJ327" s="86">
        <f t="shared" si="59"/>
        <v>24.401567696777043</v>
      </c>
      <c r="AK327" s="86">
        <f t="shared" si="50"/>
        <v>0</v>
      </c>
      <c r="AL327" s="310" t="e">
        <f>+VLOOKUP(B327,#REF!,2,FALSE)</f>
        <v>#REF!</v>
      </c>
      <c r="AM327" s="311" t="e">
        <f t="shared" si="62"/>
        <v>#REF!</v>
      </c>
      <c r="AN327" s="312" t="e">
        <f t="shared" si="61"/>
        <v>#REF!</v>
      </c>
    </row>
    <row r="328" spans="1:40" s="73" customFormat="1" x14ac:dyDescent="0.25">
      <c r="A328" s="303">
        <v>33</v>
      </c>
      <c r="B328" s="304" t="s">
        <v>1104</v>
      </c>
      <c r="D328" s="74">
        <f>IFERROR(VLOOKUP(B328,'REQ. PINTADO'!B:C,2,0),0)</f>
        <v>0</v>
      </c>
      <c r="E328" s="305">
        <f t="shared" si="51"/>
        <v>36.477028163837304</v>
      </c>
      <c r="F328" s="103" t="s">
        <v>165</v>
      </c>
      <c r="G328" s="75" t="s">
        <v>147</v>
      </c>
      <c r="H328" s="90">
        <v>1</v>
      </c>
      <c r="I328" s="90">
        <v>26.75</v>
      </c>
      <c r="J328" s="76">
        <v>0.105</v>
      </c>
      <c r="K328" s="306">
        <v>16.38</v>
      </c>
      <c r="L328" s="78">
        <f t="shared" si="52"/>
        <v>1.4932558760683765</v>
      </c>
      <c r="M328" s="58">
        <f>+VLOOKUP(F328,Material!$H$2:$M$17,6,FALSE)*H328*I328*(1+Material!$K$14)</f>
        <v>11.117968750000001</v>
      </c>
      <c r="N328" s="79" t="str">
        <f t="shared" si="63"/>
        <v>T5.0</v>
      </c>
      <c r="O328" s="80">
        <f>+VLOOKUP(N328,[3]Material!$A$3:$B$58,2,FALSE)</f>
        <v>5000</v>
      </c>
      <c r="P328" s="79" t="s">
        <v>42</v>
      </c>
      <c r="Q328" s="79" t="str">
        <f>+VLOOKUP(F328,[3]Material!$C$2:$E$12,2,FALSE)</f>
        <v>Cal 14</v>
      </c>
      <c r="R328" s="81">
        <f>+IF(P328="ACERO A36",VLOOKUP(Q328,'[3]Velocidades Std 1500 w'!$B$2:$F$15,5,FALSE),IF(P328="INOXIDABLE",VLOOKUP(Q328,'[3]Velocidades Std 1500 w'!$B$17:$F$28,5,FALSE),IF(P328="ALUMINIO",VLOOKUP(Q328,'[3]Velocidades Std 1500 w'!$B$30:$F$38,5,FALSE))))</f>
        <v>2.0080321285140564E-6</v>
      </c>
      <c r="S328" s="82">
        <f t="shared" si="53"/>
        <v>1.0040160642570283E-2</v>
      </c>
      <c r="T328" s="83">
        <f t="shared" si="54"/>
        <v>11.856903614457831</v>
      </c>
      <c r="U328" s="307">
        <f t="shared" si="55"/>
        <v>1640.2049999999999</v>
      </c>
      <c r="V328" s="80">
        <f t="shared" si="60"/>
        <v>16.46792168674699</v>
      </c>
      <c r="W328" s="98">
        <v>4</v>
      </c>
      <c r="X328" s="84">
        <f>+IF(P328="ACERO A36",VLOOKUP(Q328,'[3]Tiempo Objeto'!$B$2:$C$12,2,FALSE),IF(P328="INOXIDABLE",VLOOKUP(Q328,'[3]Tiempo Objeto'!$B$14:$C$22,2,FALSE),IF(P328="ALUMINIO",VLOOKUP(Q328,'[3]Tiempo Objeto'!$B$24:$C$32,2,FALSE))))</f>
        <v>0.3133333333333333</v>
      </c>
      <c r="Y328" s="84">
        <f t="shared" si="56"/>
        <v>1.2533333333333332</v>
      </c>
      <c r="Z328" s="80">
        <f t="shared" si="57"/>
        <v>1.7407407407407405</v>
      </c>
      <c r="AA328" s="100">
        <v>0</v>
      </c>
      <c r="AB328" s="86">
        <f>+AA328*Analisis!$J$6</f>
        <v>0</v>
      </c>
      <c r="AC328" s="100"/>
      <c r="AD328" s="85">
        <f t="shared" si="58"/>
        <v>0</v>
      </c>
      <c r="AE328" s="86">
        <f>+AC328*Analisis!$J$7</f>
        <v>0</v>
      </c>
      <c r="AF328" s="308">
        <f>+H328*0.0254*I328*0.0254*2*(1+[3]Analisis!$G$2)</f>
        <v>4.3145075000000005E-2</v>
      </c>
      <c r="AG328" s="86">
        <f>+AF328*Analisis!$J$8</f>
        <v>4.5970050148809545</v>
      </c>
      <c r="AH328" s="309">
        <f t="shared" si="49"/>
        <v>33.92363619236869</v>
      </c>
      <c r="AI328" s="86">
        <f>+AH328/(1-Analisis!G333)</f>
        <v>33.92363619236869</v>
      </c>
      <c r="AJ328" s="86">
        <f t="shared" si="59"/>
        <v>36.477028163837304</v>
      </c>
      <c r="AK328" s="86">
        <f t="shared" si="50"/>
        <v>0</v>
      </c>
      <c r="AL328" s="310" t="e">
        <f>+VLOOKUP(B328,#REF!,2,FALSE)</f>
        <v>#REF!</v>
      </c>
      <c r="AM328" s="311" t="e">
        <f t="shared" si="62"/>
        <v>#REF!</v>
      </c>
      <c r="AN328" s="312" t="e">
        <f t="shared" si="61"/>
        <v>#REF!</v>
      </c>
    </row>
    <row r="329" spans="1:40" s="73" customFormat="1" x14ac:dyDescent="0.25">
      <c r="A329" s="303">
        <v>34</v>
      </c>
      <c r="B329" s="304" t="s">
        <v>1105</v>
      </c>
      <c r="D329" s="74">
        <f>IFERROR(VLOOKUP(B329,'REQ. PINTADO'!B:C,2,0),0)</f>
        <v>0</v>
      </c>
      <c r="E329" s="305">
        <f t="shared" si="51"/>
        <v>135.90738643804761</v>
      </c>
      <c r="F329" s="103" t="s">
        <v>163</v>
      </c>
      <c r="G329" s="75" t="s">
        <v>147</v>
      </c>
      <c r="H329" s="90">
        <v>7.14</v>
      </c>
      <c r="I329" s="90">
        <v>12.04</v>
      </c>
      <c r="J329" s="76">
        <v>0.105</v>
      </c>
      <c r="K329" s="306">
        <v>16.38</v>
      </c>
      <c r="L329" s="78">
        <f t="shared" si="52"/>
        <v>4.333980414235695</v>
      </c>
      <c r="M329" s="58">
        <f>+VLOOKUP(F329,Material!$H$2:$M$17,6,FALSE)*H329*I329*(1+Material!$K$14)</f>
        <v>32.268454175082127</v>
      </c>
      <c r="N329" s="79" t="str">
        <f t="shared" si="63"/>
        <v>T5.0</v>
      </c>
      <c r="O329" s="80">
        <f>+VLOOKUP(N329,[3]Material!$A$3:$B$58,2,FALSE)</f>
        <v>5000</v>
      </c>
      <c r="P329" s="79" t="s">
        <v>42</v>
      </c>
      <c r="Q329" s="79" t="str">
        <f>+VLOOKUP(F329,[3]Material!$C$2:$E$12,2,FALSE)</f>
        <v>Cal 12</v>
      </c>
      <c r="R329" s="81">
        <f>+IF(P329="ACERO A36",VLOOKUP(Q329,'[3]Velocidades Std 1500 w'!$B$2:$F$15,5,FALSE),IF(P329="INOXIDABLE",VLOOKUP(Q329,'[3]Velocidades Std 1500 w'!$B$17:$F$28,5,FALSE),IF(P329="ALUMINIO",VLOOKUP(Q329,'[3]Velocidades Std 1500 w'!$B$30:$F$38,5,FALSE))))</f>
        <v>4.3859649122807014E-6</v>
      </c>
      <c r="S329" s="82">
        <f t="shared" si="53"/>
        <v>2.1929824561403508E-2</v>
      </c>
      <c r="T329" s="83">
        <f t="shared" si="54"/>
        <v>18.680229473684207</v>
      </c>
      <c r="U329" s="307">
        <f t="shared" si="55"/>
        <v>1183.0811999999999</v>
      </c>
      <c r="V329" s="80">
        <f t="shared" si="60"/>
        <v>25.944763157894734</v>
      </c>
      <c r="W329" s="98">
        <v>4</v>
      </c>
      <c r="X329" s="84">
        <f>+IF(P329="ACERO A36",VLOOKUP(Q329,'[3]Tiempo Objeto'!$B$2:$C$12,2,FALSE),IF(P329="INOXIDABLE",VLOOKUP(Q329,'[3]Tiempo Objeto'!$B$14:$C$22,2,FALSE),IF(P329="ALUMINIO",VLOOKUP(Q329,'[3]Tiempo Objeto'!$B$24:$C$32,2,FALSE))))</f>
        <v>0.6133333333333334</v>
      </c>
      <c r="Y329" s="84">
        <f t="shared" si="56"/>
        <v>2.4533333333333336</v>
      </c>
      <c r="Z329" s="80">
        <f t="shared" si="57"/>
        <v>3.4074074074074079</v>
      </c>
      <c r="AA329" s="100">
        <v>2</v>
      </c>
      <c r="AB329" s="86">
        <f>+AA329*Analisis!$J$6</f>
        <v>50</v>
      </c>
      <c r="AC329" s="100"/>
      <c r="AD329" s="85">
        <f t="shared" si="58"/>
        <v>0</v>
      </c>
      <c r="AE329" s="86">
        <f>+AC329*Analisis!$J$7</f>
        <v>0</v>
      </c>
      <c r="AF329" s="308">
        <f>+H329*0.0254*I329*0.0254*2*(1+[3]Analisis!$G$2)</f>
        <v>0.13865391623999998</v>
      </c>
      <c r="AG329" s="86">
        <f>+AF329*Analisis!$J$8</f>
        <v>14.773244647000002</v>
      </c>
      <c r="AH329" s="309">
        <f t="shared" si="49"/>
        <v>126.39386938738427</v>
      </c>
      <c r="AI329" s="86">
        <f>+AH329/(1-Analisis!G334)</f>
        <v>126.39386938738427</v>
      </c>
      <c r="AJ329" s="86">
        <f t="shared" si="59"/>
        <v>135.90738643804761</v>
      </c>
      <c r="AK329" s="86">
        <f t="shared" si="50"/>
        <v>0</v>
      </c>
      <c r="AL329" s="310" t="e">
        <f>+VLOOKUP(B329,#REF!,2,FALSE)</f>
        <v>#REF!</v>
      </c>
      <c r="AM329" s="311" t="e">
        <f t="shared" si="62"/>
        <v>#REF!</v>
      </c>
      <c r="AN329" s="312" t="e">
        <f t="shared" si="61"/>
        <v>#REF!</v>
      </c>
    </row>
    <row r="330" spans="1:40" s="73" customFormat="1" x14ac:dyDescent="0.25">
      <c r="A330" s="303">
        <v>35</v>
      </c>
      <c r="B330" s="304" t="s">
        <v>1106</v>
      </c>
      <c r="D330" s="74">
        <f>IFERROR(VLOOKUP(B330,'REQ. PINTADO'!B:C,2,0),0)</f>
        <v>0</v>
      </c>
      <c r="E330" s="305">
        <f t="shared" si="51"/>
        <v>153.93541402766175</v>
      </c>
      <c r="F330" s="103" t="s">
        <v>165</v>
      </c>
      <c r="G330" s="75" t="s">
        <v>147</v>
      </c>
      <c r="H330" s="90">
        <v>6.74</v>
      </c>
      <c r="I330" s="90">
        <v>8.24</v>
      </c>
      <c r="J330" s="76">
        <v>0.105</v>
      </c>
      <c r="K330" s="306">
        <v>16.38</v>
      </c>
      <c r="L330" s="78">
        <f t="shared" si="52"/>
        <v>3.1002559829059839</v>
      </c>
      <c r="M330" s="58">
        <f>+VLOOKUP(F330,Material!$H$2:$M$17,6,FALSE)*H330*I330*(1+Material!$K$14)</f>
        <v>23.082815000000004</v>
      </c>
      <c r="N330" s="79" t="str">
        <f t="shared" si="63"/>
        <v>T5.0</v>
      </c>
      <c r="O330" s="80">
        <f>+VLOOKUP(N330,[3]Material!$A$3:$B$58,2,FALSE)</f>
        <v>5000</v>
      </c>
      <c r="P330" s="79" t="s">
        <v>42</v>
      </c>
      <c r="Q330" s="79" t="str">
        <f>+VLOOKUP(F330,[3]Material!$C$2:$E$12,2,FALSE)</f>
        <v>Cal 14</v>
      </c>
      <c r="R330" s="81">
        <f>+IF(P330="ACERO A36",VLOOKUP(Q330,'[3]Velocidades Std 1500 w'!$B$2:$F$15,5,FALSE),IF(P330="INOXIDABLE",VLOOKUP(Q330,'[3]Velocidades Std 1500 w'!$B$17:$F$28,5,FALSE),IF(P330="ALUMINIO",VLOOKUP(Q330,'[3]Velocidades Std 1500 w'!$B$30:$F$38,5,FALSE))))</f>
        <v>2.0080321285140564E-6</v>
      </c>
      <c r="S330" s="82">
        <f t="shared" si="53"/>
        <v>1.0040160642570283E-2</v>
      </c>
      <c r="T330" s="83">
        <f t="shared" si="54"/>
        <v>6.6437219277108444</v>
      </c>
      <c r="U330" s="307">
        <f t="shared" si="55"/>
        <v>919.04820000000007</v>
      </c>
      <c r="V330" s="80">
        <f t="shared" si="60"/>
        <v>9.2273915662650623</v>
      </c>
      <c r="W330" s="98">
        <v>3</v>
      </c>
      <c r="X330" s="84">
        <f>+IF(P330="ACERO A36",VLOOKUP(Q330,'[3]Tiempo Objeto'!$B$2:$C$12,2,FALSE),IF(P330="INOXIDABLE",VLOOKUP(Q330,'[3]Tiempo Objeto'!$B$14:$C$22,2,FALSE),IF(P330="ALUMINIO",VLOOKUP(Q330,'[3]Tiempo Objeto'!$B$24:$C$32,2,FALSE))))</f>
        <v>0.3133333333333333</v>
      </c>
      <c r="Y330" s="84">
        <f t="shared" si="56"/>
        <v>0.94</v>
      </c>
      <c r="Z330" s="80">
        <f t="shared" si="57"/>
        <v>1.3055555555555556</v>
      </c>
      <c r="AA330" s="100">
        <v>4</v>
      </c>
      <c r="AB330" s="86">
        <f>+AA330*Analisis!$J$6</f>
        <v>100</v>
      </c>
      <c r="AC330" s="100"/>
      <c r="AD330" s="85">
        <f t="shared" si="58"/>
        <v>0</v>
      </c>
      <c r="AE330" s="86">
        <f>+AC330*Analisis!$J$7</f>
        <v>0</v>
      </c>
      <c r="AF330" s="308">
        <f>+H330*0.0254*I330*0.0254*2*(1+[3]Analisis!$G$2)</f>
        <v>8.9576595039999998E-2</v>
      </c>
      <c r="AG330" s="86">
        <f>+AF330*Analisis!$J$8</f>
        <v>9.5441729239047639</v>
      </c>
      <c r="AH330" s="309">
        <f t="shared" ref="AH330:AH584" si="64">+AE330+AB330+Z330+V330+M330+AG330</f>
        <v>143.1599350457254</v>
      </c>
      <c r="AI330" s="86">
        <f>+AH330/(1-Analisis!G335)</f>
        <v>143.1599350457254</v>
      </c>
      <c r="AJ330" s="86">
        <f t="shared" si="59"/>
        <v>153.93541402766175</v>
      </c>
      <c r="AK330" s="86">
        <f t="shared" ref="AK330:AK584" si="65">+AJ330*D330</f>
        <v>0</v>
      </c>
      <c r="AL330" s="310" t="e">
        <f>+VLOOKUP(B330,#REF!,2,FALSE)</f>
        <v>#REF!</v>
      </c>
      <c r="AM330" s="311" t="e">
        <f t="shared" si="62"/>
        <v>#REF!</v>
      </c>
      <c r="AN330" s="312" t="e">
        <f t="shared" si="61"/>
        <v>#REF!</v>
      </c>
    </row>
    <row r="331" spans="1:40" s="73" customFormat="1" x14ac:dyDescent="0.25">
      <c r="A331" s="303">
        <v>36</v>
      </c>
      <c r="B331" s="304" t="s">
        <v>1107</v>
      </c>
      <c r="D331" s="74">
        <f>IFERROR(VLOOKUP(B331,'REQ. PINTADO'!B:C,2,0),0)</f>
        <v>0</v>
      </c>
      <c r="E331" s="305">
        <f t="shared" si="51"/>
        <v>153.93541402766175</v>
      </c>
      <c r="F331" s="103" t="s">
        <v>165</v>
      </c>
      <c r="G331" s="75" t="s">
        <v>147</v>
      </c>
      <c r="H331" s="90">
        <v>6.74</v>
      </c>
      <c r="I331" s="90">
        <v>8.24</v>
      </c>
      <c r="J331" s="76">
        <v>0.105</v>
      </c>
      <c r="K331" s="306">
        <v>16.38</v>
      </c>
      <c r="L331" s="78">
        <f t="shared" si="52"/>
        <v>3.1002559829059839</v>
      </c>
      <c r="M331" s="58">
        <f>+VLOOKUP(F331,Material!$H$2:$M$17,6,FALSE)*H331*I331*(1+Material!$K$14)</f>
        <v>23.082815000000004</v>
      </c>
      <c r="N331" s="79" t="str">
        <f t="shared" si="63"/>
        <v>T5.0</v>
      </c>
      <c r="O331" s="80">
        <f>+VLOOKUP(N331,[3]Material!$A$3:$B$58,2,FALSE)</f>
        <v>5000</v>
      </c>
      <c r="P331" s="79" t="s">
        <v>42</v>
      </c>
      <c r="Q331" s="79" t="str">
        <f>+VLOOKUP(F331,[3]Material!$C$2:$E$12,2,FALSE)</f>
        <v>Cal 14</v>
      </c>
      <c r="R331" s="81">
        <f>+IF(P331="ACERO A36",VLOOKUP(Q331,'[3]Velocidades Std 1500 w'!$B$2:$F$15,5,FALSE),IF(P331="INOXIDABLE",VLOOKUP(Q331,'[3]Velocidades Std 1500 w'!$B$17:$F$28,5,FALSE),IF(P331="ALUMINIO",VLOOKUP(Q331,'[3]Velocidades Std 1500 w'!$B$30:$F$38,5,FALSE))))</f>
        <v>2.0080321285140564E-6</v>
      </c>
      <c r="S331" s="82">
        <f t="shared" si="53"/>
        <v>1.0040160642570283E-2</v>
      </c>
      <c r="T331" s="83">
        <f t="shared" si="54"/>
        <v>6.6437219277108444</v>
      </c>
      <c r="U331" s="307">
        <f t="shared" si="55"/>
        <v>919.04820000000007</v>
      </c>
      <c r="V331" s="80">
        <f t="shared" si="60"/>
        <v>9.2273915662650623</v>
      </c>
      <c r="W331" s="98">
        <v>3</v>
      </c>
      <c r="X331" s="84">
        <f>+IF(P331="ACERO A36",VLOOKUP(Q331,'[3]Tiempo Objeto'!$B$2:$C$12,2,FALSE),IF(P331="INOXIDABLE",VLOOKUP(Q331,'[3]Tiempo Objeto'!$B$14:$C$22,2,FALSE),IF(P331="ALUMINIO",VLOOKUP(Q331,'[3]Tiempo Objeto'!$B$24:$C$32,2,FALSE))))</f>
        <v>0.3133333333333333</v>
      </c>
      <c r="Y331" s="84">
        <f t="shared" si="56"/>
        <v>0.94</v>
      </c>
      <c r="Z331" s="80">
        <f t="shared" si="57"/>
        <v>1.3055555555555556</v>
      </c>
      <c r="AA331" s="100">
        <v>4</v>
      </c>
      <c r="AB331" s="86">
        <f>+AA331*Analisis!$J$6</f>
        <v>100</v>
      </c>
      <c r="AC331" s="100"/>
      <c r="AD331" s="85">
        <f t="shared" si="58"/>
        <v>0</v>
      </c>
      <c r="AE331" s="86">
        <f>+AC331*Analisis!$J$7</f>
        <v>0</v>
      </c>
      <c r="AF331" s="308">
        <f>+H331*0.0254*I331*0.0254*2*(1+[3]Analisis!$G$2)</f>
        <v>8.9576595039999998E-2</v>
      </c>
      <c r="AG331" s="86">
        <f>+AF331*Analisis!$J$8</f>
        <v>9.5441729239047639</v>
      </c>
      <c r="AH331" s="309">
        <f t="shared" si="64"/>
        <v>143.1599350457254</v>
      </c>
      <c r="AI331" s="86">
        <f>+AH331/(1-Analisis!G336)</f>
        <v>143.1599350457254</v>
      </c>
      <c r="AJ331" s="86">
        <f t="shared" si="59"/>
        <v>153.93541402766175</v>
      </c>
      <c r="AK331" s="86">
        <f t="shared" si="65"/>
        <v>0</v>
      </c>
      <c r="AL331" s="310" t="e">
        <f>+VLOOKUP(B331,#REF!,2,FALSE)</f>
        <v>#REF!</v>
      </c>
      <c r="AM331" s="311" t="e">
        <f t="shared" si="62"/>
        <v>#REF!</v>
      </c>
      <c r="AN331" s="312" t="e">
        <f t="shared" si="61"/>
        <v>#REF!</v>
      </c>
    </row>
    <row r="332" spans="1:40" s="73" customFormat="1" x14ac:dyDescent="0.25">
      <c r="A332" s="303">
        <v>37</v>
      </c>
      <c r="B332" s="304" t="s">
        <v>1108</v>
      </c>
      <c r="D332" s="74">
        <f>IFERROR(VLOOKUP(B332,'REQ. PINTADO'!B:C,2,0),0)</f>
        <v>0</v>
      </c>
      <c r="E332" s="305">
        <f t="shared" si="51"/>
        <v>177.54164965940794</v>
      </c>
      <c r="F332" s="103" t="s">
        <v>165</v>
      </c>
      <c r="G332" s="75" t="s">
        <v>147</v>
      </c>
      <c r="H332" s="90">
        <v>6.74</v>
      </c>
      <c r="I332" s="90">
        <v>7.19</v>
      </c>
      <c r="J332" s="76">
        <v>0.105</v>
      </c>
      <c r="K332" s="306">
        <v>16.38</v>
      </c>
      <c r="L332" s="78">
        <f t="shared" si="52"/>
        <v>2.7051990918803428</v>
      </c>
      <c r="M332" s="58">
        <f>+VLOOKUP(F332,Material!$H$2:$M$17,6,FALSE)*H332*I332*(1+Material!$K$14)</f>
        <v>20.141436875000004</v>
      </c>
      <c r="N332" s="79" t="str">
        <f t="shared" si="63"/>
        <v>T5.0</v>
      </c>
      <c r="O332" s="80">
        <f>+VLOOKUP(N332,[3]Material!$A$3:$B$58,2,FALSE)</f>
        <v>5000</v>
      </c>
      <c r="P332" s="79" t="s">
        <v>42</v>
      </c>
      <c r="Q332" s="79" t="str">
        <f>+VLOOKUP(F332,[3]Material!$C$2:$E$12,2,FALSE)</f>
        <v>Cal 14</v>
      </c>
      <c r="R332" s="81">
        <f>+IF(P332="ACERO A36",VLOOKUP(Q332,'[3]Velocidades Std 1500 w'!$B$2:$F$15,5,FALSE),IF(P332="INOXIDABLE",VLOOKUP(Q332,'[3]Velocidades Std 1500 w'!$B$17:$F$28,5,FALSE),IF(P332="ALUMINIO",VLOOKUP(Q332,'[3]Velocidades Std 1500 w'!$B$30:$F$38,5,FALSE))))</f>
        <v>2.0080321285140564E-6</v>
      </c>
      <c r="S332" s="82">
        <f t="shared" si="53"/>
        <v>1.0040160642570283E-2</v>
      </c>
      <c r="T332" s="83">
        <f t="shared" si="54"/>
        <v>6.8172375903614455</v>
      </c>
      <c r="U332" s="307">
        <f t="shared" si="55"/>
        <v>943.05119999999988</v>
      </c>
      <c r="V332" s="80">
        <f t="shared" si="60"/>
        <v>9.4683855421686758</v>
      </c>
      <c r="W332" s="98">
        <v>5</v>
      </c>
      <c r="X332" s="84">
        <f>+IF(P332="ACERO A36",VLOOKUP(Q332,'[3]Tiempo Objeto'!$B$2:$C$12,2,FALSE),IF(P332="INOXIDABLE",VLOOKUP(Q332,'[3]Tiempo Objeto'!$B$14:$C$22,2,FALSE),IF(P332="ALUMINIO",VLOOKUP(Q332,'[3]Tiempo Objeto'!$B$24:$C$32,2,FALSE))))</f>
        <v>0.3133333333333333</v>
      </c>
      <c r="Y332" s="84">
        <f t="shared" si="56"/>
        <v>1.5666666666666664</v>
      </c>
      <c r="Z332" s="80">
        <f t="shared" si="57"/>
        <v>2.1759259259259256</v>
      </c>
      <c r="AA332" s="100">
        <v>5</v>
      </c>
      <c r="AB332" s="86">
        <f>+AA332*Analisis!$J$6</f>
        <v>125</v>
      </c>
      <c r="AC332" s="100"/>
      <c r="AD332" s="85">
        <f t="shared" si="58"/>
        <v>0</v>
      </c>
      <c r="AE332" s="86">
        <f>+AC332*Analisis!$J$7</f>
        <v>0</v>
      </c>
      <c r="AF332" s="308">
        <f>+H332*0.0254*I332*0.0254*2*(1+[3]Analisis!$G$2)</f>
        <v>7.8162101740000003E-2</v>
      </c>
      <c r="AG332" s="86">
        <f>+AF332*Analisis!$J$8</f>
        <v>8.3279858401547653</v>
      </c>
      <c r="AH332" s="309">
        <f t="shared" si="64"/>
        <v>165.11373418324936</v>
      </c>
      <c r="AI332" s="86">
        <f>+AH332/(1-Analisis!G337)</f>
        <v>165.11373418324936</v>
      </c>
      <c r="AJ332" s="86">
        <f t="shared" si="59"/>
        <v>177.54164965940794</v>
      </c>
      <c r="AK332" s="86">
        <f t="shared" si="65"/>
        <v>0</v>
      </c>
      <c r="AL332" s="310" t="e">
        <f>+VLOOKUP(B332,#REF!,2,FALSE)</f>
        <v>#REF!</v>
      </c>
      <c r="AM332" s="311" t="e">
        <f t="shared" si="62"/>
        <v>#REF!</v>
      </c>
      <c r="AN332" s="312" t="e">
        <f t="shared" si="61"/>
        <v>#REF!</v>
      </c>
    </row>
    <row r="333" spans="1:40" s="73" customFormat="1" x14ac:dyDescent="0.25">
      <c r="A333" s="303">
        <v>38</v>
      </c>
      <c r="B333" s="304" t="s">
        <v>1109</v>
      </c>
      <c r="D333" s="74">
        <f>IFERROR(VLOOKUP(B333,'REQ. PINTADO'!B:C,2,0),0)</f>
        <v>0</v>
      </c>
      <c r="E333" s="305">
        <f t="shared" si="51"/>
        <v>100.09267133777583</v>
      </c>
      <c r="F333" s="103" t="s">
        <v>165</v>
      </c>
      <c r="G333" s="75" t="s">
        <v>147</v>
      </c>
      <c r="H333" s="90">
        <v>5.56</v>
      </c>
      <c r="I333" s="90">
        <v>21.94</v>
      </c>
      <c r="J333" s="76">
        <v>0.105</v>
      </c>
      <c r="K333" s="306">
        <v>16.38</v>
      </c>
      <c r="L333" s="78">
        <f t="shared" si="52"/>
        <v>6.809604059829061</v>
      </c>
      <c r="M333" s="58">
        <f>+VLOOKUP(F333,Material!$H$2:$M$17,6,FALSE)*H333*I333*(1+Material!$K$14)</f>
        <v>50.700597500000001</v>
      </c>
      <c r="N333" s="79" t="str">
        <f t="shared" si="63"/>
        <v>T5.0</v>
      </c>
      <c r="O333" s="80">
        <f>+VLOOKUP(N333,[3]Material!$A$3:$B$58,2,FALSE)</f>
        <v>5000</v>
      </c>
      <c r="P333" s="79" t="s">
        <v>42</v>
      </c>
      <c r="Q333" s="79" t="str">
        <f>+VLOOKUP(F333,[3]Material!$C$2:$E$12,2,FALSE)</f>
        <v>Cal 14</v>
      </c>
      <c r="R333" s="81">
        <f>+IF(P333="ACERO A36",VLOOKUP(Q333,'[3]Velocidades Std 1500 w'!$B$2:$F$15,5,FALSE),IF(P333="INOXIDABLE",VLOOKUP(Q333,'[3]Velocidades Std 1500 w'!$B$17:$F$28,5,FALSE),IF(P333="ALUMINIO",VLOOKUP(Q333,'[3]Velocidades Std 1500 w'!$B$30:$F$38,5,FALSE))))</f>
        <v>2.0080321285140564E-6</v>
      </c>
      <c r="S333" s="82">
        <f t="shared" si="53"/>
        <v>1.0040160642570283E-2</v>
      </c>
      <c r="T333" s="83">
        <f t="shared" si="54"/>
        <v>12.917277108433737</v>
      </c>
      <c r="U333" s="307">
        <f t="shared" si="55"/>
        <v>1786.89</v>
      </c>
      <c r="V333" s="80">
        <f t="shared" si="60"/>
        <v>17.940662650602412</v>
      </c>
      <c r="W333" s="98">
        <v>8</v>
      </c>
      <c r="X333" s="84">
        <f>+IF(P333="ACERO A36",VLOOKUP(Q333,'[3]Tiempo Objeto'!$B$2:$C$12,2,FALSE),IF(P333="INOXIDABLE",VLOOKUP(Q333,'[3]Tiempo Objeto'!$B$14:$C$22,2,FALSE),IF(P333="ALUMINIO",VLOOKUP(Q333,'[3]Tiempo Objeto'!$B$24:$C$32,2,FALSE))))</f>
        <v>0.3133333333333333</v>
      </c>
      <c r="Y333" s="84">
        <f t="shared" si="56"/>
        <v>2.5066666666666664</v>
      </c>
      <c r="Z333" s="80">
        <f t="shared" si="57"/>
        <v>3.481481481481481</v>
      </c>
      <c r="AA333" s="100">
        <v>0</v>
      </c>
      <c r="AB333" s="86">
        <f>+AA333*Analisis!$J$6</f>
        <v>0</v>
      </c>
      <c r="AC333" s="100"/>
      <c r="AD333" s="85">
        <f t="shared" si="58"/>
        <v>0</v>
      </c>
      <c r="AE333" s="86">
        <f>+AC333*Analisis!$J$7</f>
        <v>0</v>
      </c>
      <c r="AF333" s="308">
        <f>+H333*0.0254*I333*0.0254*2*(1+[3]Analisis!$G$2)</f>
        <v>0.19675186455999999</v>
      </c>
      <c r="AG333" s="86">
        <f>+AF333*Analisis!$J$8</f>
        <v>20.963442712047623</v>
      </c>
      <c r="AH333" s="309">
        <f t="shared" si="64"/>
        <v>93.08618434413151</v>
      </c>
      <c r="AI333" s="86">
        <f>+AH333/(1-Analisis!G338)</f>
        <v>93.08618434413151</v>
      </c>
      <c r="AJ333" s="86">
        <f t="shared" si="59"/>
        <v>100.09267133777583</v>
      </c>
      <c r="AK333" s="86">
        <f t="shared" si="65"/>
        <v>0</v>
      </c>
      <c r="AL333" s="310" t="e">
        <f>+VLOOKUP(B333,#REF!,2,FALSE)</f>
        <v>#REF!</v>
      </c>
      <c r="AM333" s="311" t="e">
        <f t="shared" si="62"/>
        <v>#REF!</v>
      </c>
      <c r="AN333" s="312" t="e">
        <f t="shared" si="61"/>
        <v>#REF!</v>
      </c>
    </row>
    <row r="334" spans="1:40" s="73" customFormat="1" x14ac:dyDescent="0.25">
      <c r="A334" s="303">
        <v>39</v>
      </c>
      <c r="B334" s="304" t="s">
        <v>1110</v>
      </c>
      <c r="D334" s="74">
        <f>IFERROR(VLOOKUP(B334,'REQ. PINTADO'!B:C,2,0),0)</f>
        <v>0</v>
      </c>
      <c r="E334" s="305">
        <f t="shared" si="51"/>
        <v>140.97338971574237</v>
      </c>
      <c r="F334" s="103" t="s">
        <v>165</v>
      </c>
      <c r="G334" s="75" t="s">
        <v>147</v>
      </c>
      <c r="H334" s="90">
        <v>5.56</v>
      </c>
      <c r="I334" s="90">
        <v>31.94</v>
      </c>
      <c r="J334" s="76">
        <v>0.105</v>
      </c>
      <c r="K334" s="306">
        <v>16.38</v>
      </c>
      <c r="L334" s="78">
        <f t="shared" si="52"/>
        <v>9.9133433760683776</v>
      </c>
      <c r="M334" s="58">
        <f>+VLOOKUP(F334,Material!$H$2:$M$17,6,FALSE)*H334*I334*(1+Material!$K$14)</f>
        <v>73.809347500000001</v>
      </c>
      <c r="N334" s="79" t="str">
        <f t="shared" si="63"/>
        <v>T5.0</v>
      </c>
      <c r="O334" s="80">
        <f>+VLOOKUP(N334,[3]Material!$A$3:$B$58,2,FALSE)</f>
        <v>5000</v>
      </c>
      <c r="P334" s="79" t="s">
        <v>42</v>
      </c>
      <c r="Q334" s="79" t="str">
        <f>+VLOOKUP(F334,[3]Material!$C$2:$E$12,2,FALSE)</f>
        <v>Cal 14</v>
      </c>
      <c r="R334" s="81">
        <f>+IF(P334="ACERO A36",VLOOKUP(Q334,'[3]Velocidades Std 1500 w'!$B$2:$F$15,5,FALSE),IF(P334="INOXIDABLE",VLOOKUP(Q334,'[3]Velocidades Std 1500 w'!$B$17:$F$28,5,FALSE),IF(P334="ALUMINIO",VLOOKUP(Q334,'[3]Velocidades Std 1500 w'!$B$30:$F$38,5,FALSE))))</f>
        <v>2.0080321285140564E-6</v>
      </c>
      <c r="S334" s="82">
        <f t="shared" si="53"/>
        <v>1.0040160642570283E-2</v>
      </c>
      <c r="T334" s="83">
        <f t="shared" si="54"/>
        <v>16.773180722891567</v>
      </c>
      <c r="U334" s="307">
        <f t="shared" si="55"/>
        <v>2320.29</v>
      </c>
      <c r="V334" s="80">
        <f t="shared" si="60"/>
        <v>23.296084337349402</v>
      </c>
      <c r="W334" s="98">
        <v>8</v>
      </c>
      <c r="X334" s="84">
        <f>+IF(P334="ACERO A36",VLOOKUP(Q334,'[3]Tiempo Objeto'!$B$2:$C$12,2,FALSE),IF(P334="INOXIDABLE",VLOOKUP(Q334,'[3]Tiempo Objeto'!$B$14:$C$22,2,FALSE),IF(P334="ALUMINIO",VLOOKUP(Q334,'[3]Tiempo Objeto'!$B$24:$C$32,2,FALSE))))</f>
        <v>0.3133333333333333</v>
      </c>
      <c r="Y334" s="84">
        <f t="shared" si="56"/>
        <v>2.5066666666666664</v>
      </c>
      <c r="Z334" s="80">
        <f t="shared" si="57"/>
        <v>3.481481481481481</v>
      </c>
      <c r="AA334" s="100">
        <v>0</v>
      </c>
      <c r="AB334" s="86">
        <f>+AA334*Analisis!$J$6</f>
        <v>0</v>
      </c>
      <c r="AC334" s="100"/>
      <c r="AD334" s="85">
        <f t="shared" si="58"/>
        <v>0</v>
      </c>
      <c r="AE334" s="86">
        <f>+AC334*Analisis!$J$7</f>
        <v>0</v>
      </c>
      <c r="AF334" s="308">
        <f>+H334*0.0254*I334*0.0254*2*(1+[3]Analisis!$G$2)</f>
        <v>0.28642910455999998</v>
      </c>
      <c r="AG334" s="86">
        <f>+AF334*Analisis!$J$8</f>
        <v>30.518339116809532</v>
      </c>
      <c r="AH334" s="309">
        <f t="shared" si="64"/>
        <v>131.10525243564041</v>
      </c>
      <c r="AI334" s="86">
        <f>+AH334/(1-Analisis!G339)</f>
        <v>131.10525243564041</v>
      </c>
      <c r="AJ334" s="86">
        <f t="shared" si="59"/>
        <v>140.97338971574237</v>
      </c>
      <c r="AK334" s="86">
        <f t="shared" si="65"/>
        <v>0</v>
      </c>
      <c r="AL334" s="310" t="e">
        <f>+VLOOKUP(B334,#REF!,2,FALSE)</f>
        <v>#REF!</v>
      </c>
      <c r="AM334" s="311" t="e">
        <f t="shared" si="62"/>
        <v>#REF!</v>
      </c>
      <c r="AN334" s="312" t="e">
        <f t="shared" si="61"/>
        <v>#REF!</v>
      </c>
    </row>
    <row r="335" spans="1:40" s="73" customFormat="1" x14ac:dyDescent="0.25">
      <c r="A335" s="303">
        <v>40</v>
      </c>
      <c r="B335" s="304" t="s">
        <v>1111</v>
      </c>
      <c r="D335" s="74">
        <f>IFERROR(VLOOKUP(B335,'REQ. PINTADO'!B:C,2,0),0)</f>
        <v>0</v>
      </c>
      <c r="E335" s="305">
        <f t="shared" si="51"/>
        <v>178.46342544244337</v>
      </c>
      <c r="F335" s="103" t="s">
        <v>165</v>
      </c>
      <c r="G335" s="75" t="s">
        <v>147</v>
      </c>
      <c r="H335" s="90">
        <v>21.94</v>
      </c>
      <c r="I335" s="90">
        <v>7.14</v>
      </c>
      <c r="J335" s="76">
        <v>0.105</v>
      </c>
      <c r="K335" s="306">
        <v>16.38</v>
      </c>
      <c r="L335" s="78">
        <f t="shared" si="52"/>
        <v>8.744707371794874</v>
      </c>
      <c r="M335" s="58">
        <f>+VLOOKUP(F335,Material!$H$2:$M$17,6,FALSE)*H335*I335*(1+Material!$K$14)</f>
        <v>65.108321250000003</v>
      </c>
      <c r="N335" s="79" t="str">
        <f t="shared" si="63"/>
        <v>T5.0</v>
      </c>
      <c r="O335" s="80">
        <f>+VLOOKUP(N335,[3]Material!$A$3:$B$58,2,FALSE)</f>
        <v>5000</v>
      </c>
      <c r="P335" s="79" t="s">
        <v>42</v>
      </c>
      <c r="Q335" s="79" t="str">
        <f>+VLOOKUP(F335,[3]Material!$C$2:$E$12,2,FALSE)</f>
        <v>Cal 14</v>
      </c>
      <c r="R335" s="81">
        <f>+IF(P335="ACERO A36",VLOOKUP(Q335,'[3]Velocidades Std 1500 w'!$B$2:$F$15,5,FALSE),IF(P335="INOXIDABLE",VLOOKUP(Q335,'[3]Velocidades Std 1500 w'!$B$17:$F$28,5,FALSE),IF(P335="ALUMINIO",VLOOKUP(Q335,'[3]Velocidades Std 1500 w'!$B$30:$F$38,5,FALSE))))</f>
        <v>2.0080321285140564E-6</v>
      </c>
      <c r="S335" s="82">
        <f t="shared" si="53"/>
        <v>1.0040160642570283E-2</v>
      </c>
      <c r="T335" s="83">
        <f t="shared" si="54"/>
        <v>14.104895421686747</v>
      </c>
      <c r="U335" s="307">
        <f t="shared" si="55"/>
        <v>1951.1772000000001</v>
      </c>
      <c r="V335" s="80">
        <f t="shared" si="60"/>
        <v>19.590132530120485</v>
      </c>
      <c r="W335" s="98">
        <v>10</v>
      </c>
      <c r="X335" s="84">
        <f>+IF(P335="ACERO A36",VLOOKUP(Q335,'[3]Tiempo Objeto'!$B$2:$C$12,2,FALSE),IF(P335="INOXIDABLE",VLOOKUP(Q335,'[3]Tiempo Objeto'!$B$14:$C$22,2,FALSE),IF(P335="ALUMINIO",VLOOKUP(Q335,'[3]Tiempo Objeto'!$B$24:$C$32,2,FALSE))))</f>
        <v>0.3133333333333333</v>
      </c>
      <c r="Y335" s="84">
        <f t="shared" si="56"/>
        <v>3.1333333333333329</v>
      </c>
      <c r="Z335" s="80">
        <f t="shared" si="57"/>
        <v>4.3518518518518512</v>
      </c>
      <c r="AA335" s="100">
        <v>2</v>
      </c>
      <c r="AB335" s="86">
        <f>+AA335*Analisis!$J$6</f>
        <v>50</v>
      </c>
      <c r="AC335" s="100"/>
      <c r="AD335" s="85">
        <f t="shared" si="58"/>
        <v>0</v>
      </c>
      <c r="AE335" s="86">
        <f>+AC335*Analisis!$J$7</f>
        <v>0</v>
      </c>
      <c r="AF335" s="308">
        <f>+H335*0.0254*I335*0.0254*2*(1+[3]Analisis!$G$2)</f>
        <v>0.25266336564000003</v>
      </c>
      <c r="AG335" s="86">
        <f>+AF335*Analisis!$J$8</f>
        <v>26.920680029500012</v>
      </c>
      <c r="AH335" s="309">
        <f t="shared" si="64"/>
        <v>165.97098566147233</v>
      </c>
      <c r="AI335" s="86">
        <f>+AH335/(1-Analisis!G340)</f>
        <v>165.97098566147233</v>
      </c>
      <c r="AJ335" s="86">
        <f t="shared" si="59"/>
        <v>178.46342544244337</v>
      </c>
      <c r="AK335" s="86">
        <f t="shared" si="65"/>
        <v>0</v>
      </c>
      <c r="AL335" s="310" t="e">
        <f>+VLOOKUP(B335,#REF!,2,FALSE)</f>
        <v>#REF!</v>
      </c>
      <c r="AM335" s="311" t="e">
        <f t="shared" si="62"/>
        <v>#REF!</v>
      </c>
      <c r="AN335" s="312" t="e">
        <f t="shared" si="61"/>
        <v>#REF!</v>
      </c>
    </row>
    <row r="336" spans="1:40" s="73" customFormat="1" x14ac:dyDescent="0.25">
      <c r="A336" s="303">
        <v>41</v>
      </c>
      <c r="B336" s="304" t="s">
        <v>1112</v>
      </c>
      <c r="D336" s="74">
        <f>IFERROR(VLOOKUP(B336,'REQ. PINTADO'!B:C,2,0),0)</f>
        <v>0</v>
      </c>
      <c r="E336" s="305">
        <f t="shared" si="51"/>
        <v>229.32491300883802</v>
      </c>
      <c r="F336" s="103" t="s">
        <v>165</v>
      </c>
      <c r="G336" s="75" t="s">
        <v>147</v>
      </c>
      <c r="H336" s="90">
        <v>31.94</v>
      </c>
      <c r="I336" s="90">
        <v>7.14</v>
      </c>
      <c r="J336" s="76">
        <v>0.105</v>
      </c>
      <c r="K336" s="306">
        <v>16.38</v>
      </c>
      <c r="L336" s="78">
        <f t="shared" si="52"/>
        <v>12.730444551282055</v>
      </c>
      <c r="M336" s="58">
        <f>+VLOOKUP(F336,Material!$H$2:$M$17,6,FALSE)*H336*I336*(1+Material!$K$14)</f>
        <v>94.783946250000014</v>
      </c>
      <c r="N336" s="79" t="str">
        <f t="shared" si="63"/>
        <v>T5.0</v>
      </c>
      <c r="O336" s="80">
        <f>+VLOOKUP(N336,[3]Material!$A$3:$B$58,2,FALSE)</f>
        <v>5000</v>
      </c>
      <c r="P336" s="79" t="s">
        <v>42</v>
      </c>
      <c r="Q336" s="79" t="str">
        <f>+VLOOKUP(F336,[3]Material!$C$2:$E$12,2,FALSE)</f>
        <v>Cal 14</v>
      </c>
      <c r="R336" s="81">
        <f>+IF(P336="ACERO A36",VLOOKUP(Q336,'[3]Velocidades Std 1500 w'!$B$2:$F$15,5,FALSE),IF(P336="INOXIDABLE",VLOOKUP(Q336,'[3]Velocidades Std 1500 w'!$B$17:$F$28,5,FALSE),IF(P336="ALUMINIO",VLOOKUP(Q336,'[3]Velocidades Std 1500 w'!$B$30:$F$38,5,FALSE))))</f>
        <v>2.0080321285140564E-6</v>
      </c>
      <c r="S336" s="82">
        <f t="shared" si="53"/>
        <v>1.0040160642570283E-2</v>
      </c>
      <c r="T336" s="83">
        <f t="shared" si="54"/>
        <v>17.960799036144579</v>
      </c>
      <c r="U336" s="307">
        <f t="shared" si="55"/>
        <v>2484.5771999999997</v>
      </c>
      <c r="V336" s="80">
        <f t="shared" si="60"/>
        <v>24.945554216867471</v>
      </c>
      <c r="W336" s="98">
        <v>10</v>
      </c>
      <c r="X336" s="84">
        <f>+IF(P336="ACERO A36",VLOOKUP(Q336,'[3]Tiempo Objeto'!$B$2:$C$12,2,FALSE),IF(P336="INOXIDABLE",VLOOKUP(Q336,'[3]Tiempo Objeto'!$B$14:$C$22,2,FALSE),IF(P336="ALUMINIO",VLOOKUP(Q336,'[3]Tiempo Objeto'!$B$24:$C$32,2,FALSE))))</f>
        <v>0.3133333333333333</v>
      </c>
      <c r="Y336" s="84">
        <f t="shared" si="56"/>
        <v>3.1333333333333329</v>
      </c>
      <c r="Z336" s="80">
        <f t="shared" si="57"/>
        <v>4.3518518518518512</v>
      </c>
      <c r="AA336" s="100">
        <v>2</v>
      </c>
      <c r="AB336" s="86">
        <f>+AA336*Analisis!$J$6</f>
        <v>50</v>
      </c>
      <c r="AC336" s="100"/>
      <c r="AD336" s="85">
        <f t="shared" si="58"/>
        <v>0</v>
      </c>
      <c r="AE336" s="86">
        <f>+AC336*Analisis!$J$7</f>
        <v>0</v>
      </c>
      <c r="AF336" s="308">
        <f>+H336*0.0254*I336*0.0254*2*(1+[3]Analisis!$G$2)</f>
        <v>0.36782442563999995</v>
      </c>
      <c r="AG336" s="86">
        <f>+AF336*Analisis!$J$8</f>
        <v>39.190816779500004</v>
      </c>
      <c r="AH336" s="309">
        <f t="shared" si="64"/>
        <v>213.27216909821934</v>
      </c>
      <c r="AI336" s="86">
        <f>+AH336/(1-Analisis!G341)</f>
        <v>213.27216909821934</v>
      </c>
      <c r="AJ336" s="86">
        <f t="shared" si="59"/>
        <v>229.32491300883802</v>
      </c>
      <c r="AK336" s="86">
        <f t="shared" si="65"/>
        <v>0</v>
      </c>
      <c r="AL336" s="310" t="e">
        <f>+VLOOKUP(B336,#REF!,2,FALSE)</f>
        <v>#REF!</v>
      </c>
      <c r="AM336" s="311" t="e">
        <f t="shared" si="62"/>
        <v>#REF!</v>
      </c>
      <c r="AN336" s="312" t="e">
        <f t="shared" si="61"/>
        <v>#REF!</v>
      </c>
    </row>
    <row r="337" spans="1:40" s="73" customFormat="1" x14ac:dyDescent="0.25">
      <c r="A337" s="303">
        <v>42</v>
      </c>
      <c r="B337" s="304" t="s">
        <v>1113</v>
      </c>
      <c r="D337" s="74">
        <f>IFERROR(VLOOKUP(B337,'REQ. PINTADO'!B:C,2,0),0)</f>
        <v>0</v>
      </c>
      <c r="E337" s="305">
        <f t="shared" si="51"/>
        <v>158.11883041588553</v>
      </c>
      <c r="F337" s="103" t="s">
        <v>165</v>
      </c>
      <c r="G337" s="75" t="s">
        <v>147</v>
      </c>
      <c r="H337" s="90">
        <v>17.940000000000001</v>
      </c>
      <c r="I337" s="90">
        <v>7.14</v>
      </c>
      <c r="J337" s="76">
        <v>0.105</v>
      </c>
      <c r="K337" s="306">
        <v>16.38</v>
      </c>
      <c r="L337" s="78">
        <f t="shared" si="52"/>
        <v>7.1504125000000007</v>
      </c>
      <c r="M337" s="58">
        <f>+VLOOKUP(F337,Material!$H$2:$M$17,6,FALSE)*H337*I337*(1+Material!$K$14)</f>
        <v>53.238071249999997</v>
      </c>
      <c r="N337" s="79" t="str">
        <f t="shared" si="63"/>
        <v>T5.0</v>
      </c>
      <c r="O337" s="80">
        <f>+VLOOKUP(N337,[3]Material!$A$3:$B$58,2,FALSE)</f>
        <v>5000</v>
      </c>
      <c r="P337" s="79" t="s">
        <v>42</v>
      </c>
      <c r="Q337" s="79" t="str">
        <f>+VLOOKUP(F337,[3]Material!$C$2:$E$12,2,FALSE)</f>
        <v>Cal 14</v>
      </c>
      <c r="R337" s="81">
        <f>+IF(P337="ACERO A36",VLOOKUP(Q337,'[3]Velocidades Std 1500 w'!$B$2:$F$15,5,FALSE),IF(P337="INOXIDABLE",VLOOKUP(Q337,'[3]Velocidades Std 1500 w'!$B$17:$F$28,5,FALSE),IF(P337="ALUMINIO",VLOOKUP(Q337,'[3]Velocidades Std 1500 w'!$B$30:$F$38,5,FALSE))))</f>
        <v>2.0080321285140564E-6</v>
      </c>
      <c r="S337" s="82">
        <f t="shared" si="53"/>
        <v>1.0040160642570283E-2</v>
      </c>
      <c r="T337" s="83">
        <f t="shared" si="54"/>
        <v>12.562533975903616</v>
      </c>
      <c r="U337" s="307">
        <f t="shared" si="55"/>
        <v>1737.8172</v>
      </c>
      <c r="V337" s="80">
        <f t="shared" si="60"/>
        <v>17.44796385542169</v>
      </c>
      <c r="W337" s="98">
        <v>10</v>
      </c>
      <c r="X337" s="84">
        <f>+IF(P337="ACERO A36",VLOOKUP(Q337,'[3]Tiempo Objeto'!$B$2:$C$12,2,FALSE),IF(P337="INOXIDABLE",VLOOKUP(Q337,'[3]Tiempo Objeto'!$B$14:$C$22,2,FALSE),IF(P337="ALUMINIO",VLOOKUP(Q337,'[3]Tiempo Objeto'!$B$24:$C$32,2,FALSE))))</f>
        <v>0.3133333333333333</v>
      </c>
      <c r="Y337" s="84">
        <f t="shared" si="56"/>
        <v>3.1333333333333329</v>
      </c>
      <c r="Z337" s="80">
        <f t="shared" si="57"/>
        <v>4.3518518518518512</v>
      </c>
      <c r="AA337" s="100">
        <v>2</v>
      </c>
      <c r="AB337" s="86">
        <f>+AA337*Analisis!$J$6</f>
        <v>50</v>
      </c>
      <c r="AC337" s="100"/>
      <c r="AD337" s="85">
        <f t="shared" si="58"/>
        <v>0</v>
      </c>
      <c r="AE337" s="86">
        <f>+AC337*Analisis!$J$7</f>
        <v>0</v>
      </c>
      <c r="AF337" s="308">
        <f>+H337*0.0254*I337*0.0254*2*(1+[3]Analisis!$G$2)</f>
        <v>0.20659894163999998</v>
      </c>
      <c r="AG337" s="86">
        <f>+AF337*Analisis!$J$8</f>
        <v>22.012625329500004</v>
      </c>
      <c r="AH337" s="309">
        <f t="shared" si="64"/>
        <v>147.05051228677354</v>
      </c>
      <c r="AI337" s="86">
        <f>+AH337/(1-Analisis!G342)</f>
        <v>147.05051228677354</v>
      </c>
      <c r="AJ337" s="86">
        <f t="shared" si="59"/>
        <v>158.11883041588553</v>
      </c>
      <c r="AK337" s="86">
        <f t="shared" si="65"/>
        <v>0</v>
      </c>
      <c r="AL337" s="310" t="e">
        <f>+VLOOKUP(B337,#REF!,2,FALSE)</f>
        <v>#REF!</v>
      </c>
      <c r="AM337" s="311" t="e">
        <f t="shared" si="62"/>
        <v>#REF!</v>
      </c>
      <c r="AN337" s="312" t="e">
        <f t="shared" si="61"/>
        <v>#REF!</v>
      </c>
    </row>
    <row r="338" spans="1:40" s="73" customFormat="1" x14ac:dyDescent="0.25">
      <c r="A338" s="303">
        <v>43</v>
      </c>
      <c r="B338" s="304" t="s">
        <v>1114</v>
      </c>
      <c r="D338" s="74">
        <f>IFERROR(VLOOKUP(B338,'REQ. PINTADO'!B:C,2,0),0)</f>
        <v>0</v>
      </c>
      <c r="E338" s="305">
        <f t="shared" si="51"/>
        <v>190.578562628204</v>
      </c>
      <c r="F338" s="103" t="s">
        <v>163</v>
      </c>
      <c r="G338" s="75" t="s">
        <v>147</v>
      </c>
      <c r="H338" s="90">
        <v>5.89</v>
      </c>
      <c r="I338" s="90">
        <v>18.95</v>
      </c>
      <c r="J338" s="76">
        <v>0.105</v>
      </c>
      <c r="K338" s="306">
        <v>16.38</v>
      </c>
      <c r="L338" s="78">
        <f t="shared" si="52"/>
        <v>5.6271274896600998</v>
      </c>
      <c r="M338" s="58">
        <f>+VLOOKUP(F338,Material!$H$2:$M$17,6,FALSE)*H338*I338*(1+Material!$K$14)</f>
        <v>41.896521945742009</v>
      </c>
      <c r="N338" s="79" t="str">
        <f t="shared" si="63"/>
        <v>T5.0</v>
      </c>
      <c r="O338" s="80">
        <f>+VLOOKUP(N338,[3]Material!$A$3:$B$58,2,FALSE)</f>
        <v>5000</v>
      </c>
      <c r="P338" s="79" t="s">
        <v>42</v>
      </c>
      <c r="Q338" s="79" t="str">
        <f>+VLOOKUP(F338,[3]Material!$C$2:$E$12,2,FALSE)</f>
        <v>Cal 12</v>
      </c>
      <c r="R338" s="81">
        <f>+IF(P338="ACERO A36",VLOOKUP(Q338,'[3]Velocidades Std 1500 w'!$B$2:$F$15,5,FALSE),IF(P338="INOXIDABLE",VLOOKUP(Q338,'[3]Velocidades Std 1500 w'!$B$17:$F$28,5,FALSE),IF(P338="ALUMINIO",VLOOKUP(Q338,'[3]Velocidades Std 1500 w'!$B$30:$F$38,5,FALSE))))</f>
        <v>4.3859649122807014E-6</v>
      </c>
      <c r="S338" s="82">
        <f t="shared" si="53"/>
        <v>2.1929824561403508E-2</v>
      </c>
      <c r="T338" s="83">
        <f t="shared" si="54"/>
        <v>25.342114736842099</v>
      </c>
      <c r="U338" s="307">
        <f t="shared" si="55"/>
        <v>1605.0005999999998</v>
      </c>
      <c r="V338" s="80">
        <f t="shared" si="60"/>
        <v>35.197381578947365</v>
      </c>
      <c r="W338" s="98">
        <v>7</v>
      </c>
      <c r="X338" s="84">
        <f>+IF(P338="ACERO A36",VLOOKUP(Q338,'[3]Tiempo Objeto'!$B$2:$C$12,2,FALSE),IF(P338="INOXIDABLE",VLOOKUP(Q338,'[3]Tiempo Objeto'!$B$14:$C$22,2,FALSE),IF(P338="ALUMINIO",VLOOKUP(Q338,'[3]Tiempo Objeto'!$B$24:$C$32,2,FALSE))))</f>
        <v>0.6133333333333334</v>
      </c>
      <c r="Y338" s="84">
        <f t="shared" si="56"/>
        <v>4.2933333333333339</v>
      </c>
      <c r="Z338" s="80">
        <f t="shared" si="57"/>
        <v>5.9629629629629637</v>
      </c>
      <c r="AA338" s="100">
        <v>3</v>
      </c>
      <c r="AB338" s="86">
        <f>+AA338*Analisis!$J$6</f>
        <v>75</v>
      </c>
      <c r="AC338" s="100"/>
      <c r="AD338" s="85">
        <f t="shared" si="58"/>
        <v>0</v>
      </c>
      <c r="AE338" s="86">
        <f>+AC338*Analisis!$J$7</f>
        <v>0</v>
      </c>
      <c r="AF338" s="308">
        <f>+H338*0.0254*I338*0.0254*2*(1+[3]Analisis!$G$2)</f>
        <v>0.18002463994999998</v>
      </c>
      <c r="AG338" s="86">
        <f>+AF338*Analisis!$J$8</f>
        <v>19.181196756577386</v>
      </c>
      <c r="AH338" s="309">
        <f t="shared" si="64"/>
        <v>177.23806324422969</v>
      </c>
      <c r="AI338" s="86">
        <f>+AH338/(1-Analisis!G343)</f>
        <v>177.23806324422969</v>
      </c>
      <c r="AJ338" s="86">
        <f t="shared" si="59"/>
        <v>190.578562628204</v>
      </c>
      <c r="AK338" s="86">
        <f t="shared" si="65"/>
        <v>0</v>
      </c>
      <c r="AL338" s="310" t="e">
        <f>+VLOOKUP(B338,#REF!,2,FALSE)</f>
        <v>#REF!</v>
      </c>
      <c r="AM338" s="311" t="e">
        <f t="shared" si="62"/>
        <v>#REF!</v>
      </c>
      <c r="AN338" s="312" t="e">
        <f t="shared" si="61"/>
        <v>#REF!</v>
      </c>
    </row>
    <row r="339" spans="1:40" s="73" customFormat="1" x14ac:dyDescent="0.25">
      <c r="A339" s="303">
        <v>44</v>
      </c>
      <c r="B339" s="304" t="s">
        <v>1115</v>
      </c>
      <c r="D339" s="74">
        <f>IFERROR(VLOOKUP(B339,'REQ. PINTADO'!B:C,2,0),0)</f>
        <v>0</v>
      </c>
      <c r="E339" s="305">
        <f t="shared" si="51"/>
        <v>95.823971635949874</v>
      </c>
      <c r="F339" s="103" t="s">
        <v>165</v>
      </c>
      <c r="G339" s="75" t="s">
        <v>147</v>
      </c>
      <c r="H339" s="90">
        <v>3.12</v>
      </c>
      <c r="I339" s="90">
        <v>14.75</v>
      </c>
      <c r="J339" s="76">
        <v>0.105</v>
      </c>
      <c r="K339" s="306">
        <v>16.38</v>
      </c>
      <c r="L339" s="78">
        <f t="shared" si="52"/>
        <v>2.5689583333333346</v>
      </c>
      <c r="M339" s="58">
        <f>+VLOOKUP(F339,Material!$H$2:$M$17,6,FALSE)*H339*I339*(1+Material!$K$14)</f>
        <v>19.127062500000005</v>
      </c>
      <c r="N339" s="79" t="str">
        <f t="shared" si="63"/>
        <v>T5.0</v>
      </c>
      <c r="O339" s="80">
        <f>+VLOOKUP(N339,[3]Material!$A$3:$B$58,2,FALSE)</f>
        <v>5000</v>
      </c>
      <c r="P339" s="79" t="s">
        <v>42</v>
      </c>
      <c r="Q339" s="79" t="str">
        <f>+VLOOKUP(F339,[3]Material!$C$2:$E$12,2,FALSE)</f>
        <v>Cal 14</v>
      </c>
      <c r="R339" s="81">
        <f>+IF(P339="ACERO A36",VLOOKUP(Q339,'[3]Velocidades Std 1500 w'!$B$2:$F$15,5,FALSE),IF(P339="INOXIDABLE",VLOOKUP(Q339,'[3]Velocidades Std 1500 w'!$B$17:$F$28,5,FALSE),IF(P339="ALUMINIO",VLOOKUP(Q339,'[3]Velocidades Std 1500 w'!$B$30:$F$38,5,FALSE))))</f>
        <v>2.0080321285140564E-6</v>
      </c>
      <c r="S339" s="82">
        <f t="shared" si="53"/>
        <v>1.0040160642570283E-2</v>
      </c>
      <c r="T339" s="83">
        <f t="shared" si="54"/>
        <v>7.758078072289158</v>
      </c>
      <c r="U339" s="307">
        <f t="shared" si="55"/>
        <v>1073.2008000000001</v>
      </c>
      <c r="V339" s="80">
        <f t="shared" si="60"/>
        <v>10.775108433734943</v>
      </c>
      <c r="W339" s="98">
        <v>3</v>
      </c>
      <c r="X339" s="84">
        <f>+IF(P339="ACERO A36",VLOOKUP(Q339,'[3]Tiempo Objeto'!$B$2:$C$12,2,FALSE),IF(P339="INOXIDABLE",VLOOKUP(Q339,'[3]Tiempo Objeto'!$B$14:$C$22,2,FALSE),IF(P339="ALUMINIO",VLOOKUP(Q339,'[3]Tiempo Objeto'!$B$24:$C$32,2,FALSE))))</f>
        <v>0.3133333333333333</v>
      </c>
      <c r="Y339" s="84">
        <f t="shared" si="56"/>
        <v>0.94</v>
      </c>
      <c r="Z339" s="80">
        <f t="shared" si="57"/>
        <v>1.3055555555555556</v>
      </c>
      <c r="AA339" s="100">
        <v>2</v>
      </c>
      <c r="AB339" s="86">
        <f>+AA339*Analisis!$J$6</f>
        <v>50</v>
      </c>
      <c r="AC339" s="100"/>
      <c r="AD339" s="85">
        <f t="shared" si="58"/>
        <v>0</v>
      </c>
      <c r="AE339" s="86">
        <f>+AC339*Analisis!$J$7</f>
        <v>0</v>
      </c>
      <c r="AF339" s="308">
        <f>+H339*0.0254*I339*0.0254*2*(1+[3]Analisis!$G$2)</f>
        <v>7.4225658E-2</v>
      </c>
      <c r="AG339" s="86">
        <f>+AF339*Analisis!$J$8</f>
        <v>7.9085671321428599</v>
      </c>
      <c r="AH339" s="309">
        <f t="shared" si="64"/>
        <v>89.116293621433371</v>
      </c>
      <c r="AI339" s="86">
        <f>+AH339/(1-Analisis!G344)</f>
        <v>89.116293621433371</v>
      </c>
      <c r="AJ339" s="86">
        <f t="shared" si="59"/>
        <v>95.823971635949874</v>
      </c>
      <c r="AK339" s="86">
        <f t="shared" si="65"/>
        <v>0</v>
      </c>
      <c r="AL339" s="310" t="e">
        <f>+VLOOKUP(B339,#REF!,2,FALSE)</f>
        <v>#REF!</v>
      </c>
      <c r="AM339" s="311" t="e">
        <f t="shared" si="62"/>
        <v>#REF!</v>
      </c>
      <c r="AN339" s="312" t="e">
        <f t="shared" si="61"/>
        <v>#REF!</v>
      </c>
    </row>
    <row r="340" spans="1:40" s="73" customFormat="1" x14ac:dyDescent="0.25">
      <c r="A340" s="303">
        <v>45</v>
      </c>
      <c r="B340" s="304" t="s">
        <v>1116</v>
      </c>
      <c r="D340" s="74">
        <f>IFERROR(VLOOKUP(B340,'REQ. PINTADO'!B:C,2,0),0)</f>
        <v>0</v>
      </c>
      <c r="E340" s="305">
        <f t="shared" si="51"/>
        <v>121.29135025457181</v>
      </c>
      <c r="F340" s="103" t="s">
        <v>165</v>
      </c>
      <c r="G340" s="75" t="s">
        <v>147</v>
      </c>
      <c r="H340" s="90">
        <v>3.12</v>
      </c>
      <c r="I340" s="90">
        <v>24.75</v>
      </c>
      <c r="J340" s="76">
        <v>0.105</v>
      </c>
      <c r="K340" s="306">
        <v>16.38</v>
      </c>
      <c r="L340" s="78">
        <f t="shared" si="52"/>
        <v>4.3106250000000008</v>
      </c>
      <c r="M340" s="58">
        <f>+VLOOKUP(F340,Material!$H$2:$M$17,6,FALSE)*H340*I340*(1+Material!$K$14)</f>
        <v>32.094562500000002</v>
      </c>
      <c r="N340" s="79" t="str">
        <f t="shared" si="63"/>
        <v>T5.0</v>
      </c>
      <c r="O340" s="80">
        <f>+VLOOKUP(N340,[3]Material!$A$3:$B$58,2,FALSE)</f>
        <v>5000</v>
      </c>
      <c r="P340" s="79" t="s">
        <v>42</v>
      </c>
      <c r="Q340" s="79" t="str">
        <f>+VLOOKUP(F340,[3]Material!$C$2:$E$12,2,FALSE)</f>
        <v>Cal 14</v>
      </c>
      <c r="R340" s="81">
        <f>+IF(P340="ACERO A36",VLOOKUP(Q340,'[3]Velocidades Std 1500 w'!$B$2:$F$15,5,FALSE),IF(P340="INOXIDABLE",VLOOKUP(Q340,'[3]Velocidades Std 1500 w'!$B$17:$F$28,5,FALSE),IF(P340="ALUMINIO",VLOOKUP(Q340,'[3]Velocidades Std 1500 w'!$B$30:$F$38,5,FALSE))))</f>
        <v>2.0080321285140564E-6</v>
      </c>
      <c r="S340" s="82">
        <f t="shared" si="53"/>
        <v>1.0040160642570283E-2</v>
      </c>
      <c r="T340" s="83">
        <f t="shared" si="54"/>
        <v>11.613981686746991</v>
      </c>
      <c r="U340" s="307">
        <f t="shared" si="55"/>
        <v>1606.6008000000002</v>
      </c>
      <c r="V340" s="80">
        <f t="shared" si="60"/>
        <v>16.130530120481932</v>
      </c>
      <c r="W340" s="98">
        <v>3</v>
      </c>
      <c r="X340" s="84">
        <f>+IF(P340="ACERO A36",VLOOKUP(Q340,'[3]Tiempo Objeto'!$B$2:$C$12,2,FALSE),IF(P340="INOXIDABLE",VLOOKUP(Q340,'[3]Tiempo Objeto'!$B$14:$C$22,2,FALSE),IF(P340="ALUMINIO",VLOOKUP(Q340,'[3]Tiempo Objeto'!$B$24:$C$32,2,FALSE))))</f>
        <v>0.3133333333333333</v>
      </c>
      <c r="Y340" s="84">
        <f t="shared" si="56"/>
        <v>0.94</v>
      </c>
      <c r="Z340" s="80">
        <f t="shared" si="57"/>
        <v>1.3055555555555556</v>
      </c>
      <c r="AA340" s="100">
        <v>2</v>
      </c>
      <c r="AB340" s="86">
        <f>+AA340*Analisis!$J$6</f>
        <v>50</v>
      </c>
      <c r="AC340" s="100"/>
      <c r="AD340" s="85">
        <f t="shared" si="58"/>
        <v>0</v>
      </c>
      <c r="AE340" s="86">
        <f>+AC340*Analisis!$J$7</f>
        <v>0</v>
      </c>
      <c r="AF340" s="308">
        <f>+H340*0.0254*I340*0.0254*2*(1+[3]Analisis!$G$2)</f>
        <v>0.12454813799999999</v>
      </c>
      <c r="AG340" s="86">
        <f>+AF340*Analisis!$J$8</f>
        <v>13.270307560714288</v>
      </c>
      <c r="AH340" s="309">
        <f t="shared" si="64"/>
        <v>112.80095573675177</v>
      </c>
      <c r="AI340" s="86">
        <f>+AH340/(1-Analisis!G345)</f>
        <v>112.80095573675177</v>
      </c>
      <c r="AJ340" s="86">
        <f t="shared" si="59"/>
        <v>121.29135025457181</v>
      </c>
      <c r="AK340" s="86">
        <f t="shared" si="65"/>
        <v>0</v>
      </c>
      <c r="AL340" s="310" t="e">
        <f>+VLOOKUP(B340,#REF!,2,FALSE)</f>
        <v>#REF!</v>
      </c>
      <c r="AM340" s="311" t="e">
        <f t="shared" si="62"/>
        <v>#REF!</v>
      </c>
      <c r="AN340" s="312" t="e">
        <f t="shared" si="61"/>
        <v>#REF!</v>
      </c>
    </row>
    <row r="341" spans="1:40" s="73" customFormat="1" x14ac:dyDescent="0.25">
      <c r="A341" s="303">
        <v>46</v>
      </c>
      <c r="B341" s="304" t="s">
        <v>1117</v>
      </c>
      <c r="D341" s="74">
        <f>IFERROR(VLOOKUP(B341,'REQ. PINTADO'!B:C,2,0),0)</f>
        <v>0</v>
      </c>
      <c r="E341" s="305">
        <f t="shared" ref="E341:E595" si="66">+AJ341</f>
        <v>103.61693707480717</v>
      </c>
      <c r="F341" s="103" t="s">
        <v>165</v>
      </c>
      <c r="G341" s="75" t="s">
        <v>147</v>
      </c>
      <c r="H341" s="90">
        <v>3.12</v>
      </c>
      <c r="I341" s="90">
        <v>16.75</v>
      </c>
      <c r="J341" s="76">
        <v>0.105</v>
      </c>
      <c r="K341" s="306">
        <v>16.38</v>
      </c>
      <c r="L341" s="78">
        <f t="shared" ref="L341:L595" si="67">+M341*2.2/K341</f>
        <v>2.9172916666666673</v>
      </c>
      <c r="M341" s="58">
        <f>+VLOOKUP(F341,Material!$H$2:$M$17,6,FALSE)*H341*I341*(1+Material!$K$14)</f>
        <v>21.720562500000003</v>
      </c>
      <c r="N341" s="79" t="str">
        <f t="shared" si="63"/>
        <v>T5.0</v>
      </c>
      <c r="O341" s="80">
        <f>+VLOOKUP(N341,[3]Material!$A$3:$B$58,2,FALSE)</f>
        <v>5000</v>
      </c>
      <c r="P341" s="79" t="s">
        <v>42</v>
      </c>
      <c r="Q341" s="79" t="str">
        <f>+VLOOKUP(F341,[3]Material!$C$2:$E$12,2,FALSE)</f>
        <v>Cal 14</v>
      </c>
      <c r="R341" s="81">
        <f>+IF(P341="ACERO A36",VLOOKUP(Q341,'[3]Velocidades Std 1500 w'!$B$2:$F$15,5,FALSE),IF(P341="INOXIDABLE",VLOOKUP(Q341,'[3]Velocidades Std 1500 w'!$B$17:$F$28,5,FALSE),IF(P341="ALUMINIO",VLOOKUP(Q341,'[3]Velocidades Std 1500 w'!$B$30:$F$38,5,FALSE))))</f>
        <v>2.0080321285140564E-6</v>
      </c>
      <c r="S341" s="82">
        <f t="shared" ref="S341:S595" si="68">+R341*O341</f>
        <v>1.0040160642570283E-2</v>
      </c>
      <c r="T341" s="83">
        <f t="shared" ref="T341:T595" si="69">+R341*U341*3600</f>
        <v>9.3968371084337381</v>
      </c>
      <c r="U341" s="307">
        <f t="shared" ref="U341:U626" si="70">(+I341*2+H341*2+W341*1.5)*25.4*1.05</f>
        <v>1299.8958000000002</v>
      </c>
      <c r="V341" s="80">
        <f t="shared" si="60"/>
        <v>13.051162650602414</v>
      </c>
      <c r="W341" s="98">
        <v>6</v>
      </c>
      <c r="X341" s="84">
        <f>+IF(P341="ACERO A36",VLOOKUP(Q341,'[3]Tiempo Objeto'!$B$2:$C$12,2,FALSE),IF(P341="INOXIDABLE",VLOOKUP(Q341,'[3]Tiempo Objeto'!$B$14:$C$22,2,FALSE),IF(P341="ALUMINIO",VLOOKUP(Q341,'[3]Tiempo Objeto'!$B$24:$C$32,2,FALSE))))</f>
        <v>0.3133333333333333</v>
      </c>
      <c r="Y341" s="84">
        <f t="shared" ref="Y341:Y595" si="71">+X341*W341</f>
        <v>1.88</v>
      </c>
      <c r="Z341" s="80">
        <f t="shared" ref="Z341:Z595" si="72">+Y341*O341/3600</f>
        <v>2.6111111111111112</v>
      </c>
      <c r="AA341" s="100">
        <v>2</v>
      </c>
      <c r="AB341" s="86">
        <f>+AA341*Analisis!$J$6</f>
        <v>50</v>
      </c>
      <c r="AC341" s="100"/>
      <c r="AD341" s="85">
        <f t="shared" ref="AD341:AD595" si="73">30*AC341+AC341*$D341*1.5</f>
        <v>0</v>
      </c>
      <c r="AE341" s="86">
        <f>+AC341*Analisis!$J$7</f>
        <v>0</v>
      </c>
      <c r="AF341" s="308">
        <f>+H341*0.0254*I341*0.0254*2*(1+[3]Analisis!$G$2)</f>
        <v>8.4290154000000006E-2</v>
      </c>
      <c r="AG341" s="86">
        <f>+AF341*Analisis!$J$8</f>
        <v>8.980915217857147</v>
      </c>
      <c r="AH341" s="309">
        <f t="shared" si="64"/>
        <v>96.363751479570666</v>
      </c>
      <c r="AI341" s="86">
        <f>+AH341/(1-Analisis!G346)</f>
        <v>96.363751479570666</v>
      </c>
      <c r="AJ341" s="86">
        <f t="shared" ref="AJ341:AJ595" si="74">+AI341/(1-0.07)</f>
        <v>103.61693707480717</v>
      </c>
      <c r="AK341" s="86">
        <f t="shared" si="65"/>
        <v>0</v>
      </c>
      <c r="AL341" s="310" t="e">
        <f>+VLOOKUP(B341,#REF!,2,FALSE)</f>
        <v>#REF!</v>
      </c>
      <c r="AM341" s="311" t="e">
        <f t="shared" si="62"/>
        <v>#REF!</v>
      </c>
      <c r="AN341" s="312" t="e">
        <f t="shared" si="61"/>
        <v>#REF!</v>
      </c>
    </row>
    <row r="342" spans="1:40" s="73" customFormat="1" x14ac:dyDescent="0.25">
      <c r="A342" s="303">
        <v>47</v>
      </c>
      <c r="B342" s="304" t="s">
        <v>1118</v>
      </c>
      <c r="D342" s="74">
        <f>IFERROR(VLOOKUP(B342,'REQ. PINTADO'!B:C,2,0),0)</f>
        <v>0</v>
      </c>
      <c r="E342" s="305">
        <f t="shared" si="66"/>
        <v>129.08431569342915</v>
      </c>
      <c r="F342" s="103" t="s">
        <v>165</v>
      </c>
      <c r="G342" s="75" t="s">
        <v>147</v>
      </c>
      <c r="H342" s="90">
        <v>3.12</v>
      </c>
      <c r="I342" s="90">
        <v>26.75</v>
      </c>
      <c r="J342" s="76">
        <v>0.105</v>
      </c>
      <c r="K342" s="306">
        <v>16.38</v>
      </c>
      <c r="L342" s="78">
        <f t="shared" si="67"/>
        <v>4.6589583333333335</v>
      </c>
      <c r="M342" s="58">
        <f>+VLOOKUP(F342,Material!$H$2:$M$17,6,FALSE)*H342*I342*(1+Material!$K$14)</f>
        <v>34.688062500000001</v>
      </c>
      <c r="N342" s="79" t="str">
        <f t="shared" si="63"/>
        <v>T5.0</v>
      </c>
      <c r="O342" s="80">
        <f>+VLOOKUP(N342,[3]Material!$A$3:$B$58,2,FALSE)</f>
        <v>5000</v>
      </c>
      <c r="P342" s="79" t="s">
        <v>42</v>
      </c>
      <c r="Q342" s="79" t="str">
        <f>+VLOOKUP(F342,[3]Material!$C$2:$E$12,2,FALSE)</f>
        <v>Cal 14</v>
      </c>
      <c r="R342" s="81">
        <f>+IF(P342="ACERO A36",VLOOKUP(Q342,'[3]Velocidades Std 1500 w'!$B$2:$F$15,5,FALSE),IF(P342="INOXIDABLE",VLOOKUP(Q342,'[3]Velocidades Std 1500 w'!$B$17:$F$28,5,FALSE),IF(P342="ALUMINIO",VLOOKUP(Q342,'[3]Velocidades Std 1500 w'!$B$30:$F$38,5,FALSE))))</f>
        <v>2.0080321285140564E-6</v>
      </c>
      <c r="S342" s="82">
        <f t="shared" si="68"/>
        <v>1.0040160642570283E-2</v>
      </c>
      <c r="T342" s="83">
        <f t="shared" si="69"/>
        <v>13.252740722891568</v>
      </c>
      <c r="U342" s="307">
        <f t="shared" si="70"/>
        <v>1833.2958000000001</v>
      </c>
      <c r="V342" s="80">
        <f t="shared" si="60"/>
        <v>18.4065843373494</v>
      </c>
      <c r="W342" s="98">
        <v>6</v>
      </c>
      <c r="X342" s="84">
        <f>+IF(P342="ACERO A36",VLOOKUP(Q342,'[3]Tiempo Objeto'!$B$2:$C$12,2,FALSE),IF(P342="INOXIDABLE",VLOOKUP(Q342,'[3]Tiempo Objeto'!$B$14:$C$22,2,FALSE),IF(P342="ALUMINIO",VLOOKUP(Q342,'[3]Tiempo Objeto'!$B$24:$C$32,2,FALSE))))</f>
        <v>0.3133333333333333</v>
      </c>
      <c r="Y342" s="84">
        <f t="shared" si="71"/>
        <v>1.88</v>
      </c>
      <c r="Z342" s="80">
        <f t="shared" si="72"/>
        <v>2.6111111111111112</v>
      </c>
      <c r="AA342" s="100">
        <v>2</v>
      </c>
      <c r="AB342" s="86">
        <f>+AA342*Analisis!$J$6</f>
        <v>50</v>
      </c>
      <c r="AC342" s="100"/>
      <c r="AD342" s="85">
        <f t="shared" si="73"/>
        <v>0</v>
      </c>
      <c r="AE342" s="86">
        <f>+AC342*Analisis!$J$7</f>
        <v>0</v>
      </c>
      <c r="AF342" s="308">
        <f>+H342*0.0254*I342*0.0254*2*(1+[3]Analisis!$G$2)</f>
        <v>0.13461263400000001</v>
      </c>
      <c r="AG342" s="86">
        <f>+AF342*Analisis!$J$8</f>
        <v>14.342655646428577</v>
      </c>
      <c r="AH342" s="309">
        <f t="shared" si="64"/>
        <v>120.0484135948891</v>
      </c>
      <c r="AI342" s="86">
        <f>+AH342/(1-Analisis!G347)</f>
        <v>120.0484135948891</v>
      </c>
      <c r="AJ342" s="86">
        <f t="shared" si="74"/>
        <v>129.08431569342915</v>
      </c>
      <c r="AK342" s="86">
        <f t="shared" si="65"/>
        <v>0</v>
      </c>
      <c r="AL342" s="310" t="e">
        <f>+VLOOKUP(B342,#REF!,2,FALSE)</f>
        <v>#REF!</v>
      </c>
      <c r="AM342" s="311" t="e">
        <f t="shared" si="62"/>
        <v>#REF!</v>
      </c>
      <c r="AN342" s="312" t="e">
        <f t="shared" si="61"/>
        <v>#REF!</v>
      </c>
    </row>
    <row r="343" spans="1:40" s="73" customFormat="1" x14ac:dyDescent="0.25">
      <c r="A343" s="303">
        <v>48</v>
      </c>
      <c r="B343" s="304" t="s">
        <v>1119</v>
      </c>
      <c r="D343" s="74">
        <f>IFERROR(VLOOKUP(B343,'REQ. PINTADO'!B:C,2,0),0)</f>
        <v>0</v>
      </c>
      <c r="E343" s="305">
        <f t="shared" si="66"/>
        <v>126.3749789436944</v>
      </c>
      <c r="F343" s="103" t="s">
        <v>165</v>
      </c>
      <c r="G343" s="75" t="s">
        <v>147</v>
      </c>
      <c r="H343" s="90">
        <v>3.05</v>
      </c>
      <c r="I343" s="90">
        <v>22.92</v>
      </c>
      <c r="J343" s="76">
        <v>0.105</v>
      </c>
      <c r="K343" s="306">
        <v>16.38</v>
      </c>
      <c r="L343" s="78">
        <f t="shared" si="67"/>
        <v>3.9023381410256421</v>
      </c>
      <c r="M343" s="58">
        <f>+VLOOKUP(F343,Material!$H$2:$M$17,6,FALSE)*H343*I343*(1+Material!$K$14)</f>
        <v>29.054681250000005</v>
      </c>
      <c r="N343" s="79" t="str">
        <f t="shared" si="63"/>
        <v>T5.0</v>
      </c>
      <c r="O343" s="80">
        <f>+VLOOKUP(N343,[3]Material!$A$3:$B$58,2,FALSE)</f>
        <v>5000</v>
      </c>
      <c r="P343" s="79" t="s">
        <v>42</v>
      </c>
      <c r="Q343" s="79" t="str">
        <f>+VLOOKUP(F343,[3]Material!$C$2:$E$12,2,FALSE)</f>
        <v>Cal 14</v>
      </c>
      <c r="R343" s="81">
        <f>+IF(P343="ACERO A36",VLOOKUP(Q343,'[3]Velocidades Std 1500 w'!$B$2:$F$15,5,FALSE),IF(P343="INOXIDABLE",VLOOKUP(Q343,'[3]Velocidades Std 1500 w'!$B$17:$F$28,5,FALSE),IF(P343="ALUMINIO",VLOOKUP(Q343,'[3]Velocidades Std 1500 w'!$B$30:$F$38,5,FALSE))))</f>
        <v>2.0080321285140564E-6</v>
      </c>
      <c r="S343" s="82">
        <f t="shared" si="68"/>
        <v>1.0040160642570283E-2</v>
      </c>
      <c r="T343" s="83">
        <f t="shared" si="69"/>
        <v>14.351673253012047</v>
      </c>
      <c r="U343" s="307">
        <f t="shared" si="70"/>
        <v>1985.3147999999999</v>
      </c>
      <c r="V343" s="80">
        <f t="shared" si="60"/>
        <v>19.932879518072291</v>
      </c>
      <c r="W343" s="98">
        <v>15</v>
      </c>
      <c r="X343" s="84">
        <f>+IF(P343="ACERO A36",VLOOKUP(Q343,'[3]Tiempo Objeto'!$B$2:$C$12,2,FALSE),IF(P343="INOXIDABLE",VLOOKUP(Q343,'[3]Tiempo Objeto'!$B$14:$C$22,2,FALSE),IF(P343="ALUMINIO",VLOOKUP(Q343,'[3]Tiempo Objeto'!$B$24:$C$32,2,FALSE))))</f>
        <v>0.3133333333333333</v>
      </c>
      <c r="Y343" s="84">
        <f t="shared" si="71"/>
        <v>4.6999999999999993</v>
      </c>
      <c r="Z343" s="80">
        <f t="shared" si="72"/>
        <v>6.5277777777777768</v>
      </c>
      <c r="AA343" s="100">
        <v>2</v>
      </c>
      <c r="AB343" s="86">
        <f>+AA343*Analisis!$J$6</f>
        <v>50</v>
      </c>
      <c r="AC343" s="100"/>
      <c r="AD343" s="85">
        <f t="shared" si="73"/>
        <v>0</v>
      </c>
      <c r="AE343" s="86">
        <f>+AC343*Analisis!$J$7</f>
        <v>0</v>
      </c>
      <c r="AF343" s="308">
        <f>+H343*0.0254*I343*0.0254*2*(1+[3]Analisis!$G$2)</f>
        <v>0.11275138739999999</v>
      </c>
      <c r="AG343" s="86">
        <f>+AF343*Analisis!$J$8</f>
        <v>12.013391871785716</v>
      </c>
      <c r="AH343" s="309">
        <f t="shared" si="64"/>
        <v>117.52873041763578</v>
      </c>
      <c r="AI343" s="86">
        <f>+AH343/(1-Analisis!G348)</f>
        <v>117.52873041763578</v>
      </c>
      <c r="AJ343" s="86">
        <f t="shared" si="74"/>
        <v>126.3749789436944</v>
      </c>
      <c r="AK343" s="86">
        <f t="shared" si="65"/>
        <v>0</v>
      </c>
      <c r="AL343" s="310" t="e">
        <f>+VLOOKUP(B343,#REF!,2,FALSE)</f>
        <v>#REF!</v>
      </c>
      <c r="AM343" s="311" t="e">
        <f t="shared" si="62"/>
        <v>#REF!</v>
      </c>
      <c r="AN343" s="312" t="e">
        <f t="shared" si="61"/>
        <v>#REF!</v>
      </c>
    </row>
    <row r="344" spans="1:40" s="73" customFormat="1" x14ac:dyDescent="0.25">
      <c r="A344" s="303">
        <v>49</v>
      </c>
      <c r="B344" s="304" t="s">
        <v>1120</v>
      </c>
      <c r="D344" s="74">
        <f>IFERROR(VLOOKUP(B344,'REQ. PINTADO'!B:C,2,0),0)</f>
        <v>0</v>
      </c>
      <c r="E344" s="305">
        <f t="shared" si="66"/>
        <v>126.3749789436944</v>
      </c>
      <c r="F344" s="103" t="s">
        <v>165</v>
      </c>
      <c r="G344" s="75" t="s">
        <v>147</v>
      </c>
      <c r="H344" s="90">
        <v>3.05</v>
      </c>
      <c r="I344" s="90">
        <v>22.92</v>
      </c>
      <c r="J344" s="76">
        <v>0.105</v>
      </c>
      <c r="K344" s="306">
        <v>16.38</v>
      </c>
      <c r="L344" s="78">
        <f t="shared" si="67"/>
        <v>3.9023381410256421</v>
      </c>
      <c r="M344" s="58">
        <f>+VLOOKUP(F344,Material!$H$2:$M$17,6,FALSE)*H344*I344*(1+Material!$K$14)</f>
        <v>29.054681250000005</v>
      </c>
      <c r="N344" s="79" t="str">
        <f t="shared" si="63"/>
        <v>T5.0</v>
      </c>
      <c r="O344" s="80">
        <f>+VLOOKUP(N344,[3]Material!$A$3:$B$58,2,FALSE)</f>
        <v>5000</v>
      </c>
      <c r="P344" s="79" t="s">
        <v>42</v>
      </c>
      <c r="Q344" s="79" t="str">
        <f>+VLOOKUP(F344,[3]Material!$C$2:$E$12,2,FALSE)</f>
        <v>Cal 14</v>
      </c>
      <c r="R344" s="81">
        <f>+IF(P344="ACERO A36",VLOOKUP(Q344,'[3]Velocidades Std 1500 w'!$B$2:$F$15,5,FALSE),IF(P344="INOXIDABLE",VLOOKUP(Q344,'[3]Velocidades Std 1500 w'!$B$17:$F$28,5,FALSE),IF(P344="ALUMINIO",VLOOKUP(Q344,'[3]Velocidades Std 1500 w'!$B$30:$F$38,5,FALSE))))</f>
        <v>2.0080321285140564E-6</v>
      </c>
      <c r="S344" s="82">
        <f t="shared" si="68"/>
        <v>1.0040160642570283E-2</v>
      </c>
      <c r="T344" s="83">
        <f t="shared" si="69"/>
        <v>14.351673253012047</v>
      </c>
      <c r="U344" s="307">
        <f t="shared" si="70"/>
        <v>1985.3147999999999</v>
      </c>
      <c r="V344" s="80">
        <f t="shared" ref="V344:V598" si="75">+U344*S344</f>
        <v>19.932879518072291</v>
      </c>
      <c r="W344" s="98">
        <v>15</v>
      </c>
      <c r="X344" s="84">
        <f>+IF(P344="ACERO A36",VLOOKUP(Q344,'[3]Tiempo Objeto'!$B$2:$C$12,2,FALSE),IF(P344="INOXIDABLE",VLOOKUP(Q344,'[3]Tiempo Objeto'!$B$14:$C$22,2,FALSE),IF(P344="ALUMINIO",VLOOKUP(Q344,'[3]Tiempo Objeto'!$B$24:$C$32,2,FALSE))))</f>
        <v>0.3133333333333333</v>
      </c>
      <c r="Y344" s="84">
        <f t="shared" si="71"/>
        <v>4.6999999999999993</v>
      </c>
      <c r="Z344" s="80">
        <f t="shared" si="72"/>
        <v>6.5277777777777768</v>
      </c>
      <c r="AA344" s="100">
        <v>2</v>
      </c>
      <c r="AB344" s="86">
        <f>+AA344*Analisis!$J$6</f>
        <v>50</v>
      </c>
      <c r="AC344" s="100"/>
      <c r="AD344" s="85">
        <f t="shared" si="73"/>
        <v>0</v>
      </c>
      <c r="AE344" s="86">
        <f>+AC344*Analisis!$J$7</f>
        <v>0</v>
      </c>
      <c r="AF344" s="308">
        <f>+H344*0.0254*I344*0.0254*2*(1+[3]Analisis!$G$2)</f>
        <v>0.11275138739999999</v>
      </c>
      <c r="AG344" s="86">
        <f>+AF344*Analisis!$J$8</f>
        <v>12.013391871785716</v>
      </c>
      <c r="AH344" s="309">
        <f t="shared" si="64"/>
        <v>117.52873041763578</v>
      </c>
      <c r="AI344" s="86">
        <f>+AH344/(1-Analisis!G349)</f>
        <v>117.52873041763578</v>
      </c>
      <c r="AJ344" s="86">
        <f t="shared" si="74"/>
        <v>126.3749789436944</v>
      </c>
      <c r="AK344" s="86">
        <f t="shared" si="65"/>
        <v>0</v>
      </c>
      <c r="AL344" s="310" t="e">
        <f>+VLOOKUP(B344,#REF!,2,FALSE)</f>
        <v>#REF!</v>
      </c>
      <c r="AM344" s="311" t="e">
        <f t="shared" si="62"/>
        <v>#REF!</v>
      </c>
      <c r="AN344" s="312" t="e">
        <f t="shared" si="61"/>
        <v>#REF!</v>
      </c>
    </row>
    <row r="345" spans="1:40" s="73" customFormat="1" x14ac:dyDescent="0.25">
      <c r="A345" s="303">
        <v>50</v>
      </c>
      <c r="B345" s="304" t="s">
        <v>1121</v>
      </c>
      <c r="D345" s="74">
        <f>IFERROR(VLOOKUP(B345,'REQ. PINTADO'!B:C,2,0),0)</f>
        <v>0</v>
      </c>
      <c r="E345" s="305">
        <f t="shared" si="66"/>
        <v>440.32558514955736</v>
      </c>
      <c r="F345" s="103" t="s">
        <v>165</v>
      </c>
      <c r="G345" s="75" t="s">
        <v>147</v>
      </c>
      <c r="H345" s="90">
        <v>21.94</v>
      </c>
      <c r="I345" s="90">
        <v>12.19</v>
      </c>
      <c r="J345" s="76">
        <v>0.105</v>
      </c>
      <c r="K345" s="306">
        <v>16.38</v>
      </c>
      <c r="L345" s="78">
        <f t="shared" si="67"/>
        <v>14.929689476495728</v>
      </c>
      <c r="M345" s="58">
        <f>+VLOOKUP(F345,Material!$H$2:$M$17,6,FALSE)*H345*I345*(1+Material!$K$14)</f>
        <v>111.15832437500001</v>
      </c>
      <c r="N345" s="79" t="str">
        <f t="shared" si="63"/>
        <v>T5.0</v>
      </c>
      <c r="O345" s="80">
        <f>+VLOOKUP(N345,[3]Material!$A$3:$B$58,2,FALSE)</f>
        <v>5000</v>
      </c>
      <c r="P345" s="79" t="s">
        <v>42</v>
      </c>
      <c r="Q345" s="79" t="str">
        <f>+VLOOKUP(F345,[3]Material!$C$2:$E$12,2,FALSE)</f>
        <v>Cal 14</v>
      </c>
      <c r="R345" s="81">
        <f>+IF(P345="ACERO A36",VLOOKUP(Q345,'[3]Velocidades Std 1500 w'!$B$2:$F$15,5,FALSE),IF(P345="INOXIDABLE",VLOOKUP(Q345,'[3]Velocidades Std 1500 w'!$B$17:$F$28,5,FALSE),IF(P345="ALUMINIO",VLOOKUP(Q345,'[3]Velocidades Std 1500 w'!$B$30:$F$38,5,FALSE))))</f>
        <v>2.0080321285140564E-6</v>
      </c>
      <c r="S345" s="82">
        <f t="shared" si="68"/>
        <v>1.0040160642570283E-2</v>
      </c>
      <c r="T345" s="83">
        <f t="shared" si="69"/>
        <v>76.782608674698807</v>
      </c>
      <c r="U345" s="307">
        <f t="shared" si="70"/>
        <v>10621.594200000001</v>
      </c>
      <c r="V345" s="80">
        <f t="shared" si="75"/>
        <v>106.6425120481928</v>
      </c>
      <c r="W345" s="98">
        <v>220</v>
      </c>
      <c r="X345" s="84">
        <f>+IF(P345="ACERO A36",VLOOKUP(Q345,'[3]Tiempo Objeto'!$B$2:$C$12,2,FALSE),IF(P345="INOXIDABLE",VLOOKUP(Q345,'[3]Tiempo Objeto'!$B$14:$C$22,2,FALSE),IF(P345="ALUMINIO",VLOOKUP(Q345,'[3]Tiempo Objeto'!$B$24:$C$32,2,FALSE))))</f>
        <v>0.3133333333333333</v>
      </c>
      <c r="Y345" s="84">
        <f t="shared" si="71"/>
        <v>68.933333333333323</v>
      </c>
      <c r="Z345" s="80">
        <f t="shared" si="72"/>
        <v>95.740740740740733</v>
      </c>
      <c r="AA345" s="100">
        <v>2</v>
      </c>
      <c r="AB345" s="86">
        <f>+AA345*Analisis!$J$6</f>
        <v>50</v>
      </c>
      <c r="AC345" s="100"/>
      <c r="AD345" s="85">
        <f t="shared" si="73"/>
        <v>0</v>
      </c>
      <c r="AE345" s="86">
        <f>+AC345*Analisis!$J$7</f>
        <v>0</v>
      </c>
      <c r="AF345" s="308">
        <f>+H345*0.0254*I345*0.0254*2*(1+[3]Analisis!$G$2)</f>
        <v>0.43136784693999997</v>
      </c>
      <c r="AG345" s="86">
        <f>+AF345*Analisis!$J$8</f>
        <v>45.961217025154774</v>
      </c>
      <c r="AH345" s="309">
        <f t="shared" si="64"/>
        <v>409.50279418908832</v>
      </c>
      <c r="AI345" s="86">
        <f>+AH345/(1-Analisis!G350)</f>
        <v>409.50279418908832</v>
      </c>
      <c r="AJ345" s="86">
        <f t="shared" si="74"/>
        <v>440.32558514955736</v>
      </c>
      <c r="AK345" s="86">
        <f t="shared" si="65"/>
        <v>0</v>
      </c>
      <c r="AL345" s="310" t="e">
        <f>+VLOOKUP(B345,#REF!,2,FALSE)</f>
        <v>#REF!</v>
      </c>
      <c r="AM345" s="311" t="e">
        <f t="shared" si="62"/>
        <v>#REF!</v>
      </c>
      <c r="AN345" s="312" t="e">
        <f t="shared" si="61"/>
        <v>#REF!</v>
      </c>
    </row>
    <row r="346" spans="1:40" s="73" customFormat="1" x14ac:dyDescent="0.25">
      <c r="A346" s="303">
        <v>51</v>
      </c>
      <c r="B346" s="304" t="s">
        <v>1122</v>
      </c>
      <c r="D346" s="74">
        <f>IFERROR(VLOOKUP(B346,'REQ. PINTADO'!B:C,2,0),0)</f>
        <v>0</v>
      </c>
      <c r="E346" s="305">
        <f t="shared" si="66"/>
        <v>402.11967387898164</v>
      </c>
      <c r="F346" s="103" t="s">
        <v>165</v>
      </c>
      <c r="G346" s="75" t="s">
        <v>147</v>
      </c>
      <c r="H346" s="90">
        <v>21.94</v>
      </c>
      <c r="I346" s="90">
        <v>10.79</v>
      </c>
      <c r="J346" s="76">
        <v>0.105</v>
      </c>
      <c r="K346" s="306">
        <v>16.38</v>
      </c>
      <c r="L346" s="78">
        <f t="shared" si="67"/>
        <v>13.215040972222225</v>
      </c>
      <c r="M346" s="58">
        <f>+VLOOKUP(F346,Material!$H$2:$M$17,6,FALSE)*H346*I346*(1+Material!$K$14)</f>
        <v>98.391986875000001</v>
      </c>
      <c r="N346" s="79" t="str">
        <f t="shared" si="63"/>
        <v>T5.0</v>
      </c>
      <c r="O346" s="80">
        <f>+VLOOKUP(N346,[3]Material!$A$3:$B$58,2,FALSE)</f>
        <v>5000</v>
      </c>
      <c r="P346" s="79" t="s">
        <v>42</v>
      </c>
      <c r="Q346" s="79" t="str">
        <f>+VLOOKUP(F346,[3]Material!$C$2:$E$12,2,FALSE)</f>
        <v>Cal 14</v>
      </c>
      <c r="R346" s="81">
        <f>+IF(P346="ACERO A36",VLOOKUP(Q346,'[3]Velocidades Std 1500 w'!$B$2:$F$15,5,FALSE),IF(P346="INOXIDABLE",VLOOKUP(Q346,'[3]Velocidades Std 1500 w'!$B$17:$F$28,5,FALSE),IF(P346="ALUMINIO",VLOOKUP(Q346,'[3]Velocidades Std 1500 w'!$B$30:$F$38,5,FALSE))))</f>
        <v>2.0080321285140564E-6</v>
      </c>
      <c r="S346" s="82">
        <f t="shared" si="68"/>
        <v>1.0040160642570283E-2</v>
      </c>
      <c r="T346" s="83">
        <f t="shared" si="69"/>
        <v>70.45892674698797</v>
      </c>
      <c r="U346" s="307">
        <f t="shared" si="70"/>
        <v>9746.8182000000015</v>
      </c>
      <c r="V346" s="80">
        <f t="shared" si="75"/>
        <v>97.859620481927749</v>
      </c>
      <c r="W346" s="98">
        <v>200</v>
      </c>
      <c r="X346" s="84">
        <f>+IF(P346="ACERO A36",VLOOKUP(Q346,'[3]Tiempo Objeto'!$B$2:$C$12,2,FALSE),IF(P346="INOXIDABLE",VLOOKUP(Q346,'[3]Tiempo Objeto'!$B$14:$C$22,2,FALSE),IF(P346="ALUMINIO",VLOOKUP(Q346,'[3]Tiempo Objeto'!$B$24:$C$32,2,FALSE))))</f>
        <v>0.3133333333333333</v>
      </c>
      <c r="Y346" s="84">
        <f t="shared" si="71"/>
        <v>62.666666666666657</v>
      </c>
      <c r="Z346" s="80">
        <f t="shared" si="72"/>
        <v>87.037037037037038</v>
      </c>
      <c r="AA346" s="100">
        <v>2</v>
      </c>
      <c r="AB346" s="86">
        <f>+AA346*Analisis!$J$6</f>
        <v>50</v>
      </c>
      <c r="AC346" s="100"/>
      <c r="AD346" s="85">
        <f t="shared" si="73"/>
        <v>0</v>
      </c>
      <c r="AE346" s="86">
        <f>+AC346*Analisis!$J$7</f>
        <v>0</v>
      </c>
      <c r="AF346" s="308">
        <f>+H346*0.0254*I346*0.0254*2*(1+[3]Analisis!$G$2)</f>
        <v>0.38182601053999998</v>
      </c>
      <c r="AG346" s="86">
        <f>+AF346*Analisis!$J$8</f>
        <v>40.682652313488106</v>
      </c>
      <c r="AH346" s="309">
        <f t="shared" si="64"/>
        <v>373.97129670745289</v>
      </c>
      <c r="AI346" s="86">
        <f>+AH346/(1-Analisis!G351)</f>
        <v>373.97129670745289</v>
      </c>
      <c r="AJ346" s="86">
        <f t="shared" si="74"/>
        <v>402.11967387898164</v>
      </c>
      <c r="AK346" s="86">
        <f t="shared" si="65"/>
        <v>0</v>
      </c>
      <c r="AL346" s="310" t="e">
        <f>+VLOOKUP(B346,#REF!,2,FALSE)</f>
        <v>#REF!</v>
      </c>
      <c r="AM346" s="311" t="e">
        <f t="shared" si="62"/>
        <v>#REF!</v>
      </c>
      <c r="AN346" s="312" t="e">
        <f t="shared" si="61"/>
        <v>#REF!</v>
      </c>
    </row>
    <row r="347" spans="1:40" s="73" customFormat="1" x14ac:dyDescent="0.25">
      <c r="A347" s="303">
        <v>52</v>
      </c>
      <c r="B347" s="304" t="s">
        <v>1123</v>
      </c>
      <c r="D347" s="74">
        <f>IFERROR(VLOOKUP(B347,'REQ. PINTADO'!B:C,2,0),0)</f>
        <v>0</v>
      </c>
      <c r="E347" s="305">
        <f t="shared" si="66"/>
        <v>80.987895731770834</v>
      </c>
      <c r="F347" s="103" t="s">
        <v>165</v>
      </c>
      <c r="G347" s="75" t="s">
        <v>147</v>
      </c>
      <c r="H347" s="90">
        <v>3.05</v>
      </c>
      <c r="I347" s="90">
        <v>7.66</v>
      </c>
      <c r="J347" s="76">
        <v>0.105</v>
      </c>
      <c r="K347" s="306">
        <v>16.38</v>
      </c>
      <c r="L347" s="78">
        <f t="shared" si="67"/>
        <v>1.3041845619658123</v>
      </c>
      <c r="M347" s="58">
        <f>+VLOOKUP(F347,Material!$H$2:$M$17,6,FALSE)*H347*I347*(1+Material!$K$14)</f>
        <v>9.7102468750000011</v>
      </c>
      <c r="N347" s="79" t="str">
        <f t="shared" si="63"/>
        <v>T5.0</v>
      </c>
      <c r="O347" s="80">
        <f>+VLOOKUP(N347,[3]Material!$A$3:$B$58,2,FALSE)</f>
        <v>5000</v>
      </c>
      <c r="P347" s="79" t="s">
        <v>42</v>
      </c>
      <c r="Q347" s="79" t="str">
        <f>+VLOOKUP(F347,[3]Material!$C$2:$E$12,2,FALSE)</f>
        <v>Cal 14</v>
      </c>
      <c r="R347" s="81">
        <f>+IF(P347="ACERO A36",VLOOKUP(Q347,'[3]Velocidades Std 1500 w'!$B$2:$F$15,5,FALSE),IF(P347="INOXIDABLE",VLOOKUP(Q347,'[3]Velocidades Std 1500 w'!$B$17:$F$28,5,FALSE),IF(P347="ALUMINIO",VLOOKUP(Q347,'[3]Velocidades Std 1500 w'!$B$30:$F$38,5,FALSE))))</f>
        <v>2.0080321285140564E-6</v>
      </c>
      <c r="S347" s="82">
        <f t="shared" si="68"/>
        <v>1.0040160642570283E-2</v>
      </c>
      <c r="T347" s="83">
        <f t="shared" si="69"/>
        <v>6.1540221686746994</v>
      </c>
      <c r="U347" s="307">
        <f t="shared" si="70"/>
        <v>851.30640000000005</v>
      </c>
      <c r="V347" s="80">
        <f t="shared" si="75"/>
        <v>8.5472530120481949</v>
      </c>
      <c r="W347" s="98">
        <v>7</v>
      </c>
      <c r="X347" s="84">
        <f>+IF(P347="ACERO A36",VLOOKUP(Q347,'[3]Tiempo Objeto'!$B$2:$C$12,2,FALSE),IF(P347="INOXIDABLE",VLOOKUP(Q347,'[3]Tiempo Objeto'!$B$14:$C$22,2,FALSE),IF(P347="ALUMINIO",VLOOKUP(Q347,'[3]Tiempo Objeto'!$B$24:$C$32,2,FALSE))))</f>
        <v>0.3133333333333333</v>
      </c>
      <c r="Y347" s="84">
        <f t="shared" si="71"/>
        <v>2.1933333333333329</v>
      </c>
      <c r="Z347" s="80">
        <f t="shared" si="72"/>
        <v>3.0462962962962958</v>
      </c>
      <c r="AA347" s="100">
        <v>2</v>
      </c>
      <c r="AB347" s="86">
        <f>+AA347*Analisis!$J$6</f>
        <v>50</v>
      </c>
      <c r="AC347" s="100"/>
      <c r="AD347" s="85">
        <f t="shared" si="73"/>
        <v>0</v>
      </c>
      <c r="AE347" s="86">
        <f>+AC347*Analisis!$J$7</f>
        <v>0</v>
      </c>
      <c r="AF347" s="308">
        <f>+H347*0.0254*I347*0.0254*2*(1+[3]Analisis!$G$2)</f>
        <v>3.7682182699999997E-2</v>
      </c>
      <c r="AG347" s="86">
        <f>+AF347*Analisis!$J$8</f>
        <v>4.0149468472023822</v>
      </c>
      <c r="AH347" s="309">
        <f t="shared" si="64"/>
        <v>75.318743030546869</v>
      </c>
      <c r="AI347" s="86">
        <f>+AH347/(1-Analisis!G352)</f>
        <v>75.318743030546869</v>
      </c>
      <c r="AJ347" s="86">
        <f t="shared" si="74"/>
        <v>80.987895731770834</v>
      </c>
      <c r="AK347" s="86">
        <f t="shared" si="65"/>
        <v>0</v>
      </c>
      <c r="AL347" s="310" t="e">
        <f>+VLOOKUP(B347,#REF!,2,FALSE)</f>
        <v>#REF!</v>
      </c>
      <c r="AM347" s="311" t="e">
        <f t="shared" si="62"/>
        <v>#REF!</v>
      </c>
      <c r="AN347" s="312" t="e">
        <f t="shared" si="61"/>
        <v>#REF!</v>
      </c>
    </row>
    <row r="348" spans="1:40" s="73" customFormat="1" x14ac:dyDescent="0.25">
      <c r="A348" s="303">
        <v>53</v>
      </c>
      <c r="B348" s="304" t="s">
        <v>1124</v>
      </c>
      <c r="D348" s="74">
        <f>IFERROR(VLOOKUP(B348,'REQ. PINTADO'!B:C,2,0),0)</f>
        <v>0</v>
      </c>
      <c r="E348" s="305">
        <f t="shared" si="66"/>
        <v>80.987895731770834</v>
      </c>
      <c r="F348" s="103" t="s">
        <v>165</v>
      </c>
      <c r="G348" s="75" t="s">
        <v>147</v>
      </c>
      <c r="H348" s="90">
        <v>3.05</v>
      </c>
      <c r="I348" s="90">
        <v>7.66</v>
      </c>
      <c r="J348" s="76">
        <v>0.105</v>
      </c>
      <c r="K348" s="306">
        <v>16.38</v>
      </c>
      <c r="L348" s="78">
        <f t="shared" si="67"/>
        <v>1.3041845619658123</v>
      </c>
      <c r="M348" s="58">
        <f>+VLOOKUP(F348,Material!$H$2:$M$17,6,FALSE)*H348*I348*(1+Material!$K$14)</f>
        <v>9.7102468750000011</v>
      </c>
      <c r="N348" s="79" t="str">
        <f t="shared" si="63"/>
        <v>T5.0</v>
      </c>
      <c r="O348" s="80">
        <f>+VLOOKUP(N348,[3]Material!$A$3:$B$58,2,FALSE)</f>
        <v>5000</v>
      </c>
      <c r="P348" s="79" t="s">
        <v>42</v>
      </c>
      <c r="Q348" s="79" t="str">
        <f>+VLOOKUP(F348,[3]Material!$C$2:$E$12,2,FALSE)</f>
        <v>Cal 14</v>
      </c>
      <c r="R348" s="81">
        <f>+IF(P348="ACERO A36",VLOOKUP(Q348,'[3]Velocidades Std 1500 w'!$B$2:$F$15,5,FALSE),IF(P348="INOXIDABLE",VLOOKUP(Q348,'[3]Velocidades Std 1500 w'!$B$17:$F$28,5,FALSE),IF(P348="ALUMINIO",VLOOKUP(Q348,'[3]Velocidades Std 1500 w'!$B$30:$F$38,5,FALSE))))</f>
        <v>2.0080321285140564E-6</v>
      </c>
      <c r="S348" s="82">
        <f t="shared" si="68"/>
        <v>1.0040160642570283E-2</v>
      </c>
      <c r="T348" s="83">
        <f t="shared" si="69"/>
        <v>6.1540221686746994</v>
      </c>
      <c r="U348" s="307">
        <f t="shared" si="70"/>
        <v>851.30640000000005</v>
      </c>
      <c r="V348" s="80">
        <f t="shared" si="75"/>
        <v>8.5472530120481949</v>
      </c>
      <c r="W348" s="98">
        <v>7</v>
      </c>
      <c r="X348" s="84">
        <f>+IF(P348="ACERO A36",VLOOKUP(Q348,'[3]Tiempo Objeto'!$B$2:$C$12,2,FALSE),IF(P348="INOXIDABLE",VLOOKUP(Q348,'[3]Tiempo Objeto'!$B$14:$C$22,2,FALSE),IF(P348="ALUMINIO",VLOOKUP(Q348,'[3]Tiempo Objeto'!$B$24:$C$32,2,FALSE))))</f>
        <v>0.3133333333333333</v>
      </c>
      <c r="Y348" s="84">
        <f t="shared" si="71"/>
        <v>2.1933333333333329</v>
      </c>
      <c r="Z348" s="80">
        <f t="shared" si="72"/>
        <v>3.0462962962962958</v>
      </c>
      <c r="AA348" s="100">
        <v>2</v>
      </c>
      <c r="AB348" s="86">
        <f>+AA348*Analisis!$J$6</f>
        <v>50</v>
      </c>
      <c r="AC348" s="100"/>
      <c r="AD348" s="85">
        <f t="shared" si="73"/>
        <v>0</v>
      </c>
      <c r="AE348" s="86">
        <f>+AC348*Analisis!$J$7</f>
        <v>0</v>
      </c>
      <c r="AF348" s="308">
        <f>+H348*0.0254*I348*0.0254*2*(1+[3]Analisis!$G$2)</f>
        <v>3.7682182699999997E-2</v>
      </c>
      <c r="AG348" s="86">
        <f>+AF348*Analisis!$J$8</f>
        <v>4.0149468472023822</v>
      </c>
      <c r="AH348" s="309">
        <f t="shared" si="64"/>
        <v>75.318743030546869</v>
      </c>
      <c r="AI348" s="86">
        <f>+AH348/(1-Analisis!G353)</f>
        <v>75.318743030546869</v>
      </c>
      <c r="AJ348" s="86">
        <f t="shared" si="74"/>
        <v>80.987895731770834</v>
      </c>
      <c r="AK348" s="86">
        <f t="shared" si="65"/>
        <v>0</v>
      </c>
      <c r="AL348" s="310" t="e">
        <f>+VLOOKUP(B348,#REF!,2,FALSE)</f>
        <v>#REF!</v>
      </c>
      <c r="AM348" s="311" t="e">
        <f t="shared" si="62"/>
        <v>#REF!</v>
      </c>
      <c r="AN348" s="312" t="e">
        <f t="shared" si="61"/>
        <v>#REF!</v>
      </c>
    </row>
    <row r="349" spans="1:40" s="73" customFormat="1" x14ac:dyDescent="0.25">
      <c r="A349" s="303">
        <v>54</v>
      </c>
      <c r="B349" s="304" t="s">
        <v>1125</v>
      </c>
      <c r="D349" s="74">
        <f>IFERROR(VLOOKUP(B349,'REQ. PINTADO'!B:C,2,0),0)</f>
        <v>0</v>
      </c>
      <c r="E349" s="305">
        <f t="shared" si="66"/>
        <v>523.08763246377589</v>
      </c>
      <c r="F349" s="103" t="s">
        <v>165</v>
      </c>
      <c r="G349" s="75" t="s">
        <v>147</v>
      </c>
      <c r="H349" s="90">
        <v>31.94</v>
      </c>
      <c r="I349" s="90">
        <v>12.19</v>
      </c>
      <c r="J349" s="76">
        <v>0.105</v>
      </c>
      <c r="K349" s="306">
        <v>16.38</v>
      </c>
      <c r="L349" s="78">
        <f t="shared" si="67"/>
        <v>21.734470459401717</v>
      </c>
      <c r="M349" s="58">
        <f>+VLOOKUP(F349,Material!$H$2:$M$17,6,FALSE)*H349*I349*(1+Material!$K$14)</f>
        <v>161.82301187500002</v>
      </c>
      <c r="N349" s="79" t="str">
        <f t="shared" si="63"/>
        <v>T5.0</v>
      </c>
      <c r="O349" s="80">
        <f>+VLOOKUP(N349,[3]Material!$A$3:$B$58,2,FALSE)</f>
        <v>5000</v>
      </c>
      <c r="P349" s="79" t="s">
        <v>42</v>
      </c>
      <c r="Q349" s="79" t="str">
        <f>+VLOOKUP(F349,[3]Material!$C$2:$E$12,2,FALSE)</f>
        <v>Cal 14</v>
      </c>
      <c r="R349" s="81">
        <f>+IF(P349="ACERO A36",VLOOKUP(Q349,'[3]Velocidades Std 1500 w'!$B$2:$F$15,5,FALSE),IF(P349="INOXIDABLE",VLOOKUP(Q349,'[3]Velocidades Std 1500 w'!$B$17:$F$28,5,FALSE),IF(P349="ALUMINIO",VLOOKUP(Q349,'[3]Velocidades Std 1500 w'!$B$30:$F$38,5,FALSE))))</f>
        <v>2.0080321285140564E-6</v>
      </c>
      <c r="S349" s="82">
        <f t="shared" si="68"/>
        <v>1.0040160642570283E-2</v>
      </c>
      <c r="T349" s="83">
        <f t="shared" si="69"/>
        <v>80.638512289156637</v>
      </c>
      <c r="U349" s="307">
        <f t="shared" si="70"/>
        <v>11154.994199999999</v>
      </c>
      <c r="V349" s="80">
        <f t="shared" si="75"/>
        <v>111.99793373493976</v>
      </c>
      <c r="W349" s="98">
        <v>220</v>
      </c>
      <c r="X349" s="84">
        <f>+IF(P349="ACERO A36",VLOOKUP(Q349,'[3]Tiempo Objeto'!$B$2:$C$12,2,FALSE),IF(P349="INOXIDABLE",VLOOKUP(Q349,'[3]Tiempo Objeto'!$B$14:$C$22,2,FALSE),IF(P349="ALUMINIO",VLOOKUP(Q349,'[3]Tiempo Objeto'!$B$24:$C$32,2,FALSE))))</f>
        <v>0.3133333333333333</v>
      </c>
      <c r="Y349" s="84">
        <f t="shared" si="71"/>
        <v>68.933333333333323</v>
      </c>
      <c r="Z349" s="80">
        <f t="shared" si="72"/>
        <v>95.740740740740733</v>
      </c>
      <c r="AA349" s="100">
        <v>2</v>
      </c>
      <c r="AB349" s="86">
        <f>+AA349*Analisis!$J$6</f>
        <v>50</v>
      </c>
      <c r="AC349" s="100"/>
      <c r="AD349" s="85">
        <f t="shared" si="73"/>
        <v>0</v>
      </c>
      <c r="AE349" s="86">
        <f>+AC349*Analisis!$J$7</f>
        <v>0</v>
      </c>
      <c r="AF349" s="308">
        <f>+H349*0.0254*I349*0.0254*2*(1+[3]Analisis!$G$2)</f>
        <v>0.62798035693999998</v>
      </c>
      <c r="AG349" s="86">
        <f>+AF349*Analisis!$J$8</f>
        <v>66.909811840630965</v>
      </c>
      <c r="AH349" s="309">
        <f t="shared" si="64"/>
        <v>486.47149819131153</v>
      </c>
      <c r="AI349" s="86">
        <f>+AH349/(1-Analisis!G354)</f>
        <v>486.47149819131153</v>
      </c>
      <c r="AJ349" s="86">
        <f t="shared" si="74"/>
        <v>523.08763246377589</v>
      </c>
      <c r="AK349" s="86">
        <f t="shared" si="65"/>
        <v>0</v>
      </c>
      <c r="AL349" s="310" t="e">
        <f>+VLOOKUP(B349,#REF!,2,FALSE)</f>
        <v>#REF!</v>
      </c>
      <c r="AM349" s="311" t="e">
        <f t="shared" si="62"/>
        <v>#REF!</v>
      </c>
      <c r="AN349" s="312" t="e">
        <f t="shared" si="61"/>
        <v>#REF!</v>
      </c>
    </row>
    <row r="350" spans="1:40" s="73" customFormat="1" x14ac:dyDescent="0.25">
      <c r="A350" s="303">
        <v>55</v>
      </c>
      <c r="B350" s="304" t="s">
        <v>1126</v>
      </c>
      <c r="D350" s="74">
        <f>IFERROR(VLOOKUP(B350,'REQ. PINTADO'!B:C,2,0),0)</f>
        <v>0</v>
      </c>
      <c r="E350" s="305">
        <f t="shared" si="66"/>
        <v>475.83047999698033</v>
      </c>
      <c r="F350" s="103" t="s">
        <v>165</v>
      </c>
      <c r="G350" s="75" t="s">
        <v>147</v>
      </c>
      <c r="H350" s="90">
        <v>31.94</v>
      </c>
      <c r="I350" s="90">
        <v>10.78</v>
      </c>
      <c r="J350" s="76">
        <v>0.105</v>
      </c>
      <c r="K350" s="306">
        <v>16.38</v>
      </c>
      <c r="L350" s="78">
        <f t="shared" si="67"/>
        <v>19.220475106837611</v>
      </c>
      <c r="M350" s="58">
        <f>+VLOOKUP(F350,Material!$H$2:$M$17,6,FALSE)*H350*I350*(1+Material!$K$14)</f>
        <v>143.10517375000001</v>
      </c>
      <c r="N350" s="79" t="str">
        <f t="shared" si="63"/>
        <v>T5.0</v>
      </c>
      <c r="O350" s="80">
        <f>+VLOOKUP(N350,[3]Material!$A$3:$B$58,2,FALSE)</f>
        <v>5000</v>
      </c>
      <c r="P350" s="79" t="s">
        <v>42</v>
      </c>
      <c r="Q350" s="79" t="str">
        <f>+VLOOKUP(F350,[3]Material!$C$2:$E$12,2,FALSE)</f>
        <v>Cal 14</v>
      </c>
      <c r="R350" s="81">
        <f>+IF(P350="ACERO A36",VLOOKUP(Q350,'[3]Velocidades Std 1500 w'!$B$2:$F$15,5,FALSE),IF(P350="INOXIDABLE",VLOOKUP(Q350,'[3]Velocidades Std 1500 w'!$B$17:$F$28,5,FALSE),IF(P350="ALUMINIO",VLOOKUP(Q350,'[3]Velocidades Std 1500 w'!$B$30:$F$38,5,FALSE))))</f>
        <v>2.0080321285140564E-6</v>
      </c>
      <c r="S350" s="82">
        <f t="shared" si="68"/>
        <v>1.0040160642570283E-2</v>
      </c>
      <c r="T350" s="83">
        <f t="shared" si="69"/>
        <v>74.310974457831321</v>
      </c>
      <c r="U350" s="307">
        <f t="shared" si="70"/>
        <v>10279.684799999999</v>
      </c>
      <c r="V350" s="80">
        <f t="shared" si="75"/>
        <v>103.20968674698796</v>
      </c>
      <c r="W350" s="98">
        <v>200</v>
      </c>
      <c r="X350" s="84">
        <f>+IF(P350="ACERO A36",VLOOKUP(Q350,'[3]Tiempo Objeto'!$B$2:$C$12,2,FALSE),IF(P350="INOXIDABLE",VLOOKUP(Q350,'[3]Tiempo Objeto'!$B$14:$C$22,2,FALSE),IF(P350="ALUMINIO",VLOOKUP(Q350,'[3]Tiempo Objeto'!$B$24:$C$32,2,FALSE))))</f>
        <v>0.3133333333333333</v>
      </c>
      <c r="Y350" s="84">
        <f t="shared" si="71"/>
        <v>62.666666666666657</v>
      </c>
      <c r="Z350" s="80">
        <f t="shared" si="72"/>
        <v>87.037037037037038</v>
      </c>
      <c r="AA350" s="100">
        <v>2</v>
      </c>
      <c r="AB350" s="86">
        <f>+AA350*Analisis!$J$6</f>
        <v>50</v>
      </c>
      <c r="AC350" s="100"/>
      <c r="AD350" s="85">
        <f t="shared" si="73"/>
        <v>0</v>
      </c>
      <c r="AE350" s="86">
        <f>+AC350*Analisis!$J$7</f>
        <v>0</v>
      </c>
      <c r="AF350" s="308">
        <f>+H350*0.0254*I350*0.0254*2*(1+[3]Analisis!$G$2)</f>
        <v>0.55534276027999996</v>
      </c>
      <c r="AG350" s="86">
        <f>+AF350*Analisis!$J$8</f>
        <v>59.170448863166683</v>
      </c>
      <c r="AH350" s="309">
        <f t="shared" si="64"/>
        <v>442.52234639719165</v>
      </c>
      <c r="AI350" s="86">
        <f>+AH350/(1-Analisis!G355)</f>
        <v>442.52234639719165</v>
      </c>
      <c r="AJ350" s="86">
        <f t="shared" si="74"/>
        <v>475.83047999698033</v>
      </c>
      <c r="AK350" s="86">
        <f t="shared" si="65"/>
        <v>0</v>
      </c>
      <c r="AL350" s="310" t="e">
        <f>+VLOOKUP(B350,#REF!,2,FALSE)</f>
        <v>#REF!</v>
      </c>
      <c r="AM350" s="311" t="e">
        <f t="shared" si="62"/>
        <v>#REF!</v>
      </c>
      <c r="AN350" s="312" t="e">
        <f t="shared" si="61"/>
        <v>#REF!</v>
      </c>
    </row>
    <row r="351" spans="1:40" s="73" customFormat="1" x14ac:dyDescent="0.25">
      <c r="A351" s="303">
        <v>56</v>
      </c>
      <c r="B351" s="304" t="s">
        <v>1127</v>
      </c>
      <c r="D351" s="74">
        <f>IFERROR(VLOOKUP(B351,'REQ. PINTADO'!B:C,2,0),0)</f>
        <v>0</v>
      </c>
      <c r="E351" s="305">
        <f t="shared" si="66"/>
        <v>282.98147967297371</v>
      </c>
      <c r="F351" s="103" t="s">
        <v>165</v>
      </c>
      <c r="G351" s="75" t="s">
        <v>147</v>
      </c>
      <c r="H351" s="90">
        <v>6.24</v>
      </c>
      <c r="I351" s="90">
        <v>19.07</v>
      </c>
      <c r="J351" s="76">
        <v>0.105</v>
      </c>
      <c r="K351" s="306">
        <v>16.38</v>
      </c>
      <c r="L351" s="78">
        <f t="shared" si="67"/>
        <v>6.6427166666666686</v>
      </c>
      <c r="M351" s="58">
        <f>+VLOOKUP(F351,Material!$H$2:$M$17,6,FALSE)*H351*I351*(1+Material!$K$14)</f>
        <v>49.458045000000006</v>
      </c>
      <c r="N351" s="79" t="str">
        <f t="shared" si="63"/>
        <v>T5.0</v>
      </c>
      <c r="O351" s="80">
        <f>+VLOOKUP(N351,[3]Material!$A$3:$B$58,2,FALSE)</f>
        <v>5000</v>
      </c>
      <c r="P351" s="79" t="s">
        <v>42</v>
      </c>
      <c r="Q351" s="79" t="str">
        <f>+VLOOKUP(F351,[3]Material!$C$2:$E$12,2,FALSE)</f>
        <v>Cal 14</v>
      </c>
      <c r="R351" s="81">
        <f>+IF(P351="ACERO A36",VLOOKUP(Q351,'[3]Velocidades Std 1500 w'!$B$2:$F$15,5,FALSE),IF(P351="INOXIDABLE",VLOOKUP(Q351,'[3]Velocidades Std 1500 w'!$B$17:$F$28,5,FALSE),IF(P351="ALUMINIO",VLOOKUP(Q351,'[3]Velocidades Std 1500 w'!$B$30:$F$38,5,FALSE))))</f>
        <v>2.0080321285140564E-6</v>
      </c>
      <c r="S351" s="82">
        <f t="shared" si="68"/>
        <v>1.0040160642570283E-2</v>
      </c>
      <c r="T351" s="83">
        <f t="shared" si="69"/>
        <v>54.584171566265063</v>
      </c>
      <c r="U351" s="307">
        <f t="shared" si="70"/>
        <v>7550.8104000000003</v>
      </c>
      <c r="V351" s="80">
        <f t="shared" si="75"/>
        <v>75.811349397590376</v>
      </c>
      <c r="W351" s="98">
        <v>155</v>
      </c>
      <c r="X351" s="84">
        <f>+IF(P351="ACERO A36",VLOOKUP(Q351,'[3]Tiempo Objeto'!$B$2:$C$12,2,FALSE),IF(P351="INOXIDABLE",VLOOKUP(Q351,'[3]Tiempo Objeto'!$B$14:$C$22,2,FALSE),IF(P351="ALUMINIO",VLOOKUP(Q351,'[3]Tiempo Objeto'!$B$24:$C$32,2,FALSE))))</f>
        <v>0.3133333333333333</v>
      </c>
      <c r="Y351" s="84">
        <f t="shared" si="71"/>
        <v>48.566666666666663</v>
      </c>
      <c r="Z351" s="80">
        <f t="shared" si="72"/>
        <v>67.453703703703695</v>
      </c>
      <c r="AA351" s="100">
        <v>2</v>
      </c>
      <c r="AB351" s="86">
        <f>+AA351*Analisis!$J$6</f>
        <v>50</v>
      </c>
      <c r="AC351" s="100"/>
      <c r="AD351" s="85">
        <f t="shared" si="73"/>
        <v>0</v>
      </c>
      <c r="AE351" s="86">
        <f>+AC351*Analisis!$J$7</f>
        <v>0</v>
      </c>
      <c r="AF351" s="308">
        <f>+H351*0.0254*I351*0.0254*2*(1+[3]Analisis!$G$2)</f>
        <v>0.19192993871999997</v>
      </c>
      <c r="AG351" s="86">
        <f>+AF351*Analisis!$J$8</f>
        <v>20.449677994571431</v>
      </c>
      <c r="AH351" s="309">
        <f t="shared" si="64"/>
        <v>263.17277609586552</v>
      </c>
      <c r="AI351" s="86">
        <f>+AH351/(1-Analisis!G356)</f>
        <v>263.17277609586552</v>
      </c>
      <c r="AJ351" s="86">
        <f t="shared" si="74"/>
        <v>282.98147967297371</v>
      </c>
      <c r="AK351" s="86">
        <f t="shared" si="65"/>
        <v>0</v>
      </c>
      <c r="AL351" s="310" t="e">
        <f>+VLOOKUP(B351,#REF!,2,FALSE)</f>
        <v>#REF!</v>
      </c>
      <c r="AM351" s="311" t="e">
        <f t="shared" si="62"/>
        <v>#REF!</v>
      </c>
      <c r="AN351" s="312" t="e">
        <f t="shared" si="61"/>
        <v>#REF!</v>
      </c>
    </row>
    <row r="352" spans="1:40" s="73" customFormat="1" x14ac:dyDescent="0.25">
      <c r="A352" s="303">
        <v>57</v>
      </c>
      <c r="B352" s="304" t="s">
        <v>1128</v>
      </c>
      <c r="D352" s="74">
        <f>IFERROR(VLOOKUP(B352,'REQ. PINTADO'!B:C,2,0),0)</f>
        <v>0</v>
      </c>
      <c r="E352" s="305">
        <f t="shared" si="66"/>
        <v>280.02484482471056</v>
      </c>
      <c r="F352" s="103" t="s">
        <v>165</v>
      </c>
      <c r="G352" s="75" t="s">
        <v>147</v>
      </c>
      <c r="H352" s="90">
        <v>5.88</v>
      </c>
      <c r="I352" s="90">
        <v>19.440000000000001</v>
      </c>
      <c r="J352" s="76">
        <v>0.105</v>
      </c>
      <c r="K352" s="306">
        <v>16.38</v>
      </c>
      <c r="L352" s="78">
        <f t="shared" si="67"/>
        <v>6.3809307692307708</v>
      </c>
      <c r="M352" s="58">
        <f>+VLOOKUP(F352,Material!$H$2:$M$17,6,FALSE)*H352*I352*(1+Material!$K$14)</f>
        <v>47.508930000000007</v>
      </c>
      <c r="N352" s="79" t="str">
        <f t="shared" si="63"/>
        <v>T5.0</v>
      </c>
      <c r="O352" s="80">
        <f>+VLOOKUP(N352,[3]Material!$A$3:$B$58,2,FALSE)</f>
        <v>5000</v>
      </c>
      <c r="P352" s="79" t="s">
        <v>42</v>
      </c>
      <c r="Q352" s="79" t="str">
        <f>+VLOOKUP(F352,[3]Material!$C$2:$E$12,2,FALSE)</f>
        <v>Cal 14</v>
      </c>
      <c r="R352" s="81">
        <f>+IF(P352="ACERO A36",VLOOKUP(Q352,'[3]Velocidades Std 1500 w'!$B$2:$F$15,5,FALSE),IF(P352="INOXIDABLE",VLOOKUP(Q352,'[3]Velocidades Std 1500 w'!$B$17:$F$28,5,FALSE),IF(P352="ALUMINIO",VLOOKUP(Q352,'[3]Velocidades Std 1500 w'!$B$30:$F$38,5,FALSE))))</f>
        <v>2.0080321285140564E-6</v>
      </c>
      <c r="S352" s="82">
        <f t="shared" si="68"/>
        <v>1.0040160642570283E-2</v>
      </c>
      <c r="T352" s="83">
        <f t="shared" si="69"/>
        <v>54.58802746987952</v>
      </c>
      <c r="U352" s="307">
        <f t="shared" si="70"/>
        <v>7551.3437999999996</v>
      </c>
      <c r="V352" s="80">
        <f t="shared" si="75"/>
        <v>75.81670481927712</v>
      </c>
      <c r="W352" s="98">
        <v>155</v>
      </c>
      <c r="X352" s="84">
        <f>+IF(P352="ACERO A36",VLOOKUP(Q352,'[3]Tiempo Objeto'!$B$2:$C$12,2,FALSE),IF(P352="INOXIDABLE",VLOOKUP(Q352,'[3]Tiempo Objeto'!$B$14:$C$22,2,FALSE),IF(P352="ALUMINIO",VLOOKUP(Q352,'[3]Tiempo Objeto'!$B$24:$C$32,2,FALSE))))</f>
        <v>0.3133333333333333</v>
      </c>
      <c r="Y352" s="84">
        <f t="shared" si="71"/>
        <v>48.566666666666663</v>
      </c>
      <c r="Z352" s="80">
        <f t="shared" si="72"/>
        <v>67.453703703703695</v>
      </c>
      <c r="AA352" s="100">
        <v>2</v>
      </c>
      <c r="AB352" s="86">
        <f>+AA352*Analisis!$J$6</f>
        <v>50</v>
      </c>
      <c r="AC352" s="100"/>
      <c r="AD352" s="85">
        <f t="shared" si="73"/>
        <v>0</v>
      </c>
      <c r="AE352" s="86">
        <f>+AC352*Analisis!$J$7</f>
        <v>0</v>
      </c>
      <c r="AF352" s="308">
        <f>+H352*0.0254*I352*0.0254*2*(1+[3]Analisis!$G$2)</f>
        <v>0.18436608288</v>
      </c>
      <c r="AG352" s="86">
        <f>+AF352*Analisis!$J$8</f>
        <v>19.643767164000007</v>
      </c>
      <c r="AH352" s="309">
        <f t="shared" si="64"/>
        <v>260.42310568698082</v>
      </c>
      <c r="AI352" s="86">
        <f>+AH352/(1-Analisis!G357)</f>
        <v>260.42310568698082</v>
      </c>
      <c r="AJ352" s="86">
        <f t="shared" si="74"/>
        <v>280.02484482471056</v>
      </c>
      <c r="AK352" s="86">
        <f t="shared" si="65"/>
        <v>0</v>
      </c>
      <c r="AL352" s="310" t="e">
        <f>+VLOOKUP(B352,#REF!,2,FALSE)</f>
        <v>#REF!</v>
      </c>
      <c r="AM352" s="311" t="e">
        <f t="shared" si="62"/>
        <v>#REF!</v>
      </c>
      <c r="AN352" s="312" t="e">
        <f t="shared" si="61"/>
        <v>#REF!</v>
      </c>
    </row>
    <row r="353" spans="1:40" s="73" customFormat="1" x14ac:dyDescent="0.25">
      <c r="A353" s="303">
        <v>58</v>
      </c>
      <c r="B353" s="304" t="s">
        <v>1129</v>
      </c>
      <c r="D353" s="74">
        <f>IFERROR(VLOOKUP(B353,'REQ. PINTADO'!B:C,2,0),0)</f>
        <v>0</v>
      </c>
      <c r="E353" s="305">
        <f t="shared" si="66"/>
        <v>413.83095198381324</v>
      </c>
      <c r="F353" s="103" t="s">
        <v>165</v>
      </c>
      <c r="G353" s="75" t="s">
        <v>147</v>
      </c>
      <c r="H353" s="90">
        <v>6.25</v>
      </c>
      <c r="I353" s="90">
        <v>29.07</v>
      </c>
      <c r="J353" s="76">
        <v>0.105</v>
      </c>
      <c r="K353" s="306">
        <v>16.38</v>
      </c>
      <c r="L353" s="78">
        <f t="shared" si="67"/>
        <v>10.14227764423077</v>
      </c>
      <c r="M353" s="58">
        <f>+VLOOKUP(F353,Material!$H$2:$M$17,6,FALSE)*H353*I353*(1+Material!$K$14)</f>
        <v>75.513867187499997</v>
      </c>
      <c r="N353" s="79" t="str">
        <f t="shared" si="63"/>
        <v>T5.0</v>
      </c>
      <c r="O353" s="80">
        <f>+VLOOKUP(N353,[3]Material!$A$3:$B$58,2,FALSE)</f>
        <v>5000</v>
      </c>
      <c r="P353" s="79" t="s">
        <v>42</v>
      </c>
      <c r="Q353" s="79" t="str">
        <f>+VLOOKUP(F353,[3]Material!$C$2:$E$12,2,FALSE)</f>
        <v>Cal 14</v>
      </c>
      <c r="R353" s="81">
        <f>+IF(P353="ACERO A36",VLOOKUP(Q353,'[3]Velocidades Std 1500 w'!$B$2:$F$15,5,FALSE),IF(P353="INOXIDABLE",VLOOKUP(Q353,'[3]Velocidades Std 1500 w'!$B$17:$F$28,5,FALSE),IF(P353="ALUMINIO",VLOOKUP(Q353,'[3]Velocidades Std 1500 w'!$B$30:$F$38,5,FALSE))))</f>
        <v>2.0080321285140564E-6</v>
      </c>
      <c r="S353" s="82">
        <f t="shared" si="68"/>
        <v>1.0040160642570283E-2</v>
      </c>
      <c r="T353" s="83">
        <f t="shared" si="69"/>
        <v>85.917244337349416</v>
      </c>
      <c r="U353" s="307">
        <f t="shared" si="70"/>
        <v>11885.218800000001</v>
      </c>
      <c r="V353" s="80">
        <f t="shared" si="75"/>
        <v>119.32950602409642</v>
      </c>
      <c r="W353" s="98">
        <v>250</v>
      </c>
      <c r="X353" s="84">
        <f>+IF(P353="ACERO A36",VLOOKUP(Q353,'[3]Tiempo Objeto'!$B$2:$C$12,2,FALSE),IF(P353="INOXIDABLE",VLOOKUP(Q353,'[3]Tiempo Objeto'!$B$14:$C$22,2,FALSE),IF(P353="ALUMINIO",VLOOKUP(Q353,'[3]Tiempo Objeto'!$B$24:$C$32,2,FALSE))))</f>
        <v>0.3133333333333333</v>
      </c>
      <c r="Y353" s="84">
        <f t="shared" si="71"/>
        <v>78.333333333333329</v>
      </c>
      <c r="Z353" s="80">
        <f t="shared" si="72"/>
        <v>108.79629629629629</v>
      </c>
      <c r="AA353" s="100">
        <v>2</v>
      </c>
      <c r="AB353" s="86">
        <f>+AA353*Analisis!$J$6</f>
        <v>50</v>
      </c>
      <c r="AC353" s="100"/>
      <c r="AD353" s="85">
        <f t="shared" si="73"/>
        <v>0</v>
      </c>
      <c r="AE353" s="86">
        <f>+AC353*Analisis!$J$7</f>
        <v>0</v>
      </c>
      <c r="AF353" s="308">
        <f>+H353*0.0254*I353*0.0254*2*(1+[3]Analisis!$G$2)</f>
        <v>0.29304376874999999</v>
      </c>
      <c r="AG353" s="86">
        <f>+AF353*Analisis!$J$8</f>
        <v>31.22311583705358</v>
      </c>
      <c r="AH353" s="309">
        <f t="shared" si="64"/>
        <v>384.8627853449463</v>
      </c>
      <c r="AI353" s="86">
        <f>+AH353/(1-Analisis!G358)</f>
        <v>384.8627853449463</v>
      </c>
      <c r="AJ353" s="86">
        <f t="shared" si="74"/>
        <v>413.83095198381324</v>
      </c>
      <c r="AK353" s="86">
        <f t="shared" si="65"/>
        <v>0</v>
      </c>
      <c r="AL353" s="310" t="e">
        <f>+VLOOKUP(B353,#REF!,2,FALSE)</f>
        <v>#REF!</v>
      </c>
      <c r="AM353" s="311" t="e">
        <f t="shared" si="62"/>
        <v>#REF!</v>
      </c>
      <c r="AN353" s="312" t="e">
        <f t="shared" si="61"/>
        <v>#REF!</v>
      </c>
    </row>
    <row r="354" spans="1:40" s="73" customFormat="1" x14ac:dyDescent="0.25">
      <c r="A354" s="303">
        <v>59</v>
      </c>
      <c r="B354" s="304" t="s">
        <v>1130</v>
      </c>
      <c r="D354" s="74">
        <f>IFERROR(VLOOKUP(B354,'REQ. PINTADO'!B:C,2,0),0)</f>
        <v>0</v>
      </c>
      <c r="E354" s="305">
        <f t="shared" si="66"/>
        <v>408.41082578966962</v>
      </c>
      <c r="F354" s="103" t="s">
        <v>165</v>
      </c>
      <c r="G354" s="75" t="s">
        <v>147</v>
      </c>
      <c r="H354" s="90">
        <v>5.88</v>
      </c>
      <c r="I354" s="90">
        <v>29.44</v>
      </c>
      <c r="J354" s="76">
        <v>0.105</v>
      </c>
      <c r="K354" s="306">
        <v>16.38</v>
      </c>
      <c r="L354" s="78">
        <f t="shared" si="67"/>
        <v>9.6633025641025672</v>
      </c>
      <c r="M354" s="58">
        <f>+VLOOKUP(F354,Material!$H$2:$M$17,6,FALSE)*H354*I354*(1+Material!$K$14)</f>
        <v>71.947680000000005</v>
      </c>
      <c r="N354" s="79" t="str">
        <f t="shared" si="63"/>
        <v>T5.0</v>
      </c>
      <c r="O354" s="80">
        <f>+VLOOKUP(N354,[3]Material!$A$3:$B$58,2,FALSE)</f>
        <v>5000</v>
      </c>
      <c r="P354" s="79" t="s">
        <v>42</v>
      </c>
      <c r="Q354" s="79" t="str">
        <f>+VLOOKUP(F354,[3]Material!$C$2:$E$12,2,FALSE)</f>
        <v>Cal 14</v>
      </c>
      <c r="R354" s="81">
        <f>+IF(P354="ACERO A36",VLOOKUP(Q354,'[3]Velocidades Std 1500 w'!$B$2:$F$15,5,FALSE),IF(P354="INOXIDABLE",VLOOKUP(Q354,'[3]Velocidades Std 1500 w'!$B$17:$F$28,5,FALSE),IF(P354="ALUMINIO",VLOOKUP(Q354,'[3]Velocidades Std 1500 w'!$B$30:$F$38,5,FALSE))))</f>
        <v>2.0080321285140564E-6</v>
      </c>
      <c r="S354" s="82">
        <f t="shared" si="68"/>
        <v>1.0040160642570283E-2</v>
      </c>
      <c r="T354" s="83">
        <f t="shared" si="69"/>
        <v>85.917244337349416</v>
      </c>
      <c r="U354" s="307">
        <f t="shared" si="70"/>
        <v>11885.218800000001</v>
      </c>
      <c r="V354" s="80">
        <f t="shared" si="75"/>
        <v>119.32950602409642</v>
      </c>
      <c r="W354" s="98">
        <v>250</v>
      </c>
      <c r="X354" s="84">
        <f>+IF(P354="ACERO A36",VLOOKUP(Q354,'[3]Tiempo Objeto'!$B$2:$C$12,2,FALSE),IF(P354="INOXIDABLE",VLOOKUP(Q354,'[3]Tiempo Objeto'!$B$14:$C$22,2,FALSE),IF(P354="ALUMINIO",VLOOKUP(Q354,'[3]Tiempo Objeto'!$B$24:$C$32,2,FALSE))))</f>
        <v>0.3133333333333333</v>
      </c>
      <c r="Y354" s="84">
        <f t="shared" si="71"/>
        <v>78.333333333333329</v>
      </c>
      <c r="Z354" s="80">
        <f t="shared" si="72"/>
        <v>108.79629629629629</v>
      </c>
      <c r="AA354" s="100">
        <v>2</v>
      </c>
      <c r="AB354" s="86">
        <f>+AA354*Analisis!$J$6</f>
        <v>50</v>
      </c>
      <c r="AC354" s="100"/>
      <c r="AD354" s="85">
        <f t="shared" si="73"/>
        <v>0</v>
      </c>
      <c r="AE354" s="86">
        <f>+AC354*Analisis!$J$7</f>
        <v>0</v>
      </c>
      <c r="AF354" s="308">
        <f>+H354*0.0254*I354*0.0254*2*(1+[3]Analisis!$G$2)</f>
        <v>0.27920460287999999</v>
      </c>
      <c r="AG354" s="86">
        <f>+AF354*Analisis!$J$8</f>
        <v>29.748585664000007</v>
      </c>
      <c r="AH354" s="309">
        <f t="shared" si="64"/>
        <v>379.82206798439273</v>
      </c>
      <c r="AI354" s="86">
        <f>+AH354/(1-Analisis!G359)</f>
        <v>379.82206798439273</v>
      </c>
      <c r="AJ354" s="86">
        <f t="shared" si="74"/>
        <v>408.41082578966962</v>
      </c>
      <c r="AK354" s="86">
        <f t="shared" si="65"/>
        <v>0</v>
      </c>
      <c r="AL354" s="310" t="e">
        <f>+VLOOKUP(B354,#REF!,2,FALSE)</f>
        <v>#REF!</v>
      </c>
      <c r="AM354" s="311" t="e">
        <f t="shared" si="62"/>
        <v>#REF!</v>
      </c>
      <c r="AN354" s="312" t="e">
        <f t="shared" si="61"/>
        <v>#REF!</v>
      </c>
    </row>
    <row r="355" spans="1:40" s="73" customFormat="1" x14ac:dyDescent="0.25">
      <c r="A355" s="303">
        <v>60</v>
      </c>
      <c r="B355" s="304" t="s">
        <v>1131</v>
      </c>
      <c r="D355" s="74">
        <f>IFERROR(VLOOKUP(B355,'REQ. PINTADO'!B:C,2,0),0)</f>
        <v>0</v>
      </c>
      <c r="E355" s="305">
        <f t="shared" si="66"/>
        <v>709.33820370389799</v>
      </c>
      <c r="F355" s="103" t="s">
        <v>163</v>
      </c>
      <c r="G355" s="75" t="s">
        <v>147</v>
      </c>
      <c r="H355" s="90">
        <v>8.64</v>
      </c>
      <c r="I355" s="90">
        <v>37.32</v>
      </c>
      <c r="J355" s="76">
        <v>0.105</v>
      </c>
      <c r="K355" s="306">
        <v>16.38</v>
      </c>
      <c r="L355" s="78">
        <f t="shared" si="67"/>
        <v>16.256147201580003</v>
      </c>
      <c r="M355" s="58">
        <f>+VLOOKUP(F355,Material!$H$2:$M$17,6,FALSE)*H355*I355*(1+Material!$K$14)</f>
        <v>121.03440507358202</v>
      </c>
      <c r="N355" s="79" t="str">
        <f t="shared" si="63"/>
        <v>T5.0</v>
      </c>
      <c r="O355" s="80">
        <f>+VLOOKUP(N355,[3]Material!$A$3:$B$58,2,FALSE)</f>
        <v>5000</v>
      </c>
      <c r="P355" s="79" t="s">
        <v>42</v>
      </c>
      <c r="Q355" s="79" t="str">
        <f>+VLOOKUP(F355,[3]Material!$C$2:$E$12,2,FALSE)</f>
        <v>Cal 12</v>
      </c>
      <c r="R355" s="81">
        <f>+IF(P355="ACERO A36",VLOOKUP(Q355,'[3]Velocidades Std 1500 w'!$B$2:$F$15,5,FALSE),IF(P355="INOXIDABLE",VLOOKUP(Q355,'[3]Velocidades Std 1500 w'!$B$17:$F$28,5,FALSE),IF(P355="ALUMINIO",VLOOKUP(Q355,'[3]Velocidades Std 1500 w'!$B$30:$F$38,5,FALSE))))</f>
        <v>4.3859649122807014E-6</v>
      </c>
      <c r="S355" s="82">
        <f t="shared" si="68"/>
        <v>2.1929824561403508E-2</v>
      </c>
      <c r="T355" s="83">
        <f t="shared" si="69"/>
        <v>168.19786421052629</v>
      </c>
      <c r="U355" s="307">
        <f t="shared" si="70"/>
        <v>10652.5314</v>
      </c>
      <c r="V355" s="80">
        <f t="shared" si="75"/>
        <v>233.60814473684209</v>
      </c>
      <c r="W355" s="98">
        <v>205</v>
      </c>
      <c r="X355" s="84">
        <f>+IF(P355="ACERO A36",VLOOKUP(Q355,'[3]Tiempo Objeto'!$B$2:$C$12,2,FALSE),IF(P355="INOXIDABLE",VLOOKUP(Q355,'[3]Tiempo Objeto'!$B$14:$C$22,2,FALSE),IF(P355="ALUMINIO",VLOOKUP(Q355,'[3]Tiempo Objeto'!$B$24:$C$32,2,FALSE))))</f>
        <v>0.6133333333333334</v>
      </c>
      <c r="Y355" s="84">
        <f t="shared" si="71"/>
        <v>125.73333333333335</v>
      </c>
      <c r="Z355" s="80">
        <f t="shared" si="72"/>
        <v>174.62962962962965</v>
      </c>
      <c r="AA355" s="100">
        <v>3</v>
      </c>
      <c r="AB355" s="86">
        <f>+AA355*Analisis!$J$6</f>
        <v>75</v>
      </c>
      <c r="AC355" s="100"/>
      <c r="AD355" s="85">
        <f t="shared" si="73"/>
        <v>0</v>
      </c>
      <c r="AE355" s="86">
        <f>+AC355*Analisis!$J$7</f>
        <v>0</v>
      </c>
      <c r="AF355" s="308">
        <f>+H355*0.0254*I355*0.0254*2*(1+[3]Analisis!$G$2)</f>
        <v>0.52007121792</v>
      </c>
      <c r="AG355" s="86">
        <f>+AF355*Analisis!$J$8</f>
        <v>55.412350004571444</v>
      </c>
      <c r="AH355" s="309">
        <f t="shared" si="64"/>
        <v>659.68452944462513</v>
      </c>
      <c r="AI355" s="86">
        <f>+AH355/(1-Analisis!G360)</f>
        <v>659.68452944462513</v>
      </c>
      <c r="AJ355" s="86">
        <f t="shared" si="74"/>
        <v>709.33820370389799</v>
      </c>
      <c r="AK355" s="86">
        <f t="shared" si="65"/>
        <v>0</v>
      </c>
      <c r="AL355" s="310" t="e">
        <f>+VLOOKUP(B355,#REF!,2,FALSE)</f>
        <v>#REF!</v>
      </c>
      <c r="AM355" s="311" t="e">
        <f t="shared" si="62"/>
        <v>#REF!</v>
      </c>
      <c r="AN355" s="312" t="e">
        <f t="shared" si="61"/>
        <v>#REF!</v>
      </c>
    </row>
    <row r="356" spans="1:40" s="73" customFormat="1" x14ac:dyDescent="0.25">
      <c r="A356" s="303">
        <v>61</v>
      </c>
      <c r="B356" s="304" t="s">
        <v>1132</v>
      </c>
      <c r="D356" s="74">
        <f>IFERROR(VLOOKUP(B356,'REQ. PINTADO'!B:C,2,0),0)</f>
        <v>0</v>
      </c>
      <c r="E356" s="305">
        <f t="shared" si="66"/>
        <v>709.33820370389799</v>
      </c>
      <c r="F356" s="103" t="s">
        <v>163</v>
      </c>
      <c r="G356" s="75" t="s">
        <v>147</v>
      </c>
      <c r="H356" s="90">
        <v>8.64</v>
      </c>
      <c r="I356" s="90">
        <v>37.32</v>
      </c>
      <c r="J356" s="76">
        <v>0.105</v>
      </c>
      <c r="K356" s="306">
        <v>16.38</v>
      </c>
      <c r="L356" s="78">
        <f t="shared" si="67"/>
        <v>16.256147201580003</v>
      </c>
      <c r="M356" s="58">
        <f>+VLOOKUP(F356,Material!$H$2:$M$17,6,FALSE)*H356*I356*(1+Material!$K$14)</f>
        <v>121.03440507358202</v>
      </c>
      <c r="N356" s="79" t="str">
        <f t="shared" si="63"/>
        <v>T5.0</v>
      </c>
      <c r="O356" s="80">
        <f>+VLOOKUP(N356,[3]Material!$A$3:$B$58,2,FALSE)</f>
        <v>5000</v>
      </c>
      <c r="P356" s="79" t="s">
        <v>42</v>
      </c>
      <c r="Q356" s="79" t="str">
        <f>+VLOOKUP(F356,[3]Material!$C$2:$E$12,2,FALSE)</f>
        <v>Cal 12</v>
      </c>
      <c r="R356" s="81">
        <f>+IF(P356="ACERO A36",VLOOKUP(Q356,'[3]Velocidades Std 1500 w'!$B$2:$F$15,5,FALSE),IF(P356="INOXIDABLE",VLOOKUP(Q356,'[3]Velocidades Std 1500 w'!$B$17:$F$28,5,FALSE),IF(P356="ALUMINIO",VLOOKUP(Q356,'[3]Velocidades Std 1500 w'!$B$30:$F$38,5,FALSE))))</f>
        <v>4.3859649122807014E-6</v>
      </c>
      <c r="S356" s="82">
        <f t="shared" si="68"/>
        <v>2.1929824561403508E-2</v>
      </c>
      <c r="T356" s="83">
        <f t="shared" si="69"/>
        <v>168.19786421052629</v>
      </c>
      <c r="U356" s="307">
        <f t="shared" si="70"/>
        <v>10652.5314</v>
      </c>
      <c r="V356" s="80">
        <f t="shared" si="75"/>
        <v>233.60814473684209</v>
      </c>
      <c r="W356" s="98">
        <v>205</v>
      </c>
      <c r="X356" s="84">
        <f>+IF(P356="ACERO A36",VLOOKUP(Q356,'[3]Tiempo Objeto'!$B$2:$C$12,2,FALSE),IF(P356="INOXIDABLE",VLOOKUP(Q356,'[3]Tiempo Objeto'!$B$14:$C$22,2,FALSE),IF(P356="ALUMINIO",VLOOKUP(Q356,'[3]Tiempo Objeto'!$B$24:$C$32,2,FALSE))))</f>
        <v>0.6133333333333334</v>
      </c>
      <c r="Y356" s="84">
        <f t="shared" si="71"/>
        <v>125.73333333333335</v>
      </c>
      <c r="Z356" s="80">
        <f t="shared" si="72"/>
        <v>174.62962962962965</v>
      </c>
      <c r="AA356" s="100">
        <v>3</v>
      </c>
      <c r="AB356" s="86">
        <f>+AA356*Analisis!$J$6</f>
        <v>75</v>
      </c>
      <c r="AC356" s="100"/>
      <c r="AD356" s="85">
        <f t="shared" si="73"/>
        <v>0</v>
      </c>
      <c r="AE356" s="86">
        <f>+AC356*Analisis!$J$7</f>
        <v>0</v>
      </c>
      <c r="AF356" s="308">
        <f>+H356*0.0254*I356*0.0254*2*(1+[3]Analisis!$G$2)</f>
        <v>0.52007121792</v>
      </c>
      <c r="AG356" s="86">
        <f>+AF356*Analisis!$J$8</f>
        <v>55.412350004571444</v>
      </c>
      <c r="AH356" s="309">
        <f t="shared" si="64"/>
        <v>659.68452944462513</v>
      </c>
      <c r="AI356" s="86">
        <f>+AH356/(1-Analisis!G361)</f>
        <v>659.68452944462513</v>
      </c>
      <c r="AJ356" s="86">
        <f t="shared" si="74"/>
        <v>709.33820370389799</v>
      </c>
      <c r="AK356" s="86">
        <f t="shared" si="65"/>
        <v>0</v>
      </c>
      <c r="AL356" s="310" t="e">
        <f>+VLOOKUP(B356,#REF!,2,FALSE)</f>
        <v>#REF!</v>
      </c>
      <c r="AM356" s="311" t="e">
        <f t="shared" si="62"/>
        <v>#REF!</v>
      </c>
      <c r="AN356" s="312" t="e">
        <f t="shared" si="61"/>
        <v>#REF!</v>
      </c>
    </row>
    <row r="357" spans="1:40" s="73" customFormat="1" x14ac:dyDescent="0.25">
      <c r="A357" s="303">
        <v>62</v>
      </c>
      <c r="B357" s="304" t="s">
        <v>1133</v>
      </c>
      <c r="D357" s="74">
        <f>IFERROR(VLOOKUP(B357,'REQ. PINTADO'!B:C,2,0),0)</f>
        <v>0</v>
      </c>
      <c r="E357" s="305">
        <f t="shared" si="66"/>
        <v>1273.9006123334348</v>
      </c>
      <c r="F357" s="103" t="s">
        <v>163</v>
      </c>
      <c r="G357" s="75" t="s">
        <v>147</v>
      </c>
      <c r="H357" s="90">
        <v>23.89</v>
      </c>
      <c r="I357" s="90">
        <v>71.77</v>
      </c>
      <c r="J357" s="76">
        <v>0.105</v>
      </c>
      <c r="K357" s="306">
        <v>16.38</v>
      </c>
      <c r="L357" s="78">
        <f t="shared" si="67"/>
        <v>86.441310346655342</v>
      </c>
      <c r="M357" s="58">
        <f>+VLOOKUP(F357,Material!$H$2:$M$17,6,FALSE)*H357*I357*(1+Material!$K$14)</f>
        <v>643.59484703555199</v>
      </c>
      <c r="N357" s="79" t="str">
        <f t="shared" si="63"/>
        <v>T5.0</v>
      </c>
      <c r="O357" s="80">
        <f>+VLOOKUP(N357,[3]Material!$A$3:$B$58,2,FALSE)</f>
        <v>5000</v>
      </c>
      <c r="P357" s="79" t="s">
        <v>42</v>
      </c>
      <c r="Q357" s="79" t="str">
        <f>+VLOOKUP(F357,[3]Material!$C$2:$E$12,2,FALSE)</f>
        <v>Cal 12</v>
      </c>
      <c r="R357" s="81">
        <f>+IF(P357="ACERO A36",VLOOKUP(Q357,'[3]Velocidades Std 1500 w'!$B$2:$F$15,5,FALSE),IF(P357="INOXIDABLE",VLOOKUP(Q357,'[3]Velocidades Std 1500 w'!$B$17:$F$28,5,FALSE),IF(P357="ALUMINIO",VLOOKUP(Q357,'[3]Velocidades Std 1500 w'!$B$30:$F$38,5,FALSE))))</f>
        <v>4.3859649122807014E-6</v>
      </c>
      <c r="S357" s="82">
        <f t="shared" si="68"/>
        <v>2.1929824561403508E-2</v>
      </c>
      <c r="T357" s="83">
        <f t="shared" si="69"/>
        <v>93.199016842105237</v>
      </c>
      <c r="U357" s="307">
        <f t="shared" si="70"/>
        <v>5902.6043999999993</v>
      </c>
      <c r="V357" s="80">
        <f t="shared" si="75"/>
        <v>129.44307894736841</v>
      </c>
      <c r="W357" s="98">
        <v>20</v>
      </c>
      <c r="X357" s="84">
        <f>+IF(P357="ACERO A36",VLOOKUP(Q357,'[3]Tiempo Objeto'!$B$2:$C$12,2,FALSE),IF(P357="INOXIDABLE",VLOOKUP(Q357,'[3]Tiempo Objeto'!$B$14:$C$22,2,FALSE),IF(P357="ALUMINIO",VLOOKUP(Q357,'[3]Tiempo Objeto'!$B$24:$C$32,2,FALSE))))</f>
        <v>0.6133333333333334</v>
      </c>
      <c r="Y357" s="84">
        <f t="shared" si="71"/>
        <v>12.266666666666667</v>
      </c>
      <c r="Z357" s="80">
        <f t="shared" si="72"/>
        <v>17.037037037037038</v>
      </c>
      <c r="AA357" s="100">
        <v>4</v>
      </c>
      <c r="AB357" s="86">
        <f>+AA357*Analisis!$J$6</f>
        <v>100</v>
      </c>
      <c r="AC357" s="100"/>
      <c r="AD357" s="85">
        <f t="shared" si="73"/>
        <v>0</v>
      </c>
      <c r="AE357" s="86">
        <f>+AC357*Analisis!$J$7</f>
        <v>0</v>
      </c>
      <c r="AF357" s="308">
        <f>+H357*0.0254*I357*0.0254*2*(1+[3]Analisis!$G$2)</f>
        <v>2.7654546303699994</v>
      </c>
      <c r="AG357" s="86">
        <f>+AF357*Analisis!$J$8</f>
        <v>294.65260645013694</v>
      </c>
      <c r="AH357" s="309">
        <f t="shared" si="64"/>
        <v>1184.7275694700943</v>
      </c>
      <c r="AI357" s="86">
        <f>+AH357/(1-Analisis!G362)</f>
        <v>1184.7275694700943</v>
      </c>
      <c r="AJ357" s="86">
        <f t="shared" si="74"/>
        <v>1273.9006123334348</v>
      </c>
      <c r="AK357" s="86">
        <f t="shared" si="65"/>
        <v>0</v>
      </c>
      <c r="AL357" s="310" t="e">
        <f>+VLOOKUP(B357,#REF!,2,FALSE)</f>
        <v>#REF!</v>
      </c>
      <c r="AM357" s="311" t="e">
        <f t="shared" si="62"/>
        <v>#REF!</v>
      </c>
      <c r="AN357" s="312" t="e">
        <f t="shared" si="61"/>
        <v>#REF!</v>
      </c>
    </row>
    <row r="358" spans="1:40" s="73" customFormat="1" x14ac:dyDescent="0.25">
      <c r="A358" s="303">
        <v>63</v>
      </c>
      <c r="B358" s="304" t="s">
        <v>1134</v>
      </c>
      <c r="D358" s="74">
        <f>IFERROR(VLOOKUP(B358,'REQ. PINTADO'!B:C,2,0),0)</f>
        <v>0</v>
      </c>
      <c r="E358" s="305">
        <f t="shared" si="66"/>
        <v>1708.7757194073372</v>
      </c>
      <c r="F358" s="103" t="s">
        <v>163</v>
      </c>
      <c r="G358" s="75" t="s">
        <v>147</v>
      </c>
      <c r="H358" s="90">
        <v>33.89</v>
      </c>
      <c r="I358" s="90">
        <v>71.77</v>
      </c>
      <c r="J358" s="76">
        <v>0.105</v>
      </c>
      <c r="K358" s="306">
        <v>16.38</v>
      </c>
      <c r="L358" s="78">
        <f t="shared" si="67"/>
        <v>122.62436197773752</v>
      </c>
      <c r="M358" s="58">
        <f>+VLOOKUP(F358,Material!$H$2:$M$17,6,FALSE)*H358*I358*(1+Material!$K$14)</f>
        <v>912.99411327060932</v>
      </c>
      <c r="N358" s="79" t="str">
        <f t="shared" si="63"/>
        <v>T5.0</v>
      </c>
      <c r="O358" s="80">
        <f>+VLOOKUP(N358,[3]Material!$A$3:$B$58,2,FALSE)</f>
        <v>5000</v>
      </c>
      <c r="P358" s="79" t="s">
        <v>42</v>
      </c>
      <c r="Q358" s="79" t="str">
        <f>+VLOOKUP(F358,[3]Material!$C$2:$E$12,2,FALSE)</f>
        <v>Cal 12</v>
      </c>
      <c r="R358" s="81">
        <f>+IF(P358="ACERO A36",VLOOKUP(Q358,'[3]Velocidades Std 1500 w'!$B$2:$F$15,5,FALSE),IF(P358="INOXIDABLE",VLOOKUP(Q358,'[3]Velocidades Std 1500 w'!$B$17:$F$28,5,FALSE),IF(P358="ALUMINIO",VLOOKUP(Q358,'[3]Velocidades Std 1500 w'!$B$30:$F$38,5,FALSE))))</f>
        <v>4.3859649122807014E-6</v>
      </c>
      <c r="S358" s="82">
        <f t="shared" si="68"/>
        <v>2.1929824561403508E-2</v>
      </c>
      <c r="T358" s="83">
        <f t="shared" si="69"/>
        <v>101.62112210526315</v>
      </c>
      <c r="U358" s="307">
        <f t="shared" si="70"/>
        <v>6436.0043999999998</v>
      </c>
      <c r="V358" s="80">
        <f t="shared" si="75"/>
        <v>141.14044736842104</v>
      </c>
      <c r="W358" s="98">
        <v>20</v>
      </c>
      <c r="X358" s="84">
        <f>+IF(P358="ACERO A36",VLOOKUP(Q358,'[3]Tiempo Objeto'!$B$2:$C$12,2,FALSE),IF(P358="INOXIDABLE",VLOOKUP(Q358,'[3]Tiempo Objeto'!$B$14:$C$22,2,FALSE),IF(P358="ALUMINIO",VLOOKUP(Q358,'[3]Tiempo Objeto'!$B$24:$C$32,2,FALSE))))</f>
        <v>0.6133333333333334</v>
      </c>
      <c r="Y358" s="84">
        <f t="shared" si="71"/>
        <v>12.266666666666667</v>
      </c>
      <c r="Z358" s="80">
        <f t="shared" si="72"/>
        <v>17.037037037037038</v>
      </c>
      <c r="AA358" s="100">
        <v>4</v>
      </c>
      <c r="AB358" s="86">
        <f>+AA358*Analisis!$J$6</f>
        <v>100</v>
      </c>
      <c r="AC358" s="100"/>
      <c r="AD358" s="85">
        <f t="shared" si="73"/>
        <v>0</v>
      </c>
      <c r="AE358" s="86">
        <f>+AC358*Analisis!$J$7</f>
        <v>0</v>
      </c>
      <c r="AF358" s="308">
        <f>+H358*0.0254*I358*0.0254*2*(1+[3]Analisis!$G$2)</f>
        <v>3.9230329603699992</v>
      </c>
      <c r="AG358" s="86">
        <f>+AF358*Analisis!$J$8</f>
        <v>417.98982137275601</v>
      </c>
      <c r="AH358" s="309">
        <f t="shared" si="64"/>
        <v>1589.1614190488235</v>
      </c>
      <c r="AI358" s="86">
        <f>+AH358/(1-Analisis!G363)</f>
        <v>1589.1614190488235</v>
      </c>
      <c r="AJ358" s="86">
        <f t="shared" si="74"/>
        <v>1708.7757194073372</v>
      </c>
      <c r="AK358" s="86">
        <f t="shared" si="65"/>
        <v>0</v>
      </c>
      <c r="AL358" s="310" t="e">
        <f>+VLOOKUP(B358,#REF!,2,FALSE)</f>
        <v>#REF!</v>
      </c>
      <c r="AM358" s="311" t="e">
        <f t="shared" si="62"/>
        <v>#REF!</v>
      </c>
      <c r="AN358" s="312" t="e">
        <f t="shared" si="61"/>
        <v>#REF!</v>
      </c>
    </row>
    <row r="359" spans="1:40" s="73" customFormat="1" x14ac:dyDescent="0.25">
      <c r="A359" s="303">
        <v>64</v>
      </c>
      <c r="B359" s="304" t="s">
        <v>1135</v>
      </c>
      <c r="D359" s="74">
        <f>IFERROR(VLOOKUP(B359,'REQ. PINTADO'!B:C,2,0),0)</f>
        <v>0</v>
      </c>
      <c r="E359" s="305">
        <f t="shared" si="66"/>
        <v>1099.950569503874</v>
      </c>
      <c r="F359" s="103" t="s">
        <v>163</v>
      </c>
      <c r="G359" s="75" t="s">
        <v>147</v>
      </c>
      <c r="H359" s="90">
        <v>19.89</v>
      </c>
      <c r="I359" s="90">
        <v>71.77</v>
      </c>
      <c r="J359" s="76">
        <v>0.105</v>
      </c>
      <c r="K359" s="306">
        <v>16.38</v>
      </c>
      <c r="L359" s="78">
        <f t="shared" si="67"/>
        <v>71.968089694222471</v>
      </c>
      <c r="M359" s="58">
        <f>+VLOOKUP(F359,Material!$H$2:$M$17,6,FALSE)*H359*I359*(1+Material!$K$14)</f>
        <v>535.83514054152909</v>
      </c>
      <c r="N359" s="79" t="str">
        <f t="shared" si="63"/>
        <v>T5.0</v>
      </c>
      <c r="O359" s="80">
        <f>+VLOOKUP(N359,[3]Material!$A$3:$B$58,2,FALSE)</f>
        <v>5000</v>
      </c>
      <c r="P359" s="79" t="s">
        <v>42</v>
      </c>
      <c r="Q359" s="79" t="str">
        <f>+VLOOKUP(F359,[3]Material!$C$2:$E$12,2,FALSE)</f>
        <v>Cal 12</v>
      </c>
      <c r="R359" s="81">
        <f>+IF(P359="ACERO A36",VLOOKUP(Q359,'[3]Velocidades Std 1500 w'!$B$2:$F$15,5,FALSE),IF(P359="INOXIDABLE",VLOOKUP(Q359,'[3]Velocidades Std 1500 w'!$B$17:$F$28,5,FALSE),IF(P359="ALUMINIO",VLOOKUP(Q359,'[3]Velocidades Std 1500 w'!$B$30:$F$38,5,FALSE))))</f>
        <v>4.3859649122807014E-6</v>
      </c>
      <c r="S359" s="82">
        <f t="shared" si="68"/>
        <v>2.1929824561403508E-2</v>
      </c>
      <c r="T359" s="83">
        <f t="shared" si="69"/>
        <v>89.830174736842082</v>
      </c>
      <c r="U359" s="307">
        <f t="shared" si="70"/>
        <v>5689.2443999999996</v>
      </c>
      <c r="V359" s="80">
        <f t="shared" si="75"/>
        <v>124.76413157894736</v>
      </c>
      <c r="W359" s="98">
        <v>20</v>
      </c>
      <c r="X359" s="84">
        <f>+IF(P359="ACERO A36",VLOOKUP(Q359,'[3]Tiempo Objeto'!$B$2:$C$12,2,FALSE),IF(P359="INOXIDABLE",VLOOKUP(Q359,'[3]Tiempo Objeto'!$B$14:$C$22,2,FALSE),IF(P359="ALUMINIO",VLOOKUP(Q359,'[3]Tiempo Objeto'!$B$24:$C$32,2,FALSE))))</f>
        <v>0.6133333333333334</v>
      </c>
      <c r="Y359" s="84">
        <f t="shared" si="71"/>
        <v>12.266666666666667</v>
      </c>
      <c r="Z359" s="80">
        <f t="shared" si="72"/>
        <v>17.037037037037038</v>
      </c>
      <c r="AA359" s="100">
        <v>4</v>
      </c>
      <c r="AB359" s="86">
        <f>+AA359*Analisis!$J$6</f>
        <v>100</v>
      </c>
      <c r="AC359" s="100"/>
      <c r="AD359" s="85">
        <f t="shared" si="73"/>
        <v>0</v>
      </c>
      <c r="AE359" s="86">
        <f>+AC359*Analisis!$J$7</f>
        <v>0</v>
      </c>
      <c r="AF359" s="308">
        <f>+H359*0.0254*I359*0.0254*2*(1+[3]Analisis!$G$2)</f>
        <v>2.3024232983699999</v>
      </c>
      <c r="AG359" s="86">
        <f>+AF359*Analisis!$J$8</f>
        <v>245.31772048108934</v>
      </c>
      <c r="AH359" s="309">
        <f t="shared" si="64"/>
        <v>1022.9540296386028</v>
      </c>
      <c r="AI359" s="86">
        <f>+AH359/(1-Analisis!G364)</f>
        <v>1022.9540296386028</v>
      </c>
      <c r="AJ359" s="86">
        <f t="shared" si="74"/>
        <v>1099.950569503874</v>
      </c>
      <c r="AK359" s="86">
        <f t="shared" si="65"/>
        <v>0</v>
      </c>
      <c r="AL359" s="310" t="e">
        <f>+VLOOKUP(B359,#REF!,2,FALSE)</f>
        <v>#REF!</v>
      </c>
      <c r="AM359" s="311" t="e">
        <f t="shared" si="62"/>
        <v>#REF!</v>
      </c>
      <c r="AN359" s="312" t="e">
        <f t="shared" si="61"/>
        <v>#REF!</v>
      </c>
    </row>
    <row r="360" spans="1:40" s="73" customFormat="1" x14ac:dyDescent="0.25">
      <c r="A360" s="303">
        <v>65</v>
      </c>
      <c r="B360" s="304" t="s">
        <v>1136</v>
      </c>
      <c r="D360" s="74">
        <f>IFERROR(VLOOKUP(B360,'REQ. PINTADO'!B:C,2,0),0)</f>
        <v>0</v>
      </c>
      <c r="E360" s="305">
        <f t="shared" si="66"/>
        <v>359.75495040568876</v>
      </c>
      <c r="F360" s="103" t="s">
        <v>165</v>
      </c>
      <c r="G360" s="75" t="s">
        <v>147</v>
      </c>
      <c r="H360" s="90">
        <v>6.61</v>
      </c>
      <c r="I360" s="90">
        <v>68.5</v>
      </c>
      <c r="J360" s="76">
        <v>0.105</v>
      </c>
      <c r="K360" s="306">
        <v>16.38</v>
      </c>
      <c r="L360" s="78">
        <f t="shared" si="67"/>
        <v>25.275658386752141</v>
      </c>
      <c r="M360" s="58">
        <f>+VLOOKUP(F360,Material!$H$2:$M$17,6,FALSE)*H360*I360*(1+Material!$K$14)</f>
        <v>188.18876562500003</v>
      </c>
      <c r="N360" s="79" t="str">
        <f t="shared" si="63"/>
        <v>T5.0</v>
      </c>
      <c r="O360" s="80">
        <f>+VLOOKUP(N360,[3]Material!$A$3:$B$58,2,FALSE)</f>
        <v>5000</v>
      </c>
      <c r="P360" s="79" t="s">
        <v>42</v>
      </c>
      <c r="Q360" s="79" t="str">
        <f>+VLOOKUP(F360,[3]Material!$C$2:$E$12,2,FALSE)</f>
        <v>Cal 14</v>
      </c>
      <c r="R360" s="81">
        <f>+IF(P360="ACERO A36",VLOOKUP(Q360,'[3]Velocidades Std 1500 w'!$B$2:$F$15,5,FALSE),IF(P360="INOXIDABLE",VLOOKUP(Q360,'[3]Velocidades Std 1500 w'!$B$17:$F$28,5,FALSE),IF(P360="ALUMINIO",VLOOKUP(Q360,'[3]Velocidades Std 1500 w'!$B$30:$F$38,5,FALSE))))</f>
        <v>2.0080321285140564E-6</v>
      </c>
      <c r="S360" s="82">
        <f t="shared" si="68"/>
        <v>1.0040160642570283E-2</v>
      </c>
      <c r="T360" s="83">
        <f t="shared" si="69"/>
        <v>30.118463132530117</v>
      </c>
      <c r="U360" s="307">
        <f t="shared" si="70"/>
        <v>4166.3873999999996</v>
      </c>
      <c r="V360" s="80">
        <f t="shared" si="75"/>
        <v>41.831198795180725</v>
      </c>
      <c r="W360" s="98">
        <v>4</v>
      </c>
      <c r="X360" s="84">
        <f>+IF(P360="ACERO A36",VLOOKUP(Q360,'[3]Tiempo Objeto'!$B$2:$C$12,2,FALSE),IF(P360="INOXIDABLE",VLOOKUP(Q360,'[3]Tiempo Objeto'!$B$14:$C$22,2,FALSE),IF(P360="ALUMINIO",VLOOKUP(Q360,'[3]Tiempo Objeto'!$B$24:$C$32,2,FALSE))))</f>
        <v>0.3133333333333333</v>
      </c>
      <c r="Y360" s="84">
        <f t="shared" si="71"/>
        <v>1.2533333333333332</v>
      </c>
      <c r="Z360" s="80">
        <f t="shared" si="72"/>
        <v>1.7407407407407405</v>
      </c>
      <c r="AA360" s="100">
        <v>1</v>
      </c>
      <c r="AB360" s="86">
        <f>+AA360*Analisis!$J$6</f>
        <v>25</v>
      </c>
      <c r="AC360" s="100"/>
      <c r="AD360" s="85">
        <f t="shared" si="73"/>
        <v>0</v>
      </c>
      <c r="AE360" s="86">
        <f>+AC360*Analisis!$J$7</f>
        <v>0</v>
      </c>
      <c r="AF360" s="308">
        <f>+H360*0.0254*I360*0.0254*2*(1+[3]Analisis!$G$2)</f>
        <v>0.73029692649999989</v>
      </c>
      <c r="AG360" s="86">
        <f>+AF360*Analisis!$J$8</f>
        <v>77.811398716369055</v>
      </c>
      <c r="AH360" s="309">
        <f t="shared" si="64"/>
        <v>334.57210387729054</v>
      </c>
      <c r="AI360" s="86">
        <f>+AH360/(1-Analisis!G365)</f>
        <v>334.57210387729054</v>
      </c>
      <c r="AJ360" s="86">
        <f t="shared" si="74"/>
        <v>359.75495040568876</v>
      </c>
      <c r="AK360" s="86">
        <f t="shared" si="65"/>
        <v>0</v>
      </c>
      <c r="AL360" s="310" t="e">
        <f>+VLOOKUP(B360,#REF!,2,FALSE)</f>
        <v>#REF!</v>
      </c>
      <c r="AM360" s="311" t="e">
        <f t="shared" si="62"/>
        <v>#REF!</v>
      </c>
      <c r="AN360" s="312" t="e">
        <f t="shared" si="61"/>
        <v>#REF!</v>
      </c>
    </row>
    <row r="361" spans="1:40" s="73" customFormat="1" x14ac:dyDescent="0.25">
      <c r="A361" s="303"/>
      <c r="B361" s="304" t="s">
        <v>1137</v>
      </c>
      <c r="D361" s="74">
        <f>IFERROR(VLOOKUP(B361,'REQ. PINTADO'!B:C,2,0),0)</f>
        <v>0</v>
      </c>
      <c r="E361" s="305">
        <f t="shared" si="66"/>
        <v>123.3732866872765</v>
      </c>
      <c r="F361" s="103" t="s">
        <v>165</v>
      </c>
      <c r="G361" s="75" t="s">
        <v>147</v>
      </c>
      <c r="H361" s="90">
        <v>31.35</v>
      </c>
      <c r="I361" s="90">
        <v>2</v>
      </c>
      <c r="J361" s="76">
        <v>0.105</v>
      </c>
      <c r="K361" s="306">
        <v>16.38</v>
      </c>
      <c r="L361" s="78">
        <f t="shared" si="67"/>
        <v>3.5000801282051288</v>
      </c>
      <c r="M361" s="58">
        <f>+VLOOKUP(F361,Material!$H$2:$M$17,6,FALSE)*H361*I361*(1+Material!$K$14)</f>
        <v>26.059687500000003</v>
      </c>
      <c r="N361" s="79" t="str">
        <f t="shared" si="63"/>
        <v>T5.0</v>
      </c>
      <c r="O361" s="80">
        <f>+VLOOKUP(N361,[3]Material!$A$3:$B$58,2,FALSE)</f>
        <v>5000</v>
      </c>
      <c r="P361" s="79" t="s">
        <v>42</v>
      </c>
      <c r="Q361" s="79" t="str">
        <f>+VLOOKUP(F361,[3]Material!$C$2:$E$12,2,FALSE)</f>
        <v>Cal 14</v>
      </c>
      <c r="R361" s="81">
        <f>+IF(P361="ACERO A36",VLOOKUP(Q361,'[3]Velocidades Std 1500 w'!$B$2:$F$15,5,FALSE),IF(P361="INOXIDABLE",VLOOKUP(Q361,'[3]Velocidades Std 1500 w'!$B$17:$F$28,5,FALSE),IF(P361="ALUMINIO",VLOOKUP(Q361,'[3]Velocidades Std 1500 w'!$B$30:$F$38,5,FALSE))))</f>
        <v>2.0080321285140564E-6</v>
      </c>
      <c r="S361" s="82">
        <f t="shared" si="68"/>
        <v>1.0040160642570283E-2</v>
      </c>
      <c r="T361" s="83">
        <f t="shared" si="69"/>
        <v>16.32975180722892</v>
      </c>
      <c r="U361" s="307">
        <f t="shared" si="70"/>
        <v>2258.9490000000001</v>
      </c>
      <c r="V361" s="80">
        <f t="shared" si="75"/>
        <v>22.680210843373498</v>
      </c>
      <c r="W361" s="98">
        <v>12</v>
      </c>
      <c r="X361" s="84">
        <f>+IF(P361="ACERO A36",VLOOKUP(Q361,'[3]Tiempo Objeto'!$B$2:$C$12,2,FALSE),IF(P361="INOXIDABLE",VLOOKUP(Q361,'[3]Tiempo Objeto'!$B$14:$C$22,2,FALSE),IF(P361="ALUMINIO",VLOOKUP(Q361,'[3]Tiempo Objeto'!$B$24:$C$32,2,FALSE))))</f>
        <v>0.3133333333333333</v>
      </c>
      <c r="Y361" s="84">
        <f t="shared" si="71"/>
        <v>3.76</v>
      </c>
      <c r="Z361" s="80">
        <f t="shared" si="72"/>
        <v>5.2222222222222223</v>
      </c>
      <c r="AA361" s="100">
        <v>2</v>
      </c>
      <c r="AB361" s="86">
        <f>+AA361*Analisis!$J$6</f>
        <v>50</v>
      </c>
      <c r="AC361" s="100"/>
      <c r="AD361" s="85">
        <f t="shared" si="73"/>
        <v>0</v>
      </c>
      <c r="AE361" s="86">
        <f>+AC361*Analisis!$J$7</f>
        <v>0</v>
      </c>
      <c r="AF361" s="308">
        <f>+H361*0.0254*I361*0.0254*2*(1+[3]Analisis!$G$2)</f>
        <v>0.10112883</v>
      </c>
      <c r="AG361" s="86">
        <f>+AF361*Analisis!$J$8</f>
        <v>10.775036053571432</v>
      </c>
      <c r="AH361" s="309">
        <f t="shared" si="64"/>
        <v>114.73715661916714</v>
      </c>
      <c r="AI361" s="86">
        <f>+AH361/(1-Analisis!G366)</f>
        <v>114.73715661916714</v>
      </c>
      <c r="AJ361" s="86">
        <f t="shared" si="74"/>
        <v>123.3732866872765</v>
      </c>
      <c r="AK361" s="86">
        <f t="shared" si="65"/>
        <v>0</v>
      </c>
      <c r="AL361" s="310" t="e">
        <f>+VLOOKUP(B361,#REF!,2,FALSE)</f>
        <v>#REF!</v>
      </c>
      <c r="AM361" s="311" t="e">
        <f t="shared" si="62"/>
        <v>#REF!</v>
      </c>
      <c r="AN361" s="312" t="e">
        <f t="shared" si="61"/>
        <v>#REF!</v>
      </c>
    </row>
    <row r="362" spans="1:40" s="73" customFormat="1" x14ac:dyDescent="0.25">
      <c r="A362" s="303">
        <v>66</v>
      </c>
      <c r="B362" s="304" t="s">
        <v>1138</v>
      </c>
      <c r="D362" s="74">
        <f>IFERROR(VLOOKUP(B362,'REQ. PINTADO'!B:C,2,0),0)</f>
        <v>0</v>
      </c>
      <c r="E362" s="305">
        <f t="shared" si="66"/>
        <v>141.76568967865833</v>
      </c>
      <c r="F362" s="103" t="s">
        <v>165</v>
      </c>
      <c r="G362" s="75" t="s">
        <v>147</v>
      </c>
      <c r="H362" s="90">
        <v>41.35</v>
      </c>
      <c r="I362" s="90">
        <v>2</v>
      </c>
      <c r="J362" s="76">
        <v>0.105</v>
      </c>
      <c r="K362" s="306">
        <v>16.38</v>
      </c>
      <c r="L362" s="78">
        <f t="shared" si="67"/>
        <v>4.6165331196581212</v>
      </c>
      <c r="M362" s="58">
        <f>+VLOOKUP(F362,Material!$H$2:$M$17,6,FALSE)*H362*I362*(1+Material!$K$14)</f>
        <v>34.372187500000003</v>
      </c>
      <c r="N362" s="79" t="str">
        <f t="shared" si="63"/>
        <v>T5.0</v>
      </c>
      <c r="O362" s="80">
        <f>+VLOOKUP(N362,[3]Material!$A$3:$B$58,2,FALSE)</f>
        <v>5000</v>
      </c>
      <c r="P362" s="79" t="s">
        <v>42</v>
      </c>
      <c r="Q362" s="79" t="str">
        <f>+VLOOKUP(F362,[3]Material!$C$2:$E$12,2,FALSE)</f>
        <v>Cal 14</v>
      </c>
      <c r="R362" s="81">
        <f>+IF(P362="ACERO A36",VLOOKUP(Q362,'[3]Velocidades Std 1500 w'!$B$2:$F$15,5,FALSE),IF(P362="INOXIDABLE",VLOOKUP(Q362,'[3]Velocidades Std 1500 w'!$B$17:$F$28,5,FALSE),IF(P362="ALUMINIO",VLOOKUP(Q362,'[3]Velocidades Std 1500 w'!$B$30:$F$38,5,FALSE))))</f>
        <v>2.0080321285140564E-6</v>
      </c>
      <c r="S362" s="82">
        <f t="shared" si="68"/>
        <v>1.0040160642570283E-2</v>
      </c>
      <c r="T362" s="83">
        <f t="shared" si="69"/>
        <v>20.18565542168675</v>
      </c>
      <c r="U362" s="307">
        <f t="shared" si="70"/>
        <v>2792.3490000000002</v>
      </c>
      <c r="V362" s="80">
        <f t="shared" si="75"/>
        <v>28.035632530120488</v>
      </c>
      <c r="W362" s="98">
        <v>12</v>
      </c>
      <c r="X362" s="84">
        <f>+IF(P362="ACERO A36",VLOOKUP(Q362,'[3]Tiempo Objeto'!$B$2:$C$12,2,FALSE),IF(P362="INOXIDABLE",VLOOKUP(Q362,'[3]Tiempo Objeto'!$B$14:$C$22,2,FALSE),IF(P362="ALUMINIO",VLOOKUP(Q362,'[3]Tiempo Objeto'!$B$24:$C$32,2,FALSE))))</f>
        <v>0.3133333333333333</v>
      </c>
      <c r="Y362" s="84">
        <f t="shared" si="71"/>
        <v>3.76</v>
      </c>
      <c r="Z362" s="80">
        <f t="shared" si="72"/>
        <v>5.2222222222222223</v>
      </c>
      <c r="AA362" s="100">
        <v>2</v>
      </c>
      <c r="AB362" s="86">
        <f>+AA362*Analisis!$J$6</f>
        <v>50</v>
      </c>
      <c r="AC362" s="100"/>
      <c r="AD362" s="85">
        <f t="shared" si="73"/>
        <v>0</v>
      </c>
      <c r="AE362" s="86">
        <f>+AC362*Analisis!$J$7</f>
        <v>0</v>
      </c>
      <c r="AF362" s="308">
        <f>+H362*0.0254*I362*0.0254*2*(1+[3]Analisis!$G$2)</f>
        <v>0.13338682999999998</v>
      </c>
      <c r="AG362" s="86">
        <f>+AF362*Analisis!$J$8</f>
        <v>14.212049148809527</v>
      </c>
      <c r="AH362" s="309">
        <f t="shared" si="64"/>
        <v>131.84209140115223</v>
      </c>
      <c r="AI362" s="86">
        <f>+AH362/(1-Analisis!G367)</f>
        <v>131.84209140115223</v>
      </c>
      <c r="AJ362" s="86">
        <f t="shared" si="74"/>
        <v>141.76568967865833</v>
      </c>
      <c r="AK362" s="86">
        <f t="shared" si="65"/>
        <v>0</v>
      </c>
      <c r="AL362" s="310" t="e">
        <f>+VLOOKUP(B362,#REF!,2,FALSE)</f>
        <v>#REF!</v>
      </c>
      <c r="AM362" s="311" t="e">
        <f t="shared" si="62"/>
        <v>#REF!</v>
      </c>
      <c r="AN362" s="312" t="e">
        <f t="shared" si="61"/>
        <v>#REF!</v>
      </c>
    </row>
    <row r="363" spans="1:40" s="73" customFormat="1" x14ac:dyDescent="0.25">
      <c r="A363" s="303"/>
      <c r="B363" s="304" t="s">
        <v>1139</v>
      </c>
      <c r="D363" s="74">
        <f>IFERROR(VLOOKUP(B363,'REQ. PINTADO'!B:C,2,0),0)</f>
        <v>0</v>
      </c>
      <c r="E363" s="305">
        <f t="shared" si="66"/>
        <v>150.96189117434923</v>
      </c>
      <c r="F363" s="103" t="s">
        <v>165</v>
      </c>
      <c r="G363" s="75" t="s">
        <v>147</v>
      </c>
      <c r="H363" s="90">
        <v>46.35</v>
      </c>
      <c r="I363" s="90">
        <v>2</v>
      </c>
      <c r="J363" s="76">
        <v>0.105</v>
      </c>
      <c r="K363" s="306">
        <v>16.38</v>
      </c>
      <c r="L363" s="78">
        <f t="shared" si="67"/>
        <v>5.1747596153846169</v>
      </c>
      <c r="M363" s="58">
        <f>+VLOOKUP(F363,Material!$H$2:$M$17,6,FALSE)*H363*I363*(1+Material!$K$14)</f>
        <v>38.528437500000003</v>
      </c>
      <c r="N363" s="79" t="str">
        <f t="shared" si="63"/>
        <v>T5.0</v>
      </c>
      <c r="O363" s="80">
        <f>+VLOOKUP(N363,[3]Material!$A$3:$B$58,2,FALSE)</f>
        <v>5000</v>
      </c>
      <c r="P363" s="79" t="s">
        <v>42</v>
      </c>
      <c r="Q363" s="79" t="str">
        <f>+VLOOKUP(F363,[3]Material!$C$2:$E$12,2,FALSE)</f>
        <v>Cal 14</v>
      </c>
      <c r="R363" s="81">
        <f>+IF(P363="ACERO A36",VLOOKUP(Q363,'[3]Velocidades Std 1500 w'!$B$2:$F$15,5,FALSE),IF(P363="INOXIDABLE",VLOOKUP(Q363,'[3]Velocidades Std 1500 w'!$B$17:$F$28,5,FALSE),IF(P363="ALUMINIO",VLOOKUP(Q363,'[3]Velocidades Std 1500 w'!$B$30:$F$38,5,FALSE))))</f>
        <v>2.0080321285140564E-6</v>
      </c>
      <c r="S363" s="82">
        <f t="shared" si="68"/>
        <v>1.0040160642570283E-2</v>
      </c>
      <c r="T363" s="83">
        <f t="shared" si="69"/>
        <v>22.113607228915669</v>
      </c>
      <c r="U363" s="307">
        <f t="shared" si="70"/>
        <v>3059.0490000000004</v>
      </c>
      <c r="V363" s="80">
        <f t="shared" si="75"/>
        <v>30.713343373493984</v>
      </c>
      <c r="W363" s="98">
        <v>12</v>
      </c>
      <c r="X363" s="84">
        <f>+IF(P363="ACERO A36",VLOOKUP(Q363,'[3]Tiempo Objeto'!$B$2:$C$12,2,FALSE),IF(P363="INOXIDABLE",VLOOKUP(Q363,'[3]Tiempo Objeto'!$B$14:$C$22,2,FALSE),IF(P363="ALUMINIO",VLOOKUP(Q363,'[3]Tiempo Objeto'!$B$24:$C$32,2,FALSE))))</f>
        <v>0.3133333333333333</v>
      </c>
      <c r="Y363" s="84">
        <f t="shared" si="71"/>
        <v>3.76</v>
      </c>
      <c r="Z363" s="80">
        <f t="shared" si="72"/>
        <v>5.2222222222222223</v>
      </c>
      <c r="AA363" s="100">
        <v>2</v>
      </c>
      <c r="AB363" s="86">
        <f>+AA363*Analisis!$J$6</f>
        <v>50</v>
      </c>
      <c r="AC363" s="100"/>
      <c r="AD363" s="85">
        <f t="shared" si="73"/>
        <v>0</v>
      </c>
      <c r="AE363" s="86">
        <f>+AC363*Analisis!$J$7</f>
        <v>0</v>
      </c>
      <c r="AF363" s="308">
        <f>+H363*0.0254*I363*0.0254*2*(1+[3]Analisis!$G$2)</f>
        <v>0.14951582999999999</v>
      </c>
      <c r="AG363" s="86">
        <f>+AF363*Analisis!$J$8</f>
        <v>15.930555696428575</v>
      </c>
      <c r="AH363" s="309">
        <f t="shared" si="64"/>
        <v>140.39455879214478</v>
      </c>
      <c r="AI363" s="86">
        <f>+AH363/(1-Analisis!G368)</f>
        <v>140.39455879214478</v>
      </c>
      <c r="AJ363" s="86">
        <f t="shared" si="74"/>
        <v>150.96189117434923</v>
      </c>
      <c r="AK363" s="86">
        <f t="shared" si="65"/>
        <v>0</v>
      </c>
      <c r="AL363" s="310" t="e">
        <f>+VLOOKUP(B363,#REF!,2,FALSE)</f>
        <v>#REF!</v>
      </c>
      <c r="AM363" s="311" t="e">
        <f t="shared" si="62"/>
        <v>#REF!</v>
      </c>
      <c r="AN363" s="312" t="e">
        <f t="shared" si="61"/>
        <v>#REF!</v>
      </c>
    </row>
    <row r="364" spans="1:40" s="73" customFormat="1" x14ac:dyDescent="0.25">
      <c r="A364" s="303"/>
      <c r="B364" s="304" t="s">
        <v>1140</v>
      </c>
      <c r="D364" s="74">
        <f>IFERROR(VLOOKUP(B364,'REQ. PINTADO'!B:C,2,0),0)</f>
        <v>0</v>
      </c>
      <c r="E364" s="305">
        <f t="shared" si="66"/>
        <v>160.15809267004013</v>
      </c>
      <c r="F364" s="103" t="s">
        <v>165</v>
      </c>
      <c r="G364" s="75" t="s">
        <v>147</v>
      </c>
      <c r="H364" s="90">
        <v>51.35</v>
      </c>
      <c r="I364" s="90">
        <v>2</v>
      </c>
      <c r="J364" s="76">
        <v>0.105</v>
      </c>
      <c r="K364" s="306">
        <v>16.38</v>
      </c>
      <c r="L364" s="78">
        <f t="shared" si="67"/>
        <v>5.7329861111111127</v>
      </c>
      <c r="M364" s="58">
        <f>+VLOOKUP(F364,Material!$H$2:$M$17,6,FALSE)*H364*I364*(1+Material!$K$14)</f>
        <v>42.684687500000003</v>
      </c>
      <c r="N364" s="79" t="str">
        <f t="shared" si="63"/>
        <v>T5.0</v>
      </c>
      <c r="O364" s="80">
        <f>+VLOOKUP(N364,[3]Material!$A$3:$B$58,2,FALSE)</f>
        <v>5000</v>
      </c>
      <c r="P364" s="79" t="s">
        <v>42</v>
      </c>
      <c r="Q364" s="79" t="str">
        <f>+VLOOKUP(F364,[3]Material!$C$2:$E$12,2,FALSE)</f>
        <v>Cal 14</v>
      </c>
      <c r="R364" s="81">
        <f>+IF(P364="ACERO A36",VLOOKUP(Q364,'[3]Velocidades Std 1500 w'!$B$2:$F$15,5,FALSE),IF(P364="INOXIDABLE",VLOOKUP(Q364,'[3]Velocidades Std 1500 w'!$B$17:$F$28,5,FALSE),IF(P364="ALUMINIO",VLOOKUP(Q364,'[3]Velocidades Std 1500 w'!$B$30:$F$38,5,FALSE))))</f>
        <v>2.0080321285140564E-6</v>
      </c>
      <c r="S364" s="82">
        <f t="shared" si="68"/>
        <v>1.0040160642570283E-2</v>
      </c>
      <c r="T364" s="83">
        <f t="shared" si="69"/>
        <v>24.04155903614458</v>
      </c>
      <c r="U364" s="307">
        <f t="shared" si="70"/>
        <v>3325.7490000000003</v>
      </c>
      <c r="V364" s="80">
        <f t="shared" si="75"/>
        <v>33.391054216867481</v>
      </c>
      <c r="W364" s="98">
        <v>12</v>
      </c>
      <c r="X364" s="84">
        <f>+IF(P364="ACERO A36",VLOOKUP(Q364,'[3]Tiempo Objeto'!$B$2:$C$12,2,FALSE),IF(P364="INOXIDABLE",VLOOKUP(Q364,'[3]Tiempo Objeto'!$B$14:$C$22,2,FALSE),IF(P364="ALUMINIO",VLOOKUP(Q364,'[3]Tiempo Objeto'!$B$24:$C$32,2,FALSE))))</f>
        <v>0.3133333333333333</v>
      </c>
      <c r="Y364" s="84">
        <f t="shared" si="71"/>
        <v>3.76</v>
      </c>
      <c r="Z364" s="80">
        <f t="shared" si="72"/>
        <v>5.2222222222222223</v>
      </c>
      <c r="AA364" s="100">
        <v>2</v>
      </c>
      <c r="AB364" s="86">
        <f>+AA364*Analisis!$J$6</f>
        <v>50</v>
      </c>
      <c r="AC364" s="100"/>
      <c r="AD364" s="85">
        <f t="shared" si="73"/>
        <v>0</v>
      </c>
      <c r="AE364" s="86">
        <f>+AC364*Analisis!$J$7</f>
        <v>0</v>
      </c>
      <c r="AF364" s="308">
        <f>+H364*0.0254*I364*0.0254*2*(1+[3]Analisis!$G$2)</f>
        <v>0.16564482999999997</v>
      </c>
      <c r="AG364" s="86">
        <f>+AF364*Analisis!$J$8</f>
        <v>17.64906224404762</v>
      </c>
      <c r="AH364" s="309">
        <f t="shared" si="64"/>
        <v>148.94702618313733</v>
      </c>
      <c r="AI364" s="86">
        <f>+AH364/(1-Analisis!G369)</f>
        <v>148.94702618313733</v>
      </c>
      <c r="AJ364" s="86">
        <f t="shared" si="74"/>
        <v>160.15809267004013</v>
      </c>
      <c r="AK364" s="86">
        <f t="shared" si="65"/>
        <v>0</v>
      </c>
      <c r="AL364" s="310" t="e">
        <f>+VLOOKUP(B364,#REF!,2,FALSE)</f>
        <v>#REF!</v>
      </c>
      <c r="AM364" s="311" t="e">
        <f t="shared" si="62"/>
        <v>#REF!</v>
      </c>
      <c r="AN364" s="312" t="e">
        <f t="shared" si="61"/>
        <v>#REF!</v>
      </c>
    </row>
    <row r="365" spans="1:40" s="73" customFormat="1" x14ac:dyDescent="0.25">
      <c r="A365" s="303">
        <v>67</v>
      </c>
      <c r="B365" s="304" t="s">
        <v>1141</v>
      </c>
      <c r="D365" s="74">
        <f>IFERROR(VLOOKUP(B365,'REQ. PINTADO'!B:C,2,0),0)</f>
        <v>0</v>
      </c>
      <c r="E365" s="305">
        <f t="shared" si="66"/>
        <v>284.48166946589635</v>
      </c>
      <c r="F365" s="103" t="s">
        <v>165</v>
      </c>
      <c r="G365" s="75" t="s">
        <v>147</v>
      </c>
      <c r="H365" s="90">
        <v>4.25</v>
      </c>
      <c r="I365" s="90">
        <v>68.63</v>
      </c>
      <c r="J365" s="76">
        <v>0.105</v>
      </c>
      <c r="K365" s="306">
        <v>16.38</v>
      </c>
      <c r="L365" s="78">
        <f t="shared" si="67"/>
        <v>16.282210870726498</v>
      </c>
      <c r="M365" s="58">
        <f>+VLOOKUP(F365,Material!$H$2:$M$17,6,FALSE)*H365*I365*(1+Material!$K$14)</f>
        <v>121.22846093749999</v>
      </c>
      <c r="N365" s="79" t="str">
        <f t="shared" si="63"/>
        <v>T5.0</v>
      </c>
      <c r="O365" s="80">
        <f>+VLOOKUP(N365,[3]Material!$A$3:$B$58,2,FALSE)</f>
        <v>5000</v>
      </c>
      <c r="P365" s="79" t="s">
        <v>42</v>
      </c>
      <c r="Q365" s="79" t="str">
        <f>+VLOOKUP(F365,[3]Material!$C$2:$E$12,2,FALSE)</f>
        <v>Cal 14</v>
      </c>
      <c r="R365" s="81">
        <f>+IF(P365="ACERO A36",VLOOKUP(Q365,'[3]Velocidades Std 1500 w'!$B$2:$F$15,5,FALSE),IF(P365="INOXIDABLE",VLOOKUP(Q365,'[3]Velocidades Std 1500 w'!$B$17:$F$28,5,FALSE),IF(P365="ALUMINIO",VLOOKUP(Q365,'[3]Velocidades Std 1500 w'!$B$30:$F$38,5,FALSE))))</f>
        <v>2.0080321285140564E-6</v>
      </c>
      <c r="S365" s="82">
        <f t="shared" si="68"/>
        <v>1.0040160642570283E-2</v>
      </c>
      <c r="T365" s="83">
        <f t="shared" si="69"/>
        <v>29.54778939759036</v>
      </c>
      <c r="U365" s="307">
        <f t="shared" si="70"/>
        <v>4087.4441999999999</v>
      </c>
      <c r="V365" s="80">
        <f t="shared" si="75"/>
        <v>41.038596385542178</v>
      </c>
      <c r="W365" s="98">
        <v>5</v>
      </c>
      <c r="X365" s="84">
        <f>+IF(P365="ACERO A36",VLOOKUP(Q365,'[3]Tiempo Objeto'!$B$2:$C$12,2,FALSE),IF(P365="INOXIDABLE",VLOOKUP(Q365,'[3]Tiempo Objeto'!$B$14:$C$22,2,FALSE),IF(P365="ALUMINIO",VLOOKUP(Q365,'[3]Tiempo Objeto'!$B$24:$C$32,2,FALSE))))</f>
        <v>0.3133333333333333</v>
      </c>
      <c r="Y365" s="84">
        <f t="shared" si="71"/>
        <v>1.5666666666666664</v>
      </c>
      <c r="Z365" s="80">
        <f t="shared" si="72"/>
        <v>2.1759259259259256</v>
      </c>
      <c r="AA365" s="100">
        <v>2</v>
      </c>
      <c r="AB365" s="86">
        <f>+AA365*Analisis!$J$6</f>
        <v>50</v>
      </c>
      <c r="AC365" s="100"/>
      <c r="AD365" s="85">
        <f t="shared" si="73"/>
        <v>0</v>
      </c>
      <c r="AE365" s="86">
        <f>+AC365*Analisis!$J$7</f>
        <v>0</v>
      </c>
      <c r="AF365" s="308">
        <f>+H365*0.0254*I365*0.0254*2*(1+[3]Analisis!$G$2)</f>
        <v>0.4704466397499999</v>
      </c>
      <c r="AG365" s="86">
        <f>+AF365*Analisis!$J$8</f>
        <v>50.124969354315482</v>
      </c>
      <c r="AH365" s="309">
        <f t="shared" si="64"/>
        <v>264.56795260328357</v>
      </c>
      <c r="AI365" s="86">
        <f>+AH365/(1-Analisis!G370)</f>
        <v>264.56795260328357</v>
      </c>
      <c r="AJ365" s="86">
        <f t="shared" si="74"/>
        <v>284.48166946589635</v>
      </c>
      <c r="AK365" s="86">
        <f t="shared" si="65"/>
        <v>0</v>
      </c>
      <c r="AL365" s="310" t="e">
        <f>+VLOOKUP(B365,#REF!,2,FALSE)</f>
        <v>#REF!</v>
      </c>
      <c r="AM365" s="311" t="e">
        <f t="shared" si="62"/>
        <v>#REF!</v>
      </c>
      <c r="AN365" s="312" t="e">
        <f t="shared" si="61"/>
        <v>#REF!</v>
      </c>
    </row>
    <row r="366" spans="1:40" s="73" customFormat="1" x14ac:dyDescent="0.25">
      <c r="A366" s="303">
        <v>68</v>
      </c>
      <c r="B366" s="304" t="s">
        <v>1142</v>
      </c>
      <c r="D366" s="74">
        <f>IFERROR(VLOOKUP(B366,'REQ. PINTADO'!B:C,2,0),0)</f>
        <v>0</v>
      </c>
      <c r="E366" s="305">
        <f t="shared" si="66"/>
        <v>104.04872271369589</v>
      </c>
      <c r="F366" s="103" t="s">
        <v>165</v>
      </c>
      <c r="G366" s="75" t="s">
        <v>147</v>
      </c>
      <c r="H366" s="90">
        <v>4.72</v>
      </c>
      <c r="I366" s="90">
        <v>4.55</v>
      </c>
      <c r="J366" s="76">
        <v>0.105</v>
      </c>
      <c r="K366" s="306">
        <v>16.38</v>
      </c>
      <c r="L366" s="78">
        <f t="shared" si="67"/>
        <v>1.1988472222222222</v>
      </c>
      <c r="M366" s="58">
        <f>+VLOOKUP(F366,Material!$H$2:$M$17,6,FALSE)*H366*I366*(1+Material!$K$14)</f>
        <v>8.9259624999999989</v>
      </c>
      <c r="N366" s="79" t="str">
        <f t="shared" si="63"/>
        <v>T5.0</v>
      </c>
      <c r="O366" s="80">
        <f>+VLOOKUP(N366,[3]Material!$A$3:$B$58,2,FALSE)</f>
        <v>5000</v>
      </c>
      <c r="P366" s="79" t="s">
        <v>42</v>
      </c>
      <c r="Q366" s="79" t="str">
        <f>+VLOOKUP(F366,[3]Material!$C$2:$E$12,2,FALSE)</f>
        <v>Cal 14</v>
      </c>
      <c r="R366" s="81">
        <f>+IF(P366="ACERO A36",VLOOKUP(Q366,'[3]Velocidades Std 1500 w'!$B$2:$F$15,5,FALSE),IF(P366="INOXIDABLE",VLOOKUP(Q366,'[3]Velocidades Std 1500 w'!$B$17:$F$28,5,FALSE),IF(P366="ALUMINIO",VLOOKUP(Q366,'[3]Velocidades Std 1500 w'!$B$30:$F$38,5,FALSE))))</f>
        <v>2.0080321285140564E-6</v>
      </c>
      <c r="S366" s="82">
        <f t="shared" si="68"/>
        <v>1.0040160642570283E-2</v>
      </c>
      <c r="T366" s="83">
        <f t="shared" si="69"/>
        <v>5.0203865060240966</v>
      </c>
      <c r="U366" s="307">
        <f t="shared" si="70"/>
        <v>694.48680000000002</v>
      </c>
      <c r="V366" s="80">
        <f t="shared" si="75"/>
        <v>6.9727590361445797</v>
      </c>
      <c r="W366" s="98">
        <v>5</v>
      </c>
      <c r="X366" s="84">
        <f>+IF(P366="ACERO A36",VLOOKUP(Q366,'[3]Tiempo Objeto'!$B$2:$C$12,2,FALSE),IF(P366="INOXIDABLE",VLOOKUP(Q366,'[3]Tiempo Objeto'!$B$14:$C$22,2,FALSE),IF(P366="ALUMINIO",VLOOKUP(Q366,'[3]Tiempo Objeto'!$B$24:$C$32,2,FALSE))))</f>
        <v>0.3133333333333333</v>
      </c>
      <c r="Y366" s="84">
        <f t="shared" si="71"/>
        <v>1.5666666666666664</v>
      </c>
      <c r="Z366" s="80">
        <f t="shared" si="72"/>
        <v>2.1759259259259256</v>
      </c>
      <c r="AA366" s="100">
        <v>3</v>
      </c>
      <c r="AB366" s="86">
        <f>+AA366*Analisis!$J$6</f>
        <v>75</v>
      </c>
      <c r="AC366" s="100"/>
      <c r="AD366" s="85">
        <f t="shared" si="73"/>
        <v>0</v>
      </c>
      <c r="AE366" s="86">
        <f>+AC366*Analisis!$J$7</f>
        <v>0</v>
      </c>
      <c r="AF366" s="308">
        <f>+H366*0.0254*I366*0.0254*2*(1+[3]Analisis!$G$2)</f>
        <v>3.4638640399999997E-2</v>
      </c>
      <c r="AG366" s="86">
        <f>+AF366*Analisis!$J$8</f>
        <v>3.6906646616666676</v>
      </c>
      <c r="AH366" s="309">
        <f t="shared" si="64"/>
        <v>96.765312123737175</v>
      </c>
      <c r="AI366" s="86">
        <f>+AH366/(1-Analisis!G371)</f>
        <v>96.765312123737175</v>
      </c>
      <c r="AJ366" s="86">
        <f t="shared" si="74"/>
        <v>104.04872271369589</v>
      </c>
      <c r="AK366" s="86">
        <f t="shared" si="65"/>
        <v>0</v>
      </c>
      <c r="AL366" s="310" t="e">
        <f>+VLOOKUP(B366,#REF!,2,FALSE)</f>
        <v>#REF!</v>
      </c>
      <c r="AM366" s="311" t="e">
        <f t="shared" si="62"/>
        <v>#REF!</v>
      </c>
      <c r="AN366" s="312" t="e">
        <f t="shared" si="61"/>
        <v>#REF!</v>
      </c>
    </row>
    <row r="367" spans="1:40" s="73" customFormat="1" x14ac:dyDescent="0.25">
      <c r="A367" s="303">
        <v>69</v>
      </c>
      <c r="B367" s="304" t="s">
        <v>1143</v>
      </c>
      <c r="D367" s="74">
        <f>IFERROR(VLOOKUP(B367,'REQ. PINTADO'!B:C,2,0),0)</f>
        <v>0</v>
      </c>
      <c r="E367" s="305">
        <f t="shared" si="66"/>
        <v>89.065859414965061</v>
      </c>
      <c r="F367" s="103" t="s">
        <v>163</v>
      </c>
      <c r="G367" s="75" t="s">
        <v>147</v>
      </c>
      <c r="H367" s="90">
        <v>2.75</v>
      </c>
      <c r="I367" s="90">
        <v>7.84</v>
      </c>
      <c r="J367" s="76">
        <v>0.105</v>
      </c>
      <c r="K367" s="306">
        <v>16.38</v>
      </c>
      <c r="L367" s="78">
        <f t="shared" si="67"/>
        <v>1.0869535922615745</v>
      </c>
      <c r="M367" s="58">
        <f>+VLOOKUP(F367,Material!$H$2:$M$17,6,FALSE)*H367*I367*(1+Material!$K$14)</f>
        <v>8.0928635642020854</v>
      </c>
      <c r="N367" s="79" t="str">
        <f t="shared" si="63"/>
        <v>T5.0</v>
      </c>
      <c r="O367" s="80">
        <f>+VLOOKUP(N367,[3]Material!$A$3:$B$58,2,FALSE)</f>
        <v>5000</v>
      </c>
      <c r="P367" s="79" t="s">
        <v>42</v>
      </c>
      <c r="Q367" s="79" t="str">
        <f>+VLOOKUP(F367,[3]Material!$C$2:$E$12,2,FALSE)</f>
        <v>Cal 12</v>
      </c>
      <c r="R367" s="81">
        <f>+IF(P367="ACERO A36",VLOOKUP(Q367,'[3]Velocidades Std 1500 w'!$B$2:$F$15,5,FALSE),IF(P367="INOXIDABLE",VLOOKUP(Q367,'[3]Velocidades Std 1500 w'!$B$17:$F$28,5,FALSE),IF(P367="ALUMINIO",VLOOKUP(Q367,'[3]Velocidades Std 1500 w'!$B$30:$F$38,5,FALSE))))</f>
        <v>4.3859649122807014E-6</v>
      </c>
      <c r="S367" s="82">
        <f t="shared" si="68"/>
        <v>2.1929824561403508E-2</v>
      </c>
      <c r="T367" s="83">
        <f t="shared" si="69"/>
        <v>12.077298947368421</v>
      </c>
      <c r="U367" s="307">
        <f t="shared" si="70"/>
        <v>764.89560000000006</v>
      </c>
      <c r="V367" s="80">
        <f t="shared" si="75"/>
        <v>16.774026315789474</v>
      </c>
      <c r="W367" s="98">
        <v>5</v>
      </c>
      <c r="X367" s="84">
        <f>+IF(P367="ACERO A36",VLOOKUP(Q367,'[3]Tiempo Objeto'!$B$2:$C$12,2,FALSE),IF(P367="INOXIDABLE",VLOOKUP(Q367,'[3]Tiempo Objeto'!$B$14:$C$22,2,FALSE),IF(P367="ALUMINIO",VLOOKUP(Q367,'[3]Tiempo Objeto'!$B$24:$C$32,2,FALSE))))</f>
        <v>0.6133333333333334</v>
      </c>
      <c r="Y367" s="84">
        <f t="shared" si="71"/>
        <v>3.0666666666666669</v>
      </c>
      <c r="Z367" s="80">
        <f t="shared" si="72"/>
        <v>4.2592592592592595</v>
      </c>
      <c r="AA367" s="100">
        <v>2</v>
      </c>
      <c r="AB367" s="86">
        <f>+AA367*Analisis!$J$6</f>
        <v>50</v>
      </c>
      <c r="AC367" s="100"/>
      <c r="AD367" s="85">
        <f t="shared" si="73"/>
        <v>0</v>
      </c>
      <c r="AE367" s="86">
        <f>+AC367*Analisis!$J$7</f>
        <v>0</v>
      </c>
      <c r="AF367" s="308">
        <f>+H367*0.0254*I367*0.0254*2*(1+[3]Analisis!$G$2)</f>
        <v>3.4774123999999997E-2</v>
      </c>
      <c r="AG367" s="86">
        <f>+AF367*Analisis!$J$8</f>
        <v>3.7051001166666673</v>
      </c>
      <c r="AH367" s="309">
        <f t="shared" si="64"/>
        <v>82.831249255917498</v>
      </c>
      <c r="AI367" s="86">
        <f>+AH367/(1-Analisis!G372)</f>
        <v>82.831249255917498</v>
      </c>
      <c r="AJ367" s="86">
        <f t="shared" si="74"/>
        <v>89.065859414965061</v>
      </c>
      <c r="AK367" s="86">
        <f t="shared" si="65"/>
        <v>0</v>
      </c>
      <c r="AL367" s="310" t="e">
        <f>+VLOOKUP(B367,#REF!,2,FALSE)</f>
        <v>#REF!</v>
      </c>
      <c r="AM367" s="311" t="e">
        <f t="shared" si="62"/>
        <v>#REF!</v>
      </c>
      <c r="AN367" s="312" t="e">
        <f t="shared" si="61"/>
        <v>#REF!</v>
      </c>
    </row>
    <row r="368" spans="1:40" s="73" customFormat="1" x14ac:dyDescent="0.25">
      <c r="A368" s="303">
        <v>70</v>
      </c>
      <c r="B368" s="304" t="s">
        <v>1144</v>
      </c>
      <c r="D368" s="74">
        <f>IFERROR(VLOOKUP(B368,'REQ. PINTADO'!B:C,2,0),0)</f>
        <v>0</v>
      </c>
      <c r="E368" s="305">
        <f t="shared" si="66"/>
        <v>260.09988923320179</v>
      </c>
      <c r="F368" s="103" t="s">
        <v>163</v>
      </c>
      <c r="G368" s="75" t="s">
        <v>147</v>
      </c>
      <c r="H368" s="90">
        <v>12.01</v>
      </c>
      <c r="I368" s="90">
        <v>14.28</v>
      </c>
      <c r="J368" s="76">
        <v>0.105</v>
      </c>
      <c r="K368" s="306">
        <v>16.38</v>
      </c>
      <c r="L368" s="78">
        <f t="shared" si="67"/>
        <v>8.6463629194303504</v>
      </c>
      <c r="M368" s="58">
        <f>+VLOOKUP(F368,Material!$H$2:$M$17,6,FALSE)*H368*I368*(1+Material!$K$14)</f>
        <v>64.376102100122324</v>
      </c>
      <c r="N368" s="79" t="str">
        <f t="shared" si="63"/>
        <v>T5.0</v>
      </c>
      <c r="O368" s="80">
        <f>+VLOOKUP(N368,[3]Material!$A$3:$B$58,2,FALSE)</f>
        <v>5000</v>
      </c>
      <c r="P368" s="79" t="s">
        <v>42</v>
      </c>
      <c r="Q368" s="79" t="str">
        <f>+VLOOKUP(F368,[3]Material!$C$2:$E$12,2,FALSE)</f>
        <v>Cal 12</v>
      </c>
      <c r="R368" s="81">
        <f>+IF(P368="ACERO A36",VLOOKUP(Q368,'[3]Velocidades Std 1500 w'!$B$2:$F$15,5,FALSE),IF(P368="INOXIDABLE",VLOOKUP(Q368,'[3]Velocidades Std 1500 w'!$B$17:$F$28,5,FALSE),IF(P368="ALUMINIO",VLOOKUP(Q368,'[3]Velocidades Std 1500 w'!$B$30:$F$38,5,FALSE))))</f>
        <v>4.3859649122807014E-6</v>
      </c>
      <c r="S368" s="82">
        <f t="shared" si="68"/>
        <v>2.1929824561403508E-2</v>
      </c>
      <c r="T368" s="83">
        <f t="shared" si="69"/>
        <v>28.458293684210528</v>
      </c>
      <c r="U368" s="307">
        <f t="shared" si="70"/>
        <v>1802.3586</v>
      </c>
      <c r="V368" s="80">
        <f t="shared" si="75"/>
        <v>39.525407894736837</v>
      </c>
      <c r="W368" s="98">
        <v>10</v>
      </c>
      <c r="X368" s="84">
        <f>+IF(P368="ACERO A36",VLOOKUP(Q368,'[3]Tiempo Objeto'!$B$2:$C$12,2,FALSE),IF(P368="INOXIDABLE",VLOOKUP(Q368,'[3]Tiempo Objeto'!$B$14:$C$22,2,FALSE),IF(P368="ALUMINIO",VLOOKUP(Q368,'[3]Tiempo Objeto'!$B$24:$C$32,2,FALSE))))</f>
        <v>0.6133333333333334</v>
      </c>
      <c r="Y368" s="84">
        <f t="shared" si="71"/>
        <v>6.1333333333333337</v>
      </c>
      <c r="Z368" s="80">
        <f t="shared" si="72"/>
        <v>8.518518518518519</v>
      </c>
      <c r="AA368" s="100">
        <v>4</v>
      </c>
      <c r="AB368" s="86">
        <f>+AA368*Analisis!$J$6</f>
        <v>100</v>
      </c>
      <c r="AC368" s="100"/>
      <c r="AD368" s="85">
        <f t="shared" si="73"/>
        <v>0</v>
      </c>
      <c r="AE368" s="86">
        <f>+AC368*Analisis!$J$7</f>
        <v>0</v>
      </c>
      <c r="AF368" s="308">
        <f>+H368*0.0254*I368*0.0254*2*(1+[3]Analisis!$G$2)</f>
        <v>0.27661686611999997</v>
      </c>
      <c r="AG368" s="86">
        <f>+AF368*Analisis!$J$8</f>
        <v>29.472868473500007</v>
      </c>
      <c r="AH368" s="309">
        <f t="shared" si="64"/>
        <v>241.89289698687767</v>
      </c>
      <c r="AI368" s="86">
        <f>+AH368/(1-Analisis!G373)</f>
        <v>241.89289698687767</v>
      </c>
      <c r="AJ368" s="86">
        <f t="shared" si="74"/>
        <v>260.09988923320179</v>
      </c>
      <c r="AK368" s="86">
        <f t="shared" si="65"/>
        <v>0</v>
      </c>
      <c r="AL368" s="310" t="e">
        <f>+VLOOKUP(B368,#REF!,2,FALSE)</f>
        <v>#REF!</v>
      </c>
      <c r="AM368" s="311" t="e">
        <f t="shared" si="62"/>
        <v>#REF!</v>
      </c>
      <c r="AN368" s="312" t="e">
        <f t="shared" si="61"/>
        <v>#REF!</v>
      </c>
    </row>
    <row r="369" spans="1:40" s="73" customFormat="1" x14ac:dyDescent="0.25">
      <c r="A369" s="303">
        <v>71</v>
      </c>
      <c r="B369" s="304" t="s">
        <v>1145</v>
      </c>
      <c r="D369" s="74">
        <f>IFERROR(VLOOKUP(B369,'REQ. PINTADO'!B:C,2,0),0)</f>
        <v>0</v>
      </c>
      <c r="E369" s="305">
        <f t="shared" si="66"/>
        <v>28.05634634986653</v>
      </c>
      <c r="F369" s="103" t="s">
        <v>165</v>
      </c>
      <c r="G369" s="75" t="s">
        <v>147</v>
      </c>
      <c r="H369" s="90">
        <v>2.75</v>
      </c>
      <c r="I369" s="90">
        <v>9.5</v>
      </c>
      <c r="J369" s="76">
        <v>0.105</v>
      </c>
      <c r="K369" s="306">
        <v>16.38</v>
      </c>
      <c r="L369" s="78">
        <f t="shared" si="67"/>
        <v>1.4583667200854704</v>
      </c>
      <c r="M369" s="58">
        <f>+VLOOKUP(F369,Material!$H$2:$M$17,6,FALSE)*H369*I369*(1+Material!$K$14)</f>
        <v>10.858203125000001</v>
      </c>
      <c r="N369" s="79" t="str">
        <f t="shared" si="63"/>
        <v>T5.0</v>
      </c>
      <c r="O369" s="80">
        <f>+VLOOKUP(N369,[3]Material!$A$3:$B$58,2,FALSE)</f>
        <v>5000</v>
      </c>
      <c r="P369" s="79" t="s">
        <v>42</v>
      </c>
      <c r="Q369" s="79" t="str">
        <f>+VLOOKUP(F369,[3]Material!$C$2:$E$12,2,FALSE)</f>
        <v>Cal 14</v>
      </c>
      <c r="R369" s="81">
        <f>+IF(P369="ACERO A36",VLOOKUP(Q369,'[3]Velocidades Std 1500 w'!$B$2:$F$15,5,FALSE),IF(P369="INOXIDABLE",VLOOKUP(Q369,'[3]Velocidades Std 1500 w'!$B$17:$F$28,5,FALSE),IF(P369="ALUMINIO",VLOOKUP(Q369,'[3]Velocidades Std 1500 w'!$B$30:$F$38,5,FALSE))))</f>
        <v>2.0080321285140564E-6</v>
      </c>
      <c r="S369" s="82">
        <f t="shared" si="68"/>
        <v>1.0040160642570283E-2</v>
      </c>
      <c r="T369" s="83">
        <f t="shared" si="69"/>
        <v>6.16944578313253</v>
      </c>
      <c r="U369" s="307">
        <f t="shared" si="70"/>
        <v>853.43999999999994</v>
      </c>
      <c r="V369" s="80">
        <f t="shared" si="75"/>
        <v>8.5686746987951814</v>
      </c>
      <c r="W369" s="98">
        <v>5</v>
      </c>
      <c r="X369" s="84">
        <f>+IF(P369="ACERO A36",VLOOKUP(Q369,'[3]Tiempo Objeto'!$B$2:$C$12,2,FALSE),IF(P369="INOXIDABLE",VLOOKUP(Q369,'[3]Tiempo Objeto'!$B$14:$C$22,2,FALSE),IF(P369="ALUMINIO",VLOOKUP(Q369,'[3]Tiempo Objeto'!$B$24:$C$32,2,FALSE))))</f>
        <v>0.3133333333333333</v>
      </c>
      <c r="Y369" s="84">
        <f t="shared" si="71"/>
        <v>1.5666666666666664</v>
      </c>
      <c r="Z369" s="80">
        <f t="shared" si="72"/>
        <v>2.1759259259259256</v>
      </c>
      <c r="AA369" s="100">
        <v>0</v>
      </c>
      <c r="AB369" s="86">
        <f>+AA369*Analisis!$J$6</f>
        <v>0</v>
      </c>
      <c r="AC369" s="100"/>
      <c r="AD369" s="85">
        <f t="shared" si="73"/>
        <v>0</v>
      </c>
      <c r="AE369" s="86">
        <f>+AC369*Analisis!$J$7</f>
        <v>0</v>
      </c>
      <c r="AF369" s="308">
        <f>+H369*0.0254*I369*0.0254*2*(1+[3]Analisis!$G$2)</f>
        <v>4.2137012499999994E-2</v>
      </c>
      <c r="AG369" s="86">
        <f>+AF369*Analisis!$J$8</f>
        <v>4.4895983556547625</v>
      </c>
      <c r="AH369" s="309">
        <f t="shared" si="64"/>
        <v>26.092402105375871</v>
      </c>
      <c r="AI369" s="86">
        <f>+AH369/(1-Analisis!G374)</f>
        <v>26.092402105375871</v>
      </c>
      <c r="AJ369" s="86">
        <f t="shared" si="74"/>
        <v>28.05634634986653</v>
      </c>
      <c r="AK369" s="86">
        <f t="shared" si="65"/>
        <v>0</v>
      </c>
      <c r="AL369" s="310" t="e">
        <f>+VLOOKUP(B369,#REF!,2,FALSE)</f>
        <v>#REF!</v>
      </c>
      <c r="AM369" s="311" t="e">
        <f t="shared" si="62"/>
        <v>#REF!</v>
      </c>
      <c r="AN369" s="312" t="e">
        <f t="shared" si="61"/>
        <v>#REF!</v>
      </c>
    </row>
    <row r="370" spans="1:40" s="73" customFormat="1" x14ac:dyDescent="0.25">
      <c r="A370" s="303">
        <v>72</v>
      </c>
      <c r="B370" s="304" t="s">
        <v>1146</v>
      </c>
      <c r="D370" s="74">
        <f>IFERROR(VLOOKUP(B370,'REQ. PINTADO'!B:C,2,0),0)</f>
        <v>0</v>
      </c>
      <c r="E370" s="305">
        <f t="shared" si="66"/>
        <v>135.90738643804761</v>
      </c>
      <c r="F370" s="103" t="s">
        <v>163</v>
      </c>
      <c r="G370" s="75" t="s">
        <v>147</v>
      </c>
      <c r="H370" s="90">
        <v>7.14</v>
      </c>
      <c r="I370" s="90">
        <v>12.04</v>
      </c>
      <c r="J370" s="76">
        <v>0.105</v>
      </c>
      <c r="K370" s="306">
        <v>16.38</v>
      </c>
      <c r="L370" s="78">
        <f t="shared" si="67"/>
        <v>4.333980414235695</v>
      </c>
      <c r="M370" s="58">
        <f>+VLOOKUP(F370,Material!$H$2:$M$17,6,FALSE)*H370*I370*(1+Material!$K$14)</f>
        <v>32.268454175082127</v>
      </c>
      <c r="N370" s="79" t="str">
        <f t="shared" si="63"/>
        <v>T5.0</v>
      </c>
      <c r="O370" s="80">
        <f>+VLOOKUP(N370,[3]Material!$A$3:$B$58,2,FALSE)</f>
        <v>5000</v>
      </c>
      <c r="P370" s="79" t="s">
        <v>42</v>
      </c>
      <c r="Q370" s="79" t="str">
        <f>+VLOOKUP(F370,[3]Material!$C$2:$E$12,2,FALSE)</f>
        <v>Cal 12</v>
      </c>
      <c r="R370" s="81">
        <f>+IF(P370="ACERO A36",VLOOKUP(Q370,'[3]Velocidades Std 1500 w'!$B$2:$F$15,5,FALSE),IF(P370="INOXIDABLE",VLOOKUP(Q370,'[3]Velocidades Std 1500 w'!$B$17:$F$28,5,FALSE),IF(P370="ALUMINIO",VLOOKUP(Q370,'[3]Velocidades Std 1500 w'!$B$30:$F$38,5,FALSE))))</f>
        <v>4.3859649122807014E-6</v>
      </c>
      <c r="S370" s="82">
        <f t="shared" si="68"/>
        <v>2.1929824561403508E-2</v>
      </c>
      <c r="T370" s="83">
        <f t="shared" si="69"/>
        <v>18.680229473684207</v>
      </c>
      <c r="U370" s="307">
        <f t="shared" si="70"/>
        <v>1183.0811999999999</v>
      </c>
      <c r="V370" s="80">
        <f t="shared" si="75"/>
        <v>25.944763157894734</v>
      </c>
      <c r="W370" s="98">
        <v>4</v>
      </c>
      <c r="X370" s="84">
        <f>+IF(P370="ACERO A36",VLOOKUP(Q370,'[3]Tiempo Objeto'!$B$2:$C$12,2,FALSE),IF(P370="INOXIDABLE",VLOOKUP(Q370,'[3]Tiempo Objeto'!$B$14:$C$22,2,FALSE),IF(P370="ALUMINIO",VLOOKUP(Q370,'[3]Tiempo Objeto'!$B$24:$C$32,2,FALSE))))</f>
        <v>0.6133333333333334</v>
      </c>
      <c r="Y370" s="84">
        <f t="shared" si="71"/>
        <v>2.4533333333333336</v>
      </c>
      <c r="Z370" s="80">
        <f t="shared" si="72"/>
        <v>3.4074074074074079</v>
      </c>
      <c r="AA370" s="100">
        <v>2</v>
      </c>
      <c r="AB370" s="86">
        <f>+AA370*Analisis!$J$6</f>
        <v>50</v>
      </c>
      <c r="AC370" s="100"/>
      <c r="AD370" s="85">
        <f t="shared" si="73"/>
        <v>0</v>
      </c>
      <c r="AE370" s="86">
        <f>+AC370*Analisis!$J$7</f>
        <v>0</v>
      </c>
      <c r="AF370" s="308">
        <f>+H370*0.0254*I370*0.0254*2*(1+[3]Analisis!$G$2)</f>
        <v>0.13865391623999998</v>
      </c>
      <c r="AG370" s="86">
        <f>+AF370*Analisis!$J$8</f>
        <v>14.773244647000002</v>
      </c>
      <c r="AH370" s="309">
        <f t="shared" si="64"/>
        <v>126.39386938738427</v>
      </c>
      <c r="AI370" s="86">
        <f>+AH370/(1-Analisis!G375)</f>
        <v>126.39386938738427</v>
      </c>
      <c r="AJ370" s="86">
        <f t="shared" si="74"/>
        <v>135.90738643804761</v>
      </c>
      <c r="AK370" s="86">
        <f t="shared" si="65"/>
        <v>0</v>
      </c>
      <c r="AL370" s="310" t="e">
        <f>+VLOOKUP(B370,#REF!,2,FALSE)</f>
        <v>#REF!</v>
      </c>
      <c r="AM370" s="311" t="e">
        <f t="shared" si="62"/>
        <v>#REF!</v>
      </c>
      <c r="AN370" s="312" t="e">
        <f t="shared" si="61"/>
        <v>#REF!</v>
      </c>
    </row>
    <row r="371" spans="1:40" s="73" customFormat="1" x14ac:dyDescent="0.25">
      <c r="A371" s="303">
        <v>73</v>
      </c>
      <c r="B371" s="304" t="s">
        <v>1147</v>
      </c>
      <c r="D371" s="74">
        <f>IFERROR(VLOOKUP(B371,'REQ. PINTADO'!B:C,2,0),0)</f>
        <v>0</v>
      </c>
      <c r="E371" s="305">
        <f t="shared" si="66"/>
        <v>23.362829775130997</v>
      </c>
      <c r="F371" s="103" t="s">
        <v>165</v>
      </c>
      <c r="G371" s="75" t="s">
        <v>147</v>
      </c>
      <c r="H371" s="90">
        <v>2.31</v>
      </c>
      <c r="I371" s="90">
        <v>9.5</v>
      </c>
      <c r="J371" s="76">
        <v>0.105</v>
      </c>
      <c r="K371" s="306">
        <v>16.38</v>
      </c>
      <c r="L371" s="78">
        <f t="shared" si="67"/>
        <v>1.2250280448717954</v>
      </c>
      <c r="M371" s="58">
        <f>+VLOOKUP(F371,Material!$H$2:$M$17,6,FALSE)*H371*I371*(1+Material!$K$14)</f>
        <v>9.1208906250000013</v>
      </c>
      <c r="N371" s="79" t="str">
        <f t="shared" si="63"/>
        <v>T5.0</v>
      </c>
      <c r="O371" s="80">
        <f>+VLOOKUP(N371,[3]Material!$A$3:$B$58,2,FALSE)</f>
        <v>5000</v>
      </c>
      <c r="P371" s="79" t="s">
        <v>42</v>
      </c>
      <c r="Q371" s="79" t="str">
        <f>+VLOOKUP(F371,[3]Material!$C$2:$E$12,2,FALSE)</f>
        <v>Cal 14</v>
      </c>
      <c r="R371" s="81">
        <f>+IF(P371="ACERO A36",VLOOKUP(Q371,'[3]Velocidades Std 1500 w'!$B$2:$F$15,5,FALSE),IF(P371="INOXIDABLE",VLOOKUP(Q371,'[3]Velocidades Std 1500 w'!$B$17:$F$28,5,FALSE),IF(P371="ALUMINIO",VLOOKUP(Q371,'[3]Velocidades Std 1500 w'!$B$30:$F$38,5,FALSE))))</f>
        <v>2.0080321285140564E-6</v>
      </c>
      <c r="S371" s="82">
        <f t="shared" si="68"/>
        <v>1.0040160642570283E-2</v>
      </c>
      <c r="T371" s="83">
        <f t="shared" si="69"/>
        <v>5.4214004819277104</v>
      </c>
      <c r="U371" s="307">
        <f t="shared" si="70"/>
        <v>749.96039999999994</v>
      </c>
      <c r="V371" s="80">
        <f t="shared" si="75"/>
        <v>7.5297228915662657</v>
      </c>
      <c r="W371" s="98">
        <v>3</v>
      </c>
      <c r="X371" s="84">
        <f>+IF(P371="ACERO A36",VLOOKUP(Q371,'[3]Tiempo Objeto'!$B$2:$C$12,2,FALSE),IF(P371="INOXIDABLE",VLOOKUP(Q371,'[3]Tiempo Objeto'!$B$14:$C$22,2,FALSE),IF(P371="ALUMINIO",VLOOKUP(Q371,'[3]Tiempo Objeto'!$B$24:$C$32,2,FALSE))))</f>
        <v>0.3133333333333333</v>
      </c>
      <c r="Y371" s="84">
        <f t="shared" si="71"/>
        <v>0.94</v>
      </c>
      <c r="Z371" s="80">
        <f t="shared" si="72"/>
        <v>1.3055555555555556</v>
      </c>
      <c r="AA371" s="100">
        <v>0</v>
      </c>
      <c r="AB371" s="86">
        <f>+AA371*Analisis!$J$6</f>
        <v>0</v>
      </c>
      <c r="AC371" s="100"/>
      <c r="AD371" s="85">
        <f t="shared" si="73"/>
        <v>0</v>
      </c>
      <c r="AE371" s="86">
        <f>+AC371*Analisis!$J$7</f>
        <v>0</v>
      </c>
      <c r="AF371" s="308">
        <f>+H371*0.0254*I371*0.0254*2*(1+[3]Analisis!$G$2)</f>
        <v>3.5395090499999997E-2</v>
      </c>
      <c r="AG371" s="86">
        <f>+AF371*Analisis!$J$8</f>
        <v>3.7712626187500007</v>
      </c>
      <c r="AH371" s="309">
        <f t="shared" si="64"/>
        <v>21.727431690871825</v>
      </c>
      <c r="AI371" s="86">
        <f>+AH371/(1-Analisis!G376)</f>
        <v>21.727431690871825</v>
      </c>
      <c r="AJ371" s="86">
        <f t="shared" si="74"/>
        <v>23.362829775130997</v>
      </c>
      <c r="AK371" s="86">
        <f t="shared" si="65"/>
        <v>0</v>
      </c>
      <c r="AL371" s="310" t="e">
        <f>+VLOOKUP(B371,#REF!,2,FALSE)</f>
        <v>#REF!</v>
      </c>
      <c r="AM371" s="311" t="e">
        <f t="shared" si="62"/>
        <v>#REF!</v>
      </c>
      <c r="AN371" s="312" t="e">
        <f t="shared" si="61"/>
        <v>#REF!</v>
      </c>
    </row>
    <row r="372" spans="1:40" s="73" customFormat="1" x14ac:dyDescent="0.25">
      <c r="A372" s="303">
        <v>74</v>
      </c>
      <c r="B372" s="304" t="s">
        <v>1148</v>
      </c>
      <c r="D372" s="74">
        <f>IFERROR(VLOOKUP(B372,'REQ. PINTADO'!B:C,2,0),0)</f>
        <v>0</v>
      </c>
      <c r="E372" s="305">
        <f t="shared" si="66"/>
        <v>149.19893802807459</v>
      </c>
      <c r="F372" s="103" t="s">
        <v>163</v>
      </c>
      <c r="G372" s="75" t="s">
        <v>147</v>
      </c>
      <c r="H372" s="90">
        <v>5.3</v>
      </c>
      <c r="I372" s="90">
        <v>17.309999999999999</v>
      </c>
      <c r="J372" s="76">
        <v>0.105</v>
      </c>
      <c r="K372" s="306">
        <v>16.38</v>
      </c>
      <c r="L372" s="78">
        <f t="shared" si="67"/>
        <v>4.6252496945664934</v>
      </c>
      <c r="M372" s="58">
        <f>+VLOOKUP(F372,Material!$H$2:$M$17,6,FALSE)*H372*I372*(1+Material!$K$14)</f>
        <v>34.437086362272346</v>
      </c>
      <c r="N372" s="79" t="str">
        <f t="shared" si="63"/>
        <v>T5.0</v>
      </c>
      <c r="O372" s="80">
        <f>+VLOOKUP(N372,[3]Material!$A$3:$B$58,2,FALSE)</f>
        <v>5000</v>
      </c>
      <c r="P372" s="79" t="s">
        <v>42</v>
      </c>
      <c r="Q372" s="79" t="str">
        <f>+VLOOKUP(F372,[3]Material!$C$2:$E$12,2,FALSE)</f>
        <v>Cal 12</v>
      </c>
      <c r="R372" s="81">
        <f>+IF(P372="ACERO A36",VLOOKUP(Q372,'[3]Velocidades Std 1500 w'!$B$2:$F$15,5,FALSE),IF(P372="INOXIDABLE",VLOOKUP(Q372,'[3]Velocidades Std 1500 w'!$B$17:$F$28,5,FALSE),IF(P372="ALUMINIO",VLOOKUP(Q372,'[3]Velocidades Std 1500 w'!$B$30:$F$38,5,FALSE))))</f>
        <v>4.3859649122807014E-6</v>
      </c>
      <c r="S372" s="82">
        <f t="shared" si="68"/>
        <v>2.1929824561403508E-2</v>
      </c>
      <c r="T372" s="83">
        <f t="shared" si="69"/>
        <v>23.463985263157891</v>
      </c>
      <c r="U372" s="307">
        <f t="shared" si="70"/>
        <v>1486.0523999999998</v>
      </c>
      <c r="V372" s="80">
        <f t="shared" si="75"/>
        <v>32.588868421052624</v>
      </c>
      <c r="W372" s="98">
        <v>7</v>
      </c>
      <c r="X372" s="84">
        <f>+IF(P372="ACERO A36",VLOOKUP(Q372,'[3]Tiempo Objeto'!$B$2:$C$12,2,FALSE),IF(P372="INOXIDABLE",VLOOKUP(Q372,'[3]Tiempo Objeto'!$B$14:$C$22,2,FALSE),IF(P372="ALUMINIO",VLOOKUP(Q372,'[3]Tiempo Objeto'!$B$24:$C$32,2,FALSE))))</f>
        <v>0.6133333333333334</v>
      </c>
      <c r="Y372" s="84">
        <f t="shared" si="71"/>
        <v>4.2933333333333339</v>
      </c>
      <c r="Z372" s="80">
        <f t="shared" si="72"/>
        <v>5.9629629629629637</v>
      </c>
      <c r="AA372" s="100">
        <v>2</v>
      </c>
      <c r="AB372" s="86">
        <f>+AA372*Analisis!$J$6</f>
        <v>50</v>
      </c>
      <c r="AC372" s="100"/>
      <c r="AD372" s="85">
        <f t="shared" si="73"/>
        <v>0</v>
      </c>
      <c r="AE372" s="86">
        <f>+AC372*Analisis!$J$7</f>
        <v>0</v>
      </c>
      <c r="AF372" s="308">
        <f>+H372*0.0254*I372*0.0254*2*(1+[3]Analisis!$G$2)</f>
        <v>0.14797228469999996</v>
      </c>
      <c r="AG372" s="86">
        <f>+AF372*Analisis!$J$8</f>
        <v>15.766094619821429</v>
      </c>
      <c r="AH372" s="309">
        <f t="shared" si="64"/>
        <v>138.75501236610936</v>
      </c>
      <c r="AI372" s="86">
        <f>+AH372/(1-Analisis!G377)</f>
        <v>138.75501236610936</v>
      </c>
      <c r="AJ372" s="86">
        <f t="shared" si="74"/>
        <v>149.19893802807459</v>
      </c>
      <c r="AK372" s="86">
        <f t="shared" si="65"/>
        <v>0</v>
      </c>
      <c r="AL372" s="310" t="e">
        <f>+VLOOKUP(B372,#REF!,2,FALSE)</f>
        <v>#REF!</v>
      </c>
      <c r="AM372" s="311" t="e">
        <f t="shared" si="62"/>
        <v>#REF!</v>
      </c>
      <c r="AN372" s="312" t="e">
        <f t="shared" si="61"/>
        <v>#REF!</v>
      </c>
    </row>
    <row r="373" spans="1:40" s="73" customFormat="1" x14ac:dyDescent="0.25">
      <c r="A373" s="303">
        <v>75</v>
      </c>
      <c r="B373" s="304" t="s">
        <v>1149</v>
      </c>
      <c r="D373" s="74">
        <f>IFERROR(VLOOKUP(B373,'REQ. PINTADO'!B:C,2,0),0)</f>
        <v>0</v>
      </c>
      <c r="E373" s="305">
        <f t="shared" si="66"/>
        <v>170.27409838658366</v>
      </c>
      <c r="F373" s="103" t="s">
        <v>165</v>
      </c>
      <c r="G373" s="75" t="s">
        <v>147</v>
      </c>
      <c r="H373" s="90">
        <v>5.3</v>
      </c>
      <c r="I373" s="90">
        <v>27.31</v>
      </c>
      <c r="J373" s="76">
        <v>0.105</v>
      </c>
      <c r="K373" s="306">
        <v>16.38</v>
      </c>
      <c r="L373" s="78">
        <f t="shared" si="67"/>
        <v>8.0799377670940178</v>
      </c>
      <c r="M373" s="58">
        <f>+VLOOKUP(F373,Material!$H$2:$M$17,6,FALSE)*H373*I373*(1+Material!$K$14)</f>
        <v>60.158809374999997</v>
      </c>
      <c r="N373" s="79" t="str">
        <f t="shared" si="63"/>
        <v>T5.0</v>
      </c>
      <c r="O373" s="80">
        <f>+VLOOKUP(N373,[3]Material!$A$3:$B$58,2,FALSE)</f>
        <v>5000</v>
      </c>
      <c r="P373" s="79" t="s">
        <v>42</v>
      </c>
      <c r="Q373" s="79" t="str">
        <f>+VLOOKUP(F373,[3]Material!$C$2:$E$12,2,FALSE)</f>
        <v>Cal 14</v>
      </c>
      <c r="R373" s="81">
        <f>+IF(P373="ACERO A36",VLOOKUP(Q373,'[3]Velocidades Std 1500 w'!$B$2:$F$15,5,FALSE),IF(P373="INOXIDABLE",VLOOKUP(Q373,'[3]Velocidades Std 1500 w'!$B$17:$F$28,5,FALSE),IF(P373="ALUMINIO",VLOOKUP(Q373,'[3]Velocidades Std 1500 w'!$B$30:$F$38,5,FALSE))))</f>
        <v>2.0080321285140564E-6</v>
      </c>
      <c r="S373" s="82">
        <f t="shared" si="68"/>
        <v>1.0040160642570283E-2</v>
      </c>
      <c r="T373" s="83">
        <f t="shared" si="69"/>
        <v>14.59845108433735</v>
      </c>
      <c r="U373" s="307">
        <f t="shared" si="70"/>
        <v>2019.4523999999999</v>
      </c>
      <c r="V373" s="80">
        <f t="shared" si="75"/>
        <v>20.2756265060241</v>
      </c>
      <c r="W373" s="98">
        <v>7</v>
      </c>
      <c r="X373" s="84">
        <f>+IF(P373="ACERO A36",VLOOKUP(Q373,'[3]Tiempo Objeto'!$B$2:$C$12,2,FALSE),IF(P373="INOXIDABLE",VLOOKUP(Q373,'[3]Tiempo Objeto'!$B$14:$C$22,2,FALSE),IF(P373="ALUMINIO",VLOOKUP(Q373,'[3]Tiempo Objeto'!$B$24:$C$32,2,FALSE))))</f>
        <v>0.3133333333333333</v>
      </c>
      <c r="Y373" s="84">
        <f t="shared" si="71"/>
        <v>2.1933333333333329</v>
      </c>
      <c r="Z373" s="80">
        <f t="shared" si="72"/>
        <v>3.0462962962962958</v>
      </c>
      <c r="AA373" s="100">
        <v>2</v>
      </c>
      <c r="AB373" s="86">
        <f>+AA373*Analisis!$J$6</f>
        <v>50</v>
      </c>
      <c r="AC373" s="100"/>
      <c r="AD373" s="85">
        <f t="shared" si="73"/>
        <v>0</v>
      </c>
      <c r="AE373" s="86">
        <f>+AC373*Analisis!$J$7</f>
        <v>0</v>
      </c>
      <c r="AF373" s="308">
        <f>+H373*0.0254*I373*0.0254*2*(1+[3]Analisis!$G$2)</f>
        <v>0.23345598469999995</v>
      </c>
      <c r="AG373" s="86">
        <f>+AF373*Analisis!$J$8</f>
        <v>24.874179322202384</v>
      </c>
      <c r="AH373" s="309">
        <f t="shared" si="64"/>
        <v>158.35491149952279</v>
      </c>
      <c r="AI373" s="86">
        <f>+AH373/(1-Analisis!G378)</f>
        <v>158.35491149952279</v>
      </c>
      <c r="AJ373" s="86">
        <f t="shared" si="74"/>
        <v>170.27409838658366</v>
      </c>
      <c r="AK373" s="86">
        <f t="shared" si="65"/>
        <v>0</v>
      </c>
      <c r="AL373" s="310" t="e">
        <f>+VLOOKUP(B373,#REF!,2,FALSE)</f>
        <v>#REF!</v>
      </c>
      <c r="AM373" s="311" t="e">
        <f t="shared" si="62"/>
        <v>#REF!</v>
      </c>
      <c r="AN373" s="312" t="e">
        <f t="shared" si="61"/>
        <v>#REF!</v>
      </c>
    </row>
    <row r="374" spans="1:40" s="73" customFormat="1" x14ac:dyDescent="0.25">
      <c r="A374" s="313">
        <v>76</v>
      </c>
      <c r="B374" s="314" t="s">
        <v>1150</v>
      </c>
      <c r="D374" s="74">
        <f>IFERROR(VLOOKUP(B374,'REQ. PINTADO'!B:C,2,0),0)</f>
        <v>0</v>
      </c>
      <c r="E374" s="305">
        <f t="shared" si="66"/>
        <v>0</v>
      </c>
      <c r="F374" s="103" t="s">
        <v>165</v>
      </c>
      <c r="G374" s="75" t="s">
        <v>147</v>
      </c>
      <c r="H374" s="90"/>
      <c r="I374" s="90"/>
      <c r="J374" s="76">
        <v>0.105</v>
      </c>
      <c r="K374" s="306">
        <v>16.38</v>
      </c>
      <c r="L374" s="78">
        <f t="shared" si="67"/>
        <v>0</v>
      </c>
      <c r="M374" s="58">
        <f>+VLOOKUP(F374,Material!$H$2:$M$17,6,FALSE)*H374*I374*(1+Material!$K$14)</f>
        <v>0</v>
      </c>
      <c r="N374" s="79" t="str">
        <f t="shared" si="63"/>
        <v>T5.0</v>
      </c>
      <c r="O374" s="80">
        <f>+VLOOKUP(N374,[3]Material!$A$3:$B$58,2,FALSE)</f>
        <v>5000</v>
      </c>
      <c r="P374" s="79" t="s">
        <v>42</v>
      </c>
      <c r="Q374" s="79" t="str">
        <f>+VLOOKUP(F374,[3]Material!$C$2:$E$12,2,FALSE)</f>
        <v>Cal 14</v>
      </c>
      <c r="R374" s="81">
        <f>+IF(P374="ACERO A36",VLOOKUP(Q374,'[3]Velocidades Std 1500 w'!$B$2:$F$15,5,FALSE),IF(P374="INOXIDABLE",VLOOKUP(Q374,'[3]Velocidades Std 1500 w'!$B$17:$F$28,5,FALSE),IF(P374="ALUMINIO",VLOOKUP(Q374,'[3]Velocidades Std 1500 w'!$B$30:$F$38,5,FALSE))))</f>
        <v>2.0080321285140564E-6</v>
      </c>
      <c r="S374" s="82">
        <f t="shared" si="68"/>
        <v>1.0040160642570283E-2</v>
      </c>
      <c r="T374" s="83">
        <f t="shared" si="69"/>
        <v>0</v>
      </c>
      <c r="U374" s="307">
        <f t="shared" si="70"/>
        <v>0</v>
      </c>
      <c r="V374" s="80">
        <f t="shared" si="75"/>
        <v>0</v>
      </c>
      <c r="W374" s="98"/>
      <c r="X374" s="84">
        <f>+IF(P374="ACERO A36",VLOOKUP(Q374,'[3]Tiempo Objeto'!$B$2:$C$12,2,FALSE),IF(P374="INOXIDABLE",VLOOKUP(Q374,'[3]Tiempo Objeto'!$B$14:$C$22,2,FALSE),IF(P374="ALUMINIO",VLOOKUP(Q374,'[3]Tiempo Objeto'!$B$24:$C$32,2,FALSE))))</f>
        <v>0.3133333333333333</v>
      </c>
      <c r="Y374" s="84">
        <f t="shared" si="71"/>
        <v>0</v>
      </c>
      <c r="Z374" s="80">
        <f t="shared" si="72"/>
        <v>0</v>
      </c>
      <c r="AA374" s="100"/>
      <c r="AB374" s="86">
        <f>+AA374*Analisis!$J$6</f>
        <v>0</v>
      </c>
      <c r="AC374" s="100"/>
      <c r="AD374" s="85">
        <f t="shared" si="73"/>
        <v>0</v>
      </c>
      <c r="AE374" s="86">
        <f>+AC374*Analisis!$J$7</f>
        <v>0</v>
      </c>
      <c r="AF374" s="308">
        <f>+H374*0.0254*I374*0.0254*2*(1+[3]Analisis!$G$2)</f>
        <v>0</v>
      </c>
      <c r="AG374" s="86">
        <f>+AF374*Analisis!$J$8</f>
        <v>0</v>
      </c>
      <c r="AH374" s="309">
        <f t="shared" si="64"/>
        <v>0</v>
      </c>
      <c r="AI374" s="86">
        <f>+AH374/(1-Analisis!G379)</f>
        <v>0</v>
      </c>
      <c r="AJ374" s="86">
        <f t="shared" si="74"/>
        <v>0</v>
      </c>
      <c r="AK374" s="86">
        <f t="shared" si="65"/>
        <v>0</v>
      </c>
      <c r="AL374" s="310" t="e">
        <f>+VLOOKUP(B374,#REF!,2,FALSE)</f>
        <v>#REF!</v>
      </c>
      <c r="AM374" s="311" t="e">
        <f t="shared" si="62"/>
        <v>#REF!</v>
      </c>
      <c r="AN374" s="312" t="e">
        <f t="shared" si="61"/>
        <v>#REF!</v>
      </c>
    </row>
    <row r="375" spans="1:40" s="73" customFormat="1" x14ac:dyDescent="0.25">
      <c r="A375" s="303">
        <v>77</v>
      </c>
      <c r="B375" s="304" t="s">
        <v>1151</v>
      </c>
      <c r="D375" s="74">
        <f>IFERROR(VLOOKUP(B375,'REQ. PINTADO'!B:C,2,0),0)</f>
        <v>0</v>
      </c>
      <c r="E375" s="305">
        <f t="shared" si="66"/>
        <v>311.09437021123944</v>
      </c>
      <c r="F375" s="103" t="s">
        <v>163</v>
      </c>
      <c r="G375" s="75" t="s">
        <v>147</v>
      </c>
      <c r="H375" s="90">
        <v>8.94</v>
      </c>
      <c r="I375" s="90">
        <v>22.22</v>
      </c>
      <c r="J375" s="76">
        <v>0.105</v>
      </c>
      <c r="K375" s="306">
        <v>16.38</v>
      </c>
      <c r="L375" s="78">
        <f t="shared" si="67"/>
        <v>10.014835475476184</v>
      </c>
      <c r="M375" s="58">
        <f>+VLOOKUP(F375,Material!$H$2:$M$17,6,FALSE)*H375*I375*(1+Material!$K$14)</f>
        <v>74.56500231286357</v>
      </c>
      <c r="N375" s="79" t="str">
        <f t="shared" si="63"/>
        <v>T5.0</v>
      </c>
      <c r="O375" s="80">
        <f>+VLOOKUP(N375,[3]Material!$A$3:$B$58,2,FALSE)</f>
        <v>5000</v>
      </c>
      <c r="P375" s="79" t="s">
        <v>42</v>
      </c>
      <c r="Q375" s="79" t="str">
        <f>+VLOOKUP(F375,[3]Material!$C$2:$E$12,2,FALSE)</f>
        <v>Cal 12</v>
      </c>
      <c r="R375" s="81">
        <f>+IF(P375="ACERO A36",VLOOKUP(Q375,'[3]Velocidades Std 1500 w'!$B$2:$F$15,5,FALSE),IF(P375="INOXIDABLE",VLOOKUP(Q375,'[3]Velocidades Std 1500 w'!$B$17:$F$28,5,FALSE),IF(P375="ALUMINIO",VLOOKUP(Q375,'[3]Velocidades Std 1500 w'!$B$30:$F$38,5,FALSE))))</f>
        <v>4.3859649122807014E-6</v>
      </c>
      <c r="S375" s="82">
        <f t="shared" si="68"/>
        <v>2.1929824561403508E-2</v>
      </c>
      <c r="T375" s="83">
        <f t="shared" si="69"/>
        <v>51.509595789473671</v>
      </c>
      <c r="U375" s="307">
        <f t="shared" si="70"/>
        <v>3262.2743999999993</v>
      </c>
      <c r="V375" s="80">
        <f t="shared" si="75"/>
        <v>71.541105263157874</v>
      </c>
      <c r="W375" s="98">
        <v>40</v>
      </c>
      <c r="X375" s="84">
        <f>+IF(P375="ACERO A36",VLOOKUP(Q375,'[3]Tiempo Objeto'!$B$2:$C$12,2,FALSE),IF(P375="INOXIDABLE",VLOOKUP(Q375,'[3]Tiempo Objeto'!$B$14:$C$22,2,FALSE),IF(P375="ALUMINIO",VLOOKUP(Q375,'[3]Tiempo Objeto'!$B$24:$C$32,2,FALSE))))</f>
        <v>0.6133333333333334</v>
      </c>
      <c r="Y375" s="84">
        <f t="shared" si="71"/>
        <v>24.533333333333335</v>
      </c>
      <c r="Z375" s="80">
        <f t="shared" si="72"/>
        <v>34.074074074074076</v>
      </c>
      <c r="AA375" s="100">
        <v>3</v>
      </c>
      <c r="AB375" s="86">
        <f>+AA375*Analisis!$J$6</f>
        <v>75</v>
      </c>
      <c r="AC375" s="100"/>
      <c r="AD375" s="85">
        <f t="shared" si="73"/>
        <v>0</v>
      </c>
      <c r="AE375" s="86">
        <f>+AC375*Analisis!$J$7</f>
        <v>0</v>
      </c>
      <c r="AF375" s="308">
        <f>+H375*0.0254*I375*0.0254*2*(1+[3]Analisis!$G$2)</f>
        <v>0.32039742371999991</v>
      </c>
      <c r="AG375" s="86">
        <f>+AF375*Analisis!$J$8</f>
        <v>34.137582646357146</v>
      </c>
      <c r="AH375" s="309">
        <f t="shared" si="64"/>
        <v>289.31776429645265</v>
      </c>
      <c r="AI375" s="86">
        <f>+AH375/(1-Analisis!G380)</f>
        <v>289.31776429645265</v>
      </c>
      <c r="AJ375" s="86">
        <f t="shared" si="74"/>
        <v>311.09437021123944</v>
      </c>
      <c r="AK375" s="86">
        <f t="shared" si="65"/>
        <v>0</v>
      </c>
      <c r="AL375" s="310" t="e">
        <f>+VLOOKUP(B375,#REF!,2,FALSE)</f>
        <v>#REF!</v>
      </c>
      <c r="AM375" s="311" t="e">
        <f t="shared" si="62"/>
        <v>#REF!</v>
      </c>
      <c r="AN375" s="312" t="e">
        <f t="shared" si="61"/>
        <v>#REF!</v>
      </c>
    </row>
    <row r="376" spans="1:40" s="73" customFormat="1" x14ac:dyDescent="0.25">
      <c r="A376" s="303">
        <v>78</v>
      </c>
      <c r="B376" s="304" t="s">
        <v>1152</v>
      </c>
      <c r="D376" s="74">
        <f>IFERROR(VLOOKUP(B376,'REQ. PINTADO'!B:C,2,0),0)</f>
        <v>0</v>
      </c>
      <c r="E376" s="305">
        <f t="shared" si="66"/>
        <v>272.81101641442029</v>
      </c>
      <c r="F376" s="103" t="s">
        <v>165</v>
      </c>
      <c r="G376" s="75" t="s">
        <v>147</v>
      </c>
      <c r="H376" s="90">
        <v>4.82</v>
      </c>
      <c r="I376" s="90">
        <v>20</v>
      </c>
      <c r="J376" s="76">
        <v>0.105</v>
      </c>
      <c r="K376" s="306">
        <v>16.38</v>
      </c>
      <c r="L376" s="78">
        <f t="shared" si="67"/>
        <v>5.3813034188034203</v>
      </c>
      <c r="M376" s="58">
        <f>+VLOOKUP(F376,Material!$H$2:$M$17,6,FALSE)*H376*I376*(1+Material!$K$14)</f>
        <v>40.066250000000004</v>
      </c>
      <c r="N376" s="79" t="str">
        <f t="shared" si="63"/>
        <v>T5.0</v>
      </c>
      <c r="O376" s="80">
        <f>+VLOOKUP(N376,[3]Material!$A$3:$B$58,2,FALSE)</f>
        <v>5000</v>
      </c>
      <c r="P376" s="79" t="s">
        <v>42</v>
      </c>
      <c r="Q376" s="79" t="str">
        <f>+VLOOKUP(F376,[3]Material!$C$2:$E$12,2,FALSE)</f>
        <v>Cal 14</v>
      </c>
      <c r="R376" s="81">
        <f>+IF(P376="ACERO A36",VLOOKUP(Q376,'[3]Velocidades Std 1500 w'!$B$2:$F$15,5,FALSE),IF(P376="INOXIDABLE",VLOOKUP(Q376,'[3]Velocidades Std 1500 w'!$B$17:$F$28,5,FALSE),IF(P376="ALUMINIO",VLOOKUP(Q376,'[3]Velocidades Std 1500 w'!$B$30:$F$38,5,FALSE))))</f>
        <v>2.0080321285140564E-6</v>
      </c>
      <c r="S376" s="82">
        <f t="shared" si="68"/>
        <v>1.0040160642570283E-2</v>
      </c>
      <c r="T376" s="83">
        <f t="shared" si="69"/>
        <v>47.165413012048191</v>
      </c>
      <c r="U376" s="307">
        <f t="shared" si="70"/>
        <v>6524.5487999999987</v>
      </c>
      <c r="V376" s="80">
        <f t="shared" si="75"/>
        <v>65.507518072289159</v>
      </c>
      <c r="W376" s="98">
        <v>130</v>
      </c>
      <c r="X376" s="84">
        <f>+IF(P376="ACERO A36",VLOOKUP(Q376,'[3]Tiempo Objeto'!$B$2:$C$12,2,FALSE),IF(P376="INOXIDABLE",VLOOKUP(Q376,'[3]Tiempo Objeto'!$B$14:$C$22,2,FALSE),IF(P376="ALUMINIO",VLOOKUP(Q376,'[3]Tiempo Objeto'!$B$24:$C$32,2,FALSE))))</f>
        <v>0.3133333333333333</v>
      </c>
      <c r="Y376" s="84">
        <f t="shared" si="71"/>
        <v>40.733333333333327</v>
      </c>
      <c r="Z376" s="80">
        <f t="shared" si="72"/>
        <v>56.574074074074062</v>
      </c>
      <c r="AA376" s="100">
        <v>3</v>
      </c>
      <c r="AB376" s="86">
        <f>+AA376*Analisis!$J$6</f>
        <v>75</v>
      </c>
      <c r="AC376" s="100"/>
      <c r="AD376" s="85">
        <f t="shared" si="73"/>
        <v>0</v>
      </c>
      <c r="AE376" s="86">
        <f>+AC376*Analisis!$J$7</f>
        <v>0</v>
      </c>
      <c r="AF376" s="308">
        <f>+H376*0.0254*I376*0.0254*2*(1+[3]Analisis!$G$2)</f>
        <v>0.15548355999999999</v>
      </c>
      <c r="AG376" s="86">
        <f>+AF376*Analisis!$J$8</f>
        <v>16.566403119047624</v>
      </c>
      <c r="AH376" s="309">
        <f t="shared" si="64"/>
        <v>253.71424526541085</v>
      </c>
      <c r="AI376" s="86">
        <f>+AH376/(1-Analisis!G381)</f>
        <v>253.71424526541085</v>
      </c>
      <c r="AJ376" s="86">
        <f t="shared" si="74"/>
        <v>272.81101641442029</v>
      </c>
      <c r="AK376" s="86">
        <f t="shared" si="65"/>
        <v>0</v>
      </c>
      <c r="AL376" s="310" t="e">
        <f>+VLOOKUP(B376,#REF!,2,FALSE)</f>
        <v>#REF!</v>
      </c>
      <c r="AM376" s="311" t="e">
        <f t="shared" si="62"/>
        <v>#REF!</v>
      </c>
      <c r="AN376" s="312" t="e">
        <f t="shared" si="61"/>
        <v>#REF!</v>
      </c>
    </row>
    <row r="377" spans="1:40" s="73" customFormat="1" x14ac:dyDescent="0.25">
      <c r="A377" s="303">
        <v>79</v>
      </c>
      <c r="B377" s="304" t="s">
        <v>1153</v>
      </c>
      <c r="D377" s="74">
        <f>IFERROR(VLOOKUP(B377,'REQ. PINTADO'!B:C,2,0),0)</f>
        <v>0</v>
      </c>
      <c r="E377" s="305">
        <f t="shared" si="66"/>
        <v>345.01039352616135</v>
      </c>
      <c r="F377" s="103" t="s">
        <v>165</v>
      </c>
      <c r="G377" s="75" t="s">
        <v>147</v>
      </c>
      <c r="H377" s="90">
        <v>4.82</v>
      </c>
      <c r="I377" s="90">
        <v>30</v>
      </c>
      <c r="J377" s="76">
        <v>0.105</v>
      </c>
      <c r="K377" s="306">
        <v>16.38</v>
      </c>
      <c r="L377" s="78">
        <f t="shared" si="67"/>
        <v>8.0719551282051292</v>
      </c>
      <c r="M377" s="58">
        <f>+VLOOKUP(F377,Material!$H$2:$M$17,6,FALSE)*H377*I377*(1+Material!$K$14)</f>
        <v>60.099375000000002</v>
      </c>
      <c r="N377" s="79" t="str">
        <f t="shared" si="63"/>
        <v>T5.0</v>
      </c>
      <c r="O377" s="80">
        <f>+VLOOKUP(N377,[3]Material!$A$3:$B$58,2,FALSE)</f>
        <v>5000</v>
      </c>
      <c r="P377" s="79" t="s">
        <v>42</v>
      </c>
      <c r="Q377" s="79" t="str">
        <f>+VLOOKUP(F377,[3]Material!$C$2:$E$12,2,FALSE)</f>
        <v>Cal 14</v>
      </c>
      <c r="R377" s="81">
        <f>+IF(P377="ACERO A36",VLOOKUP(Q377,'[3]Velocidades Std 1500 w'!$B$2:$F$15,5,FALSE),IF(P377="INOXIDABLE",VLOOKUP(Q377,'[3]Velocidades Std 1500 w'!$B$17:$F$28,5,FALSE),IF(P377="ALUMINIO",VLOOKUP(Q377,'[3]Velocidades Std 1500 w'!$B$30:$F$38,5,FALSE))))</f>
        <v>2.0080321285140564E-6</v>
      </c>
      <c r="S377" s="82">
        <f t="shared" si="68"/>
        <v>1.0040160642570283E-2</v>
      </c>
      <c r="T377" s="83">
        <f t="shared" si="69"/>
        <v>62.589027469879532</v>
      </c>
      <c r="U377" s="307">
        <f t="shared" si="70"/>
        <v>8658.1488000000008</v>
      </c>
      <c r="V377" s="80">
        <f t="shared" si="75"/>
        <v>86.929204819277132</v>
      </c>
      <c r="W377" s="98">
        <v>170</v>
      </c>
      <c r="X377" s="84">
        <f>+IF(P377="ACERO A36",VLOOKUP(Q377,'[3]Tiempo Objeto'!$B$2:$C$12,2,FALSE),IF(P377="INOXIDABLE",VLOOKUP(Q377,'[3]Tiempo Objeto'!$B$14:$C$22,2,FALSE),IF(P377="ALUMINIO",VLOOKUP(Q377,'[3]Tiempo Objeto'!$B$24:$C$32,2,FALSE))))</f>
        <v>0.3133333333333333</v>
      </c>
      <c r="Y377" s="84">
        <f t="shared" si="71"/>
        <v>53.266666666666659</v>
      </c>
      <c r="Z377" s="80">
        <f t="shared" si="72"/>
        <v>73.981481481481481</v>
      </c>
      <c r="AA377" s="100">
        <v>3</v>
      </c>
      <c r="AB377" s="86">
        <f>+AA377*Analisis!$J$6</f>
        <v>75</v>
      </c>
      <c r="AC377" s="100"/>
      <c r="AD377" s="85">
        <f t="shared" si="73"/>
        <v>0</v>
      </c>
      <c r="AE377" s="86">
        <f>+AC377*Analisis!$J$7</f>
        <v>0</v>
      </c>
      <c r="AF377" s="308">
        <f>+H377*0.0254*I377*0.0254*2*(1+[3]Analisis!$G$2)</f>
        <v>0.23322534000000003</v>
      </c>
      <c r="AG377" s="86">
        <f>+AF377*Analisis!$J$8</f>
        <v>24.849604678571438</v>
      </c>
      <c r="AH377" s="309">
        <f t="shared" si="64"/>
        <v>320.85966597933003</v>
      </c>
      <c r="AI377" s="86">
        <f>+AH377/(1-Analisis!G382)</f>
        <v>320.85966597933003</v>
      </c>
      <c r="AJ377" s="86">
        <f t="shared" si="74"/>
        <v>345.01039352616135</v>
      </c>
      <c r="AK377" s="86">
        <f t="shared" si="65"/>
        <v>0</v>
      </c>
      <c r="AL377" s="310" t="e">
        <f>+VLOOKUP(B377,#REF!,2,FALSE)</f>
        <v>#REF!</v>
      </c>
      <c r="AM377" s="311" t="e">
        <f t="shared" si="62"/>
        <v>#REF!</v>
      </c>
      <c r="AN377" s="312" t="e">
        <f t="shared" si="61"/>
        <v>#REF!</v>
      </c>
    </row>
    <row r="378" spans="1:40" s="73" customFormat="1" x14ac:dyDescent="0.25">
      <c r="A378" s="303">
        <v>80</v>
      </c>
      <c r="B378" s="304" t="s">
        <v>1154</v>
      </c>
      <c r="D378" s="74">
        <f>IFERROR(VLOOKUP(B378,'REQ. PINTADO'!B:C,2,0),0)</f>
        <v>0</v>
      </c>
      <c r="E378" s="305">
        <f t="shared" si="66"/>
        <v>280.73685852017053</v>
      </c>
      <c r="F378" s="103" t="s">
        <v>165</v>
      </c>
      <c r="G378" s="75" t="s">
        <v>147</v>
      </c>
      <c r="H378" s="90">
        <v>5.42</v>
      </c>
      <c r="I378" s="90">
        <v>20</v>
      </c>
      <c r="J378" s="76">
        <v>0.105</v>
      </c>
      <c r="K378" s="306">
        <v>16.38</v>
      </c>
      <c r="L378" s="78">
        <f t="shared" si="67"/>
        <v>6.0511752136752142</v>
      </c>
      <c r="M378" s="58">
        <f>+VLOOKUP(F378,Material!$H$2:$M$17,6,FALSE)*H378*I378*(1+Material!$K$14)</f>
        <v>45.053750000000001</v>
      </c>
      <c r="N378" s="79" t="str">
        <f t="shared" si="63"/>
        <v>T5.0</v>
      </c>
      <c r="O378" s="80">
        <f>+VLOOKUP(N378,[3]Material!$A$3:$B$58,2,FALSE)</f>
        <v>5000</v>
      </c>
      <c r="P378" s="79" t="s">
        <v>42</v>
      </c>
      <c r="Q378" s="79" t="str">
        <f>+VLOOKUP(F378,[3]Material!$C$2:$E$12,2,FALSE)</f>
        <v>Cal 14</v>
      </c>
      <c r="R378" s="81">
        <f>+IF(P378="ACERO A36",VLOOKUP(Q378,'[3]Velocidades Std 1500 w'!$B$2:$F$15,5,FALSE),IF(P378="INOXIDABLE",VLOOKUP(Q378,'[3]Velocidades Std 1500 w'!$B$17:$F$28,5,FALSE),IF(P378="ALUMINIO",VLOOKUP(Q378,'[3]Velocidades Std 1500 w'!$B$30:$F$38,5,FALSE))))</f>
        <v>2.0080321285140564E-6</v>
      </c>
      <c r="S378" s="82">
        <f t="shared" si="68"/>
        <v>1.0040160642570283E-2</v>
      </c>
      <c r="T378" s="83">
        <f t="shared" si="69"/>
        <v>47.396767228915664</v>
      </c>
      <c r="U378" s="307">
        <f t="shared" si="70"/>
        <v>6556.5527999999995</v>
      </c>
      <c r="V378" s="80">
        <f t="shared" si="75"/>
        <v>65.828843373493982</v>
      </c>
      <c r="W378" s="98">
        <v>130</v>
      </c>
      <c r="X378" s="84">
        <f>+IF(P378="ACERO A36",VLOOKUP(Q378,'[3]Tiempo Objeto'!$B$2:$C$12,2,FALSE),IF(P378="INOXIDABLE",VLOOKUP(Q378,'[3]Tiempo Objeto'!$B$14:$C$22,2,FALSE),IF(P378="ALUMINIO",VLOOKUP(Q378,'[3]Tiempo Objeto'!$B$24:$C$32,2,FALSE))))</f>
        <v>0.3133333333333333</v>
      </c>
      <c r="Y378" s="84">
        <f t="shared" si="71"/>
        <v>40.733333333333327</v>
      </c>
      <c r="Z378" s="80">
        <f t="shared" si="72"/>
        <v>56.574074074074062</v>
      </c>
      <c r="AA378" s="100">
        <v>3</v>
      </c>
      <c r="AB378" s="86">
        <f>+AA378*Analisis!$J$6</f>
        <v>75</v>
      </c>
      <c r="AC378" s="100"/>
      <c r="AD378" s="85">
        <f t="shared" si="73"/>
        <v>0</v>
      </c>
      <c r="AE378" s="86">
        <f>+AC378*Analisis!$J$7</f>
        <v>0</v>
      </c>
      <c r="AF378" s="308">
        <f>+H378*0.0254*I378*0.0254*2*(1+[3]Analisis!$G$2)</f>
        <v>0.17483836</v>
      </c>
      <c r="AG378" s="86">
        <f>+AF378*Analisis!$J$8</f>
        <v>18.628610976190483</v>
      </c>
      <c r="AH378" s="309">
        <f t="shared" si="64"/>
        <v>261.08527842375855</v>
      </c>
      <c r="AI378" s="86">
        <f>+AH378/(1-Analisis!G383)</f>
        <v>261.08527842375855</v>
      </c>
      <c r="AJ378" s="86">
        <f t="shared" si="74"/>
        <v>280.73685852017053</v>
      </c>
      <c r="AK378" s="86">
        <f t="shared" si="65"/>
        <v>0</v>
      </c>
      <c r="AL378" s="310" t="e">
        <f>+VLOOKUP(B378,#REF!,2,FALSE)</f>
        <v>#REF!</v>
      </c>
      <c r="AM378" s="311" t="e">
        <f t="shared" si="62"/>
        <v>#REF!</v>
      </c>
      <c r="AN378" s="312" t="e">
        <f t="shared" si="61"/>
        <v>#REF!</v>
      </c>
    </row>
    <row r="379" spans="1:40" s="73" customFormat="1" x14ac:dyDescent="0.25">
      <c r="A379" s="303">
        <v>81</v>
      </c>
      <c r="B379" s="304" t="s">
        <v>1155</v>
      </c>
      <c r="D379" s="74">
        <f>IFERROR(VLOOKUP(B379,'REQ. PINTADO'!B:C,2,0),0)</f>
        <v>0</v>
      </c>
      <c r="E379" s="305">
        <f t="shared" si="66"/>
        <v>356.72640114650443</v>
      </c>
      <c r="F379" s="103" t="s">
        <v>165</v>
      </c>
      <c r="G379" s="75" t="s">
        <v>147</v>
      </c>
      <c r="H379" s="90">
        <v>5.42</v>
      </c>
      <c r="I379" s="90">
        <v>30</v>
      </c>
      <c r="J379" s="76">
        <v>0.105</v>
      </c>
      <c r="K379" s="306">
        <v>16.38</v>
      </c>
      <c r="L379" s="78">
        <f t="shared" si="67"/>
        <v>9.0767628205128226</v>
      </c>
      <c r="M379" s="58">
        <f>+VLOOKUP(F379,Material!$H$2:$M$17,6,FALSE)*H379*I379*(1+Material!$K$14)</f>
        <v>67.580624999999998</v>
      </c>
      <c r="N379" s="79" t="str">
        <f t="shared" si="63"/>
        <v>T5.0</v>
      </c>
      <c r="O379" s="80">
        <f>+VLOOKUP(N379,[3]Material!$A$3:$B$58,2,FALSE)</f>
        <v>5000</v>
      </c>
      <c r="P379" s="79" t="s">
        <v>42</v>
      </c>
      <c r="Q379" s="79" t="str">
        <f>+VLOOKUP(F379,[3]Material!$C$2:$E$12,2,FALSE)</f>
        <v>Cal 14</v>
      </c>
      <c r="R379" s="81">
        <f>+IF(P379="ACERO A36",VLOOKUP(Q379,'[3]Velocidades Std 1500 w'!$B$2:$F$15,5,FALSE),IF(P379="INOXIDABLE",VLOOKUP(Q379,'[3]Velocidades Std 1500 w'!$B$17:$F$28,5,FALSE),IF(P379="ALUMINIO",VLOOKUP(Q379,'[3]Velocidades Std 1500 w'!$B$30:$F$38,5,FALSE))))</f>
        <v>2.0080321285140564E-6</v>
      </c>
      <c r="S379" s="82">
        <f t="shared" si="68"/>
        <v>1.0040160642570283E-2</v>
      </c>
      <c r="T379" s="83">
        <f t="shared" si="69"/>
        <v>62.820381686747012</v>
      </c>
      <c r="U379" s="307">
        <f t="shared" si="70"/>
        <v>8690.1528000000017</v>
      </c>
      <c r="V379" s="80">
        <f t="shared" si="75"/>
        <v>87.250530120481955</v>
      </c>
      <c r="W379" s="98">
        <v>170</v>
      </c>
      <c r="X379" s="84">
        <f>+IF(P379="ACERO A36",VLOOKUP(Q379,'[3]Tiempo Objeto'!$B$2:$C$12,2,FALSE),IF(P379="INOXIDABLE",VLOOKUP(Q379,'[3]Tiempo Objeto'!$B$14:$C$22,2,FALSE),IF(P379="ALUMINIO",VLOOKUP(Q379,'[3]Tiempo Objeto'!$B$24:$C$32,2,FALSE))))</f>
        <v>0.3133333333333333</v>
      </c>
      <c r="Y379" s="84">
        <f t="shared" si="71"/>
        <v>53.266666666666659</v>
      </c>
      <c r="Z379" s="80">
        <f t="shared" si="72"/>
        <v>73.981481481481481</v>
      </c>
      <c r="AA379" s="100">
        <v>3</v>
      </c>
      <c r="AB379" s="86">
        <f>+AA379*Analisis!$J$6</f>
        <v>75</v>
      </c>
      <c r="AC379" s="100"/>
      <c r="AD379" s="85">
        <f t="shared" si="73"/>
        <v>0</v>
      </c>
      <c r="AE379" s="86">
        <f>+AC379*Analisis!$J$7</f>
        <v>0</v>
      </c>
      <c r="AF379" s="308">
        <f>+H379*0.0254*I379*0.0254*2*(1+[3]Analisis!$G$2)</f>
        <v>0.26225753999999996</v>
      </c>
      <c r="AG379" s="86">
        <f>+AF379*Analisis!$J$8</f>
        <v>27.94291646428572</v>
      </c>
      <c r="AH379" s="309">
        <f t="shared" si="64"/>
        <v>331.75555306624909</v>
      </c>
      <c r="AI379" s="86">
        <f>+AH379/(1-Analisis!G384)</f>
        <v>331.75555306624909</v>
      </c>
      <c r="AJ379" s="86">
        <f t="shared" si="74"/>
        <v>356.72640114650443</v>
      </c>
      <c r="AK379" s="86">
        <f t="shared" si="65"/>
        <v>0</v>
      </c>
      <c r="AL379" s="310" t="e">
        <f>+VLOOKUP(B379,#REF!,2,FALSE)</f>
        <v>#REF!</v>
      </c>
      <c r="AM379" s="311" t="e">
        <f t="shared" si="62"/>
        <v>#REF!</v>
      </c>
      <c r="AN379" s="312" t="e">
        <f t="shared" si="61"/>
        <v>#REF!</v>
      </c>
    </row>
    <row r="380" spans="1:40" s="73" customFormat="1" x14ac:dyDescent="0.25">
      <c r="A380" s="303">
        <v>82</v>
      </c>
      <c r="B380" s="304" t="s">
        <v>1156</v>
      </c>
      <c r="D380" s="74">
        <f>IFERROR(VLOOKUP(B380,'REQ. PINTADO'!B:C,2,0),0)</f>
        <v>0</v>
      </c>
      <c r="E380" s="305">
        <f t="shared" si="66"/>
        <v>258.3290874147358</v>
      </c>
      <c r="F380" s="103" t="s">
        <v>165</v>
      </c>
      <c r="G380" s="75" t="s">
        <v>147</v>
      </c>
      <c r="H380" s="90">
        <v>5.61</v>
      </c>
      <c r="I380" s="90">
        <v>18.32</v>
      </c>
      <c r="J380" s="76">
        <v>0.105</v>
      </c>
      <c r="K380" s="306">
        <v>16.38</v>
      </c>
      <c r="L380" s="78">
        <f t="shared" si="67"/>
        <v>5.7371839743589748</v>
      </c>
      <c r="M380" s="58">
        <f>+VLOOKUP(F380,Material!$H$2:$M$17,6,FALSE)*H380*I380*(1+Material!$K$14)</f>
        <v>42.715942499999997</v>
      </c>
      <c r="N380" s="79" t="str">
        <f t="shared" si="63"/>
        <v>T5.0</v>
      </c>
      <c r="O380" s="80">
        <f>+VLOOKUP(N380,[3]Material!$A$3:$B$58,2,FALSE)</f>
        <v>5000</v>
      </c>
      <c r="P380" s="79" t="s">
        <v>42</v>
      </c>
      <c r="Q380" s="79" t="str">
        <f>+VLOOKUP(F380,[3]Material!$C$2:$E$12,2,FALSE)</f>
        <v>Cal 14</v>
      </c>
      <c r="R380" s="81">
        <f>+IF(P380="ACERO A36",VLOOKUP(Q380,'[3]Velocidades Std 1500 w'!$B$2:$F$15,5,FALSE),IF(P380="INOXIDABLE",VLOOKUP(Q380,'[3]Velocidades Std 1500 w'!$B$17:$F$28,5,FALSE),IF(P380="ALUMINIO",VLOOKUP(Q380,'[3]Velocidades Std 1500 w'!$B$30:$F$38,5,FALSE))))</f>
        <v>2.0080321285140564E-6</v>
      </c>
      <c r="S380" s="82">
        <f t="shared" si="68"/>
        <v>1.0040160642570283E-2</v>
      </c>
      <c r="T380" s="83">
        <f t="shared" si="69"/>
        <v>41.038382168674701</v>
      </c>
      <c r="U380" s="307">
        <f t="shared" si="70"/>
        <v>5676.9762000000001</v>
      </c>
      <c r="V380" s="80">
        <f t="shared" si="75"/>
        <v>56.9977530120482</v>
      </c>
      <c r="W380" s="98">
        <v>110</v>
      </c>
      <c r="X380" s="84">
        <f>+IF(P380="ACERO A36",VLOOKUP(Q380,'[3]Tiempo Objeto'!$B$2:$C$12,2,FALSE),IF(P380="INOXIDABLE",VLOOKUP(Q380,'[3]Tiempo Objeto'!$B$14:$C$22,2,FALSE),IF(P380="ALUMINIO",VLOOKUP(Q380,'[3]Tiempo Objeto'!$B$24:$C$32,2,FALSE))))</f>
        <v>0.3133333333333333</v>
      </c>
      <c r="Y380" s="84">
        <f t="shared" si="71"/>
        <v>34.466666666666661</v>
      </c>
      <c r="Z380" s="80">
        <f t="shared" si="72"/>
        <v>47.870370370370367</v>
      </c>
      <c r="AA380" s="100">
        <v>3</v>
      </c>
      <c r="AB380" s="86">
        <f>+AA380*Analisis!$J$6</f>
        <v>75</v>
      </c>
      <c r="AC380" s="100"/>
      <c r="AD380" s="85">
        <f t="shared" si="73"/>
        <v>0</v>
      </c>
      <c r="AE380" s="86">
        <f>+AC380*Analisis!$J$7</f>
        <v>0</v>
      </c>
      <c r="AF380" s="308">
        <f>+H380*0.0254*I380*0.0254*2*(1+[3]Analisis!$G$2)</f>
        <v>0.16576612008000002</v>
      </c>
      <c r="AG380" s="86">
        <f>+AF380*Analisis!$J$8</f>
        <v>17.661985413285723</v>
      </c>
      <c r="AH380" s="309">
        <f t="shared" si="64"/>
        <v>240.24605129570426</v>
      </c>
      <c r="AI380" s="86">
        <f>+AH380/(1-Analisis!G385)</f>
        <v>240.24605129570426</v>
      </c>
      <c r="AJ380" s="86">
        <f t="shared" si="74"/>
        <v>258.3290874147358</v>
      </c>
      <c r="AK380" s="86">
        <f t="shared" si="65"/>
        <v>0</v>
      </c>
      <c r="AL380" s="310" t="e">
        <f>+VLOOKUP(B380,#REF!,2,FALSE)</f>
        <v>#REF!</v>
      </c>
      <c r="AM380" s="311" t="e">
        <f t="shared" si="62"/>
        <v>#REF!</v>
      </c>
      <c r="AN380" s="312" t="e">
        <f t="shared" si="61"/>
        <v>#REF!</v>
      </c>
    </row>
    <row r="381" spans="1:40" s="73" customFormat="1" x14ac:dyDescent="0.25">
      <c r="A381" s="313">
        <v>83</v>
      </c>
      <c r="B381" s="314" t="s">
        <v>1157</v>
      </c>
      <c r="D381" s="74">
        <f>IFERROR(VLOOKUP(B381,'REQ. PINTADO'!B:C,2,0),0)</f>
        <v>0</v>
      </c>
      <c r="E381" s="305">
        <f t="shared" si="66"/>
        <v>0</v>
      </c>
      <c r="F381" s="103" t="s">
        <v>165</v>
      </c>
      <c r="G381" s="75" t="s">
        <v>147</v>
      </c>
      <c r="H381" s="90"/>
      <c r="I381" s="90"/>
      <c r="J381" s="76">
        <v>0.105</v>
      </c>
      <c r="K381" s="306">
        <v>16.38</v>
      </c>
      <c r="L381" s="78">
        <f t="shared" si="67"/>
        <v>0</v>
      </c>
      <c r="M381" s="58">
        <f>+VLOOKUP(F381,Material!$H$2:$M$17,6,FALSE)*H381*I381*(1+Material!$K$14)</f>
        <v>0</v>
      </c>
      <c r="N381" s="79" t="str">
        <f t="shared" si="63"/>
        <v>T5.0</v>
      </c>
      <c r="O381" s="80">
        <f>+VLOOKUP(N381,[3]Material!$A$3:$B$58,2,FALSE)</f>
        <v>5000</v>
      </c>
      <c r="P381" s="79" t="s">
        <v>42</v>
      </c>
      <c r="Q381" s="79" t="str">
        <f>+VLOOKUP(F381,[3]Material!$C$2:$E$12,2,FALSE)</f>
        <v>Cal 14</v>
      </c>
      <c r="R381" s="81">
        <f>+IF(P381="ACERO A36",VLOOKUP(Q381,'[3]Velocidades Std 1500 w'!$B$2:$F$15,5,FALSE),IF(P381="INOXIDABLE",VLOOKUP(Q381,'[3]Velocidades Std 1500 w'!$B$17:$F$28,5,FALSE),IF(P381="ALUMINIO",VLOOKUP(Q381,'[3]Velocidades Std 1500 w'!$B$30:$F$38,5,FALSE))))</f>
        <v>2.0080321285140564E-6</v>
      </c>
      <c r="S381" s="82">
        <f t="shared" si="68"/>
        <v>1.0040160642570283E-2</v>
      </c>
      <c r="T381" s="83">
        <f t="shared" si="69"/>
        <v>0</v>
      </c>
      <c r="U381" s="307">
        <f t="shared" si="70"/>
        <v>0</v>
      </c>
      <c r="V381" s="80">
        <f t="shared" si="75"/>
        <v>0</v>
      </c>
      <c r="W381" s="98"/>
      <c r="X381" s="84">
        <f>+IF(P381="ACERO A36",VLOOKUP(Q381,'[3]Tiempo Objeto'!$B$2:$C$12,2,FALSE),IF(P381="INOXIDABLE",VLOOKUP(Q381,'[3]Tiempo Objeto'!$B$14:$C$22,2,FALSE),IF(P381="ALUMINIO",VLOOKUP(Q381,'[3]Tiempo Objeto'!$B$24:$C$32,2,FALSE))))</f>
        <v>0.3133333333333333</v>
      </c>
      <c r="Y381" s="84">
        <f t="shared" si="71"/>
        <v>0</v>
      </c>
      <c r="Z381" s="80">
        <f t="shared" si="72"/>
        <v>0</v>
      </c>
      <c r="AA381" s="100"/>
      <c r="AB381" s="86">
        <f>+AA381*Analisis!$J$6</f>
        <v>0</v>
      </c>
      <c r="AC381" s="100"/>
      <c r="AD381" s="85">
        <f t="shared" si="73"/>
        <v>0</v>
      </c>
      <c r="AE381" s="86">
        <f>+AC381*Analisis!$J$7</f>
        <v>0</v>
      </c>
      <c r="AF381" s="308">
        <f>+H381*0.0254*I381*0.0254*2*(1+[3]Analisis!$G$2)</f>
        <v>0</v>
      </c>
      <c r="AG381" s="86">
        <f>+AF381*Analisis!$J$8</f>
        <v>0</v>
      </c>
      <c r="AH381" s="309">
        <f t="shared" si="64"/>
        <v>0</v>
      </c>
      <c r="AI381" s="86">
        <f>+AH381/(1-Analisis!G386)</f>
        <v>0</v>
      </c>
      <c r="AJ381" s="86">
        <f t="shared" si="74"/>
        <v>0</v>
      </c>
      <c r="AK381" s="86">
        <f t="shared" si="65"/>
        <v>0</v>
      </c>
      <c r="AL381" s="310" t="e">
        <f>+VLOOKUP(B381,#REF!,2,FALSE)</f>
        <v>#REF!</v>
      </c>
      <c r="AM381" s="311" t="e">
        <f t="shared" si="62"/>
        <v>#REF!</v>
      </c>
      <c r="AN381" s="312" t="e">
        <f t="shared" si="61"/>
        <v>#REF!</v>
      </c>
    </row>
    <row r="382" spans="1:40" s="73" customFormat="1" x14ac:dyDescent="0.25">
      <c r="A382" s="313">
        <v>84</v>
      </c>
      <c r="B382" s="314" t="s">
        <v>1158</v>
      </c>
      <c r="D382" s="74">
        <f>IFERROR(VLOOKUP(B382,'REQ. PINTADO'!B:C,2,0),0)</f>
        <v>0</v>
      </c>
      <c r="E382" s="305">
        <f t="shared" si="66"/>
        <v>0</v>
      </c>
      <c r="F382" s="103" t="s">
        <v>165</v>
      </c>
      <c r="G382" s="75" t="s">
        <v>147</v>
      </c>
      <c r="H382" s="90"/>
      <c r="I382" s="90"/>
      <c r="J382" s="76">
        <v>0.105</v>
      </c>
      <c r="K382" s="306">
        <v>16.38</v>
      </c>
      <c r="L382" s="78">
        <f t="shared" si="67"/>
        <v>0</v>
      </c>
      <c r="M382" s="58">
        <f>+VLOOKUP(F382,Material!$H$2:$M$17,6,FALSE)*H382*I382*(1+Material!$K$14)</f>
        <v>0</v>
      </c>
      <c r="N382" s="79" t="str">
        <f t="shared" si="63"/>
        <v>T5.0</v>
      </c>
      <c r="O382" s="80">
        <f>+VLOOKUP(N382,[3]Material!$A$3:$B$58,2,FALSE)</f>
        <v>5000</v>
      </c>
      <c r="P382" s="79" t="s">
        <v>42</v>
      </c>
      <c r="Q382" s="79" t="str">
        <f>+VLOOKUP(F382,[3]Material!$C$2:$E$12,2,FALSE)</f>
        <v>Cal 14</v>
      </c>
      <c r="R382" s="81">
        <f>+IF(P382="ACERO A36",VLOOKUP(Q382,'[3]Velocidades Std 1500 w'!$B$2:$F$15,5,FALSE),IF(P382="INOXIDABLE",VLOOKUP(Q382,'[3]Velocidades Std 1500 w'!$B$17:$F$28,5,FALSE),IF(P382="ALUMINIO",VLOOKUP(Q382,'[3]Velocidades Std 1500 w'!$B$30:$F$38,5,FALSE))))</f>
        <v>2.0080321285140564E-6</v>
      </c>
      <c r="S382" s="82">
        <f t="shared" si="68"/>
        <v>1.0040160642570283E-2</v>
      </c>
      <c r="T382" s="83">
        <f t="shared" si="69"/>
        <v>0</v>
      </c>
      <c r="U382" s="307">
        <f t="shared" si="70"/>
        <v>0</v>
      </c>
      <c r="V382" s="80">
        <f t="shared" si="75"/>
        <v>0</v>
      </c>
      <c r="W382" s="98"/>
      <c r="X382" s="84">
        <f>+IF(P382="ACERO A36",VLOOKUP(Q382,'[3]Tiempo Objeto'!$B$2:$C$12,2,FALSE),IF(P382="INOXIDABLE",VLOOKUP(Q382,'[3]Tiempo Objeto'!$B$14:$C$22,2,FALSE),IF(P382="ALUMINIO",VLOOKUP(Q382,'[3]Tiempo Objeto'!$B$24:$C$32,2,FALSE))))</f>
        <v>0.3133333333333333</v>
      </c>
      <c r="Y382" s="84">
        <f t="shared" si="71"/>
        <v>0</v>
      </c>
      <c r="Z382" s="80">
        <f t="shared" si="72"/>
        <v>0</v>
      </c>
      <c r="AA382" s="100"/>
      <c r="AB382" s="86">
        <f>+AA382*Analisis!$J$6</f>
        <v>0</v>
      </c>
      <c r="AC382" s="100"/>
      <c r="AD382" s="85">
        <f t="shared" si="73"/>
        <v>0</v>
      </c>
      <c r="AE382" s="86">
        <f>+AC382*Analisis!$J$7</f>
        <v>0</v>
      </c>
      <c r="AF382" s="308">
        <f>+H382*0.0254*I382*0.0254*2*(1+[3]Analisis!$G$2)</f>
        <v>0</v>
      </c>
      <c r="AG382" s="86">
        <f>+AF382*Analisis!$J$8</f>
        <v>0</v>
      </c>
      <c r="AH382" s="309">
        <f t="shared" si="64"/>
        <v>0</v>
      </c>
      <c r="AI382" s="86">
        <f>+AH382/(1-Analisis!G387)</f>
        <v>0</v>
      </c>
      <c r="AJ382" s="86">
        <f t="shared" si="74"/>
        <v>0</v>
      </c>
      <c r="AK382" s="86">
        <f t="shared" si="65"/>
        <v>0</v>
      </c>
      <c r="AL382" s="310" t="e">
        <f>+VLOOKUP(B382,#REF!,2,FALSE)</f>
        <v>#REF!</v>
      </c>
      <c r="AM382" s="311" t="e">
        <f t="shared" si="62"/>
        <v>#REF!</v>
      </c>
      <c r="AN382" s="312" t="e">
        <f t="shared" si="61"/>
        <v>#REF!</v>
      </c>
    </row>
    <row r="383" spans="1:40" s="73" customFormat="1" x14ac:dyDescent="0.25">
      <c r="A383" s="303">
        <v>1</v>
      </c>
      <c r="B383" s="304" t="s">
        <v>1159</v>
      </c>
      <c r="D383" s="74">
        <f>IFERROR(VLOOKUP(B383,'REQ. PINTADO'!B:C,2,0),0)</f>
        <v>0</v>
      </c>
      <c r="E383" s="305">
        <f t="shared" si="66"/>
        <v>662.3187270989921</v>
      </c>
      <c r="F383" s="103" t="s">
        <v>163</v>
      </c>
      <c r="G383" s="75" t="s">
        <v>147</v>
      </c>
      <c r="H383" s="90">
        <v>21.94</v>
      </c>
      <c r="I383" s="90">
        <v>43.44</v>
      </c>
      <c r="J383" s="76">
        <v>0.105</v>
      </c>
      <c r="K383" s="306">
        <v>16.38</v>
      </c>
      <c r="L383" s="78">
        <f t="shared" si="67"/>
        <v>48.049479276886409</v>
      </c>
      <c r="M383" s="58">
        <f>+VLOOKUP(F383,Material!$H$2:$M$17,6,FALSE)*H383*I383*(1+Material!$K$14)</f>
        <v>357.75021388881783</v>
      </c>
      <c r="N383" s="79" t="str">
        <f t="shared" si="63"/>
        <v>T5.0</v>
      </c>
      <c r="O383" s="80">
        <f>+VLOOKUP(N383,[3]Material!$A$3:$B$58,2,FALSE)</f>
        <v>5000</v>
      </c>
      <c r="P383" s="79" t="s">
        <v>42</v>
      </c>
      <c r="Q383" s="79" t="str">
        <f>+VLOOKUP(F383,[3]Material!$C$2:$E$12,2,FALSE)</f>
        <v>Cal 12</v>
      </c>
      <c r="R383" s="81">
        <f>+IF(P383="ACERO A36",VLOOKUP(Q383,'[3]Velocidades Std 1500 w'!$B$2:$F$15,5,FALSE),IF(P383="INOXIDABLE",VLOOKUP(Q383,'[3]Velocidades Std 1500 w'!$B$17:$F$28,5,FALSE),IF(P383="ALUMINIO",VLOOKUP(Q383,'[3]Velocidades Std 1500 w'!$B$30:$F$38,5,FALSE))))</f>
        <v>4.3859649122807014E-6</v>
      </c>
      <c r="S383" s="82">
        <f t="shared" si="68"/>
        <v>2.1929824561403508E-2</v>
      </c>
      <c r="T383" s="83">
        <f t="shared" si="69"/>
        <v>60.622313684210511</v>
      </c>
      <c r="U383" s="307">
        <f>(+I383*2+H383*2+W383*1.1)*25.4*1.05</f>
        <v>3839.4131999999995</v>
      </c>
      <c r="V383" s="80">
        <f t="shared" si="75"/>
        <v>84.197657894736821</v>
      </c>
      <c r="W383" s="98">
        <v>12</v>
      </c>
      <c r="X383" s="84">
        <f>+IF(P383="ACERO A36",VLOOKUP(Q383,'[3]Tiempo Objeto'!$B$2:$C$12,2,FALSE),IF(P383="INOXIDABLE",VLOOKUP(Q383,'[3]Tiempo Objeto'!$B$14:$C$22,2,FALSE),IF(P383="ALUMINIO",VLOOKUP(Q383,'[3]Tiempo Objeto'!$B$24:$C$32,2,FALSE))))</f>
        <v>0.6133333333333334</v>
      </c>
      <c r="Y383" s="84">
        <f t="shared" si="71"/>
        <v>7.3600000000000012</v>
      </c>
      <c r="Z383" s="80">
        <f t="shared" si="72"/>
        <v>10.222222222222225</v>
      </c>
      <c r="AA383" s="100">
        <v>0</v>
      </c>
      <c r="AB383" s="86">
        <f>+AA383*Analisis!$J$6</f>
        <v>0</v>
      </c>
      <c r="AC383" s="100"/>
      <c r="AD383" s="85">
        <f t="shared" si="73"/>
        <v>0</v>
      </c>
      <c r="AE383" s="86">
        <f>+AC383*Analisis!$J$7</f>
        <v>0</v>
      </c>
      <c r="AF383" s="308">
        <f>+H383*0.0254*I383*0.0254*2*(1+[3]Analisis!$G$2)</f>
        <v>1.5372124094399999</v>
      </c>
      <c r="AG383" s="86">
        <f>+AF383*Analisis!$J$8</f>
        <v>163.78632219628577</v>
      </c>
      <c r="AH383" s="309">
        <f t="shared" si="64"/>
        <v>615.95641620206266</v>
      </c>
      <c r="AI383" s="86">
        <f>+AH383/(1-Analisis!G388)</f>
        <v>615.95641620206266</v>
      </c>
      <c r="AJ383" s="86">
        <f t="shared" si="74"/>
        <v>662.3187270989921</v>
      </c>
      <c r="AK383" s="86">
        <f t="shared" si="65"/>
        <v>0</v>
      </c>
      <c r="AL383" s="310" t="e">
        <f>+VLOOKUP(B383,#REF!,2,FALSE)</f>
        <v>#REF!</v>
      </c>
      <c r="AM383" s="311" t="e">
        <f t="shared" si="62"/>
        <v>#REF!</v>
      </c>
      <c r="AN383" s="312" t="e">
        <f t="shared" si="61"/>
        <v>#REF!</v>
      </c>
    </row>
    <row r="384" spans="1:40" s="73" customFormat="1" x14ac:dyDescent="0.25">
      <c r="A384" s="303">
        <v>2</v>
      </c>
      <c r="B384" s="304" t="s">
        <v>1160</v>
      </c>
      <c r="D384" s="74">
        <f>IFERROR(VLOOKUP(B384,'REQ. PINTADO'!B:C,2,0),0)</f>
        <v>0</v>
      </c>
      <c r="E384" s="305">
        <f t="shared" si="66"/>
        <v>930.49908330060396</v>
      </c>
      <c r="F384" s="103" t="s">
        <v>163</v>
      </c>
      <c r="G384" s="75" t="s">
        <v>147</v>
      </c>
      <c r="H384" s="90">
        <v>31.94</v>
      </c>
      <c r="I384" s="90">
        <v>43.44</v>
      </c>
      <c r="J384" s="76">
        <v>0.105</v>
      </c>
      <c r="K384" s="306">
        <v>16.38</v>
      </c>
      <c r="L384" s="78">
        <f t="shared" si="67"/>
        <v>69.949880041191975</v>
      </c>
      <c r="M384" s="58">
        <f>+VLOOKUP(F384,Material!$H$2:$M$17,6,FALSE)*H384*I384*(1+Material!$K$14)</f>
        <v>520.80865230669292</v>
      </c>
      <c r="N384" s="79" t="str">
        <f t="shared" si="63"/>
        <v>T5.0</v>
      </c>
      <c r="O384" s="80">
        <f>+VLOOKUP(N384,[3]Material!$A$3:$B$58,2,FALSE)</f>
        <v>5000</v>
      </c>
      <c r="P384" s="79" t="s">
        <v>42</v>
      </c>
      <c r="Q384" s="79" t="str">
        <f>+VLOOKUP(F384,[3]Material!$C$2:$E$12,2,FALSE)</f>
        <v>Cal 12</v>
      </c>
      <c r="R384" s="81">
        <f>+IF(P384="ACERO A36",VLOOKUP(Q384,'[3]Velocidades Std 1500 w'!$B$2:$F$15,5,FALSE),IF(P384="INOXIDABLE",VLOOKUP(Q384,'[3]Velocidades Std 1500 w'!$B$17:$F$28,5,FALSE),IF(P384="ALUMINIO",VLOOKUP(Q384,'[3]Velocidades Std 1500 w'!$B$30:$F$38,5,FALSE))))</f>
        <v>4.3859649122807014E-6</v>
      </c>
      <c r="S384" s="82">
        <f t="shared" si="68"/>
        <v>2.1929824561403508E-2</v>
      </c>
      <c r="T384" s="83">
        <f t="shared" si="69"/>
        <v>69.044418947368399</v>
      </c>
      <c r="U384" s="307">
        <f t="shared" ref="U384:U412" si="76">(+I384*2+H384*2+W384*1.1)*25.4*1.05</f>
        <v>4372.8131999999987</v>
      </c>
      <c r="V384" s="80">
        <f t="shared" si="75"/>
        <v>95.895026315789437</v>
      </c>
      <c r="W384" s="98">
        <v>12</v>
      </c>
      <c r="X384" s="84">
        <f>+IF(P384="ACERO A36",VLOOKUP(Q384,'[3]Tiempo Objeto'!$B$2:$C$12,2,FALSE),IF(P384="INOXIDABLE",VLOOKUP(Q384,'[3]Tiempo Objeto'!$B$14:$C$22,2,FALSE),IF(P384="ALUMINIO",VLOOKUP(Q384,'[3]Tiempo Objeto'!$B$24:$C$32,2,FALSE))))</f>
        <v>0.6133333333333334</v>
      </c>
      <c r="Y384" s="84">
        <f t="shared" si="71"/>
        <v>7.3600000000000012</v>
      </c>
      <c r="Z384" s="80">
        <f t="shared" si="72"/>
        <v>10.222222222222225</v>
      </c>
      <c r="AA384" s="100">
        <v>0</v>
      </c>
      <c r="AB384" s="86">
        <f>+AA384*Analisis!$J$6</f>
        <v>0</v>
      </c>
      <c r="AC384" s="100"/>
      <c r="AD384" s="85">
        <f t="shared" si="73"/>
        <v>0</v>
      </c>
      <c r="AE384" s="86">
        <f>+AC384*Analisis!$J$7</f>
        <v>0</v>
      </c>
      <c r="AF384" s="308">
        <f>+H384*0.0254*I384*0.0254*2*(1+[3]Analisis!$G$2)</f>
        <v>2.2378561694399997</v>
      </c>
      <c r="AG384" s="86">
        <f>+AF384*Analisis!$J$8</f>
        <v>238.43824662485719</v>
      </c>
      <c r="AH384" s="309">
        <f t="shared" si="64"/>
        <v>865.36414746956166</v>
      </c>
      <c r="AI384" s="86">
        <f>+AH384/(1-Analisis!G389)</f>
        <v>865.36414746956166</v>
      </c>
      <c r="AJ384" s="86">
        <f t="shared" si="74"/>
        <v>930.49908330060396</v>
      </c>
      <c r="AK384" s="86">
        <f t="shared" si="65"/>
        <v>0</v>
      </c>
      <c r="AL384" s="310" t="e">
        <f>+VLOOKUP(B384,#REF!,2,FALSE)</f>
        <v>#REF!</v>
      </c>
      <c r="AM384" s="311" t="e">
        <f t="shared" si="62"/>
        <v>#REF!</v>
      </c>
      <c r="AN384" s="312" t="e">
        <f t="shared" si="61"/>
        <v>#REF!</v>
      </c>
    </row>
    <row r="385" spans="1:40" s="73" customFormat="1" x14ac:dyDescent="0.25">
      <c r="A385" s="303"/>
      <c r="B385" s="304" t="s">
        <v>1161</v>
      </c>
      <c r="D385" s="74">
        <f>IFERROR(VLOOKUP(B385,'REQ. PINTADO'!B:C,2,0),0)</f>
        <v>0</v>
      </c>
      <c r="E385" s="305">
        <f t="shared" si="66"/>
        <v>1198.6794395022159</v>
      </c>
      <c r="F385" s="103" t="s">
        <v>163</v>
      </c>
      <c r="G385" s="75" t="s">
        <v>147</v>
      </c>
      <c r="H385" s="90">
        <v>41.94</v>
      </c>
      <c r="I385" s="90">
        <v>43.44</v>
      </c>
      <c r="J385" s="76">
        <v>0.105</v>
      </c>
      <c r="K385" s="306">
        <v>16.38</v>
      </c>
      <c r="L385" s="78">
        <f t="shared" si="67"/>
        <v>91.850280805497519</v>
      </c>
      <c r="M385" s="58">
        <f>+VLOOKUP(F385,Material!$H$2:$M$17,6,FALSE)*H385*I385*(1+Material!$K$14)</f>
        <v>683.86709072456779</v>
      </c>
      <c r="N385" s="79" t="str">
        <f t="shared" si="63"/>
        <v>T5.0</v>
      </c>
      <c r="O385" s="80">
        <f>+VLOOKUP(N385,[3]Material!$A$3:$B$58,2,FALSE)</f>
        <v>5000</v>
      </c>
      <c r="P385" s="79" t="s">
        <v>42</v>
      </c>
      <c r="Q385" s="79" t="str">
        <f>+VLOOKUP(F385,[3]Material!$C$2:$E$12,2,FALSE)</f>
        <v>Cal 12</v>
      </c>
      <c r="R385" s="81">
        <f>+IF(P385="ACERO A36",VLOOKUP(Q385,'[3]Velocidades Std 1500 w'!$B$2:$F$15,5,FALSE),IF(P385="INOXIDABLE",VLOOKUP(Q385,'[3]Velocidades Std 1500 w'!$B$17:$F$28,5,FALSE),IF(P385="ALUMINIO",VLOOKUP(Q385,'[3]Velocidades Std 1500 w'!$B$30:$F$38,5,FALSE))))</f>
        <v>4.3859649122807014E-6</v>
      </c>
      <c r="S385" s="82">
        <f t="shared" si="68"/>
        <v>2.1929824561403508E-2</v>
      </c>
      <c r="T385" s="83">
        <f t="shared" si="69"/>
        <v>77.466524210526302</v>
      </c>
      <c r="U385" s="307">
        <f t="shared" si="76"/>
        <v>4906.2131999999992</v>
      </c>
      <c r="V385" s="80">
        <f t="shared" si="75"/>
        <v>107.59239473684208</v>
      </c>
      <c r="W385" s="98">
        <v>12</v>
      </c>
      <c r="X385" s="84">
        <f>+IF(P385="ACERO A36",VLOOKUP(Q385,'[3]Tiempo Objeto'!$B$2:$C$12,2,FALSE),IF(P385="INOXIDABLE",VLOOKUP(Q385,'[3]Tiempo Objeto'!$B$14:$C$22,2,FALSE),IF(P385="ALUMINIO",VLOOKUP(Q385,'[3]Tiempo Objeto'!$B$24:$C$32,2,FALSE))))</f>
        <v>0.6133333333333334</v>
      </c>
      <c r="Y385" s="84">
        <f t="shared" si="71"/>
        <v>7.3600000000000012</v>
      </c>
      <c r="Z385" s="80">
        <f t="shared" si="72"/>
        <v>10.222222222222225</v>
      </c>
      <c r="AA385" s="100">
        <v>0</v>
      </c>
      <c r="AB385" s="86">
        <f>+AA385*Analisis!$J$6</f>
        <v>0</v>
      </c>
      <c r="AC385" s="100"/>
      <c r="AD385" s="85">
        <f t="shared" si="73"/>
        <v>0</v>
      </c>
      <c r="AE385" s="86">
        <f>+AC385*Analisis!$J$7</f>
        <v>0</v>
      </c>
      <c r="AF385" s="308">
        <f>+H385*0.0254*I385*0.0254*2*(1+[3]Analisis!$G$2)</f>
        <v>2.9384999294399994</v>
      </c>
      <c r="AG385" s="86">
        <f>+AF385*Analisis!$J$8</f>
        <v>313.09017105342861</v>
      </c>
      <c r="AH385" s="309">
        <f t="shared" si="64"/>
        <v>1114.7718787370607</v>
      </c>
      <c r="AI385" s="86">
        <f>+AH385/(1-Analisis!G390)</f>
        <v>1114.7718787370607</v>
      </c>
      <c r="AJ385" s="86">
        <f t="shared" si="74"/>
        <v>1198.6794395022159</v>
      </c>
      <c r="AK385" s="86">
        <f t="shared" si="65"/>
        <v>0</v>
      </c>
      <c r="AL385" s="310" t="e">
        <f>+VLOOKUP(B385,#REF!,2,FALSE)</f>
        <v>#REF!</v>
      </c>
      <c r="AM385" s="311" t="e">
        <f t="shared" si="62"/>
        <v>#REF!</v>
      </c>
      <c r="AN385" s="312" t="e">
        <f t="shared" si="61"/>
        <v>#REF!</v>
      </c>
    </row>
    <row r="386" spans="1:40" s="73" customFormat="1" x14ac:dyDescent="0.25">
      <c r="A386" s="303">
        <v>3</v>
      </c>
      <c r="B386" s="304" t="s">
        <v>1162</v>
      </c>
      <c r="D386" s="74">
        <f>IFERROR(VLOOKUP(B386,'REQ. PINTADO'!B:C,2,0),0)</f>
        <v>0</v>
      </c>
      <c r="E386" s="305">
        <f t="shared" si="66"/>
        <v>499.31983880483466</v>
      </c>
      <c r="F386" s="103" t="s">
        <v>165</v>
      </c>
      <c r="G386" s="75" t="s">
        <v>147</v>
      </c>
      <c r="H386" s="90">
        <v>21.94</v>
      </c>
      <c r="I386" s="90">
        <v>10.11</v>
      </c>
      <c r="J386" s="76">
        <v>0.105</v>
      </c>
      <c r="K386" s="306">
        <v>16.38</v>
      </c>
      <c r="L386" s="78">
        <f t="shared" si="67"/>
        <v>12.382211698717953</v>
      </c>
      <c r="M386" s="58">
        <f>+VLOOKUP(F386,Material!$H$2:$M$17,6,FALSE)*H386*I386*(1+Material!$K$14)</f>
        <v>92.191194375000009</v>
      </c>
      <c r="N386" s="79" t="str">
        <f t="shared" si="63"/>
        <v>T5.0</v>
      </c>
      <c r="O386" s="80">
        <f>+VLOOKUP(N386,[3]Material!$A$3:$B$58,2,FALSE)</f>
        <v>5000</v>
      </c>
      <c r="P386" s="79" t="s">
        <v>42</v>
      </c>
      <c r="Q386" s="79" t="str">
        <f>+VLOOKUP(F386,[3]Material!$C$2:$E$12,2,FALSE)</f>
        <v>Cal 14</v>
      </c>
      <c r="R386" s="81">
        <f>+IF(P386="ACERO A36",VLOOKUP(Q386,'[3]Velocidades Std 1500 w'!$B$2:$F$15,5,FALSE),IF(P386="INOXIDABLE",VLOOKUP(Q386,'[3]Velocidades Std 1500 w'!$B$17:$F$28,5,FALSE),IF(P386="ALUMINIO",VLOOKUP(Q386,'[3]Velocidades Std 1500 w'!$B$30:$F$38,5,FALSE))))</f>
        <v>2.0080321285140564E-6</v>
      </c>
      <c r="S386" s="82">
        <f t="shared" si="68"/>
        <v>1.0040160642570283E-2</v>
      </c>
      <c r="T386" s="83">
        <f t="shared" si="69"/>
        <v>97.188050602409646</v>
      </c>
      <c r="U386" s="307">
        <f t="shared" si="76"/>
        <v>13444.347</v>
      </c>
      <c r="V386" s="80">
        <f t="shared" si="75"/>
        <v>134.98340361445784</v>
      </c>
      <c r="W386" s="98">
        <v>400</v>
      </c>
      <c r="X386" s="84">
        <f>+IF(P386="ACERO A36",VLOOKUP(Q386,'[3]Tiempo Objeto'!$B$2:$C$12,2,FALSE),IF(P386="INOXIDABLE",VLOOKUP(Q386,'[3]Tiempo Objeto'!$B$14:$C$22,2,FALSE),IF(P386="ALUMINIO",VLOOKUP(Q386,'[3]Tiempo Objeto'!$B$24:$C$32,2,FALSE))))</f>
        <v>0.3133333333333333</v>
      </c>
      <c r="Y386" s="84">
        <f t="shared" si="71"/>
        <v>125.33333333333331</v>
      </c>
      <c r="Z386" s="80">
        <f t="shared" si="72"/>
        <v>174.07407407407408</v>
      </c>
      <c r="AA386" s="100">
        <v>1</v>
      </c>
      <c r="AB386" s="86">
        <f>+AA386*Analisis!$J$6</f>
        <v>25</v>
      </c>
      <c r="AC386" s="100"/>
      <c r="AD386" s="85">
        <f t="shared" si="73"/>
        <v>0</v>
      </c>
      <c r="AE386" s="86">
        <f>+AC386*Analisis!$J$7</f>
        <v>0</v>
      </c>
      <c r="AF386" s="308">
        <f>+H386*0.0254*I386*0.0254*2*(1+[3]Analisis!$G$2)</f>
        <v>0.35776283285999994</v>
      </c>
      <c r="AG386" s="86">
        <f>+AF386*Analisis!$J$8</f>
        <v>38.118778024964293</v>
      </c>
      <c r="AH386" s="309">
        <f t="shared" si="64"/>
        <v>464.36745008849618</v>
      </c>
      <c r="AI386" s="86">
        <f>+AH386/(1-Analisis!G391)</f>
        <v>464.36745008849618</v>
      </c>
      <c r="AJ386" s="86">
        <f t="shared" si="74"/>
        <v>499.31983880483466</v>
      </c>
      <c r="AK386" s="86">
        <f t="shared" si="65"/>
        <v>0</v>
      </c>
      <c r="AL386" s="310" t="e">
        <f>+VLOOKUP(B386,#REF!,2,FALSE)</f>
        <v>#REF!</v>
      </c>
      <c r="AM386" s="311" t="e">
        <f t="shared" si="62"/>
        <v>#REF!</v>
      </c>
      <c r="AN386" s="312" t="e">
        <f t="shared" si="61"/>
        <v>#REF!</v>
      </c>
    </row>
    <row r="387" spans="1:40" s="73" customFormat="1" x14ac:dyDescent="0.25">
      <c r="A387" s="303">
        <v>4</v>
      </c>
      <c r="B387" s="304" t="s">
        <v>1163</v>
      </c>
      <c r="D387" s="74">
        <f>IFERROR(VLOOKUP(B387,'REQ. PINTADO'!B:C,2,0),0)</f>
        <v>0</v>
      </c>
      <c r="E387" s="305">
        <f t="shared" si="66"/>
        <v>568.94264566846437</v>
      </c>
      <c r="F387" s="103" t="s">
        <v>165</v>
      </c>
      <c r="G387" s="75" t="s">
        <v>147</v>
      </c>
      <c r="H387" s="90">
        <v>31.94</v>
      </c>
      <c r="I387" s="90">
        <v>10.11</v>
      </c>
      <c r="J387" s="76">
        <v>0.105</v>
      </c>
      <c r="K387" s="306">
        <v>16.38</v>
      </c>
      <c r="L387" s="78">
        <f t="shared" si="67"/>
        <v>18.025881570512823</v>
      </c>
      <c r="M387" s="58">
        <f>+VLOOKUP(F387,Material!$H$2:$M$17,6,FALSE)*H387*I387*(1+Material!$K$14)</f>
        <v>134.21088187500001</v>
      </c>
      <c r="N387" s="79" t="str">
        <f t="shared" si="63"/>
        <v>T5.0</v>
      </c>
      <c r="O387" s="80">
        <f>+VLOOKUP(N387,[3]Material!$A$3:$B$58,2,FALSE)</f>
        <v>5000</v>
      </c>
      <c r="P387" s="79" t="s">
        <v>42</v>
      </c>
      <c r="Q387" s="79" t="str">
        <f>+VLOOKUP(F387,[3]Material!$C$2:$E$12,2,FALSE)</f>
        <v>Cal 14</v>
      </c>
      <c r="R387" s="81">
        <f>+IF(P387="ACERO A36",VLOOKUP(Q387,'[3]Velocidades Std 1500 w'!$B$2:$F$15,5,FALSE),IF(P387="INOXIDABLE",VLOOKUP(Q387,'[3]Velocidades Std 1500 w'!$B$17:$F$28,5,FALSE),IF(P387="ALUMINIO",VLOOKUP(Q387,'[3]Velocidades Std 1500 w'!$B$30:$F$38,5,FALSE))))</f>
        <v>2.0080321285140564E-6</v>
      </c>
      <c r="S387" s="82">
        <f t="shared" si="68"/>
        <v>1.0040160642570283E-2</v>
      </c>
      <c r="T387" s="83">
        <f t="shared" si="69"/>
        <v>101.04395421686748</v>
      </c>
      <c r="U387" s="307">
        <f t="shared" si="76"/>
        <v>13977.746999999999</v>
      </c>
      <c r="V387" s="80">
        <f t="shared" si="75"/>
        <v>140.33882530120485</v>
      </c>
      <c r="W387" s="98">
        <v>400</v>
      </c>
      <c r="X387" s="84">
        <f>+IF(P387="ACERO A36",VLOOKUP(Q387,'[3]Tiempo Objeto'!$B$2:$C$12,2,FALSE),IF(P387="INOXIDABLE",VLOOKUP(Q387,'[3]Tiempo Objeto'!$B$14:$C$22,2,FALSE),IF(P387="ALUMINIO",VLOOKUP(Q387,'[3]Tiempo Objeto'!$B$24:$C$32,2,FALSE))))</f>
        <v>0.3133333333333333</v>
      </c>
      <c r="Y387" s="84">
        <f t="shared" si="71"/>
        <v>125.33333333333331</v>
      </c>
      <c r="Z387" s="80">
        <f t="shared" si="72"/>
        <v>174.07407407407408</v>
      </c>
      <c r="AA387" s="100">
        <v>1</v>
      </c>
      <c r="AB387" s="86">
        <f>+AA387*Analisis!$J$6</f>
        <v>25</v>
      </c>
      <c r="AC387" s="100"/>
      <c r="AD387" s="85">
        <f t="shared" si="73"/>
        <v>0</v>
      </c>
      <c r="AE387" s="86">
        <f>+AC387*Analisis!$J$7</f>
        <v>0</v>
      </c>
      <c r="AF387" s="308">
        <f>+H387*0.0254*I387*0.0254*2*(1+[3]Analisis!$G$2)</f>
        <v>0.52082702285999993</v>
      </c>
      <c r="AG387" s="86">
        <f>+AF387*Analisis!$J$8</f>
        <v>55.492879221392869</v>
      </c>
      <c r="AH387" s="309">
        <f t="shared" si="64"/>
        <v>529.11666047167182</v>
      </c>
      <c r="AI387" s="86">
        <f>+AH387/(1-Analisis!G392)</f>
        <v>529.11666047167182</v>
      </c>
      <c r="AJ387" s="86">
        <f t="shared" si="74"/>
        <v>568.94264566846437</v>
      </c>
      <c r="AK387" s="86">
        <f t="shared" si="65"/>
        <v>0</v>
      </c>
      <c r="AL387" s="310" t="e">
        <f>+VLOOKUP(B387,#REF!,2,FALSE)</f>
        <v>#REF!</v>
      </c>
      <c r="AM387" s="311" t="e">
        <f t="shared" si="62"/>
        <v>#REF!</v>
      </c>
      <c r="AN387" s="312" t="e">
        <f t="shared" si="61"/>
        <v>#REF!</v>
      </c>
    </row>
    <row r="388" spans="1:40" s="73" customFormat="1" x14ac:dyDescent="0.25">
      <c r="A388" s="303">
        <v>5</v>
      </c>
      <c r="B388" s="304" t="s">
        <v>1164</v>
      </c>
      <c r="D388" s="74">
        <f>IFERROR(VLOOKUP(B388,'REQ. PINTADO'!B:C,2,0),0)</f>
        <v>0</v>
      </c>
      <c r="E388" s="305">
        <f t="shared" si="66"/>
        <v>521.14869113674422</v>
      </c>
      <c r="F388" s="103" t="s">
        <v>165</v>
      </c>
      <c r="G388" s="75" t="s">
        <v>147</v>
      </c>
      <c r="H388" s="90">
        <v>21.943999999999999</v>
      </c>
      <c r="I388" s="90">
        <v>11.62</v>
      </c>
      <c r="J388" s="76">
        <v>0.105</v>
      </c>
      <c r="K388" s="306">
        <v>16.38</v>
      </c>
      <c r="L388" s="78">
        <f t="shared" si="67"/>
        <v>14.234177222222224</v>
      </c>
      <c r="M388" s="58">
        <f>+VLOOKUP(F388,Material!$H$2:$M$17,6,FALSE)*H388*I388*(1+Material!$K$14)</f>
        <v>105.97991949999999</v>
      </c>
      <c r="N388" s="79" t="str">
        <f t="shared" ref="N388:N451" si="77">+N387</f>
        <v>T5.0</v>
      </c>
      <c r="O388" s="80">
        <f>+VLOOKUP(N388,[3]Material!$A$3:$B$58,2,FALSE)</f>
        <v>5000</v>
      </c>
      <c r="P388" s="79" t="s">
        <v>42</v>
      </c>
      <c r="Q388" s="79" t="str">
        <f>+VLOOKUP(F388,[3]Material!$C$2:$E$12,2,FALSE)</f>
        <v>Cal 14</v>
      </c>
      <c r="R388" s="81">
        <f>+IF(P388="ACERO A36",VLOOKUP(Q388,'[3]Velocidades Std 1500 w'!$B$2:$F$15,5,FALSE),IF(P388="INOXIDABLE",VLOOKUP(Q388,'[3]Velocidades Std 1500 w'!$B$17:$F$28,5,FALSE),IF(P388="ALUMINIO",VLOOKUP(Q388,'[3]Velocidades Std 1500 w'!$B$30:$F$38,5,FALSE))))</f>
        <v>2.0080321285140564E-6</v>
      </c>
      <c r="S388" s="82">
        <f t="shared" si="68"/>
        <v>1.0040160642570283E-2</v>
      </c>
      <c r="T388" s="83">
        <f t="shared" si="69"/>
        <v>97.771834409638558</v>
      </c>
      <c r="U388" s="307">
        <f t="shared" si="76"/>
        <v>13525.10376</v>
      </c>
      <c r="V388" s="80">
        <f t="shared" si="75"/>
        <v>135.79421445783134</v>
      </c>
      <c r="W388" s="98">
        <v>400</v>
      </c>
      <c r="X388" s="84">
        <f>+IF(P388="ACERO A36",VLOOKUP(Q388,'[3]Tiempo Objeto'!$B$2:$C$12,2,FALSE),IF(P388="INOXIDABLE",VLOOKUP(Q388,'[3]Tiempo Objeto'!$B$14:$C$22,2,FALSE),IF(P388="ALUMINIO",VLOOKUP(Q388,'[3]Tiempo Objeto'!$B$24:$C$32,2,FALSE))))</f>
        <v>0.3133333333333333</v>
      </c>
      <c r="Y388" s="84">
        <f t="shared" si="71"/>
        <v>125.33333333333331</v>
      </c>
      <c r="Z388" s="80">
        <f t="shared" si="72"/>
        <v>174.07407407407408</v>
      </c>
      <c r="AA388" s="100">
        <v>1</v>
      </c>
      <c r="AB388" s="86">
        <f>+AA388*Analisis!$J$6</f>
        <v>25</v>
      </c>
      <c r="AC388" s="100"/>
      <c r="AD388" s="85">
        <f t="shared" si="73"/>
        <v>0</v>
      </c>
      <c r="AE388" s="86">
        <f>+AC388*Analisis!$J$7</f>
        <v>0</v>
      </c>
      <c r="AF388" s="308">
        <f>+H388*0.0254*I388*0.0254*2*(1+[3]Analisis!$G$2)</f>
        <v>0.41127220971199996</v>
      </c>
      <c r="AG388" s="86">
        <f>+AF388*Analisis!$J$8</f>
        <v>43.820074725266679</v>
      </c>
      <c r="AH388" s="309">
        <f t="shared" si="64"/>
        <v>484.66828275717211</v>
      </c>
      <c r="AI388" s="86">
        <f>+AH388/(1-Analisis!G393)</f>
        <v>484.66828275717211</v>
      </c>
      <c r="AJ388" s="86">
        <f t="shared" si="74"/>
        <v>521.14869113674422</v>
      </c>
      <c r="AK388" s="86">
        <f t="shared" si="65"/>
        <v>0</v>
      </c>
      <c r="AL388" s="310" t="e">
        <f>+VLOOKUP(B388,#REF!,2,FALSE)</f>
        <v>#REF!</v>
      </c>
      <c r="AM388" s="311" t="e">
        <f t="shared" si="62"/>
        <v>#REF!</v>
      </c>
      <c r="AN388" s="312" t="e">
        <f t="shared" si="61"/>
        <v>#REF!</v>
      </c>
    </row>
    <row r="389" spans="1:40" s="73" customFormat="1" x14ac:dyDescent="0.25">
      <c r="A389" s="303">
        <v>6</v>
      </c>
      <c r="B389" s="304" t="s">
        <v>1165</v>
      </c>
      <c r="D389" s="74">
        <f>IFERROR(VLOOKUP(B389,'REQ. PINTADO'!B:C,2,0),0)</f>
        <v>0</v>
      </c>
      <c r="E389" s="305">
        <f t="shared" si="66"/>
        <v>598.20320003437371</v>
      </c>
      <c r="F389" s="103" t="s">
        <v>165</v>
      </c>
      <c r="G389" s="75" t="s">
        <v>147</v>
      </c>
      <c r="H389" s="90">
        <v>31.94</v>
      </c>
      <c r="I389" s="90">
        <v>11.52</v>
      </c>
      <c r="J389" s="76">
        <v>0.105</v>
      </c>
      <c r="K389" s="306">
        <v>16.38</v>
      </c>
      <c r="L389" s="78">
        <f t="shared" si="67"/>
        <v>20.539876923076928</v>
      </c>
      <c r="M389" s="58">
        <f>+VLOOKUP(F389,Material!$H$2:$M$17,6,FALSE)*H389*I389*(1+Material!$K$14)</f>
        <v>152.92872000000003</v>
      </c>
      <c r="N389" s="79" t="str">
        <f t="shared" si="77"/>
        <v>T5.0</v>
      </c>
      <c r="O389" s="80">
        <f>+VLOOKUP(N389,[3]Material!$A$3:$B$58,2,FALSE)</f>
        <v>5000</v>
      </c>
      <c r="P389" s="79" t="s">
        <v>42</v>
      </c>
      <c r="Q389" s="79" t="str">
        <f>+VLOOKUP(F389,[3]Material!$C$2:$E$12,2,FALSE)</f>
        <v>Cal 14</v>
      </c>
      <c r="R389" s="81">
        <f>+IF(P389="ACERO A36",VLOOKUP(Q389,'[3]Velocidades Std 1500 w'!$B$2:$F$15,5,FALSE),IF(P389="INOXIDABLE",VLOOKUP(Q389,'[3]Velocidades Std 1500 w'!$B$17:$F$28,5,FALSE),IF(P389="ALUMINIO",VLOOKUP(Q389,'[3]Velocidades Std 1500 w'!$B$30:$F$38,5,FALSE))))</f>
        <v>2.0080321285140564E-6</v>
      </c>
      <c r="S389" s="82">
        <f t="shared" si="68"/>
        <v>1.0040160642570283E-2</v>
      </c>
      <c r="T389" s="83">
        <f t="shared" si="69"/>
        <v>101.58763662650605</v>
      </c>
      <c r="U389" s="307">
        <f t="shared" si="76"/>
        <v>14052.956400000003</v>
      </c>
      <c r="V389" s="80">
        <f t="shared" si="75"/>
        <v>141.0939397590362</v>
      </c>
      <c r="W389" s="98">
        <v>400</v>
      </c>
      <c r="X389" s="84">
        <f>+IF(P389="ACERO A36",VLOOKUP(Q389,'[3]Tiempo Objeto'!$B$2:$C$12,2,FALSE),IF(P389="INOXIDABLE",VLOOKUP(Q389,'[3]Tiempo Objeto'!$B$14:$C$22,2,FALSE),IF(P389="ALUMINIO",VLOOKUP(Q389,'[3]Tiempo Objeto'!$B$24:$C$32,2,FALSE))))</f>
        <v>0.3133333333333333</v>
      </c>
      <c r="Y389" s="84">
        <f t="shared" si="71"/>
        <v>125.33333333333331</v>
      </c>
      <c r="Z389" s="80">
        <f t="shared" si="72"/>
        <v>174.07407407407408</v>
      </c>
      <c r="AA389" s="100">
        <v>1</v>
      </c>
      <c r="AB389" s="86">
        <f>+AA389*Analisis!$J$6</f>
        <v>25</v>
      </c>
      <c r="AC389" s="100"/>
      <c r="AD389" s="85">
        <f t="shared" si="73"/>
        <v>0</v>
      </c>
      <c r="AE389" s="86">
        <f>+AC389*Analisis!$J$7</f>
        <v>0</v>
      </c>
      <c r="AF389" s="308">
        <f>+H389*0.0254*I389*0.0254*2*(1+[3]Analisis!$G$2)</f>
        <v>0.59346461951999996</v>
      </c>
      <c r="AG389" s="86">
        <f>+AF389*Analisis!$J$8</f>
        <v>63.232242198857158</v>
      </c>
      <c r="AH389" s="309">
        <f t="shared" si="64"/>
        <v>556.3289760319675</v>
      </c>
      <c r="AI389" s="86">
        <f>+AH389/(1-Analisis!G394)</f>
        <v>556.3289760319675</v>
      </c>
      <c r="AJ389" s="86">
        <f t="shared" si="74"/>
        <v>598.20320003437371</v>
      </c>
      <c r="AK389" s="86">
        <f t="shared" si="65"/>
        <v>0</v>
      </c>
      <c r="AL389" s="310" t="e">
        <f>+VLOOKUP(B389,#REF!,2,FALSE)</f>
        <v>#REF!</v>
      </c>
      <c r="AM389" s="311" t="e">
        <f t="shared" si="62"/>
        <v>#REF!</v>
      </c>
      <c r="AN389" s="312" t="e">
        <f t="shared" si="61"/>
        <v>#REF!</v>
      </c>
    </row>
    <row r="390" spans="1:40" s="73" customFormat="1" x14ac:dyDescent="0.25">
      <c r="A390" s="303">
        <v>7</v>
      </c>
      <c r="B390" s="304" t="s">
        <v>1166</v>
      </c>
      <c r="D390" s="74">
        <f>IFERROR(VLOOKUP(B390,'REQ. PINTADO'!B:C,2,0),0)</f>
        <v>0</v>
      </c>
      <c r="E390" s="305">
        <f t="shared" si="66"/>
        <v>24.661591209221598</v>
      </c>
      <c r="F390" s="103" t="s">
        <v>165</v>
      </c>
      <c r="G390" s="75" t="s">
        <v>147</v>
      </c>
      <c r="H390" s="90">
        <v>7</v>
      </c>
      <c r="I390" s="90">
        <v>3.5</v>
      </c>
      <c r="J390" s="76">
        <v>0.105</v>
      </c>
      <c r="K390" s="306">
        <v>16.38</v>
      </c>
      <c r="L390" s="78">
        <f t="shared" si="67"/>
        <v>1.3676549145299148</v>
      </c>
      <c r="M390" s="58">
        <f>+VLOOKUP(F390,Material!$H$2:$M$17,6,FALSE)*H390*I390*(1+Material!$K$14)</f>
        <v>10.182812500000001</v>
      </c>
      <c r="N390" s="79" t="str">
        <f t="shared" si="77"/>
        <v>T5.0</v>
      </c>
      <c r="O390" s="80">
        <f>+VLOOKUP(N390,[3]Material!$A$3:$B$58,2,FALSE)</f>
        <v>5000</v>
      </c>
      <c r="P390" s="79" t="s">
        <v>42</v>
      </c>
      <c r="Q390" s="79" t="str">
        <f>+VLOOKUP(F390,[3]Material!$C$2:$E$12,2,FALSE)</f>
        <v>Cal 14</v>
      </c>
      <c r="R390" s="81">
        <f>+IF(P390="ACERO A36",VLOOKUP(Q390,'[3]Velocidades Std 1500 w'!$B$2:$F$15,5,FALSE),IF(P390="INOXIDABLE",VLOOKUP(Q390,'[3]Velocidades Std 1500 w'!$B$17:$F$28,5,FALSE),IF(P390="ALUMINIO",VLOOKUP(Q390,'[3]Velocidades Std 1500 w'!$B$30:$F$38,5,FALSE))))</f>
        <v>2.0080321285140564E-6</v>
      </c>
      <c r="S390" s="82">
        <f t="shared" si="68"/>
        <v>1.0040160642570283E-2</v>
      </c>
      <c r="T390" s="83">
        <f t="shared" si="69"/>
        <v>4.8969975903614467</v>
      </c>
      <c r="U390" s="307">
        <f t="shared" si="76"/>
        <v>677.41800000000001</v>
      </c>
      <c r="V390" s="80">
        <f t="shared" si="75"/>
        <v>6.801385542168676</v>
      </c>
      <c r="W390" s="98">
        <v>4</v>
      </c>
      <c r="X390" s="84">
        <f>+IF(P390="ACERO A36",VLOOKUP(Q390,'[3]Tiempo Objeto'!$B$2:$C$12,2,FALSE),IF(P390="INOXIDABLE",VLOOKUP(Q390,'[3]Tiempo Objeto'!$B$14:$C$22,2,FALSE),IF(P390="ALUMINIO",VLOOKUP(Q390,'[3]Tiempo Objeto'!$B$24:$C$32,2,FALSE))))</f>
        <v>0.3133333333333333</v>
      </c>
      <c r="Y390" s="84">
        <f t="shared" si="71"/>
        <v>1.2533333333333332</v>
      </c>
      <c r="Z390" s="80">
        <f t="shared" si="72"/>
        <v>1.7407407407407405</v>
      </c>
      <c r="AA390" s="100">
        <v>0</v>
      </c>
      <c r="AB390" s="86">
        <f>+AA390*Analisis!$J$6</f>
        <v>0</v>
      </c>
      <c r="AC390" s="100"/>
      <c r="AD390" s="85">
        <f t="shared" si="73"/>
        <v>0</v>
      </c>
      <c r="AE390" s="86">
        <f>+AC390*Analisis!$J$7</f>
        <v>0</v>
      </c>
      <c r="AF390" s="308">
        <f>+H390*0.0254*I390*0.0254*2*(1+[3]Analisis!$G$2)</f>
        <v>3.9516049999999997E-2</v>
      </c>
      <c r="AG390" s="86">
        <f>+AF390*Analisis!$J$8</f>
        <v>4.210341041666668</v>
      </c>
      <c r="AH390" s="309">
        <f t="shared" si="64"/>
        <v>22.935279824576085</v>
      </c>
      <c r="AI390" s="86">
        <f>+AH390/(1-Analisis!G395)</f>
        <v>22.935279824576085</v>
      </c>
      <c r="AJ390" s="86">
        <f t="shared" si="74"/>
        <v>24.661591209221598</v>
      </c>
      <c r="AK390" s="86">
        <f t="shared" si="65"/>
        <v>0</v>
      </c>
      <c r="AL390" s="310" t="e">
        <f>+VLOOKUP(B390,#REF!,2,FALSE)</f>
        <v>#REF!</v>
      </c>
      <c r="AM390" s="311" t="e">
        <f t="shared" si="62"/>
        <v>#REF!</v>
      </c>
      <c r="AN390" s="312" t="e">
        <f t="shared" si="61"/>
        <v>#REF!</v>
      </c>
    </row>
    <row r="391" spans="1:40" s="73" customFormat="1" x14ac:dyDescent="0.25">
      <c r="A391" s="303">
        <v>8</v>
      </c>
      <c r="B391" s="304" t="s">
        <v>1167</v>
      </c>
      <c r="D391" s="74">
        <f>IFERROR(VLOOKUP(B391,'REQ. PINTADO'!B:C,2,0),0)</f>
        <v>0</v>
      </c>
      <c r="E391" s="305">
        <f t="shared" si="66"/>
        <v>2626.7752079521065</v>
      </c>
      <c r="F391" s="103" t="s">
        <v>165</v>
      </c>
      <c r="G391" s="75" t="s">
        <v>147</v>
      </c>
      <c r="H391" s="90">
        <v>41.22</v>
      </c>
      <c r="I391" s="90">
        <v>93.53</v>
      </c>
      <c r="J391" s="76">
        <v>0.105</v>
      </c>
      <c r="K391" s="306">
        <v>16.38</v>
      </c>
      <c r="L391" s="78">
        <f t="shared" si="67"/>
        <v>215.21342932692309</v>
      </c>
      <c r="M391" s="58">
        <f>+VLOOKUP(F391,Material!$H$2:$M$17,6,FALSE)*H391*I391*(1+Material!$K$14)</f>
        <v>1602.361805625</v>
      </c>
      <c r="N391" s="79" t="str">
        <f t="shared" si="77"/>
        <v>T5.0</v>
      </c>
      <c r="O391" s="80">
        <f>+VLOOKUP(N391,[3]Material!$A$3:$B$58,2,FALSE)</f>
        <v>5000</v>
      </c>
      <c r="P391" s="79" t="s">
        <v>42</v>
      </c>
      <c r="Q391" s="79" t="str">
        <f>+VLOOKUP(F391,[3]Material!$C$2:$E$12,2,FALSE)</f>
        <v>Cal 14</v>
      </c>
      <c r="R391" s="81">
        <f>+IF(P391="ACERO A36",VLOOKUP(Q391,'[3]Velocidades Std 1500 w'!$B$2:$F$15,5,FALSE),IF(P391="INOXIDABLE",VLOOKUP(Q391,'[3]Velocidades Std 1500 w'!$B$17:$F$28,5,FALSE),IF(P391="ALUMINIO",VLOOKUP(Q391,'[3]Velocidades Std 1500 w'!$B$30:$F$38,5,FALSE))))</f>
        <v>2.0080321285140564E-6</v>
      </c>
      <c r="S391" s="82">
        <f t="shared" si="68"/>
        <v>1.0040160642570283E-2</v>
      </c>
      <c r="T391" s="83">
        <f t="shared" si="69"/>
        <v>53.654898795180728</v>
      </c>
      <c r="U391" s="307">
        <f t="shared" si="76"/>
        <v>7422.2610000000004</v>
      </c>
      <c r="V391" s="80">
        <f t="shared" si="75"/>
        <v>74.520692771084356</v>
      </c>
      <c r="W391" s="98">
        <v>8</v>
      </c>
      <c r="X391" s="84">
        <f>+IF(P391="ACERO A36",VLOOKUP(Q391,'[3]Tiempo Objeto'!$B$2:$C$12,2,FALSE),IF(P391="INOXIDABLE",VLOOKUP(Q391,'[3]Tiempo Objeto'!$B$14:$C$22,2,FALSE),IF(P391="ALUMINIO",VLOOKUP(Q391,'[3]Tiempo Objeto'!$B$24:$C$32,2,FALSE))))</f>
        <v>0.3133333333333333</v>
      </c>
      <c r="Y391" s="84">
        <f t="shared" si="71"/>
        <v>2.5066666666666664</v>
      </c>
      <c r="Z391" s="80">
        <f t="shared" si="72"/>
        <v>3.481481481481481</v>
      </c>
      <c r="AA391" s="100">
        <v>4</v>
      </c>
      <c r="AB391" s="86">
        <f>+AA391*Analisis!$J$6</f>
        <v>100</v>
      </c>
      <c r="AC391" s="100"/>
      <c r="AD391" s="85">
        <f t="shared" si="73"/>
        <v>0</v>
      </c>
      <c r="AE391" s="86">
        <f>+AC391*Analisis!$J$7</f>
        <v>0</v>
      </c>
      <c r="AF391" s="308">
        <f>+H391*0.0254*I391*0.0254*2*(1+[3]Analisis!$G$2)</f>
        <v>6.2182240151400006</v>
      </c>
      <c r="AG391" s="86">
        <f>+AF391*Analisis!$J$8</f>
        <v>662.53696351789313</v>
      </c>
      <c r="AH391" s="309">
        <f t="shared" si="64"/>
        <v>2442.9009433954589</v>
      </c>
      <c r="AI391" s="86">
        <f>+AH391/(1-Analisis!G396)</f>
        <v>2442.9009433954589</v>
      </c>
      <c r="AJ391" s="86">
        <f t="shared" si="74"/>
        <v>2626.7752079521065</v>
      </c>
      <c r="AK391" s="86">
        <f t="shared" si="65"/>
        <v>0</v>
      </c>
      <c r="AL391" s="310" t="e">
        <f>+VLOOKUP(B391,#REF!,2,FALSE)</f>
        <v>#REF!</v>
      </c>
      <c r="AM391" s="311" t="e">
        <f t="shared" si="62"/>
        <v>#REF!</v>
      </c>
      <c r="AN391" s="312" t="e">
        <f t="shared" si="61"/>
        <v>#REF!</v>
      </c>
    </row>
    <row r="392" spans="1:40" s="73" customFormat="1" x14ac:dyDescent="0.25">
      <c r="A392" s="303"/>
      <c r="B392" s="304" t="s">
        <v>1168</v>
      </c>
      <c r="D392" s="74">
        <f>IFERROR(VLOOKUP(B392,'REQ. PINTADO'!B:C,2,0),0)</f>
        <v>0</v>
      </c>
      <c r="E392" s="305">
        <f t="shared" si="66"/>
        <v>2626.7752079521065</v>
      </c>
      <c r="F392" s="103" t="s">
        <v>165</v>
      </c>
      <c r="G392" s="75" t="s">
        <v>147</v>
      </c>
      <c r="H392" s="90">
        <v>41.22</v>
      </c>
      <c r="I392" s="90">
        <v>93.53</v>
      </c>
      <c r="J392" s="76">
        <v>0.105</v>
      </c>
      <c r="K392" s="306">
        <v>16.38</v>
      </c>
      <c r="L392" s="78">
        <f t="shared" si="67"/>
        <v>215.21342932692309</v>
      </c>
      <c r="M392" s="58">
        <f>+VLOOKUP(F392,Material!$H$2:$M$17,6,FALSE)*H392*I392*(1+Material!$K$14)</f>
        <v>1602.361805625</v>
      </c>
      <c r="N392" s="79" t="str">
        <f t="shared" si="77"/>
        <v>T5.0</v>
      </c>
      <c r="O392" s="80">
        <f>+VLOOKUP(N392,[3]Material!$A$3:$B$58,2,FALSE)</f>
        <v>5000</v>
      </c>
      <c r="P392" s="79" t="s">
        <v>42</v>
      </c>
      <c r="Q392" s="79" t="str">
        <f>+VLOOKUP(F392,[3]Material!$C$2:$E$12,2,FALSE)</f>
        <v>Cal 14</v>
      </c>
      <c r="R392" s="81">
        <f>+IF(P392="ACERO A36",VLOOKUP(Q392,'[3]Velocidades Std 1500 w'!$B$2:$F$15,5,FALSE),IF(P392="INOXIDABLE",VLOOKUP(Q392,'[3]Velocidades Std 1500 w'!$B$17:$F$28,5,FALSE),IF(P392="ALUMINIO",VLOOKUP(Q392,'[3]Velocidades Std 1500 w'!$B$30:$F$38,5,FALSE))))</f>
        <v>2.0080321285140564E-6</v>
      </c>
      <c r="S392" s="82">
        <f t="shared" si="68"/>
        <v>1.0040160642570283E-2</v>
      </c>
      <c r="T392" s="83">
        <f t="shared" si="69"/>
        <v>53.654898795180728</v>
      </c>
      <c r="U392" s="307">
        <f t="shared" si="76"/>
        <v>7422.2610000000004</v>
      </c>
      <c r="V392" s="80">
        <f t="shared" si="75"/>
        <v>74.520692771084356</v>
      </c>
      <c r="W392" s="98">
        <v>8</v>
      </c>
      <c r="X392" s="84">
        <f>+IF(P392="ACERO A36",VLOOKUP(Q392,'[3]Tiempo Objeto'!$B$2:$C$12,2,FALSE),IF(P392="INOXIDABLE",VLOOKUP(Q392,'[3]Tiempo Objeto'!$B$14:$C$22,2,FALSE),IF(P392="ALUMINIO",VLOOKUP(Q392,'[3]Tiempo Objeto'!$B$24:$C$32,2,FALSE))))</f>
        <v>0.3133333333333333</v>
      </c>
      <c r="Y392" s="84">
        <f t="shared" si="71"/>
        <v>2.5066666666666664</v>
      </c>
      <c r="Z392" s="80">
        <f t="shared" si="72"/>
        <v>3.481481481481481</v>
      </c>
      <c r="AA392" s="100">
        <v>4</v>
      </c>
      <c r="AB392" s="86">
        <f>+AA392*Analisis!$J$6</f>
        <v>100</v>
      </c>
      <c r="AC392" s="100"/>
      <c r="AD392" s="85">
        <f t="shared" si="73"/>
        <v>0</v>
      </c>
      <c r="AE392" s="86">
        <f>+AC392*Analisis!$J$7</f>
        <v>0</v>
      </c>
      <c r="AF392" s="308">
        <f>+H392*0.0254*I392*0.0254*2*(1+[3]Analisis!$G$2)</f>
        <v>6.2182240151400006</v>
      </c>
      <c r="AG392" s="86">
        <f>+AF392*Analisis!$J$8</f>
        <v>662.53696351789313</v>
      </c>
      <c r="AH392" s="309">
        <f t="shared" si="64"/>
        <v>2442.9009433954589</v>
      </c>
      <c r="AI392" s="86">
        <f>+AH392/(1-Analisis!G397)</f>
        <v>2442.9009433954589</v>
      </c>
      <c r="AJ392" s="86">
        <f t="shared" si="74"/>
        <v>2626.7752079521065</v>
      </c>
      <c r="AK392" s="86">
        <f t="shared" si="65"/>
        <v>0</v>
      </c>
      <c r="AL392" s="310" t="e">
        <f>+VLOOKUP(B392,#REF!,2,FALSE)</f>
        <v>#REF!</v>
      </c>
      <c r="AM392" s="311" t="e">
        <f t="shared" si="62"/>
        <v>#REF!</v>
      </c>
      <c r="AN392" s="312" t="e">
        <f t="shared" si="61"/>
        <v>#REF!</v>
      </c>
    </row>
    <row r="393" spans="1:40" s="73" customFormat="1" ht="15.75" customHeight="1" x14ac:dyDescent="0.25">
      <c r="A393" s="303">
        <v>9</v>
      </c>
      <c r="B393" s="304" t="s">
        <v>1169</v>
      </c>
      <c r="D393" s="74">
        <f>IFERROR(VLOOKUP(B393,'REQ. PINTADO'!B:C,2,0),0)</f>
        <v>0</v>
      </c>
      <c r="E393" s="305">
        <f t="shared" si="66"/>
        <v>1604.2333990084032</v>
      </c>
      <c r="F393" s="103" t="s">
        <v>165</v>
      </c>
      <c r="G393" s="75" t="s">
        <v>147</v>
      </c>
      <c r="H393" s="90">
        <v>24.08</v>
      </c>
      <c r="I393" s="90">
        <v>93.53</v>
      </c>
      <c r="J393" s="76">
        <v>0.105</v>
      </c>
      <c r="K393" s="306">
        <v>16.38</v>
      </c>
      <c r="L393" s="78">
        <f t="shared" si="67"/>
        <v>125.72390534188035</v>
      </c>
      <c r="M393" s="58">
        <f>+VLOOKUP(F393,Material!$H$2:$M$17,6,FALSE)*H393*I393*(1+Material!$K$14)</f>
        <v>936.07162249999999</v>
      </c>
      <c r="N393" s="79" t="str">
        <f t="shared" si="77"/>
        <v>T5.0</v>
      </c>
      <c r="O393" s="80">
        <f>+VLOOKUP(N393,[3]Material!$A$3:$B$58,2,FALSE)</f>
        <v>5000</v>
      </c>
      <c r="P393" s="79" t="s">
        <v>42</v>
      </c>
      <c r="Q393" s="79" t="str">
        <f>+VLOOKUP(F393,[3]Material!$C$2:$E$12,2,FALSE)</f>
        <v>Cal 14</v>
      </c>
      <c r="R393" s="81">
        <f>+IF(P393="ACERO A36",VLOOKUP(Q393,'[3]Velocidades Std 1500 w'!$B$2:$F$15,5,FALSE),IF(P393="INOXIDABLE",VLOOKUP(Q393,'[3]Velocidades Std 1500 w'!$B$17:$F$28,5,FALSE),IF(P393="ALUMINIO",VLOOKUP(Q393,'[3]Velocidades Std 1500 w'!$B$30:$F$38,5,FALSE))))</f>
        <v>2.0080321285140564E-6</v>
      </c>
      <c r="S393" s="82">
        <f t="shared" si="68"/>
        <v>1.0040160642570283E-2</v>
      </c>
      <c r="T393" s="83">
        <f t="shared" si="69"/>
        <v>47.045880000000011</v>
      </c>
      <c r="U393" s="307">
        <f t="shared" si="76"/>
        <v>6508.0134000000007</v>
      </c>
      <c r="V393" s="80">
        <f t="shared" si="75"/>
        <v>65.341500000000025</v>
      </c>
      <c r="W393" s="98">
        <v>8</v>
      </c>
      <c r="X393" s="84">
        <f>+IF(P393="ACERO A36",VLOOKUP(Q393,'[3]Tiempo Objeto'!$B$2:$C$12,2,FALSE),IF(P393="INOXIDABLE",VLOOKUP(Q393,'[3]Tiempo Objeto'!$B$14:$C$22,2,FALSE),IF(P393="ALUMINIO",VLOOKUP(Q393,'[3]Tiempo Objeto'!$B$24:$C$32,2,FALSE))))</f>
        <v>0.3133333333333333</v>
      </c>
      <c r="Y393" s="84">
        <f t="shared" si="71"/>
        <v>2.5066666666666664</v>
      </c>
      <c r="Z393" s="80">
        <f t="shared" si="72"/>
        <v>3.481481481481481</v>
      </c>
      <c r="AA393" s="100">
        <v>4</v>
      </c>
      <c r="AB393" s="86">
        <f>+AA393*Analisis!$J$6</f>
        <v>100</v>
      </c>
      <c r="AC393" s="100"/>
      <c r="AD393" s="85">
        <f t="shared" si="73"/>
        <v>0</v>
      </c>
      <c r="AE393" s="86">
        <f>+AC393*Analisis!$J$7</f>
        <v>0</v>
      </c>
      <c r="AF393" s="308">
        <f>+H393*0.0254*I393*0.0254*2*(1+[3]Analisis!$G$2)</f>
        <v>3.6325772509599998</v>
      </c>
      <c r="AG393" s="86">
        <f>+AF393*Analisis!$J$8</f>
        <v>387.04245709633341</v>
      </c>
      <c r="AH393" s="309">
        <f t="shared" si="64"/>
        <v>1491.9370610778149</v>
      </c>
      <c r="AI393" s="86">
        <f>+AH393/(1-Analisis!G398)</f>
        <v>1491.9370610778149</v>
      </c>
      <c r="AJ393" s="86">
        <f t="shared" si="74"/>
        <v>1604.2333990084032</v>
      </c>
      <c r="AK393" s="86">
        <f t="shared" si="65"/>
        <v>0</v>
      </c>
      <c r="AL393" s="310" t="e">
        <f>+VLOOKUP(B393,#REF!,2,FALSE)</f>
        <v>#REF!</v>
      </c>
      <c r="AM393" s="311" t="e">
        <f t="shared" si="62"/>
        <v>#REF!</v>
      </c>
      <c r="AN393" s="312" t="e">
        <f t="shared" si="61"/>
        <v>#REF!</v>
      </c>
    </row>
    <row r="394" spans="1:40" s="73" customFormat="1" ht="15.75" customHeight="1" x14ac:dyDescent="0.25">
      <c r="A394" s="303"/>
      <c r="B394" s="304" t="s">
        <v>1170</v>
      </c>
      <c r="D394" s="74">
        <f>IFERROR(VLOOKUP(B394,'REQ. PINTADO'!B:C,2,0),0)</f>
        <v>0</v>
      </c>
      <c r="E394" s="305">
        <f t="shared" si="66"/>
        <v>1604.2333990084032</v>
      </c>
      <c r="F394" s="103" t="s">
        <v>165</v>
      </c>
      <c r="G394" s="75" t="s">
        <v>147</v>
      </c>
      <c r="H394" s="90">
        <v>24.08</v>
      </c>
      <c r="I394" s="90">
        <v>93.53</v>
      </c>
      <c r="J394" s="76">
        <v>0.105</v>
      </c>
      <c r="K394" s="306">
        <v>16.38</v>
      </c>
      <c r="L394" s="78">
        <f t="shared" si="67"/>
        <v>125.72390534188035</v>
      </c>
      <c r="M394" s="58">
        <f>+VLOOKUP(F394,Material!$H$2:$M$17,6,FALSE)*H394*I394*(1+Material!$K$14)</f>
        <v>936.07162249999999</v>
      </c>
      <c r="N394" s="79" t="str">
        <f t="shared" si="77"/>
        <v>T5.0</v>
      </c>
      <c r="O394" s="80">
        <f>+VLOOKUP(N394,[3]Material!$A$3:$B$58,2,FALSE)</f>
        <v>5000</v>
      </c>
      <c r="P394" s="79" t="s">
        <v>42</v>
      </c>
      <c r="Q394" s="79" t="str">
        <f>+VLOOKUP(F394,[3]Material!$C$2:$E$12,2,FALSE)</f>
        <v>Cal 14</v>
      </c>
      <c r="R394" s="81">
        <f>+IF(P394="ACERO A36",VLOOKUP(Q394,'[3]Velocidades Std 1500 w'!$B$2:$F$15,5,FALSE),IF(P394="INOXIDABLE",VLOOKUP(Q394,'[3]Velocidades Std 1500 w'!$B$17:$F$28,5,FALSE),IF(P394="ALUMINIO",VLOOKUP(Q394,'[3]Velocidades Std 1500 w'!$B$30:$F$38,5,FALSE))))</f>
        <v>2.0080321285140564E-6</v>
      </c>
      <c r="S394" s="82">
        <f t="shared" si="68"/>
        <v>1.0040160642570283E-2</v>
      </c>
      <c r="T394" s="83">
        <f t="shared" si="69"/>
        <v>47.045880000000011</v>
      </c>
      <c r="U394" s="307">
        <f t="shared" si="76"/>
        <v>6508.0134000000007</v>
      </c>
      <c r="V394" s="80">
        <f t="shared" si="75"/>
        <v>65.341500000000025</v>
      </c>
      <c r="W394" s="98">
        <v>8</v>
      </c>
      <c r="X394" s="84">
        <f>+IF(P394="ACERO A36",VLOOKUP(Q394,'[3]Tiempo Objeto'!$B$2:$C$12,2,FALSE),IF(P394="INOXIDABLE",VLOOKUP(Q394,'[3]Tiempo Objeto'!$B$14:$C$22,2,FALSE),IF(P394="ALUMINIO",VLOOKUP(Q394,'[3]Tiempo Objeto'!$B$24:$C$32,2,FALSE))))</f>
        <v>0.3133333333333333</v>
      </c>
      <c r="Y394" s="84">
        <f t="shared" si="71"/>
        <v>2.5066666666666664</v>
      </c>
      <c r="Z394" s="80">
        <f t="shared" si="72"/>
        <v>3.481481481481481</v>
      </c>
      <c r="AA394" s="100">
        <v>4</v>
      </c>
      <c r="AB394" s="86">
        <f>+AA394*Analisis!$J$6</f>
        <v>100</v>
      </c>
      <c r="AC394" s="100"/>
      <c r="AD394" s="85">
        <f t="shared" si="73"/>
        <v>0</v>
      </c>
      <c r="AE394" s="86">
        <f>+AC394*Analisis!$J$7</f>
        <v>0</v>
      </c>
      <c r="AF394" s="308">
        <f>+H394*0.0254*I394*0.0254*2*(1+[3]Analisis!$G$2)</f>
        <v>3.6325772509599998</v>
      </c>
      <c r="AG394" s="86">
        <f>+AF394*Analisis!$J$8</f>
        <v>387.04245709633341</v>
      </c>
      <c r="AH394" s="309">
        <f t="shared" si="64"/>
        <v>1491.9370610778149</v>
      </c>
      <c r="AI394" s="86">
        <f>+AH394/(1-Analisis!G399)</f>
        <v>1491.9370610778149</v>
      </c>
      <c r="AJ394" s="86">
        <f t="shared" si="74"/>
        <v>1604.2333990084032</v>
      </c>
      <c r="AK394" s="86">
        <f t="shared" si="65"/>
        <v>0</v>
      </c>
      <c r="AL394" s="310" t="e">
        <f>+VLOOKUP(B394,#REF!,2,FALSE)</f>
        <v>#REF!</v>
      </c>
      <c r="AM394" s="311" t="e">
        <f t="shared" si="62"/>
        <v>#REF!</v>
      </c>
      <c r="AN394" s="312" t="e">
        <f t="shared" si="61"/>
        <v>#REF!</v>
      </c>
    </row>
    <row r="395" spans="1:40" s="73" customFormat="1" x14ac:dyDescent="0.25">
      <c r="A395" s="303">
        <v>10</v>
      </c>
      <c r="B395" s="304" t="s">
        <v>1171</v>
      </c>
      <c r="D395" s="74">
        <f>IFERROR(VLOOKUP(B395,'REQ. PINTADO'!B:C,2,0),0)</f>
        <v>0</v>
      </c>
      <c r="E395" s="305">
        <f t="shared" si="66"/>
        <v>279.89945076328559</v>
      </c>
      <c r="F395" s="103" t="s">
        <v>163</v>
      </c>
      <c r="G395" s="75" t="s">
        <v>147</v>
      </c>
      <c r="H395" s="90">
        <v>2.14</v>
      </c>
      <c r="I395" s="90">
        <v>76</v>
      </c>
      <c r="J395" s="76">
        <v>0.105</v>
      </c>
      <c r="K395" s="306">
        <v>16.38</v>
      </c>
      <c r="L395" s="78">
        <f t="shared" si="67"/>
        <v>8.199542311939819</v>
      </c>
      <c r="M395" s="58">
        <f>+VLOOKUP(F395,Material!$H$2:$M$17,6,FALSE)*H395*I395*(1+Material!$K$14)</f>
        <v>61.049319577079181</v>
      </c>
      <c r="N395" s="79" t="str">
        <f t="shared" si="77"/>
        <v>T5.0</v>
      </c>
      <c r="O395" s="80">
        <f>+VLOOKUP(N395,[3]Material!$A$3:$B$58,2,FALSE)</f>
        <v>5000</v>
      </c>
      <c r="P395" s="79" t="s">
        <v>42</v>
      </c>
      <c r="Q395" s="79" t="str">
        <f>+VLOOKUP(F395,[3]Material!$C$2:$E$12,2,FALSE)</f>
        <v>Cal 12</v>
      </c>
      <c r="R395" s="81">
        <f>+IF(P395="ACERO A36",VLOOKUP(Q395,'[3]Velocidades Std 1500 w'!$B$2:$F$15,5,FALSE),IF(P395="INOXIDABLE",VLOOKUP(Q395,'[3]Velocidades Std 1500 w'!$B$17:$F$28,5,FALSE),IF(P395="ALUMINIO",VLOOKUP(Q395,'[3]Velocidades Std 1500 w'!$B$30:$F$38,5,FALSE))))</f>
        <v>4.3859649122807014E-6</v>
      </c>
      <c r="S395" s="82">
        <f t="shared" si="68"/>
        <v>2.1929824561403508E-2</v>
      </c>
      <c r="T395" s="83">
        <f t="shared" si="69"/>
        <v>75.074646315789465</v>
      </c>
      <c r="U395" s="307">
        <f t="shared" si="76"/>
        <v>4754.7276000000002</v>
      </c>
      <c r="V395" s="80">
        <f t="shared" si="75"/>
        <v>104.27034210526315</v>
      </c>
      <c r="W395" s="98">
        <v>20</v>
      </c>
      <c r="X395" s="84">
        <f>+IF(P395="ACERO A36",VLOOKUP(Q395,'[3]Tiempo Objeto'!$B$2:$C$12,2,FALSE),IF(P395="INOXIDABLE",VLOOKUP(Q395,'[3]Tiempo Objeto'!$B$14:$C$22,2,FALSE),IF(P395="ALUMINIO",VLOOKUP(Q395,'[3]Tiempo Objeto'!$B$24:$C$32,2,FALSE))))</f>
        <v>0.6133333333333334</v>
      </c>
      <c r="Y395" s="84">
        <f t="shared" si="71"/>
        <v>12.266666666666667</v>
      </c>
      <c r="Z395" s="80">
        <f t="shared" si="72"/>
        <v>17.037037037037038</v>
      </c>
      <c r="AA395" s="100">
        <v>2</v>
      </c>
      <c r="AB395" s="86">
        <f>+AA395*Analisis!$J$6</f>
        <v>50</v>
      </c>
      <c r="AC395" s="100"/>
      <c r="AD395" s="85">
        <f t="shared" si="73"/>
        <v>0</v>
      </c>
      <c r="AE395" s="86">
        <f>+AC395*Analisis!$J$7</f>
        <v>0</v>
      </c>
      <c r="AF395" s="308">
        <f>+H395*0.0254*I395*0.0254*2*(1+[3]Analisis!$G$2)</f>
        <v>0.26232205599999997</v>
      </c>
      <c r="AG395" s="86">
        <f>+AF395*Analisis!$J$8</f>
        <v>27.949790490476197</v>
      </c>
      <c r="AH395" s="309">
        <f t="shared" si="64"/>
        <v>260.30648920985556</v>
      </c>
      <c r="AI395" s="86">
        <f>+AH395/(1-Analisis!G400)</f>
        <v>260.30648920985556</v>
      </c>
      <c r="AJ395" s="86">
        <f t="shared" si="74"/>
        <v>279.89945076328559</v>
      </c>
      <c r="AK395" s="86">
        <f t="shared" si="65"/>
        <v>0</v>
      </c>
      <c r="AL395" s="310" t="e">
        <f>+VLOOKUP(B395,#REF!,2,FALSE)</f>
        <v>#REF!</v>
      </c>
      <c r="AM395" s="311" t="e">
        <f t="shared" si="62"/>
        <v>#REF!</v>
      </c>
      <c r="AN395" s="312" t="e">
        <f t="shared" si="61"/>
        <v>#REF!</v>
      </c>
    </row>
    <row r="396" spans="1:40" s="73" customFormat="1" x14ac:dyDescent="0.25">
      <c r="A396" s="303">
        <v>11</v>
      </c>
      <c r="B396" s="304" t="s">
        <v>1172</v>
      </c>
      <c r="D396" s="74">
        <f>IFERROR(VLOOKUP(B396,'REQ. PINTADO'!B:C,2,0),0)</f>
        <v>0</v>
      </c>
      <c r="E396" s="305">
        <f t="shared" si="66"/>
        <v>132.5692234391164</v>
      </c>
      <c r="F396" s="103" t="s">
        <v>165</v>
      </c>
      <c r="G396" s="75" t="s">
        <v>147</v>
      </c>
      <c r="H396" s="90">
        <v>3.09</v>
      </c>
      <c r="I396" s="90">
        <v>7.03</v>
      </c>
      <c r="J396" s="76">
        <v>0.105</v>
      </c>
      <c r="K396" s="306">
        <v>16.38</v>
      </c>
      <c r="L396" s="78">
        <f t="shared" si="67"/>
        <v>1.2126186698717953</v>
      </c>
      <c r="M396" s="58">
        <f>+VLOOKUP(F396,Material!$H$2:$M$17,6,FALSE)*H396*I396*(1+Material!$K$14)</f>
        <v>9.0284971875000011</v>
      </c>
      <c r="N396" s="79" t="str">
        <f t="shared" si="77"/>
        <v>T5.0</v>
      </c>
      <c r="O396" s="80">
        <f>+VLOOKUP(N396,[3]Material!$A$3:$B$58,2,FALSE)</f>
        <v>5000</v>
      </c>
      <c r="P396" s="79" t="s">
        <v>42</v>
      </c>
      <c r="Q396" s="79" t="str">
        <f>+VLOOKUP(F396,[3]Material!$C$2:$E$12,2,FALSE)</f>
        <v>Cal 14</v>
      </c>
      <c r="R396" s="81">
        <f>+IF(P396="ACERO A36",VLOOKUP(Q396,'[3]Velocidades Std 1500 w'!$B$2:$F$15,5,FALSE),IF(P396="INOXIDABLE",VLOOKUP(Q396,'[3]Velocidades Std 1500 w'!$B$17:$F$28,5,FALSE),IF(P396="ALUMINIO",VLOOKUP(Q396,'[3]Velocidades Std 1500 w'!$B$30:$F$38,5,FALSE))))</f>
        <v>2.0080321285140564E-6</v>
      </c>
      <c r="S396" s="82">
        <f t="shared" si="68"/>
        <v>1.0040160642570283E-2</v>
      </c>
      <c r="T396" s="83">
        <f t="shared" si="69"/>
        <v>5.3866973493975916</v>
      </c>
      <c r="U396" s="307">
        <f t="shared" si="76"/>
        <v>745.15980000000013</v>
      </c>
      <c r="V396" s="80">
        <f t="shared" si="75"/>
        <v>7.4815240963855452</v>
      </c>
      <c r="W396" s="98">
        <v>7</v>
      </c>
      <c r="X396" s="84">
        <f>+IF(P396="ACERO A36",VLOOKUP(Q396,'[3]Tiempo Objeto'!$B$2:$C$12,2,FALSE),IF(P396="INOXIDABLE",VLOOKUP(Q396,'[3]Tiempo Objeto'!$B$14:$C$22,2,FALSE),IF(P396="ALUMINIO",VLOOKUP(Q396,'[3]Tiempo Objeto'!$B$24:$C$32,2,FALSE))))</f>
        <v>0.3133333333333333</v>
      </c>
      <c r="Y396" s="84">
        <f t="shared" si="71"/>
        <v>2.1933333333333329</v>
      </c>
      <c r="Z396" s="80">
        <f t="shared" si="72"/>
        <v>3.0462962962962958</v>
      </c>
      <c r="AA396" s="100">
        <v>4</v>
      </c>
      <c r="AB396" s="86">
        <f>+AA396*Analisis!$J$6</f>
        <v>100</v>
      </c>
      <c r="AC396" s="100"/>
      <c r="AD396" s="85">
        <f t="shared" si="73"/>
        <v>0</v>
      </c>
      <c r="AE396" s="86">
        <f>+AC396*Analisis!$J$7</f>
        <v>0</v>
      </c>
      <c r="AF396" s="308">
        <f>+H396*0.0254*I396*0.0254*2*(1+[3]Analisis!$G$2)</f>
        <v>3.5036542829999996E-2</v>
      </c>
      <c r="AG396" s="86">
        <f>+AF396*Analisis!$J$8</f>
        <v>3.7330602181964294</v>
      </c>
      <c r="AH396" s="309">
        <f t="shared" si="64"/>
        <v>123.28937779837825</v>
      </c>
      <c r="AI396" s="86">
        <f>+AH396/(1-Analisis!G401)</f>
        <v>123.28937779837825</v>
      </c>
      <c r="AJ396" s="86">
        <f t="shared" si="74"/>
        <v>132.5692234391164</v>
      </c>
      <c r="AK396" s="86">
        <f t="shared" si="65"/>
        <v>0</v>
      </c>
      <c r="AL396" s="310" t="e">
        <f>+VLOOKUP(B396,#REF!,2,FALSE)</f>
        <v>#REF!</v>
      </c>
      <c r="AM396" s="311" t="e">
        <f t="shared" si="62"/>
        <v>#REF!</v>
      </c>
      <c r="AN396" s="312" t="e">
        <f t="shared" si="61"/>
        <v>#REF!</v>
      </c>
    </row>
    <row r="397" spans="1:40" s="73" customFormat="1" x14ac:dyDescent="0.25">
      <c r="A397" s="303">
        <v>12</v>
      </c>
      <c r="B397" s="304" t="s">
        <v>1173</v>
      </c>
      <c r="D397" s="74">
        <f>IFERROR(VLOOKUP(B397,'REQ. PINTADO'!B:C,2,0),0)</f>
        <v>0</v>
      </c>
      <c r="E397" s="305">
        <f t="shared" si="66"/>
        <v>174.61766607495935</v>
      </c>
      <c r="F397" s="103" t="s">
        <v>165</v>
      </c>
      <c r="G397" s="75" t="s">
        <v>147</v>
      </c>
      <c r="H397" s="90">
        <v>3.09</v>
      </c>
      <c r="I397" s="90">
        <v>13.03</v>
      </c>
      <c r="J397" s="76">
        <v>0.105</v>
      </c>
      <c r="K397" s="306">
        <v>16.38</v>
      </c>
      <c r="L397" s="78">
        <f t="shared" si="67"/>
        <v>2.2475705929487177</v>
      </c>
      <c r="M397" s="58">
        <f>+VLOOKUP(F397,Material!$H$2:$M$17,6,FALSE)*H397*I397*(1+Material!$K$14)</f>
        <v>16.734184687499997</v>
      </c>
      <c r="N397" s="79" t="str">
        <f t="shared" si="77"/>
        <v>T5.0</v>
      </c>
      <c r="O397" s="80">
        <f>+VLOOKUP(N397,[3]Material!$A$3:$B$58,2,FALSE)</f>
        <v>5000</v>
      </c>
      <c r="P397" s="79" t="s">
        <v>42</v>
      </c>
      <c r="Q397" s="79" t="str">
        <f>+VLOOKUP(F397,[3]Material!$C$2:$E$12,2,FALSE)</f>
        <v>Cal 14</v>
      </c>
      <c r="R397" s="81">
        <f>+IF(P397="ACERO A36",VLOOKUP(Q397,'[3]Velocidades Std 1500 w'!$B$2:$F$15,5,FALSE),IF(P397="INOXIDABLE",VLOOKUP(Q397,'[3]Velocidades Std 1500 w'!$B$17:$F$28,5,FALSE),IF(P397="ALUMINIO",VLOOKUP(Q397,'[3]Velocidades Std 1500 w'!$B$30:$F$38,5,FALSE))))</f>
        <v>2.0080321285140564E-6</v>
      </c>
      <c r="S397" s="82">
        <f t="shared" si="68"/>
        <v>1.0040160642570283E-2</v>
      </c>
      <c r="T397" s="83">
        <f t="shared" si="69"/>
        <v>7.7002395180722889</v>
      </c>
      <c r="U397" s="307">
        <f t="shared" si="76"/>
        <v>1065.1997999999999</v>
      </c>
      <c r="V397" s="80">
        <f t="shared" si="75"/>
        <v>10.694777108433735</v>
      </c>
      <c r="W397" s="98">
        <v>7</v>
      </c>
      <c r="X397" s="84">
        <f>+IF(P397="ACERO A36",VLOOKUP(Q397,'[3]Tiempo Objeto'!$B$2:$C$12,2,FALSE),IF(P397="INOXIDABLE",VLOOKUP(Q397,'[3]Tiempo Objeto'!$B$14:$C$22,2,FALSE),IF(P397="ALUMINIO",VLOOKUP(Q397,'[3]Tiempo Objeto'!$B$24:$C$32,2,FALSE))))</f>
        <v>0.3133333333333333</v>
      </c>
      <c r="Y397" s="84">
        <f t="shared" si="71"/>
        <v>2.1933333333333329</v>
      </c>
      <c r="Z397" s="80">
        <f t="shared" si="72"/>
        <v>3.0462962962962958</v>
      </c>
      <c r="AA397" s="100">
        <v>5</v>
      </c>
      <c r="AB397" s="86">
        <f>+AA397*Analisis!$J$6</f>
        <v>125</v>
      </c>
      <c r="AC397" s="100"/>
      <c r="AD397" s="85">
        <f t="shared" si="73"/>
        <v>0</v>
      </c>
      <c r="AE397" s="86">
        <f>+AC397*Analisis!$J$7</f>
        <v>0</v>
      </c>
      <c r="AF397" s="308">
        <f>+H397*0.0254*I397*0.0254*2*(1+[3]Analisis!$G$2)</f>
        <v>6.4939708829999984E-2</v>
      </c>
      <c r="AG397" s="86">
        <f>+AF397*Analisis!$J$8</f>
        <v>6.919171357482143</v>
      </c>
      <c r="AH397" s="309">
        <f t="shared" si="64"/>
        <v>162.39442944971219</v>
      </c>
      <c r="AI397" s="86">
        <f>+AH397/(1-Analisis!G402)</f>
        <v>162.39442944971219</v>
      </c>
      <c r="AJ397" s="86">
        <f t="shared" si="74"/>
        <v>174.61766607495935</v>
      </c>
      <c r="AK397" s="86">
        <f t="shared" si="65"/>
        <v>0</v>
      </c>
      <c r="AL397" s="310" t="e">
        <f>+VLOOKUP(B397,#REF!,2,FALSE)</f>
        <v>#REF!</v>
      </c>
      <c r="AM397" s="311" t="e">
        <f t="shared" si="62"/>
        <v>#REF!</v>
      </c>
      <c r="AN397" s="312" t="e">
        <f t="shared" si="61"/>
        <v>#REF!</v>
      </c>
    </row>
    <row r="398" spans="1:40" s="73" customFormat="1" x14ac:dyDescent="0.25">
      <c r="A398" s="303">
        <v>13</v>
      </c>
      <c r="B398" s="304" t="s">
        <v>1174</v>
      </c>
      <c r="D398" s="74">
        <f>IFERROR(VLOOKUP(B398,'REQ. PINTADO'!B:C,2,0),0)</f>
        <v>0</v>
      </c>
      <c r="E398" s="305">
        <f t="shared" si="66"/>
        <v>465.20921728886731</v>
      </c>
      <c r="F398" s="103" t="s">
        <v>165</v>
      </c>
      <c r="G398" s="75" t="s">
        <v>147</v>
      </c>
      <c r="H398" s="90">
        <v>20.09</v>
      </c>
      <c r="I398" s="90">
        <v>14.26</v>
      </c>
      <c r="J398" s="76">
        <v>0.105</v>
      </c>
      <c r="K398" s="306">
        <v>16.38</v>
      </c>
      <c r="L398" s="78">
        <f t="shared" si="67"/>
        <v>15.992262446581199</v>
      </c>
      <c r="M398" s="58">
        <f>+VLOOKUP(F398,Material!$H$2:$M$17,6,FALSE)*H398*I398*(1+Material!$K$14)</f>
        <v>119.06966312500001</v>
      </c>
      <c r="N398" s="79" t="str">
        <f t="shared" si="77"/>
        <v>T5.0</v>
      </c>
      <c r="O398" s="80">
        <f>+VLOOKUP(N398,[3]Material!$A$3:$B$58,2,FALSE)</f>
        <v>5000</v>
      </c>
      <c r="P398" s="79" t="s">
        <v>42</v>
      </c>
      <c r="Q398" s="79" t="str">
        <f>+VLOOKUP(F398,[3]Material!$C$2:$E$12,2,FALSE)</f>
        <v>Cal 14</v>
      </c>
      <c r="R398" s="81">
        <f>+IF(P398="ACERO A36",VLOOKUP(Q398,'[3]Velocidades Std 1500 w'!$B$2:$F$15,5,FALSE),IF(P398="INOXIDABLE",VLOOKUP(Q398,'[3]Velocidades Std 1500 w'!$B$17:$F$28,5,FALSE),IF(P398="ALUMINIO",VLOOKUP(Q398,'[3]Velocidades Std 1500 w'!$B$30:$F$38,5,FALSE))))</f>
        <v>2.0080321285140564E-6</v>
      </c>
      <c r="S398" s="82">
        <f t="shared" si="68"/>
        <v>1.0040160642570283E-2</v>
      </c>
      <c r="T398" s="83">
        <f t="shared" si="69"/>
        <v>55.659968674698803</v>
      </c>
      <c r="U398" s="307">
        <f t="shared" si="76"/>
        <v>7699.6290000000008</v>
      </c>
      <c r="V398" s="80">
        <f t="shared" si="75"/>
        <v>77.305512048192796</v>
      </c>
      <c r="W398" s="98">
        <v>200</v>
      </c>
      <c r="X398" s="84">
        <f>+IF(P398="ACERO A36",VLOOKUP(Q398,'[3]Tiempo Objeto'!$B$2:$C$12,2,FALSE),IF(P398="INOXIDABLE",VLOOKUP(Q398,'[3]Tiempo Objeto'!$B$14:$C$22,2,FALSE),IF(P398="ALUMINIO",VLOOKUP(Q398,'[3]Tiempo Objeto'!$B$24:$C$32,2,FALSE))))</f>
        <v>0.3133333333333333</v>
      </c>
      <c r="Y398" s="84">
        <f t="shared" si="71"/>
        <v>62.666666666666657</v>
      </c>
      <c r="Z398" s="80">
        <f t="shared" si="72"/>
        <v>87.037037037037038</v>
      </c>
      <c r="AA398" s="100">
        <v>4</v>
      </c>
      <c r="AB398" s="86">
        <f>+AA398*Analisis!$J$6</f>
        <v>100</v>
      </c>
      <c r="AC398" s="100"/>
      <c r="AD398" s="85">
        <f t="shared" si="73"/>
        <v>0</v>
      </c>
      <c r="AE398" s="86">
        <f>+AC398*Analisis!$J$7</f>
        <v>0</v>
      </c>
      <c r="AF398" s="308">
        <f>+H398*0.0254*I398*0.0254*2*(1+[3]Analisis!$G$2)</f>
        <v>0.46206907585999996</v>
      </c>
      <c r="AG398" s="86">
        <f>+AF398*Analisis!$J$8</f>
        <v>49.23235986841668</v>
      </c>
      <c r="AH398" s="309">
        <f t="shared" si="64"/>
        <v>432.64457207864655</v>
      </c>
      <c r="AI398" s="86">
        <f>+AH398/(1-Analisis!G403)</f>
        <v>432.64457207864655</v>
      </c>
      <c r="AJ398" s="86">
        <f t="shared" si="74"/>
        <v>465.20921728886731</v>
      </c>
      <c r="AK398" s="86">
        <f t="shared" si="65"/>
        <v>0</v>
      </c>
      <c r="AL398" s="310" t="e">
        <f>+VLOOKUP(B398,#REF!,2,FALSE)</f>
        <v>#REF!</v>
      </c>
      <c r="AM398" s="311" t="e">
        <f t="shared" si="62"/>
        <v>#REF!</v>
      </c>
      <c r="AN398" s="312" t="e">
        <f t="shared" si="61"/>
        <v>#REF!</v>
      </c>
    </row>
    <row r="399" spans="1:40" s="73" customFormat="1" x14ac:dyDescent="0.25">
      <c r="A399" s="303">
        <v>14</v>
      </c>
      <c r="B399" s="304" t="s">
        <v>1175</v>
      </c>
      <c r="D399" s="74">
        <f>IFERROR(VLOOKUP(B399,'REQ. PINTADO'!B:C,2,0),0)</f>
        <v>0</v>
      </c>
      <c r="E399" s="305">
        <f t="shared" si="66"/>
        <v>561.04733562843137</v>
      </c>
      <c r="F399" s="103" t="s">
        <v>165</v>
      </c>
      <c r="G399" s="75" t="s">
        <v>147</v>
      </c>
      <c r="H399" s="90">
        <v>30.09</v>
      </c>
      <c r="I399" s="90">
        <v>14.26</v>
      </c>
      <c r="J399" s="76">
        <v>0.105</v>
      </c>
      <c r="K399" s="306">
        <v>16.38</v>
      </c>
      <c r="L399" s="78">
        <f t="shared" si="67"/>
        <v>23.952572275641028</v>
      </c>
      <c r="M399" s="58">
        <f>+VLOOKUP(F399,Material!$H$2:$M$17,6,FALSE)*H399*I399*(1+Material!$K$14)</f>
        <v>178.337788125</v>
      </c>
      <c r="N399" s="79" t="str">
        <f t="shared" si="77"/>
        <v>T5.0</v>
      </c>
      <c r="O399" s="80">
        <f>+VLOOKUP(N399,[3]Material!$A$3:$B$58,2,FALSE)</f>
        <v>5000</v>
      </c>
      <c r="P399" s="79" t="s">
        <v>42</v>
      </c>
      <c r="Q399" s="79" t="str">
        <f>+VLOOKUP(F399,[3]Material!$C$2:$E$12,2,FALSE)</f>
        <v>Cal 14</v>
      </c>
      <c r="R399" s="81">
        <f>+IF(P399="ACERO A36",VLOOKUP(Q399,'[3]Velocidades Std 1500 w'!$B$2:$F$15,5,FALSE),IF(P399="INOXIDABLE",VLOOKUP(Q399,'[3]Velocidades Std 1500 w'!$B$17:$F$28,5,FALSE),IF(P399="ALUMINIO",VLOOKUP(Q399,'[3]Velocidades Std 1500 w'!$B$30:$F$38,5,FALSE))))</f>
        <v>2.0080321285140564E-6</v>
      </c>
      <c r="S399" s="82">
        <f t="shared" si="68"/>
        <v>1.0040160642570283E-2</v>
      </c>
      <c r="T399" s="83">
        <f t="shared" si="69"/>
        <v>59.51587228915664</v>
      </c>
      <c r="U399" s="307">
        <f t="shared" si="76"/>
        <v>8233.0290000000005</v>
      </c>
      <c r="V399" s="80">
        <f t="shared" si="75"/>
        <v>82.660933734939775</v>
      </c>
      <c r="W399" s="98">
        <v>200</v>
      </c>
      <c r="X399" s="84">
        <f>+IF(P399="ACERO A36",VLOOKUP(Q399,'[3]Tiempo Objeto'!$B$2:$C$12,2,FALSE),IF(P399="INOXIDABLE",VLOOKUP(Q399,'[3]Tiempo Objeto'!$B$14:$C$22,2,FALSE),IF(P399="ALUMINIO",VLOOKUP(Q399,'[3]Tiempo Objeto'!$B$24:$C$32,2,FALSE))))</f>
        <v>0.3133333333333333</v>
      </c>
      <c r="Y399" s="84">
        <f t="shared" si="71"/>
        <v>62.666666666666657</v>
      </c>
      <c r="Z399" s="80">
        <f t="shared" si="72"/>
        <v>87.037037037037038</v>
      </c>
      <c r="AA399" s="100">
        <v>4</v>
      </c>
      <c r="AB399" s="86">
        <f>+AA399*Analisis!$J$6</f>
        <v>100</v>
      </c>
      <c r="AC399" s="100"/>
      <c r="AD399" s="85">
        <f t="shared" si="73"/>
        <v>0</v>
      </c>
      <c r="AE399" s="86">
        <f>+AC399*Analisis!$J$7</f>
        <v>0</v>
      </c>
      <c r="AF399" s="308">
        <f>+H399*0.0254*I399*0.0254*2*(1+[3]Analisis!$G$2)</f>
        <v>0.6920686158599999</v>
      </c>
      <c r="AG399" s="86">
        <f>+AF399*Analisis!$J$8</f>
        <v>73.738263237464295</v>
      </c>
      <c r="AH399" s="309">
        <f t="shared" si="64"/>
        <v>521.77402213444111</v>
      </c>
      <c r="AI399" s="86">
        <f>+AH399/(1-Analisis!G404)</f>
        <v>521.77402213444111</v>
      </c>
      <c r="AJ399" s="86">
        <f t="shared" si="74"/>
        <v>561.04733562843137</v>
      </c>
      <c r="AK399" s="86">
        <f t="shared" si="65"/>
        <v>0</v>
      </c>
      <c r="AL399" s="310" t="e">
        <f>+VLOOKUP(B399,#REF!,2,FALSE)</f>
        <v>#REF!</v>
      </c>
      <c r="AM399" s="311" t="e">
        <f t="shared" si="62"/>
        <v>#REF!</v>
      </c>
      <c r="AN399" s="312" t="e">
        <f t="shared" si="61"/>
        <v>#REF!</v>
      </c>
    </row>
    <row r="400" spans="1:40" s="73" customFormat="1" x14ac:dyDescent="0.25">
      <c r="A400" s="303">
        <v>15</v>
      </c>
      <c r="B400" s="304" t="s">
        <v>1176</v>
      </c>
      <c r="D400" s="74">
        <f>IFERROR(VLOOKUP(B400,'REQ. PINTADO'!B:C,2,0),0)</f>
        <v>0</v>
      </c>
      <c r="E400" s="305">
        <f t="shared" si="66"/>
        <v>465.20921728886731</v>
      </c>
      <c r="F400" s="103" t="s">
        <v>165</v>
      </c>
      <c r="G400" s="75" t="s">
        <v>147</v>
      </c>
      <c r="H400" s="90">
        <v>20.09</v>
      </c>
      <c r="I400" s="90">
        <v>14.26</v>
      </c>
      <c r="J400" s="76">
        <v>0.105</v>
      </c>
      <c r="K400" s="306">
        <v>16.38</v>
      </c>
      <c r="L400" s="78">
        <f t="shared" si="67"/>
        <v>15.992262446581199</v>
      </c>
      <c r="M400" s="58">
        <f>+VLOOKUP(F400,Material!$H$2:$M$17,6,FALSE)*H400*I400*(1+Material!$K$14)</f>
        <v>119.06966312500001</v>
      </c>
      <c r="N400" s="79" t="str">
        <f t="shared" si="77"/>
        <v>T5.0</v>
      </c>
      <c r="O400" s="80">
        <f>+VLOOKUP(N400,[3]Material!$A$3:$B$58,2,FALSE)</f>
        <v>5000</v>
      </c>
      <c r="P400" s="79" t="s">
        <v>42</v>
      </c>
      <c r="Q400" s="79" t="str">
        <f>+VLOOKUP(F400,[3]Material!$C$2:$E$12,2,FALSE)</f>
        <v>Cal 14</v>
      </c>
      <c r="R400" s="81">
        <f>+IF(P400="ACERO A36",VLOOKUP(Q400,'[3]Velocidades Std 1500 w'!$B$2:$F$15,5,FALSE),IF(P400="INOXIDABLE",VLOOKUP(Q400,'[3]Velocidades Std 1500 w'!$B$17:$F$28,5,FALSE),IF(P400="ALUMINIO",VLOOKUP(Q400,'[3]Velocidades Std 1500 w'!$B$30:$F$38,5,FALSE))))</f>
        <v>2.0080321285140564E-6</v>
      </c>
      <c r="S400" s="82">
        <f t="shared" si="68"/>
        <v>1.0040160642570283E-2</v>
      </c>
      <c r="T400" s="83">
        <f t="shared" si="69"/>
        <v>55.659968674698803</v>
      </c>
      <c r="U400" s="307">
        <f t="shared" si="76"/>
        <v>7699.6290000000008</v>
      </c>
      <c r="V400" s="80">
        <f t="shared" si="75"/>
        <v>77.305512048192796</v>
      </c>
      <c r="W400" s="98">
        <v>200</v>
      </c>
      <c r="X400" s="84">
        <f>+IF(P400="ACERO A36",VLOOKUP(Q400,'[3]Tiempo Objeto'!$B$2:$C$12,2,FALSE),IF(P400="INOXIDABLE",VLOOKUP(Q400,'[3]Tiempo Objeto'!$B$14:$C$22,2,FALSE),IF(P400="ALUMINIO",VLOOKUP(Q400,'[3]Tiempo Objeto'!$B$24:$C$32,2,FALSE))))</f>
        <v>0.3133333333333333</v>
      </c>
      <c r="Y400" s="84">
        <f t="shared" si="71"/>
        <v>62.666666666666657</v>
      </c>
      <c r="Z400" s="80">
        <f t="shared" si="72"/>
        <v>87.037037037037038</v>
      </c>
      <c r="AA400" s="100">
        <v>4</v>
      </c>
      <c r="AB400" s="86">
        <f>+AA400*Analisis!$J$6</f>
        <v>100</v>
      </c>
      <c r="AC400" s="100"/>
      <c r="AD400" s="85">
        <f t="shared" si="73"/>
        <v>0</v>
      </c>
      <c r="AE400" s="86">
        <f>+AC400*Analisis!$J$7</f>
        <v>0</v>
      </c>
      <c r="AF400" s="308">
        <f>+H400*0.0254*I400*0.0254*2*(1+[3]Analisis!$G$2)</f>
        <v>0.46206907585999996</v>
      </c>
      <c r="AG400" s="86">
        <f>+AF400*Analisis!$J$8</f>
        <v>49.23235986841668</v>
      </c>
      <c r="AH400" s="309">
        <f t="shared" si="64"/>
        <v>432.64457207864655</v>
      </c>
      <c r="AI400" s="86">
        <f>+AH400/(1-Analisis!G405)</f>
        <v>432.64457207864655</v>
      </c>
      <c r="AJ400" s="86">
        <f t="shared" si="74"/>
        <v>465.20921728886731</v>
      </c>
      <c r="AK400" s="86">
        <f t="shared" si="65"/>
        <v>0</v>
      </c>
      <c r="AL400" s="310" t="e">
        <f>+VLOOKUP(B400,#REF!,2,FALSE)</f>
        <v>#REF!</v>
      </c>
      <c r="AM400" s="311" t="e">
        <f t="shared" si="62"/>
        <v>#REF!</v>
      </c>
      <c r="AN400" s="312" t="e">
        <f t="shared" si="61"/>
        <v>#REF!</v>
      </c>
    </row>
    <row r="401" spans="1:40" s="73" customFormat="1" x14ac:dyDescent="0.25">
      <c r="A401" s="303">
        <v>16</v>
      </c>
      <c r="B401" s="304" t="s">
        <v>1177</v>
      </c>
      <c r="D401" s="74">
        <f>IFERROR(VLOOKUP(B401,'REQ. PINTADO'!B:C,2,0),0)</f>
        <v>0</v>
      </c>
      <c r="E401" s="305">
        <f t="shared" si="66"/>
        <v>561.04733562843137</v>
      </c>
      <c r="F401" s="103" t="s">
        <v>165</v>
      </c>
      <c r="G401" s="75" t="s">
        <v>147</v>
      </c>
      <c r="H401" s="90">
        <v>30.09</v>
      </c>
      <c r="I401" s="90">
        <v>14.26</v>
      </c>
      <c r="J401" s="76">
        <v>0.105</v>
      </c>
      <c r="K401" s="306">
        <v>16.38</v>
      </c>
      <c r="L401" s="78">
        <f t="shared" si="67"/>
        <v>23.952572275641028</v>
      </c>
      <c r="M401" s="58">
        <f>+VLOOKUP(F401,Material!$H$2:$M$17,6,FALSE)*H401*I401*(1+Material!$K$14)</f>
        <v>178.337788125</v>
      </c>
      <c r="N401" s="79" t="str">
        <f t="shared" si="77"/>
        <v>T5.0</v>
      </c>
      <c r="O401" s="80">
        <f>+VLOOKUP(N401,[3]Material!$A$3:$B$58,2,FALSE)</f>
        <v>5000</v>
      </c>
      <c r="P401" s="79" t="s">
        <v>42</v>
      </c>
      <c r="Q401" s="79" t="str">
        <f>+VLOOKUP(F401,[3]Material!$C$2:$E$12,2,FALSE)</f>
        <v>Cal 14</v>
      </c>
      <c r="R401" s="81">
        <f>+IF(P401="ACERO A36",VLOOKUP(Q401,'[3]Velocidades Std 1500 w'!$B$2:$F$15,5,FALSE),IF(P401="INOXIDABLE",VLOOKUP(Q401,'[3]Velocidades Std 1500 w'!$B$17:$F$28,5,FALSE),IF(P401="ALUMINIO",VLOOKUP(Q401,'[3]Velocidades Std 1500 w'!$B$30:$F$38,5,FALSE))))</f>
        <v>2.0080321285140564E-6</v>
      </c>
      <c r="S401" s="82">
        <f t="shared" si="68"/>
        <v>1.0040160642570283E-2</v>
      </c>
      <c r="T401" s="83">
        <f t="shared" si="69"/>
        <v>59.51587228915664</v>
      </c>
      <c r="U401" s="307">
        <f t="shared" si="76"/>
        <v>8233.0290000000005</v>
      </c>
      <c r="V401" s="80">
        <f t="shared" si="75"/>
        <v>82.660933734939775</v>
      </c>
      <c r="W401" s="98">
        <v>200</v>
      </c>
      <c r="X401" s="84">
        <f>+IF(P401="ACERO A36",VLOOKUP(Q401,'[3]Tiempo Objeto'!$B$2:$C$12,2,FALSE),IF(P401="INOXIDABLE",VLOOKUP(Q401,'[3]Tiempo Objeto'!$B$14:$C$22,2,FALSE),IF(P401="ALUMINIO",VLOOKUP(Q401,'[3]Tiempo Objeto'!$B$24:$C$32,2,FALSE))))</f>
        <v>0.3133333333333333</v>
      </c>
      <c r="Y401" s="84">
        <f t="shared" si="71"/>
        <v>62.666666666666657</v>
      </c>
      <c r="Z401" s="80">
        <f t="shared" si="72"/>
        <v>87.037037037037038</v>
      </c>
      <c r="AA401" s="100">
        <v>4</v>
      </c>
      <c r="AB401" s="86">
        <f>+AA401*Analisis!$J$6</f>
        <v>100</v>
      </c>
      <c r="AC401" s="100"/>
      <c r="AD401" s="85">
        <f t="shared" si="73"/>
        <v>0</v>
      </c>
      <c r="AE401" s="86">
        <f>+AC401*Analisis!$J$7</f>
        <v>0</v>
      </c>
      <c r="AF401" s="308">
        <f>+H401*0.0254*I401*0.0254*2*(1+[3]Analisis!$G$2)</f>
        <v>0.6920686158599999</v>
      </c>
      <c r="AG401" s="86">
        <f>+AF401*Analisis!$J$8</f>
        <v>73.738263237464295</v>
      </c>
      <c r="AH401" s="309">
        <f t="shared" si="64"/>
        <v>521.77402213444111</v>
      </c>
      <c r="AI401" s="86">
        <f>+AH401/(1-Analisis!G406)</f>
        <v>521.77402213444111</v>
      </c>
      <c r="AJ401" s="86">
        <f t="shared" si="74"/>
        <v>561.04733562843137</v>
      </c>
      <c r="AK401" s="86">
        <f t="shared" si="65"/>
        <v>0</v>
      </c>
      <c r="AL401" s="310" t="e">
        <f>+VLOOKUP(B401,#REF!,2,FALSE)</f>
        <v>#REF!</v>
      </c>
      <c r="AM401" s="311" t="e">
        <f t="shared" si="62"/>
        <v>#REF!</v>
      </c>
      <c r="AN401" s="312" t="e">
        <f t="shared" si="61"/>
        <v>#REF!</v>
      </c>
    </row>
    <row r="402" spans="1:40" s="73" customFormat="1" x14ac:dyDescent="0.25">
      <c r="A402" s="303">
        <v>17</v>
      </c>
      <c r="B402" s="304" t="s">
        <v>1178</v>
      </c>
      <c r="D402" s="74">
        <f>IFERROR(VLOOKUP(B402,'REQ. PINTADO'!B:C,2,0),0)</f>
        <v>0</v>
      </c>
      <c r="E402" s="305">
        <f t="shared" si="66"/>
        <v>69.753876672782212</v>
      </c>
      <c r="F402" s="103" t="s">
        <v>163</v>
      </c>
      <c r="G402" s="75" t="s">
        <v>147</v>
      </c>
      <c r="H402" s="90">
        <v>2.13</v>
      </c>
      <c r="I402" s="90">
        <v>2.74</v>
      </c>
      <c r="J402" s="76">
        <v>0.105</v>
      </c>
      <c r="K402" s="306">
        <v>16.38</v>
      </c>
      <c r="L402" s="78">
        <f t="shared" si="67"/>
        <v>0.29423369921878484</v>
      </c>
      <c r="M402" s="58">
        <f>+VLOOKUP(F402,Material!$H$2:$M$17,6,FALSE)*H402*I402*(1+Material!$K$14)</f>
        <v>2.1907036332744068</v>
      </c>
      <c r="N402" s="79" t="str">
        <f t="shared" si="77"/>
        <v>T5.0</v>
      </c>
      <c r="O402" s="80">
        <f>+VLOOKUP(N402,[3]Material!$A$3:$B$58,2,FALSE)</f>
        <v>5000</v>
      </c>
      <c r="P402" s="79" t="s">
        <v>42</v>
      </c>
      <c r="Q402" s="79" t="str">
        <f>+VLOOKUP(F402,[3]Material!$C$2:$E$12,2,FALSE)</f>
        <v>Cal 12</v>
      </c>
      <c r="R402" s="81">
        <f>+IF(P402="ACERO A36",VLOOKUP(Q402,'[3]Velocidades Std 1500 w'!$B$2:$F$15,5,FALSE),IF(P402="INOXIDABLE",VLOOKUP(Q402,'[3]Velocidades Std 1500 w'!$B$17:$F$28,5,FALSE),IF(P402="ALUMINIO",VLOOKUP(Q402,'[3]Velocidades Std 1500 w'!$B$30:$F$38,5,FALSE))))</f>
        <v>4.3859649122807014E-6</v>
      </c>
      <c r="S402" s="82">
        <f t="shared" si="68"/>
        <v>2.1929824561403508E-2</v>
      </c>
      <c r="T402" s="83">
        <f t="shared" si="69"/>
        <v>5.954428421052631</v>
      </c>
      <c r="U402" s="307">
        <f t="shared" si="76"/>
        <v>377.11380000000003</v>
      </c>
      <c r="V402" s="80">
        <f t="shared" si="75"/>
        <v>8.2700394736842107</v>
      </c>
      <c r="W402" s="98">
        <v>4</v>
      </c>
      <c r="X402" s="84">
        <f>+IF(P402="ACERO A36",VLOOKUP(Q402,'[3]Tiempo Objeto'!$B$2:$C$12,2,FALSE),IF(P402="INOXIDABLE",VLOOKUP(Q402,'[3]Tiempo Objeto'!$B$14:$C$22,2,FALSE),IF(P402="ALUMINIO",VLOOKUP(Q402,'[3]Tiempo Objeto'!$B$24:$C$32,2,FALSE))))</f>
        <v>0.6133333333333334</v>
      </c>
      <c r="Y402" s="84">
        <f t="shared" si="71"/>
        <v>2.4533333333333336</v>
      </c>
      <c r="Z402" s="80">
        <f t="shared" si="72"/>
        <v>3.4074074074074079</v>
      </c>
      <c r="AA402" s="100">
        <v>2</v>
      </c>
      <c r="AB402" s="86">
        <f>+AA402*Analisis!$J$6</f>
        <v>50</v>
      </c>
      <c r="AC402" s="100"/>
      <c r="AD402" s="85">
        <f t="shared" si="73"/>
        <v>0</v>
      </c>
      <c r="AE402" s="86">
        <f>+AC402*Analisis!$J$7</f>
        <v>0</v>
      </c>
      <c r="AF402" s="308">
        <f>+H402*0.0254*I402*0.0254*2*(1+[3]Analisis!$G$2)</f>
        <v>9.4132069799999999E-3</v>
      </c>
      <c r="AG402" s="86">
        <f>+AF402*Analisis!$J$8</f>
        <v>1.002954791321429</v>
      </c>
      <c r="AH402" s="309">
        <f t="shared" si="64"/>
        <v>64.87110530568745</v>
      </c>
      <c r="AI402" s="86">
        <f>+AH402/(1-Analisis!G407)</f>
        <v>64.87110530568745</v>
      </c>
      <c r="AJ402" s="86">
        <f t="shared" si="74"/>
        <v>69.753876672782212</v>
      </c>
      <c r="AK402" s="86">
        <f t="shared" si="65"/>
        <v>0</v>
      </c>
      <c r="AL402" s="310" t="e">
        <f>+VLOOKUP(B402,#REF!,2,FALSE)</f>
        <v>#REF!</v>
      </c>
      <c r="AM402" s="311" t="e">
        <f t="shared" si="62"/>
        <v>#REF!</v>
      </c>
      <c r="AN402" s="312" t="e">
        <f t="shared" si="61"/>
        <v>#REF!</v>
      </c>
    </row>
    <row r="403" spans="1:40" s="73" customFormat="1" x14ac:dyDescent="0.25">
      <c r="A403" s="303">
        <v>18</v>
      </c>
      <c r="B403" s="304" t="s">
        <v>1179</v>
      </c>
      <c r="D403" s="74">
        <f>IFERROR(VLOOKUP(B403,'REQ. PINTADO'!B:C,2,0),0)</f>
        <v>0</v>
      </c>
      <c r="E403" s="305">
        <f t="shared" si="66"/>
        <v>1777.6660648662694</v>
      </c>
      <c r="F403" s="103" t="s">
        <v>165</v>
      </c>
      <c r="G403" s="75" t="s">
        <v>147</v>
      </c>
      <c r="H403" s="90">
        <v>32.72</v>
      </c>
      <c r="I403" s="90">
        <v>70.34</v>
      </c>
      <c r="J403" s="76">
        <v>0.105</v>
      </c>
      <c r="K403" s="306">
        <v>16.38</v>
      </c>
      <c r="L403" s="78">
        <f t="shared" si="67"/>
        <v>128.4772123931624</v>
      </c>
      <c r="M403" s="58">
        <f>+VLOOKUP(F403,Material!$H$2:$M$17,6,FALSE)*H403*I403*(1+Material!$K$14)</f>
        <v>956.57124500000009</v>
      </c>
      <c r="N403" s="79" t="str">
        <f t="shared" si="77"/>
        <v>T5.0</v>
      </c>
      <c r="O403" s="80">
        <f>+VLOOKUP(N403,[3]Material!$A$3:$B$58,2,FALSE)</f>
        <v>5000</v>
      </c>
      <c r="P403" s="79" t="s">
        <v>42</v>
      </c>
      <c r="Q403" s="79" t="str">
        <f>+VLOOKUP(F403,[3]Material!$C$2:$E$12,2,FALSE)</f>
        <v>Cal 14</v>
      </c>
      <c r="R403" s="81">
        <f>+IF(P403="ACERO A36",VLOOKUP(Q403,'[3]Velocidades Std 1500 w'!$B$2:$F$15,5,FALSE),IF(P403="INOXIDABLE",VLOOKUP(Q403,'[3]Velocidades Std 1500 w'!$B$17:$F$28,5,FALSE),IF(P403="ALUMINIO",VLOOKUP(Q403,'[3]Velocidades Std 1500 w'!$B$30:$F$38,5,FALSE))))</f>
        <v>2.0080321285140564E-6</v>
      </c>
      <c r="S403" s="82">
        <f t="shared" si="68"/>
        <v>1.0040160642570283E-2</v>
      </c>
      <c r="T403" s="83">
        <f t="shared" si="69"/>
        <v>82.153882409638584</v>
      </c>
      <c r="U403" s="307">
        <f t="shared" si="76"/>
        <v>11364.620400000002</v>
      </c>
      <c r="V403" s="80">
        <f t="shared" si="75"/>
        <v>114.10261445783136</v>
      </c>
      <c r="W403" s="98">
        <v>200</v>
      </c>
      <c r="X403" s="84">
        <f>+IF(P403="ACERO A36",VLOOKUP(Q403,'[3]Tiempo Objeto'!$B$2:$C$12,2,FALSE),IF(P403="INOXIDABLE",VLOOKUP(Q403,'[3]Tiempo Objeto'!$B$14:$C$22,2,FALSE),IF(P403="ALUMINIO",VLOOKUP(Q403,'[3]Tiempo Objeto'!$B$24:$C$32,2,FALSE))))</f>
        <v>0.3133333333333333</v>
      </c>
      <c r="Y403" s="84">
        <f t="shared" si="71"/>
        <v>62.666666666666657</v>
      </c>
      <c r="Z403" s="80">
        <f t="shared" si="72"/>
        <v>87.037037037037038</v>
      </c>
      <c r="AA403" s="100">
        <v>4</v>
      </c>
      <c r="AB403" s="86">
        <f>+AA403*Analisis!$J$6</f>
        <v>100</v>
      </c>
      <c r="AC403" s="100"/>
      <c r="AD403" s="85">
        <f t="shared" si="73"/>
        <v>0</v>
      </c>
      <c r="AE403" s="86">
        <f>+AC403*Analisis!$J$7</f>
        <v>0</v>
      </c>
      <c r="AF403" s="308">
        <f>+H403*0.0254*I403*0.0254*2*(1+[3]Analisis!$G$2)</f>
        <v>3.7121293499199997</v>
      </c>
      <c r="AG403" s="86">
        <f>+AF403*Analisis!$J$8</f>
        <v>395.51854383076198</v>
      </c>
      <c r="AH403" s="309">
        <f t="shared" si="64"/>
        <v>1653.2294403256303</v>
      </c>
      <c r="AI403" s="86">
        <f>+AH403/(1-Analisis!G408)</f>
        <v>1653.2294403256303</v>
      </c>
      <c r="AJ403" s="86">
        <f t="shared" si="74"/>
        <v>1777.6660648662694</v>
      </c>
      <c r="AK403" s="86">
        <f t="shared" si="65"/>
        <v>0</v>
      </c>
      <c r="AL403" s="310" t="e">
        <f>+VLOOKUP(B403,#REF!,2,FALSE)</f>
        <v>#REF!</v>
      </c>
      <c r="AM403" s="311" t="e">
        <f t="shared" si="62"/>
        <v>#REF!</v>
      </c>
      <c r="AN403" s="312" t="e">
        <f t="shared" si="61"/>
        <v>#REF!</v>
      </c>
    </row>
    <row r="404" spans="1:40" s="73" customFormat="1" x14ac:dyDescent="0.25">
      <c r="A404" s="303">
        <v>19</v>
      </c>
      <c r="B404" s="304" t="s">
        <v>1180</v>
      </c>
      <c r="D404" s="74">
        <f>IFERROR(VLOOKUP(B404,'REQ. PINTADO'!B:C,2,0),0)</f>
        <v>0</v>
      </c>
      <c r="E404" s="305">
        <f t="shared" si="66"/>
        <v>150.02993890571688</v>
      </c>
      <c r="F404" s="103" t="s">
        <v>165</v>
      </c>
      <c r="G404" s="75" t="s">
        <v>147</v>
      </c>
      <c r="H404" s="90">
        <v>13.46</v>
      </c>
      <c r="I404" s="90">
        <v>15.24</v>
      </c>
      <c r="J404" s="76">
        <v>0.105</v>
      </c>
      <c r="K404" s="306">
        <v>16.38</v>
      </c>
      <c r="L404" s="78">
        <f t="shared" si="67"/>
        <v>11.450922435897441</v>
      </c>
      <c r="M404" s="58">
        <f>+VLOOKUP(F404,Material!$H$2:$M$17,6,FALSE)*H404*I404*(1+Material!$K$14)</f>
        <v>85.257322500000029</v>
      </c>
      <c r="N404" s="79" t="str">
        <f t="shared" si="77"/>
        <v>T5.0</v>
      </c>
      <c r="O404" s="80">
        <f>+VLOOKUP(N404,[3]Material!$A$3:$B$58,2,FALSE)</f>
        <v>5000</v>
      </c>
      <c r="P404" s="79" t="s">
        <v>42</v>
      </c>
      <c r="Q404" s="79" t="str">
        <f>+VLOOKUP(F404,[3]Material!$C$2:$E$12,2,FALSE)</f>
        <v>Cal 14</v>
      </c>
      <c r="R404" s="81">
        <f>+IF(P404="ACERO A36",VLOOKUP(Q404,'[3]Velocidades Std 1500 w'!$B$2:$F$15,5,FALSE),IF(P404="INOXIDABLE",VLOOKUP(Q404,'[3]Velocidades Std 1500 w'!$B$17:$F$28,5,FALSE),IF(P404="ALUMINIO",VLOOKUP(Q404,'[3]Velocidades Std 1500 w'!$B$30:$F$38,5,FALSE))))</f>
        <v>2.0080321285140564E-6</v>
      </c>
      <c r="S404" s="82">
        <f t="shared" si="68"/>
        <v>1.0040160642570283E-2</v>
      </c>
      <c r="T404" s="83">
        <f t="shared" si="69"/>
        <v>12.126816867469882</v>
      </c>
      <c r="U404" s="307">
        <f t="shared" si="76"/>
        <v>1677.5430000000001</v>
      </c>
      <c r="V404" s="80">
        <f t="shared" si="75"/>
        <v>16.842801204819281</v>
      </c>
      <c r="W404" s="98">
        <v>5</v>
      </c>
      <c r="X404" s="84">
        <f>+IF(P404="ACERO A36",VLOOKUP(Q404,'[3]Tiempo Objeto'!$B$2:$C$12,2,FALSE),IF(P404="INOXIDABLE",VLOOKUP(Q404,'[3]Tiempo Objeto'!$B$14:$C$22,2,FALSE),IF(P404="ALUMINIO",VLOOKUP(Q404,'[3]Tiempo Objeto'!$B$24:$C$32,2,FALSE))))</f>
        <v>0.3133333333333333</v>
      </c>
      <c r="Y404" s="84">
        <f t="shared" si="71"/>
        <v>1.5666666666666664</v>
      </c>
      <c r="Z404" s="80">
        <f t="shared" si="72"/>
        <v>2.1759259259259256</v>
      </c>
      <c r="AA404" s="100">
        <v>0</v>
      </c>
      <c r="AB404" s="86">
        <f>+AA404*Analisis!$J$6</f>
        <v>0</v>
      </c>
      <c r="AC404" s="100"/>
      <c r="AD404" s="85">
        <f t="shared" si="73"/>
        <v>0</v>
      </c>
      <c r="AE404" s="86">
        <f>+AC404*Analisis!$J$7</f>
        <v>0</v>
      </c>
      <c r="AF404" s="308">
        <f>+H404*0.0254*I404*0.0254*2*(1+[3]Analisis!$G$2)</f>
        <v>0.33085482215999995</v>
      </c>
      <c r="AG404" s="86">
        <f>+AF404*Analisis!$J$8</f>
        <v>35.251793551571431</v>
      </c>
      <c r="AH404" s="309">
        <f t="shared" si="64"/>
        <v>139.52784318231667</v>
      </c>
      <c r="AI404" s="86">
        <f>+AH404/(1-Analisis!G409)</f>
        <v>139.52784318231667</v>
      </c>
      <c r="AJ404" s="86">
        <f t="shared" si="74"/>
        <v>150.02993890571688</v>
      </c>
      <c r="AK404" s="86">
        <f t="shared" si="65"/>
        <v>0</v>
      </c>
      <c r="AL404" s="310" t="e">
        <f>+VLOOKUP(B404,#REF!,2,FALSE)</f>
        <v>#REF!</v>
      </c>
      <c r="AM404" s="311" t="e">
        <f t="shared" si="62"/>
        <v>#REF!</v>
      </c>
      <c r="AN404" s="312" t="e">
        <f t="shared" si="61"/>
        <v>#REF!</v>
      </c>
    </row>
    <row r="405" spans="1:40" s="73" customFormat="1" x14ac:dyDescent="0.25">
      <c r="A405" s="303">
        <v>20</v>
      </c>
      <c r="B405" s="304" t="s">
        <v>1181</v>
      </c>
      <c r="D405" s="74">
        <f>IFERROR(VLOOKUP(B405,'REQ. PINTADO'!B:C,2,0),0)</f>
        <v>0</v>
      </c>
      <c r="E405" s="305">
        <f t="shared" si="66"/>
        <v>168.19105142410189</v>
      </c>
      <c r="F405" s="103" t="s">
        <v>165</v>
      </c>
      <c r="G405" s="75" t="s">
        <v>147</v>
      </c>
      <c r="H405" s="90">
        <v>15.24</v>
      </c>
      <c r="I405" s="90">
        <v>15.24</v>
      </c>
      <c r="J405" s="76">
        <v>0.105</v>
      </c>
      <c r="K405" s="306">
        <v>16.38</v>
      </c>
      <c r="L405" s="78">
        <f t="shared" si="67"/>
        <v>12.965234615384619</v>
      </c>
      <c r="M405" s="58">
        <f>+VLOOKUP(F405,Material!$H$2:$M$17,6,FALSE)*H405*I405*(1+Material!$K$14)</f>
        <v>96.532065000000003</v>
      </c>
      <c r="N405" s="79" t="str">
        <f t="shared" si="77"/>
        <v>T5.0</v>
      </c>
      <c r="O405" s="80">
        <f>+VLOOKUP(N405,[3]Material!$A$3:$B$58,2,FALSE)</f>
        <v>5000</v>
      </c>
      <c r="P405" s="79" t="s">
        <v>42</v>
      </c>
      <c r="Q405" s="79" t="str">
        <f>+VLOOKUP(F405,[3]Material!$C$2:$E$12,2,FALSE)</f>
        <v>Cal 14</v>
      </c>
      <c r="R405" s="81">
        <f>+IF(P405="ACERO A36",VLOOKUP(Q405,'[3]Velocidades Std 1500 w'!$B$2:$F$15,5,FALSE),IF(P405="INOXIDABLE",VLOOKUP(Q405,'[3]Velocidades Std 1500 w'!$B$17:$F$28,5,FALSE),IF(P405="ALUMINIO",VLOOKUP(Q405,'[3]Velocidades Std 1500 w'!$B$30:$F$38,5,FALSE))))</f>
        <v>2.0080321285140564E-6</v>
      </c>
      <c r="S405" s="82">
        <f t="shared" si="68"/>
        <v>1.0040160642570283E-2</v>
      </c>
      <c r="T405" s="83">
        <f t="shared" si="69"/>
        <v>12.813167710843377</v>
      </c>
      <c r="U405" s="307">
        <f t="shared" si="76"/>
        <v>1772.4882000000002</v>
      </c>
      <c r="V405" s="80">
        <f t="shared" si="75"/>
        <v>17.796066265060247</v>
      </c>
      <c r="W405" s="98">
        <v>5</v>
      </c>
      <c r="X405" s="84">
        <f>+IF(P405="ACERO A36",VLOOKUP(Q405,'[3]Tiempo Objeto'!$B$2:$C$12,2,FALSE),IF(P405="INOXIDABLE",VLOOKUP(Q405,'[3]Tiempo Objeto'!$B$14:$C$22,2,FALSE),IF(P405="ALUMINIO",VLOOKUP(Q405,'[3]Tiempo Objeto'!$B$24:$C$32,2,FALSE))))</f>
        <v>0.3133333333333333</v>
      </c>
      <c r="Y405" s="84">
        <f t="shared" si="71"/>
        <v>1.5666666666666664</v>
      </c>
      <c r="Z405" s="80">
        <f t="shared" si="72"/>
        <v>2.1759259259259256</v>
      </c>
      <c r="AA405" s="100">
        <v>0</v>
      </c>
      <c r="AB405" s="86">
        <f>+AA405*Analisis!$J$6</f>
        <v>0</v>
      </c>
      <c r="AC405" s="100"/>
      <c r="AD405" s="85">
        <f t="shared" si="73"/>
        <v>0</v>
      </c>
      <c r="AE405" s="86">
        <f>+AC405*Analisis!$J$7</f>
        <v>0</v>
      </c>
      <c r="AF405" s="308">
        <f>+H405*0.0254*I405*0.0254*2*(1+[3]Analisis!$G$2)</f>
        <v>0.37460828303999999</v>
      </c>
      <c r="AG405" s="86">
        <f>+AF405*Analisis!$J$8</f>
        <v>39.913620633428579</v>
      </c>
      <c r="AH405" s="309">
        <f t="shared" si="64"/>
        <v>156.41767782441474</v>
      </c>
      <c r="AI405" s="86">
        <f>+AH405/(1-Analisis!G410)</f>
        <v>156.41767782441474</v>
      </c>
      <c r="AJ405" s="86">
        <f t="shared" si="74"/>
        <v>168.19105142410189</v>
      </c>
      <c r="AK405" s="86">
        <f t="shared" si="65"/>
        <v>0</v>
      </c>
      <c r="AL405" s="310" t="e">
        <f>+VLOOKUP(B405,#REF!,2,FALSE)</f>
        <v>#REF!</v>
      </c>
      <c r="AM405" s="311" t="e">
        <f t="shared" si="62"/>
        <v>#REF!</v>
      </c>
      <c r="AN405" s="312" t="e">
        <f t="shared" si="61"/>
        <v>#REF!</v>
      </c>
    </row>
    <row r="406" spans="1:40" s="73" customFormat="1" x14ac:dyDescent="0.25">
      <c r="A406" s="303">
        <v>21</v>
      </c>
      <c r="B406" s="304" t="s">
        <v>1182</v>
      </c>
      <c r="D406" s="74">
        <f>IFERROR(VLOOKUP(B406,'REQ. PINTADO'!B:C,2,0),0)</f>
        <v>0</v>
      </c>
      <c r="E406" s="305">
        <f t="shared" si="66"/>
        <v>0</v>
      </c>
      <c r="F406" s="103" t="s">
        <v>165</v>
      </c>
      <c r="G406" s="75" t="s">
        <v>147</v>
      </c>
      <c r="H406" s="90"/>
      <c r="I406" s="90"/>
      <c r="J406" s="76">
        <v>0.105</v>
      </c>
      <c r="K406" s="306">
        <v>16.38</v>
      </c>
      <c r="L406" s="78">
        <f t="shared" si="67"/>
        <v>0</v>
      </c>
      <c r="M406" s="58">
        <f>+VLOOKUP(F406,Material!$H$2:$M$17,6,FALSE)*H406*I406*(1+Material!$K$14)</f>
        <v>0</v>
      </c>
      <c r="N406" s="79" t="str">
        <f t="shared" si="77"/>
        <v>T5.0</v>
      </c>
      <c r="O406" s="80">
        <f>+VLOOKUP(N406,[3]Material!$A$3:$B$58,2,FALSE)</f>
        <v>5000</v>
      </c>
      <c r="P406" s="79" t="s">
        <v>42</v>
      </c>
      <c r="Q406" s="79" t="str">
        <f>+VLOOKUP(F406,[3]Material!$C$2:$E$12,2,FALSE)</f>
        <v>Cal 14</v>
      </c>
      <c r="R406" s="81">
        <f>+IF(P406="ACERO A36",VLOOKUP(Q406,'[3]Velocidades Std 1500 w'!$B$2:$F$15,5,FALSE),IF(P406="INOXIDABLE",VLOOKUP(Q406,'[3]Velocidades Std 1500 w'!$B$17:$F$28,5,FALSE),IF(P406="ALUMINIO",VLOOKUP(Q406,'[3]Velocidades Std 1500 w'!$B$30:$F$38,5,FALSE))))</f>
        <v>2.0080321285140564E-6</v>
      </c>
      <c r="S406" s="82">
        <f t="shared" si="68"/>
        <v>1.0040160642570283E-2</v>
      </c>
      <c r="T406" s="83">
        <f t="shared" si="69"/>
        <v>0</v>
      </c>
      <c r="U406" s="307">
        <f t="shared" si="76"/>
        <v>0</v>
      </c>
      <c r="V406" s="80">
        <f t="shared" si="75"/>
        <v>0</v>
      </c>
      <c r="W406" s="98"/>
      <c r="X406" s="84">
        <f>+IF(P406="ACERO A36",VLOOKUP(Q406,'[3]Tiempo Objeto'!$B$2:$C$12,2,FALSE),IF(P406="INOXIDABLE",VLOOKUP(Q406,'[3]Tiempo Objeto'!$B$14:$C$22,2,FALSE),IF(P406="ALUMINIO",VLOOKUP(Q406,'[3]Tiempo Objeto'!$B$24:$C$32,2,FALSE))))</f>
        <v>0.3133333333333333</v>
      </c>
      <c r="Y406" s="84">
        <f t="shared" si="71"/>
        <v>0</v>
      </c>
      <c r="Z406" s="80">
        <f t="shared" si="72"/>
        <v>0</v>
      </c>
      <c r="AA406" s="100"/>
      <c r="AB406" s="86">
        <f>+AA406*Analisis!$J$6</f>
        <v>0</v>
      </c>
      <c r="AC406" s="100"/>
      <c r="AD406" s="85">
        <f t="shared" si="73"/>
        <v>0</v>
      </c>
      <c r="AE406" s="86">
        <f>+AC406*Analisis!$J$7</f>
        <v>0</v>
      </c>
      <c r="AF406" s="308">
        <f>+H406*0.0254*I406*0.0254*2*(1+[3]Analisis!$G$2)</f>
        <v>0</v>
      </c>
      <c r="AG406" s="86">
        <f>+AF406*Analisis!$J$8</f>
        <v>0</v>
      </c>
      <c r="AH406" s="309">
        <f t="shared" si="64"/>
        <v>0</v>
      </c>
      <c r="AI406" s="86">
        <f>+AH406/(1-Analisis!G411)</f>
        <v>0</v>
      </c>
      <c r="AJ406" s="86">
        <f t="shared" si="74"/>
        <v>0</v>
      </c>
      <c r="AK406" s="86">
        <f t="shared" si="65"/>
        <v>0</v>
      </c>
      <c r="AL406" s="310" t="e">
        <f>+VLOOKUP(B406,#REF!,2,FALSE)</f>
        <v>#REF!</v>
      </c>
      <c r="AM406" s="311" t="e">
        <f t="shared" si="62"/>
        <v>#REF!</v>
      </c>
      <c r="AN406" s="312" t="e">
        <f t="shared" si="61"/>
        <v>#REF!</v>
      </c>
    </row>
    <row r="407" spans="1:40" s="73" customFormat="1" x14ac:dyDescent="0.25">
      <c r="A407" s="303">
        <v>97</v>
      </c>
      <c r="B407" s="304" t="s">
        <v>1183</v>
      </c>
      <c r="D407" s="74">
        <f>IFERROR(VLOOKUP(B407,'REQ. PINTADO'!B:C,2,0),0)</f>
        <v>0</v>
      </c>
      <c r="E407" s="305">
        <f t="shared" si="66"/>
        <v>125.88598997163793</v>
      </c>
      <c r="F407" s="103" t="s">
        <v>165</v>
      </c>
      <c r="G407" s="75" t="s">
        <v>147</v>
      </c>
      <c r="H407" s="90">
        <v>5.37</v>
      </c>
      <c r="I407" s="90">
        <v>17.25</v>
      </c>
      <c r="J407" s="76">
        <v>0.105</v>
      </c>
      <c r="K407" s="306">
        <v>16.38</v>
      </c>
      <c r="L407" s="78">
        <f t="shared" si="67"/>
        <v>5.170991586538463</v>
      </c>
      <c r="M407" s="58">
        <f>+VLOOKUP(F407,Material!$H$2:$M$17,6,FALSE)*H407*I407*(1+Material!$K$14)</f>
        <v>38.500382812500007</v>
      </c>
      <c r="N407" s="79" t="str">
        <f t="shared" si="77"/>
        <v>T5.0</v>
      </c>
      <c r="O407" s="80">
        <f>+VLOOKUP(N407,[3]Material!$A$3:$B$58,2,FALSE)</f>
        <v>5000</v>
      </c>
      <c r="P407" s="79" t="s">
        <v>42</v>
      </c>
      <c r="Q407" s="79" t="str">
        <f>+VLOOKUP(F407,[3]Material!$C$2:$E$12,2,FALSE)</f>
        <v>Cal 14</v>
      </c>
      <c r="R407" s="81">
        <f>+IF(P407="ACERO A36",VLOOKUP(Q407,'[3]Velocidades Std 1500 w'!$B$2:$F$15,5,FALSE),IF(P407="INOXIDABLE",VLOOKUP(Q407,'[3]Velocidades Std 1500 w'!$B$17:$F$28,5,FALSE),IF(P407="ALUMINIO",VLOOKUP(Q407,'[3]Velocidades Std 1500 w'!$B$30:$F$38,5,FALSE))))</f>
        <v>2.0080321285140564E-6</v>
      </c>
      <c r="S407" s="82">
        <f t="shared" si="68"/>
        <v>1.0040160642570283E-2</v>
      </c>
      <c r="T407" s="83">
        <f t="shared" si="69"/>
        <v>16.144668433734942</v>
      </c>
      <c r="U407" s="307">
        <f t="shared" si="76"/>
        <v>2233.3458000000001</v>
      </c>
      <c r="V407" s="80">
        <f t="shared" si="75"/>
        <v>22.423150602409642</v>
      </c>
      <c r="W407" s="98">
        <v>35</v>
      </c>
      <c r="X407" s="84">
        <f>+IF(P407="ACERO A36",VLOOKUP(Q407,'[3]Tiempo Objeto'!$B$2:$C$12,2,FALSE),IF(P407="INOXIDABLE",VLOOKUP(Q407,'[3]Tiempo Objeto'!$B$14:$C$22,2,FALSE),IF(P407="ALUMINIO",VLOOKUP(Q407,'[3]Tiempo Objeto'!$B$24:$C$32,2,FALSE))))</f>
        <v>0.3133333333333333</v>
      </c>
      <c r="Y407" s="84">
        <f t="shared" si="71"/>
        <v>10.966666666666665</v>
      </c>
      <c r="Z407" s="80">
        <f t="shared" si="72"/>
        <v>15.231481481481481</v>
      </c>
      <c r="AA407" s="100">
        <v>1</v>
      </c>
      <c r="AB407" s="86">
        <f>+AA407*Analisis!$J$6</f>
        <v>25</v>
      </c>
      <c r="AC407" s="100"/>
      <c r="AD407" s="85">
        <f t="shared" si="73"/>
        <v>0</v>
      </c>
      <c r="AE407" s="86">
        <f>+AC407*Analisis!$J$7</f>
        <v>0</v>
      </c>
      <c r="AF407" s="308">
        <f>+H407*0.0254*I407*0.0254*2*(1+[3]Analisis!$G$2)</f>
        <v>0.14940695925</v>
      </c>
      <c r="AG407" s="86">
        <f>+AF407*Analisis!$J$8</f>
        <v>15.918955777232147</v>
      </c>
      <c r="AH407" s="309">
        <f t="shared" si="64"/>
        <v>117.07397067362326</v>
      </c>
      <c r="AI407" s="86">
        <f>+AH407/(1-Analisis!G412)</f>
        <v>117.07397067362326</v>
      </c>
      <c r="AJ407" s="86">
        <f t="shared" si="74"/>
        <v>125.88598997163793</v>
      </c>
      <c r="AK407" s="86">
        <f t="shared" si="65"/>
        <v>0</v>
      </c>
      <c r="AL407" s="310" t="e">
        <f>+VLOOKUP(B407,#REF!,2,FALSE)</f>
        <v>#REF!</v>
      </c>
      <c r="AM407" s="311" t="e">
        <f t="shared" si="62"/>
        <v>#REF!</v>
      </c>
      <c r="AN407" s="312" t="e">
        <f t="shared" si="61"/>
        <v>#REF!</v>
      </c>
    </row>
    <row r="408" spans="1:40" s="73" customFormat="1" x14ac:dyDescent="0.25">
      <c r="A408" s="303">
        <v>98</v>
      </c>
      <c r="B408" s="304" t="s">
        <v>1184</v>
      </c>
      <c r="D408" s="74">
        <f>IFERROR(VLOOKUP(B408,'REQ. PINTADO'!B:C,2,0),0)</f>
        <v>0</v>
      </c>
      <c r="E408" s="305">
        <f t="shared" si="66"/>
        <v>1462.9780902192974</v>
      </c>
      <c r="F408" s="103" t="s">
        <v>165</v>
      </c>
      <c r="G408" s="75" t="s">
        <v>147</v>
      </c>
      <c r="H408" s="90">
        <v>22.28</v>
      </c>
      <c r="I408" s="90">
        <v>88.54</v>
      </c>
      <c r="J408" s="76">
        <v>0.105</v>
      </c>
      <c r="K408" s="306">
        <v>16.38</v>
      </c>
      <c r="L408" s="78">
        <f t="shared" si="67"/>
        <v>110.11973311965816</v>
      </c>
      <c r="M408" s="58">
        <f>+VLOOKUP(F408,Material!$H$2:$M$17,6,FALSE)*H408*I408*(1+Material!$K$14)</f>
        <v>819.8914675000002</v>
      </c>
      <c r="N408" s="79" t="str">
        <f t="shared" si="77"/>
        <v>T5.0</v>
      </c>
      <c r="O408" s="80">
        <f>+VLOOKUP(N408,[3]Material!$A$3:$B$58,2,FALSE)</f>
        <v>5000</v>
      </c>
      <c r="P408" s="79" t="s">
        <v>42</v>
      </c>
      <c r="Q408" s="79" t="str">
        <f>+VLOOKUP(F408,[3]Material!$C$2:$E$12,2,FALSE)</f>
        <v>Cal 14</v>
      </c>
      <c r="R408" s="81">
        <f>+IF(P408="ACERO A36",VLOOKUP(Q408,'[3]Velocidades Std 1500 w'!$B$2:$F$15,5,FALSE),IF(P408="INOXIDABLE",VLOOKUP(Q408,'[3]Velocidades Std 1500 w'!$B$17:$F$28,5,FALSE),IF(P408="ALUMINIO",VLOOKUP(Q408,'[3]Velocidades Std 1500 w'!$B$30:$F$38,5,FALSE))))</f>
        <v>2.0080321285140564E-6</v>
      </c>
      <c r="S408" s="82">
        <f t="shared" si="68"/>
        <v>1.0040160642570283E-2</v>
      </c>
      <c r="T408" s="83">
        <f t="shared" si="69"/>
        <v>55.031456385542171</v>
      </c>
      <c r="U408" s="307">
        <f t="shared" si="76"/>
        <v>7612.6848</v>
      </c>
      <c r="V408" s="80">
        <f t="shared" si="75"/>
        <v>76.432578313253032</v>
      </c>
      <c r="W408" s="98">
        <v>58</v>
      </c>
      <c r="X408" s="84">
        <f>+IF(P408="ACERO A36",VLOOKUP(Q408,'[3]Tiempo Objeto'!$B$2:$C$12,2,FALSE),IF(P408="INOXIDABLE",VLOOKUP(Q408,'[3]Tiempo Objeto'!$B$14:$C$22,2,FALSE),IF(P408="ALUMINIO",VLOOKUP(Q408,'[3]Tiempo Objeto'!$B$24:$C$32,2,FALSE))))</f>
        <v>0.3133333333333333</v>
      </c>
      <c r="Y408" s="84">
        <f t="shared" si="71"/>
        <v>18.173333333333332</v>
      </c>
      <c r="Z408" s="80">
        <f t="shared" si="72"/>
        <v>25.240740740740737</v>
      </c>
      <c r="AA408" s="100">
        <v>4</v>
      </c>
      <c r="AB408" s="86">
        <f>+AA408*Analisis!$J$6</f>
        <v>100</v>
      </c>
      <c r="AC408" s="100"/>
      <c r="AD408" s="85">
        <f t="shared" si="73"/>
        <v>0</v>
      </c>
      <c r="AE408" s="86">
        <f>+AC408*Analisis!$J$7</f>
        <v>0</v>
      </c>
      <c r="AF408" s="308">
        <f>+H408*0.0254*I408*0.0254*2*(1+[3]Analisis!$G$2)</f>
        <v>3.1817213784799998</v>
      </c>
      <c r="AG408" s="86">
        <f>+AF408*Analisis!$J$8</f>
        <v>339.00483734995248</v>
      </c>
      <c r="AH408" s="309">
        <f t="shared" si="64"/>
        <v>1360.5696239039464</v>
      </c>
      <c r="AI408" s="86">
        <f>+AH408/(1-Analisis!G413)</f>
        <v>1360.5696239039464</v>
      </c>
      <c r="AJ408" s="86">
        <f t="shared" si="74"/>
        <v>1462.9780902192974</v>
      </c>
      <c r="AK408" s="86">
        <f t="shared" si="65"/>
        <v>0</v>
      </c>
      <c r="AL408" s="310" t="e">
        <f>+VLOOKUP(B408,#REF!,2,FALSE)</f>
        <v>#REF!</v>
      </c>
      <c r="AM408" s="311" t="e">
        <f t="shared" si="62"/>
        <v>#REF!</v>
      </c>
      <c r="AN408" s="312" t="e">
        <f t="shared" si="61"/>
        <v>#REF!</v>
      </c>
    </row>
    <row r="409" spans="1:40" s="73" customFormat="1" x14ac:dyDescent="0.25">
      <c r="A409" s="303">
        <v>1</v>
      </c>
      <c r="B409" s="304" t="s">
        <v>1185</v>
      </c>
      <c r="D409" s="74">
        <f>IFERROR(VLOOKUP(B409,'REQ. PINTADO'!B:C,2,0),0)</f>
        <v>0</v>
      </c>
      <c r="E409" s="305">
        <f t="shared" si="66"/>
        <v>261.00097316488001</v>
      </c>
      <c r="F409" s="103" t="s">
        <v>163</v>
      </c>
      <c r="G409" s="75" t="s">
        <v>147</v>
      </c>
      <c r="H409" s="90">
        <v>3.3</v>
      </c>
      <c r="I409" s="90">
        <v>48.54</v>
      </c>
      <c r="J409" s="76">
        <v>0.105</v>
      </c>
      <c r="K409" s="306">
        <v>16.38</v>
      </c>
      <c r="L409" s="78">
        <f t="shared" si="67"/>
        <v>8.0756215359760439</v>
      </c>
      <c r="M409" s="58">
        <f>+VLOOKUP(F409,Material!$H$2:$M$17,6,FALSE)*H409*I409*(1+Material!$K$14)</f>
        <v>60.126673072403449</v>
      </c>
      <c r="N409" s="79" t="str">
        <f t="shared" si="77"/>
        <v>T5.0</v>
      </c>
      <c r="O409" s="80">
        <f>+VLOOKUP(N409,[3]Material!$A$3:$B$58,2,FALSE)</f>
        <v>5000</v>
      </c>
      <c r="P409" s="79" t="s">
        <v>42</v>
      </c>
      <c r="Q409" s="79" t="str">
        <f>+VLOOKUP(F409,[3]Material!$C$2:$E$12,2,FALSE)</f>
        <v>Cal 12</v>
      </c>
      <c r="R409" s="81">
        <f>+IF(P409="ACERO A36",VLOOKUP(Q409,'[3]Velocidades Std 1500 w'!$B$2:$F$15,5,FALSE),IF(P409="INOXIDABLE",VLOOKUP(Q409,'[3]Velocidades Std 1500 w'!$B$17:$F$28,5,FALSE),IF(P409="ALUMINIO",VLOOKUP(Q409,'[3]Velocidades Std 1500 w'!$B$30:$F$38,5,FALSE))))</f>
        <v>4.3859649122807014E-6</v>
      </c>
      <c r="S409" s="82">
        <f t="shared" si="68"/>
        <v>2.1929824561403508E-2</v>
      </c>
      <c r="T409" s="83">
        <f t="shared" si="69"/>
        <v>49.681998947368413</v>
      </c>
      <c r="U409" s="307">
        <f t="shared" si="76"/>
        <v>3146.5265999999997</v>
      </c>
      <c r="V409" s="80">
        <f t="shared" si="75"/>
        <v>69.002776315789461</v>
      </c>
      <c r="W409" s="98">
        <v>13</v>
      </c>
      <c r="X409" s="84">
        <f>+IF(P409="ACERO A36",VLOOKUP(Q409,'[3]Tiempo Objeto'!$B$2:$C$12,2,FALSE),IF(P409="INOXIDABLE",VLOOKUP(Q409,'[3]Tiempo Objeto'!$B$14:$C$22,2,FALSE),IF(P409="ALUMINIO",VLOOKUP(Q409,'[3]Tiempo Objeto'!$B$24:$C$32,2,FALSE))))</f>
        <v>0.6133333333333334</v>
      </c>
      <c r="Y409" s="84">
        <f t="shared" si="71"/>
        <v>7.9733333333333345</v>
      </c>
      <c r="Z409" s="80">
        <f t="shared" si="72"/>
        <v>11.074074074074076</v>
      </c>
      <c r="AA409" s="100">
        <v>3</v>
      </c>
      <c r="AB409" s="86">
        <f>+AA409*Analisis!$J$6</f>
        <v>75</v>
      </c>
      <c r="AC409" s="100"/>
      <c r="AD409" s="85">
        <f t="shared" si="73"/>
        <v>0</v>
      </c>
      <c r="AE409" s="86">
        <f>+AC409*Analisis!$J$7</f>
        <v>0</v>
      </c>
      <c r="AF409" s="308">
        <f>+H409*0.0254*I409*0.0254*2*(1+[3]Analisis!$G$2)</f>
        <v>0.25835754779999992</v>
      </c>
      <c r="AG409" s="86">
        <f>+AF409*Analisis!$J$8</f>
        <v>27.527381581071428</v>
      </c>
      <c r="AH409" s="309">
        <f t="shared" si="64"/>
        <v>242.7309050433384</v>
      </c>
      <c r="AI409" s="86">
        <f>+AH409/(1-Analisis!G414)</f>
        <v>242.7309050433384</v>
      </c>
      <c r="AJ409" s="86">
        <f t="shared" si="74"/>
        <v>261.00097316488001</v>
      </c>
      <c r="AK409" s="86">
        <f t="shared" si="65"/>
        <v>0</v>
      </c>
      <c r="AL409" s="310" t="e">
        <f>+VLOOKUP(B409,#REF!,2,FALSE)</f>
        <v>#REF!</v>
      </c>
      <c r="AM409" s="311" t="e">
        <f t="shared" si="62"/>
        <v>#REF!</v>
      </c>
      <c r="AN409" s="312" t="e">
        <f t="shared" si="61"/>
        <v>#REF!</v>
      </c>
    </row>
    <row r="410" spans="1:40" s="73" customFormat="1" x14ac:dyDescent="0.25">
      <c r="A410" s="303">
        <v>2</v>
      </c>
      <c r="B410" s="304" t="s">
        <v>1186</v>
      </c>
      <c r="D410" s="74">
        <f>IFERROR(VLOOKUP(B410,'REQ. PINTADO'!B:C,2,0),0)</f>
        <v>0</v>
      </c>
      <c r="E410" s="305">
        <f t="shared" si="66"/>
        <v>741.85275053379689</v>
      </c>
      <c r="F410" s="103" t="s">
        <v>163</v>
      </c>
      <c r="G410" s="75" t="s">
        <v>147</v>
      </c>
      <c r="H410" s="90">
        <v>14.41</v>
      </c>
      <c r="I410" s="90">
        <v>61.14</v>
      </c>
      <c r="J410" s="76">
        <v>0.105</v>
      </c>
      <c r="K410" s="306">
        <v>16.38</v>
      </c>
      <c r="L410" s="78">
        <f t="shared" si="67"/>
        <v>44.417249411450605</v>
      </c>
      <c r="M410" s="58">
        <f>+VLOOKUP(F410,Material!$H$2:$M$17,6,FALSE)*H410*I410*(1+Material!$K$14)</f>
        <v>330.70661152707311</v>
      </c>
      <c r="N410" s="79" t="str">
        <f t="shared" si="77"/>
        <v>T5.0</v>
      </c>
      <c r="O410" s="80">
        <f>+VLOOKUP(N410,[3]Material!$A$3:$B$58,2,FALSE)</f>
        <v>5000</v>
      </c>
      <c r="P410" s="79" t="s">
        <v>42</v>
      </c>
      <c r="Q410" s="79" t="str">
        <f>+VLOOKUP(F410,[3]Material!$C$2:$E$12,2,FALSE)</f>
        <v>Cal 12</v>
      </c>
      <c r="R410" s="81">
        <f>+IF(P410="ACERO A36",VLOOKUP(Q410,'[3]Velocidades Std 1500 w'!$B$2:$F$15,5,FALSE),IF(P410="INOXIDABLE",VLOOKUP(Q410,'[3]Velocidades Std 1500 w'!$B$17:$F$28,5,FALSE),IF(P410="ALUMINIO",VLOOKUP(Q410,'[3]Velocidades Std 1500 w'!$B$30:$F$38,5,FALSE))))</f>
        <v>4.3859649122807014E-6</v>
      </c>
      <c r="S410" s="82">
        <f t="shared" si="68"/>
        <v>2.1929824561403508E-2</v>
      </c>
      <c r="T410" s="83">
        <f t="shared" si="69"/>
        <v>69.65081052631578</v>
      </c>
      <c r="U410" s="307">
        <f t="shared" si="76"/>
        <v>4411.2179999999998</v>
      </c>
      <c r="V410" s="80">
        <f t="shared" si="75"/>
        <v>96.737236842105261</v>
      </c>
      <c r="W410" s="98">
        <v>13</v>
      </c>
      <c r="X410" s="84">
        <f>+IF(P410="ACERO A36",VLOOKUP(Q410,'[3]Tiempo Objeto'!$B$2:$C$12,2,FALSE),IF(P410="INOXIDABLE",VLOOKUP(Q410,'[3]Tiempo Objeto'!$B$14:$C$22,2,FALSE),IF(P410="ALUMINIO",VLOOKUP(Q410,'[3]Tiempo Objeto'!$B$24:$C$32,2,FALSE))))</f>
        <v>0.6133333333333334</v>
      </c>
      <c r="Y410" s="84">
        <f t="shared" si="71"/>
        <v>7.9733333333333345</v>
      </c>
      <c r="Z410" s="80">
        <f t="shared" si="72"/>
        <v>11.074074074074076</v>
      </c>
      <c r="AA410" s="100">
        <v>4</v>
      </c>
      <c r="AB410" s="86">
        <f>+AA410*Analisis!$J$6</f>
        <v>100</v>
      </c>
      <c r="AC410" s="100"/>
      <c r="AD410" s="85">
        <f t="shared" si="73"/>
        <v>0</v>
      </c>
      <c r="AE410" s="86">
        <f>+AC410*Analisis!$J$7</f>
        <v>0</v>
      </c>
      <c r="AF410" s="308">
        <f>+H410*0.0254*I410*0.0254*2*(1+[3]Analisis!$G$2)</f>
        <v>1.4210090934599999</v>
      </c>
      <c r="AG410" s="86">
        <f>+AF410*Analisis!$J$8</f>
        <v>151.40513555317861</v>
      </c>
      <c r="AH410" s="309">
        <f t="shared" si="64"/>
        <v>689.92305799643111</v>
      </c>
      <c r="AI410" s="86">
        <f>+AH410/(1-Analisis!G415)</f>
        <v>689.92305799643111</v>
      </c>
      <c r="AJ410" s="86">
        <f t="shared" si="74"/>
        <v>741.85275053379689</v>
      </c>
      <c r="AK410" s="86">
        <f t="shared" si="65"/>
        <v>0</v>
      </c>
      <c r="AL410" s="310" t="e">
        <f>+VLOOKUP(B410,#REF!,2,FALSE)</f>
        <v>#REF!</v>
      </c>
      <c r="AM410" s="311" t="e">
        <f t="shared" si="62"/>
        <v>#REF!</v>
      </c>
      <c r="AN410" s="312" t="e">
        <f t="shared" si="61"/>
        <v>#REF!</v>
      </c>
    </row>
    <row r="411" spans="1:40" s="73" customFormat="1" x14ac:dyDescent="0.25">
      <c r="A411" s="303">
        <v>3</v>
      </c>
      <c r="B411" s="304" t="s">
        <v>1187</v>
      </c>
      <c r="D411" s="74">
        <f>IFERROR(VLOOKUP(B411,'REQ. PINTADO'!B:C,2,0),0)</f>
        <v>0</v>
      </c>
      <c r="E411" s="305">
        <f t="shared" si="66"/>
        <v>186.11694403907714</v>
      </c>
      <c r="F411" s="103" t="s">
        <v>163</v>
      </c>
      <c r="G411" s="75" t="s">
        <v>147</v>
      </c>
      <c r="H411" s="90">
        <v>55</v>
      </c>
      <c r="I411" s="90">
        <v>1.64</v>
      </c>
      <c r="J411" s="76">
        <v>0.105</v>
      </c>
      <c r="K411" s="306">
        <v>16.38</v>
      </c>
      <c r="L411" s="78">
        <f t="shared" si="67"/>
        <v>4.5474589064004647</v>
      </c>
      <c r="M411" s="58">
        <f>+VLOOKUP(F411,Material!$H$2:$M$17,6,FALSE)*H411*I411*(1+Material!$K$14)</f>
        <v>33.857898584927092</v>
      </c>
      <c r="N411" s="79" t="str">
        <f t="shared" si="77"/>
        <v>T5.0</v>
      </c>
      <c r="O411" s="80">
        <f>+VLOOKUP(N411,[3]Material!$A$3:$B$58,2,FALSE)</f>
        <v>5000</v>
      </c>
      <c r="P411" s="79" t="s">
        <v>42</v>
      </c>
      <c r="Q411" s="79" t="str">
        <f>+VLOOKUP(F411,[3]Material!$C$2:$E$12,2,FALSE)</f>
        <v>Cal 12</v>
      </c>
      <c r="R411" s="81">
        <f>+IF(P411="ACERO A36",VLOOKUP(Q411,'[3]Velocidades Std 1500 w'!$B$2:$F$15,5,FALSE),IF(P411="INOXIDABLE",VLOOKUP(Q411,'[3]Velocidades Std 1500 w'!$B$17:$F$28,5,FALSE),IF(P411="ALUMINIO",VLOOKUP(Q411,'[3]Velocidades Std 1500 w'!$B$30:$F$38,5,FALSE))))</f>
        <v>4.3859649122807014E-6</v>
      </c>
      <c r="S411" s="82">
        <f t="shared" si="68"/>
        <v>2.1929824561403508E-2</v>
      </c>
      <c r="T411" s="83">
        <f t="shared" si="69"/>
        <v>50.018883157894727</v>
      </c>
      <c r="U411" s="307">
        <f t="shared" si="76"/>
        <v>3167.8625999999999</v>
      </c>
      <c r="V411" s="80">
        <f t="shared" si="75"/>
        <v>69.470671052631573</v>
      </c>
      <c r="W411" s="98">
        <v>5</v>
      </c>
      <c r="X411" s="84">
        <f>+IF(P411="ACERO A36",VLOOKUP(Q411,'[3]Tiempo Objeto'!$B$2:$C$12,2,FALSE),IF(P411="INOXIDABLE",VLOOKUP(Q411,'[3]Tiempo Objeto'!$B$14:$C$22,2,FALSE),IF(P411="ALUMINIO",VLOOKUP(Q411,'[3]Tiempo Objeto'!$B$24:$C$32,2,FALSE))))</f>
        <v>0.6133333333333334</v>
      </c>
      <c r="Y411" s="84">
        <f t="shared" si="71"/>
        <v>3.0666666666666669</v>
      </c>
      <c r="Z411" s="80">
        <f t="shared" si="72"/>
        <v>4.2592592592592595</v>
      </c>
      <c r="AA411" s="100">
        <v>2</v>
      </c>
      <c r="AB411" s="86">
        <f>+AA411*Analisis!$J$6</f>
        <v>50</v>
      </c>
      <c r="AC411" s="100"/>
      <c r="AD411" s="85">
        <f t="shared" si="73"/>
        <v>0</v>
      </c>
      <c r="AE411" s="86">
        <f>+AC411*Analisis!$J$7</f>
        <v>0</v>
      </c>
      <c r="AF411" s="308">
        <f>+H411*0.0254*I411*0.0254*2*(1+[3]Analisis!$G$2)</f>
        <v>0.14548358</v>
      </c>
      <c r="AG411" s="86">
        <f>+AF411*Analisis!$J$8</f>
        <v>15.500929059523815</v>
      </c>
      <c r="AH411" s="309">
        <f t="shared" si="64"/>
        <v>173.08875795634174</v>
      </c>
      <c r="AI411" s="86">
        <f>+AH411/(1-Analisis!G416)</f>
        <v>173.08875795634174</v>
      </c>
      <c r="AJ411" s="86">
        <f t="shared" si="74"/>
        <v>186.11694403907714</v>
      </c>
      <c r="AK411" s="86">
        <f t="shared" si="65"/>
        <v>0</v>
      </c>
      <c r="AL411" s="310" t="e">
        <f>+VLOOKUP(B411,#REF!,2,FALSE)</f>
        <v>#REF!</v>
      </c>
      <c r="AM411" s="311" t="e">
        <f t="shared" si="62"/>
        <v>#REF!</v>
      </c>
      <c r="AN411" s="312" t="e">
        <f t="shared" si="61"/>
        <v>#REF!</v>
      </c>
    </row>
    <row r="412" spans="1:40" s="73" customFormat="1" x14ac:dyDescent="0.25">
      <c r="A412" s="303">
        <v>4</v>
      </c>
      <c r="B412" s="304" t="s">
        <v>1188</v>
      </c>
      <c r="D412" s="74">
        <f>IFERROR(VLOOKUP(B412,'REQ. PINTADO'!B:C,2,0),0)</f>
        <v>0</v>
      </c>
      <c r="E412" s="305">
        <f t="shared" si="66"/>
        <v>133.45303433146654</v>
      </c>
      <c r="F412" s="103" t="s">
        <v>165</v>
      </c>
      <c r="G412" s="75" t="s">
        <v>147</v>
      </c>
      <c r="H412" s="90">
        <v>46</v>
      </c>
      <c r="I412" s="90">
        <v>2.57</v>
      </c>
      <c r="J412" s="76">
        <v>0.105</v>
      </c>
      <c r="K412" s="306">
        <v>16.38</v>
      </c>
      <c r="L412" s="78">
        <f t="shared" si="67"/>
        <v>6.5993536324786319</v>
      </c>
      <c r="M412" s="58">
        <f>+VLOOKUP(F412,Material!$H$2:$M$17,6,FALSE)*H412*I412*(1+Material!$K$14)</f>
        <v>49.135187499999994</v>
      </c>
      <c r="N412" s="79" t="str">
        <f t="shared" si="77"/>
        <v>T5.0</v>
      </c>
      <c r="O412" s="80">
        <f>+VLOOKUP(N412,[3]Material!$A$3:$B$58,2,FALSE)</f>
        <v>5000</v>
      </c>
      <c r="P412" s="79" t="s">
        <v>42</v>
      </c>
      <c r="Q412" s="79" t="str">
        <f>+VLOOKUP(F412,[3]Material!$C$2:$E$12,2,FALSE)</f>
        <v>Cal 14</v>
      </c>
      <c r="R412" s="81">
        <f>+IF(P412="ACERO A36",VLOOKUP(Q412,'[3]Velocidades Std 1500 w'!$B$2:$F$15,5,FALSE),IF(P412="INOXIDABLE",VLOOKUP(Q412,'[3]Velocidades Std 1500 w'!$B$17:$F$28,5,FALSE),IF(P412="ALUMINIO",VLOOKUP(Q412,'[3]Velocidades Std 1500 w'!$B$30:$F$38,5,FALSE))))</f>
        <v>2.0080321285140564E-6</v>
      </c>
      <c r="S412" s="82">
        <f t="shared" si="68"/>
        <v>1.0040160642570283E-2</v>
      </c>
      <c r="T412" s="83">
        <f t="shared" si="69"/>
        <v>19.788497349397591</v>
      </c>
      <c r="U412" s="307">
        <f t="shared" si="76"/>
        <v>2737.4088000000002</v>
      </c>
      <c r="V412" s="80">
        <f t="shared" si="75"/>
        <v>27.48402409638555</v>
      </c>
      <c r="W412" s="98">
        <v>5</v>
      </c>
      <c r="X412" s="84">
        <f>+IF(P412="ACERO A36",VLOOKUP(Q412,'[3]Tiempo Objeto'!$B$2:$C$12,2,FALSE),IF(P412="INOXIDABLE",VLOOKUP(Q412,'[3]Tiempo Objeto'!$B$14:$C$22,2,FALSE),IF(P412="ALUMINIO",VLOOKUP(Q412,'[3]Tiempo Objeto'!$B$24:$C$32,2,FALSE))))</f>
        <v>0.3133333333333333</v>
      </c>
      <c r="Y412" s="84">
        <f t="shared" si="71"/>
        <v>1.5666666666666664</v>
      </c>
      <c r="Z412" s="80">
        <f t="shared" si="72"/>
        <v>2.1759259259259256</v>
      </c>
      <c r="AA412" s="100">
        <v>1</v>
      </c>
      <c r="AB412" s="86">
        <f>+AA412*Analisis!$J$6</f>
        <v>25</v>
      </c>
      <c r="AC412" s="100"/>
      <c r="AD412" s="85">
        <f t="shared" si="73"/>
        <v>0</v>
      </c>
      <c r="AE412" s="86">
        <f>+AC412*Analisis!$J$7</f>
        <v>0</v>
      </c>
      <c r="AF412" s="308">
        <f>+H412*0.0254*I412*0.0254*2*(1+[3]Analisis!$G$2)</f>
        <v>0.19067703799999997</v>
      </c>
      <c r="AG412" s="86">
        <f>+AF412*Analisis!$J$8</f>
        <v>20.316184405952384</v>
      </c>
      <c r="AH412" s="309">
        <f t="shared" si="64"/>
        <v>124.11132192826386</v>
      </c>
      <c r="AI412" s="86">
        <f>+AH412/(1-Analisis!G417)</f>
        <v>124.11132192826386</v>
      </c>
      <c r="AJ412" s="86">
        <f t="shared" si="74"/>
        <v>133.45303433146654</v>
      </c>
      <c r="AK412" s="86">
        <f t="shared" si="65"/>
        <v>0</v>
      </c>
      <c r="AL412" s="310" t="e">
        <f>+VLOOKUP(B412,#REF!,2,FALSE)</f>
        <v>#REF!</v>
      </c>
      <c r="AM412" s="311" t="e">
        <f t="shared" si="62"/>
        <v>#REF!</v>
      </c>
      <c r="AN412" s="312" t="e">
        <f t="shared" si="61"/>
        <v>#REF!</v>
      </c>
    </row>
    <row r="413" spans="1:40" s="73" customFormat="1" x14ac:dyDescent="0.25">
      <c r="A413" s="303">
        <v>5</v>
      </c>
      <c r="B413" s="304" t="s">
        <v>1189</v>
      </c>
      <c r="D413" s="74">
        <f>IFERROR(VLOOKUP(B413,'REQ. PINTADO'!B:C,2,0),0)</f>
        <v>0</v>
      </c>
      <c r="E413" s="305">
        <f t="shared" si="66"/>
        <v>171.42418882232442</v>
      </c>
      <c r="F413" s="103" t="s">
        <v>165</v>
      </c>
      <c r="G413" s="75" t="s">
        <v>147</v>
      </c>
      <c r="H413" s="90">
        <v>9.85</v>
      </c>
      <c r="I413" s="90">
        <v>15.15</v>
      </c>
      <c r="J413" s="76">
        <v>0.105</v>
      </c>
      <c r="K413" s="306">
        <v>16.38</v>
      </c>
      <c r="L413" s="78">
        <f t="shared" si="67"/>
        <v>8.3302744391025652</v>
      </c>
      <c r="M413" s="58">
        <f>+VLOOKUP(F413,Material!$H$2:$M$17,6,FALSE)*H413*I413*(1+Material!$K$14)</f>
        <v>62.022679687500009</v>
      </c>
      <c r="N413" s="79" t="str">
        <f t="shared" si="77"/>
        <v>T5.0</v>
      </c>
      <c r="O413" s="80">
        <f>+VLOOKUP(N413,[3]Material!$A$3:$B$58,2,FALSE)</f>
        <v>5000</v>
      </c>
      <c r="P413" s="79" t="s">
        <v>42</v>
      </c>
      <c r="Q413" s="79" t="str">
        <f>+VLOOKUP(F413,[3]Material!$C$2:$E$12,2,FALSE)</f>
        <v>Cal 14</v>
      </c>
      <c r="R413" s="81">
        <f>+IF(P413="ACERO A36",VLOOKUP(Q413,'[3]Velocidades Std 1500 w'!$B$2:$F$15,5,FALSE),IF(P413="INOXIDABLE",VLOOKUP(Q413,'[3]Velocidades Std 1500 w'!$B$17:$F$28,5,FALSE),IF(P413="ALUMINIO",VLOOKUP(Q413,'[3]Velocidades Std 1500 w'!$B$30:$F$38,5,FALSE))))</f>
        <v>2.0080321285140564E-6</v>
      </c>
      <c r="S413" s="82">
        <f t="shared" si="68"/>
        <v>1.0040160642570283E-2</v>
      </c>
      <c r="T413" s="83">
        <f t="shared" si="69"/>
        <v>12.531686746987955</v>
      </c>
      <c r="U413" s="307">
        <f t="shared" si="70"/>
        <v>1733.5500000000002</v>
      </c>
      <c r="V413" s="80">
        <f t="shared" si="75"/>
        <v>17.405120481927714</v>
      </c>
      <c r="W413" s="98">
        <v>10</v>
      </c>
      <c r="X413" s="84">
        <f>+IF(P413="ACERO A36",VLOOKUP(Q413,'[3]Tiempo Objeto'!$B$2:$C$12,2,FALSE),IF(P413="INOXIDABLE",VLOOKUP(Q413,'[3]Tiempo Objeto'!$B$14:$C$22,2,FALSE),IF(P413="ALUMINIO",VLOOKUP(Q413,'[3]Tiempo Objeto'!$B$24:$C$32,2,FALSE))))</f>
        <v>0.3133333333333333</v>
      </c>
      <c r="Y413" s="84">
        <f t="shared" si="71"/>
        <v>3.1333333333333329</v>
      </c>
      <c r="Z413" s="80">
        <f t="shared" si="72"/>
        <v>4.3518518518518512</v>
      </c>
      <c r="AA413" s="100">
        <v>2</v>
      </c>
      <c r="AB413" s="86">
        <f>+AA413*Analisis!$J$6</f>
        <v>50</v>
      </c>
      <c r="AC413" s="100"/>
      <c r="AD413" s="85">
        <f t="shared" si="73"/>
        <v>0</v>
      </c>
      <c r="AE413" s="86">
        <f>+AC413*Analisis!$J$7</f>
        <v>0</v>
      </c>
      <c r="AF413" s="308">
        <f>+H413*0.0254*I413*0.0254*2*(1+[3]Analisis!$G$2)</f>
        <v>0.24068903474999997</v>
      </c>
      <c r="AG413" s="86">
        <f>+AF413*Analisis!$J$8</f>
        <v>25.64484358348215</v>
      </c>
      <c r="AH413" s="309">
        <f t="shared" si="64"/>
        <v>159.42449560476172</v>
      </c>
      <c r="AI413" s="86">
        <f>+AH413/(1-Analisis!G418)</f>
        <v>159.42449560476172</v>
      </c>
      <c r="AJ413" s="86">
        <f t="shared" si="74"/>
        <v>171.42418882232442</v>
      </c>
      <c r="AK413" s="86">
        <f t="shared" si="65"/>
        <v>0</v>
      </c>
      <c r="AL413" s="310" t="e">
        <f>+VLOOKUP(B413,#REF!,2,FALSE)</f>
        <v>#REF!</v>
      </c>
      <c r="AM413" s="311" t="e">
        <f t="shared" si="62"/>
        <v>#REF!</v>
      </c>
      <c r="AN413" s="312" t="e">
        <f t="shared" ref="AN413:AN667" si="78">+AM413/AL413</f>
        <v>#REF!</v>
      </c>
    </row>
    <row r="414" spans="1:40" s="73" customFormat="1" x14ac:dyDescent="0.25">
      <c r="A414" s="303">
        <v>6</v>
      </c>
      <c r="B414" s="304" t="s">
        <v>1188</v>
      </c>
      <c r="D414" s="74">
        <f>IFERROR(VLOOKUP(B414,'REQ. PINTADO'!B:C,2,0),0)</f>
        <v>0</v>
      </c>
      <c r="E414" s="305">
        <f t="shared" si="66"/>
        <v>134.0288861257404</v>
      </c>
      <c r="F414" s="103" t="s">
        <v>165</v>
      </c>
      <c r="G414" s="75" t="s">
        <v>147</v>
      </c>
      <c r="H414" s="90">
        <v>2.57</v>
      </c>
      <c r="I414" s="90">
        <v>46</v>
      </c>
      <c r="J414" s="76">
        <v>0.105</v>
      </c>
      <c r="K414" s="306">
        <v>16.38</v>
      </c>
      <c r="L414" s="78">
        <f t="shared" si="67"/>
        <v>6.5993536324786346</v>
      </c>
      <c r="M414" s="58">
        <f>+VLOOKUP(F414,Material!$H$2:$M$17,6,FALSE)*H414*I414*(1+Material!$K$14)</f>
        <v>49.135187500000008</v>
      </c>
      <c r="N414" s="79" t="str">
        <f t="shared" si="77"/>
        <v>T5.0</v>
      </c>
      <c r="O414" s="80">
        <f>+VLOOKUP(N414,[3]Material!$A$3:$B$58,2,FALSE)</f>
        <v>5000</v>
      </c>
      <c r="P414" s="79" t="s">
        <v>42</v>
      </c>
      <c r="Q414" s="79" t="str">
        <f>+VLOOKUP(F414,[3]Material!$C$2:$E$12,2,FALSE)</f>
        <v>Cal 14</v>
      </c>
      <c r="R414" s="81">
        <f>+IF(P414="ACERO A36",VLOOKUP(Q414,'[3]Velocidades Std 1500 w'!$B$2:$F$15,5,FALSE),IF(P414="INOXIDABLE",VLOOKUP(Q414,'[3]Velocidades Std 1500 w'!$B$17:$F$28,5,FALSE),IF(P414="ALUMINIO",VLOOKUP(Q414,'[3]Velocidades Std 1500 w'!$B$30:$F$38,5,FALSE))))</f>
        <v>2.0080321285140564E-6</v>
      </c>
      <c r="S414" s="82">
        <f t="shared" si="68"/>
        <v>1.0040160642570283E-2</v>
      </c>
      <c r="T414" s="83">
        <f t="shared" si="69"/>
        <v>20.174087710843374</v>
      </c>
      <c r="U414" s="307">
        <f t="shared" si="70"/>
        <v>2790.7487999999998</v>
      </c>
      <c r="V414" s="80">
        <f t="shared" si="75"/>
        <v>28.019566265060245</v>
      </c>
      <c r="W414" s="98">
        <v>5</v>
      </c>
      <c r="X414" s="84">
        <f>+IF(P414="ACERO A36",VLOOKUP(Q414,'[3]Tiempo Objeto'!$B$2:$C$12,2,FALSE),IF(P414="INOXIDABLE",VLOOKUP(Q414,'[3]Tiempo Objeto'!$B$14:$C$22,2,FALSE),IF(P414="ALUMINIO",VLOOKUP(Q414,'[3]Tiempo Objeto'!$B$24:$C$32,2,FALSE))))</f>
        <v>0.3133333333333333</v>
      </c>
      <c r="Y414" s="84">
        <f t="shared" si="71"/>
        <v>1.5666666666666664</v>
      </c>
      <c r="Z414" s="80">
        <f t="shared" si="72"/>
        <v>2.1759259259259256</v>
      </c>
      <c r="AA414" s="100">
        <v>1</v>
      </c>
      <c r="AB414" s="86">
        <f>+AA414*Analisis!$J$6</f>
        <v>25</v>
      </c>
      <c r="AC414" s="100"/>
      <c r="AD414" s="85">
        <f t="shared" si="73"/>
        <v>0</v>
      </c>
      <c r="AE414" s="86">
        <f>+AC414*Analisis!$J$7</f>
        <v>0</v>
      </c>
      <c r="AF414" s="308">
        <f>+H414*0.0254*I414*0.0254*2*(1+[3]Analisis!$G$2)</f>
        <v>0.19067703799999997</v>
      </c>
      <c r="AG414" s="86">
        <f>+AF414*Analisis!$J$8</f>
        <v>20.316184405952384</v>
      </c>
      <c r="AH414" s="309">
        <f t="shared" si="64"/>
        <v>124.64686409693857</v>
      </c>
      <c r="AI414" s="86">
        <f>+AH414/(1-Analisis!G419)</f>
        <v>124.64686409693857</v>
      </c>
      <c r="AJ414" s="86">
        <f t="shared" si="74"/>
        <v>134.0288861257404</v>
      </c>
      <c r="AK414" s="86">
        <f t="shared" si="65"/>
        <v>0</v>
      </c>
      <c r="AL414" s="310" t="e">
        <f>+VLOOKUP(B414,#REF!,2,FALSE)</f>
        <v>#REF!</v>
      </c>
      <c r="AM414" s="311" t="e">
        <f t="shared" ref="AM414:AM668" si="79">+AL414-E414</f>
        <v>#REF!</v>
      </c>
      <c r="AN414" s="312" t="e">
        <f t="shared" si="78"/>
        <v>#REF!</v>
      </c>
    </row>
    <row r="415" spans="1:40" s="73" customFormat="1" x14ac:dyDescent="0.25">
      <c r="A415" s="303">
        <v>7</v>
      </c>
      <c r="B415" s="304" t="s">
        <v>1189</v>
      </c>
      <c r="D415" s="74">
        <f>IFERROR(VLOOKUP(B415,'REQ. PINTADO'!B:C,2,0),0)</f>
        <v>0</v>
      </c>
      <c r="E415" s="305">
        <f t="shared" si="66"/>
        <v>171.42418882232442</v>
      </c>
      <c r="F415" s="103" t="s">
        <v>165</v>
      </c>
      <c r="G415" s="75" t="s">
        <v>147</v>
      </c>
      <c r="H415" s="90">
        <v>9.85</v>
      </c>
      <c r="I415" s="90">
        <v>15.15</v>
      </c>
      <c r="J415" s="76">
        <v>0.105</v>
      </c>
      <c r="K415" s="306">
        <v>16.38</v>
      </c>
      <c r="L415" s="78">
        <f t="shared" si="67"/>
        <v>8.3302744391025652</v>
      </c>
      <c r="M415" s="58">
        <f>+VLOOKUP(F415,Material!$H$2:$M$17,6,FALSE)*H415*I415*(1+Material!$K$14)</f>
        <v>62.022679687500009</v>
      </c>
      <c r="N415" s="79" t="str">
        <f t="shared" si="77"/>
        <v>T5.0</v>
      </c>
      <c r="O415" s="80">
        <f>+VLOOKUP(N415,[3]Material!$A$3:$B$58,2,FALSE)</f>
        <v>5000</v>
      </c>
      <c r="P415" s="79" t="s">
        <v>42</v>
      </c>
      <c r="Q415" s="79" t="str">
        <f>+VLOOKUP(F415,[3]Material!$C$2:$E$12,2,FALSE)</f>
        <v>Cal 14</v>
      </c>
      <c r="R415" s="81">
        <f>+IF(P415="ACERO A36",VLOOKUP(Q415,'[3]Velocidades Std 1500 w'!$B$2:$F$15,5,FALSE),IF(P415="INOXIDABLE",VLOOKUP(Q415,'[3]Velocidades Std 1500 w'!$B$17:$F$28,5,FALSE),IF(P415="ALUMINIO",VLOOKUP(Q415,'[3]Velocidades Std 1500 w'!$B$30:$F$38,5,FALSE))))</f>
        <v>2.0080321285140564E-6</v>
      </c>
      <c r="S415" s="82">
        <f t="shared" si="68"/>
        <v>1.0040160642570283E-2</v>
      </c>
      <c r="T415" s="83">
        <f t="shared" si="69"/>
        <v>12.531686746987955</v>
      </c>
      <c r="U415" s="307">
        <f t="shared" si="70"/>
        <v>1733.5500000000002</v>
      </c>
      <c r="V415" s="80">
        <f t="shared" si="75"/>
        <v>17.405120481927714</v>
      </c>
      <c r="W415" s="98">
        <v>10</v>
      </c>
      <c r="X415" s="84">
        <f>+IF(P415="ACERO A36",VLOOKUP(Q415,'[3]Tiempo Objeto'!$B$2:$C$12,2,FALSE),IF(P415="INOXIDABLE",VLOOKUP(Q415,'[3]Tiempo Objeto'!$B$14:$C$22,2,FALSE),IF(P415="ALUMINIO",VLOOKUP(Q415,'[3]Tiempo Objeto'!$B$24:$C$32,2,FALSE))))</f>
        <v>0.3133333333333333</v>
      </c>
      <c r="Y415" s="84">
        <f t="shared" si="71"/>
        <v>3.1333333333333329</v>
      </c>
      <c r="Z415" s="80">
        <f t="shared" si="72"/>
        <v>4.3518518518518512</v>
      </c>
      <c r="AA415" s="100">
        <v>2</v>
      </c>
      <c r="AB415" s="86">
        <f>+AA415*Analisis!$J$6</f>
        <v>50</v>
      </c>
      <c r="AC415" s="100"/>
      <c r="AD415" s="85">
        <f t="shared" si="73"/>
        <v>0</v>
      </c>
      <c r="AE415" s="86">
        <f>+AC415*Analisis!$J$7</f>
        <v>0</v>
      </c>
      <c r="AF415" s="308">
        <f>+H415*0.0254*I415*0.0254*2*(1+[3]Analisis!$G$2)</f>
        <v>0.24068903474999997</v>
      </c>
      <c r="AG415" s="86">
        <f>+AF415*Analisis!$J$8</f>
        <v>25.64484358348215</v>
      </c>
      <c r="AH415" s="309">
        <f t="shared" si="64"/>
        <v>159.42449560476172</v>
      </c>
      <c r="AI415" s="86">
        <f>+AH415/(1-Analisis!G420)</f>
        <v>159.42449560476172</v>
      </c>
      <c r="AJ415" s="86">
        <f t="shared" si="74"/>
        <v>171.42418882232442</v>
      </c>
      <c r="AK415" s="86">
        <f t="shared" si="65"/>
        <v>0</v>
      </c>
      <c r="AL415" s="310" t="e">
        <f>+VLOOKUP(B415,#REF!,2,FALSE)</f>
        <v>#REF!</v>
      </c>
      <c r="AM415" s="311" t="e">
        <f t="shared" si="79"/>
        <v>#REF!</v>
      </c>
      <c r="AN415" s="312" t="e">
        <f t="shared" si="78"/>
        <v>#REF!</v>
      </c>
    </row>
    <row r="416" spans="1:40" s="73" customFormat="1" x14ac:dyDescent="0.25">
      <c r="A416" s="303"/>
      <c r="B416" s="304" t="s">
        <v>1190</v>
      </c>
      <c r="D416" s="74">
        <f>IFERROR(VLOOKUP(B416,'REQ. PINTADO'!B:C,2,0),0)</f>
        <v>0</v>
      </c>
      <c r="E416" s="305">
        <f t="shared" si="66"/>
        <v>530.37136105232389</v>
      </c>
      <c r="F416" s="103" t="s">
        <v>165</v>
      </c>
      <c r="G416" s="75" t="s">
        <v>147</v>
      </c>
      <c r="H416" s="90">
        <v>23.35</v>
      </c>
      <c r="I416" s="90">
        <v>23.08</v>
      </c>
      <c r="J416" s="76">
        <v>0.105</v>
      </c>
      <c r="K416" s="306">
        <v>16.38</v>
      </c>
      <c r="L416" s="78">
        <f t="shared" si="67"/>
        <v>30.083830662393162</v>
      </c>
      <c r="M416" s="58">
        <f>+VLOOKUP(F416,Material!$H$2:$M$17,6,FALSE)*H416*I416*(1+Material!$K$14)</f>
        <v>223.98779374999998</v>
      </c>
      <c r="N416" s="79" t="str">
        <f t="shared" si="77"/>
        <v>T5.0</v>
      </c>
      <c r="O416" s="80">
        <f>+VLOOKUP(N416,[3]Material!$A$3:$B$58,2,FALSE)</f>
        <v>5000</v>
      </c>
      <c r="P416" s="79" t="s">
        <v>42</v>
      </c>
      <c r="Q416" s="79" t="str">
        <f>+VLOOKUP(F416,[3]Material!$C$2:$E$12,2,FALSE)</f>
        <v>Cal 14</v>
      </c>
      <c r="R416" s="81">
        <f>+IF(P416="ACERO A36",VLOOKUP(Q416,'[3]Velocidades Std 1500 w'!$B$2:$F$15,5,FALSE),IF(P416="INOXIDABLE",VLOOKUP(Q416,'[3]Velocidades Std 1500 w'!$B$17:$F$28,5,FALSE),IF(P416="ALUMINIO",VLOOKUP(Q416,'[3]Velocidades Std 1500 w'!$B$30:$F$38,5,FALSE))))</f>
        <v>2.0080321285140564E-6</v>
      </c>
      <c r="S416" s="82">
        <f t="shared" si="68"/>
        <v>1.0040160642570283E-2</v>
      </c>
      <c r="T416" s="83">
        <f t="shared" si="69"/>
        <v>27.15712915662651</v>
      </c>
      <c r="U416" s="307">
        <f t="shared" si="70"/>
        <v>3756.7362000000003</v>
      </c>
      <c r="V416" s="80">
        <f t="shared" si="75"/>
        <v>37.718234939759043</v>
      </c>
      <c r="W416" s="98">
        <v>32</v>
      </c>
      <c r="X416" s="84">
        <f>+IF(P416="ACERO A36",VLOOKUP(Q416,'[3]Tiempo Objeto'!$B$2:$C$12,2,FALSE),IF(P416="INOXIDABLE",VLOOKUP(Q416,'[3]Tiempo Objeto'!$B$14:$C$22,2,FALSE),IF(P416="ALUMINIO",VLOOKUP(Q416,'[3]Tiempo Objeto'!$B$24:$C$32,2,FALSE))))</f>
        <v>0.3133333333333333</v>
      </c>
      <c r="Y416" s="84">
        <f t="shared" si="71"/>
        <v>10.026666666666666</v>
      </c>
      <c r="Z416" s="80">
        <f t="shared" si="72"/>
        <v>13.925925925925924</v>
      </c>
      <c r="AA416" s="100">
        <v>5</v>
      </c>
      <c r="AB416" s="86">
        <f>+AA416*Analisis!$J$6</f>
        <v>125</v>
      </c>
      <c r="AC416" s="100"/>
      <c r="AD416" s="85">
        <f t="shared" si="73"/>
        <v>0</v>
      </c>
      <c r="AE416" s="86">
        <f>+AC416*Analisis!$J$7</f>
        <v>0</v>
      </c>
      <c r="AF416" s="308">
        <f>+H416*0.0254*I416*0.0254*2*(1+[3]Analisis!$G$2)</f>
        <v>0.86922084220000007</v>
      </c>
      <c r="AG416" s="86">
        <f>+AF416*Analisis!$J$8</f>
        <v>92.61341116297622</v>
      </c>
      <c r="AH416" s="309">
        <f t="shared" si="64"/>
        <v>493.24536577866115</v>
      </c>
      <c r="AI416" s="86">
        <f>+AH416/(1-Analisis!G421)</f>
        <v>493.24536577866115</v>
      </c>
      <c r="AJ416" s="86">
        <f t="shared" si="74"/>
        <v>530.37136105232389</v>
      </c>
      <c r="AK416" s="86">
        <f t="shared" si="65"/>
        <v>0</v>
      </c>
      <c r="AL416" s="310" t="e">
        <f>+VLOOKUP(B416,#REF!,2,FALSE)</f>
        <v>#REF!</v>
      </c>
      <c r="AM416" s="311" t="e">
        <f t="shared" si="79"/>
        <v>#REF!</v>
      </c>
      <c r="AN416" s="312" t="e">
        <f t="shared" si="78"/>
        <v>#REF!</v>
      </c>
    </row>
    <row r="417" spans="1:40" s="73" customFormat="1" x14ac:dyDescent="0.25">
      <c r="A417" s="303"/>
      <c r="B417" s="304" t="s">
        <v>1191</v>
      </c>
      <c r="D417" s="74">
        <f>IFERROR(VLOOKUP(B417,'REQ. PINTADO'!B:C,2,0),0)</f>
        <v>0</v>
      </c>
      <c r="E417" s="305">
        <f t="shared" si="66"/>
        <v>530.37136105232389</v>
      </c>
      <c r="F417" s="103" t="s">
        <v>165</v>
      </c>
      <c r="G417" s="75" t="s">
        <v>147</v>
      </c>
      <c r="H417" s="90">
        <v>23.35</v>
      </c>
      <c r="I417" s="90">
        <v>23.08</v>
      </c>
      <c r="J417" s="76">
        <v>0.105</v>
      </c>
      <c r="K417" s="306">
        <v>16.38</v>
      </c>
      <c r="L417" s="78">
        <f t="shared" si="67"/>
        <v>30.083830662393162</v>
      </c>
      <c r="M417" s="58">
        <f>+VLOOKUP(F417,Material!$H$2:$M$17,6,FALSE)*H417*I417*(1+Material!$K$14)</f>
        <v>223.98779374999998</v>
      </c>
      <c r="N417" s="79" t="str">
        <f t="shared" si="77"/>
        <v>T5.0</v>
      </c>
      <c r="O417" s="80">
        <f>+VLOOKUP(N417,[3]Material!$A$3:$B$58,2,FALSE)</f>
        <v>5000</v>
      </c>
      <c r="P417" s="79" t="s">
        <v>42</v>
      </c>
      <c r="Q417" s="79" t="str">
        <f>+VLOOKUP(F417,[3]Material!$C$2:$E$12,2,FALSE)</f>
        <v>Cal 14</v>
      </c>
      <c r="R417" s="81">
        <f>+IF(P417="ACERO A36",VLOOKUP(Q417,'[3]Velocidades Std 1500 w'!$B$2:$F$15,5,FALSE),IF(P417="INOXIDABLE",VLOOKUP(Q417,'[3]Velocidades Std 1500 w'!$B$17:$F$28,5,FALSE),IF(P417="ALUMINIO",VLOOKUP(Q417,'[3]Velocidades Std 1500 w'!$B$30:$F$38,5,FALSE))))</f>
        <v>2.0080321285140564E-6</v>
      </c>
      <c r="S417" s="82">
        <f t="shared" si="68"/>
        <v>1.0040160642570283E-2</v>
      </c>
      <c r="T417" s="83">
        <f t="shared" si="69"/>
        <v>27.15712915662651</v>
      </c>
      <c r="U417" s="307">
        <f t="shared" si="70"/>
        <v>3756.7362000000003</v>
      </c>
      <c r="V417" s="80">
        <f t="shared" si="75"/>
        <v>37.718234939759043</v>
      </c>
      <c r="W417" s="98">
        <v>32</v>
      </c>
      <c r="X417" s="84">
        <f>+IF(P417="ACERO A36",VLOOKUP(Q417,'[3]Tiempo Objeto'!$B$2:$C$12,2,FALSE),IF(P417="INOXIDABLE",VLOOKUP(Q417,'[3]Tiempo Objeto'!$B$14:$C$22,2,FALSE),IF(P417="ALUMINIO",VLOOKUP(Q417,'[3]Tiempo Objeto'!$B$24:$C$32,2,FALSE))))</f>
        <v>0.3133333333333333</v>
      </c>
      <c r="Y417" s="84">
        <f t="shared" si="71"/>
        <v>10.026666666666666</v>
      </c>
      <c r="Z417" s="80">
        <f t="shared" si="72"/>
        <v>13.925925925925924</v>
      </c>
      <c r="AA417" s="100">
        <v>5</v>
      </c>
      <c r="AB417" s="86">
        <f>+AA417*Analisis!$J$6</f>
        <v>125</v>
      </c>
      <c r="AC417" s="100"/>
      <c r="AD417" s="85">
        <f t="shared" si="73"/>
        <v>0</v>
      </c>
      <c r="AE417" s="86">
        <f>+AC417*Analisis!$J$7</f>
        <v>0</v>
      </c>
      <c r="AF417" s="308">
        <f>+H417*0.0254*I417*0.0254*2*(1+[3]Analisis!$G$2)</f>
        <v>0.86922084220000007</v>
      </c>
      <c r="AG417" s="86">
        <f>+AF417*Analisis!$J$8</f>
        <v>92.61341116297622</v>
      </c>
      <c r="AH417" s="309">
        <f t="shared" si="64"/>
        <v>493.24536577866115</v>
      </c>
      <c r="AI417" s="86">
        <f>+AH417/(1-Analisis!G422)</f>
        <v>493.24536577866115</v>
      </c>
      <c r="AJ417" s="86">
        <f t="shared" si="74"/>
        <v>530.37136105232389</v>
      </c>
      <c r="AK417" s="86">
        <f t="shared" si="65"/>
        <v>0</v>
      </c>
      <c r="AL417" s="310" t="e">
        <f>+VLOOKUP(B417,#REF!,2,FALSE)</f>
        <v>#REF!</v>
      </c>
      <c r="AM417" s="311" t="e">
        <f t="shared" si="79"/>
        <v>#REF!</v>
      </c>
      <c r="AN417" s="312" t="e">
        <f t="shared" si="78"/>
        <v>#REF!</v>
      </c>
    </row>
    <row r="418" spans="1:40" s="73" customFormat="1" x14ac:dyDescent="0.25">
      <c r="A418" s="303"/>
      <c r="B418" s="304" t="s">
        <v>1192</v>
      </c>
      <c r="D418" s="74">
        <f>IFERROR(VLOOKUP(B418,'REQ. PINTADO'!B:C,2,0),0)</f>
        <v>0</v>
      </c>
      <c r="E418" s="305">
        <f t="shared" si="66"/>
        <v>530.37136105232389</v>
      </c>
      <c r="F418" s="103" t="s">
        <v>165</v>
      </c>
      <c r="G418" s="75" t="s">
        <v>147</v>
      </c>
      <c r="H418" s="90">
        <v>23.35</v>
      </c>
      <c r="I418" s="90">
        <v>23.08</v>
      </c>
      <c r="J418" s="76">
        <v>0.105</v>
      </c>
      <c r="K418" s="306">
        <v>16.38</v>
      </c>
      <c r="L418" s="78">
        <f t="shared" si="67"/>
        <v>30.083830662393162</v>
      </c>
      <c r="M418" s="58">
        <f>+VLOOKUP(F418,Material!$H$2:$M$17,6,FALSE)*H418*I418*(1+Material!$K$14)</f>
        <v>223.98779374999998</v>
      </c>
      <c r="N418" s="79" t="str">
        <f t="shared" si="77"/>
        <v>T5.0</v>
      </c>
      <c r="O418" s="80">
        <f>+VLOOKUP(N418,[3]Material!$A$3:$B$58,2,FALSE)</f>
        <v>5000</v>
      </c>
      <c r="P418" s="79" t="s">
        <v>42</v>
      </c>
      <c r="Q418" s="79" t="str">
        <f>+VLOOKUP(F418,[3]Material!$C$2:$E$12,2,FALSE)</f>
        <v>Cal 14</v>
      </c>
      <c r="R418" s="81">
        <f>+IF(P418="ACERO A36",VLOOKUP(Q418,'[3]Velocidades Std 1500 w'!$B$2:$F$15,5,FALSE),IF(P418="INOXIDABLE",VLOOKUP(Q418,'[3]Velocidades Std 1500 w'!$B$17:$F$28,5,FALSE),IF(P418="ALUMINIO",VLOOKUP(Q418,'[3]Velocidades Std 1500 w'!$B$30:$F$38,5,FALSE))))</f>
        <v>2.0080321285140564E-6</v>
      </c>
      <c r="S418" s="82">
        <f t="shared" si="68"/>
        <v>1.0040160642570283E-2</v>
      </c>
      <c r="T418" s="83">
        <f t="shared" si="69"/>
        <v>27.15712915662651</v>
      </c>
      <c r="U418" s="307">
        <f t="shared" si="70"/>
        <v>3756.7362000000003</v>
      </c>
      <c r="V418" s="80">
        <f t="shared" si="75"/>
        <v>37.718234939759043</v>
      </c>
      <c r="W418" s="98">
        <v>32</v>
      </c>
      <c r="X418" s="84">
        <f>+IF(P418="ACERO A36",VLOOKUP(Q418,'[3]Tiempo Objeto'!$B$2:$C$12,2,FALSE),IF(P418="INOXIDABLE",VLOOKUP(Q418,'[3]Tiempo Objeto'!$B$14:$C$22,2,FALSE),IF(P418="ALUMINIO",VLOOKUP(Q418,'[3]Tiempo Objeto'!$B$24:$C$32,2,FALSE))))</f>
        <v>0.3133333333333333</v>
      </c>
      <c r="Y418" s="84">
        <f t="shared" si="71"/>
        <v>10.026666666666666</v>
      </c>
      <c r="Z418" s="80">
        <f t="shared" si="72"/>
        <v>13.925925925925924</v>
      </c>
      <c r="AA418" s="100">
        <v>5</v>
      </c>
      <c r="AB418" s="86">
        <f>+AA418*Analisis!$J$6</f>
        <v>125</v>
      </c>
      <c r="AC418" s="100"/>
      <c r="AD418" s="85">
        <f t="shared" si="73"/>
        <v>0</v>
      </c>
      <c r="AE418" s="86">
        <f>+AC418*Analisis!$J$7</f>
        <v>0</v>
      </c>
      <c r="AF418" s="308">
        <f>+H418*0.0254*I418*0.0254*2*(1+[3]Analisis!$G$2)</f>
        <v>0.86922084220000007</v>
      </c>
      <c r="AG418" s="86">
        <f>+AF418*Analisis!$J$8</f>
        <v>92.61341116297622</v>
      </c>
      <c r="AH418" s="309">
        <f t="shared" si="64"/>
        <v>493.24536577866115</v>
      </c>
      <c r="AI418" s="86">
        <f>+AH418/(1-Analisis!G423)</f>
        <v>493.24536577866115</v>
      </c>
      <c r="AJ418" s="86">
        <f t="shared" si="74"/>
        <v>530.37136105232389</v>
      </c>
      <c r="AK418" s="86">
        <f t="shared" si="65"/>
        <v>0</v>
      </c>
      <c r="AL418" s="310" t="e">
        <f>+VLOOKUP(B418,#REF!,2,FALSE)</f>
        <v>#REF!</v>
      </c>
      <c r="AM418" s="311" t="e">
        <f t="shared" si="79"/>
        <v>#REF!</v>
      </c>
      <c r="AN418" s="312" t="e">
        <f t="shared" si="78"/>
        <v>#REF!</v>
      </c>
    </row>
    <row r="419" spans="1:40" s="73" customFormat="1" x14ac:dyDescent="0.25">
      <c r="A419" s="303">
        <v>1</v>
      </c>
      <c r="B419" s="304" t="s">
        <v>1193</v>
      </c>
      <c r="D419" s="74">
        <f>IFERROR(VLOOKUP(B419,'REQ. PINTADO'!B:C,2,0),0)</f>
        <v>0</v>
      </c>
      <c r="E419" s="305">
        <f t="shared" si="66"/>
        <v>530.37136105232389</v>
      </c>
      <c r="F419" s="103" t="s">
        <v>165</v>
      </c>
      <c r="G419" s="75" t="s">
        <v>147</v>
      </c>
      <c r="H419" s="90">
        <v>23.35</v>
      </c>
      <c r="I419" s="90">
        <v>23.08</v>
      </c>
      <c r="J419" s="76">
        <v>0.105</v>
      </c>
      <c r="K419" s="306">
        <v>16.38</v>
      </c>
      <c r="L419" s="78">
        <f t="shared" si="67"/>
        <v>30.083830662393162</v>
      </c>
      <c r="M419" s="58">
        <f>+VLOOKUP(F419,Material!$H$2:$M$17,6,FALSE)*H419*I419*(1+Material!$K$14)</f>
        <v>223.98779374999998</v>
      </c>
      <c r="N419" s="79" t="str">
        <f t="shared" si="77"/>
        <v>T5.0</v>
      </c>
      <c r="O419" s="80">
        <f>+VLOOKUP(N419,[3]Material!$A$3:$B$58,2,FALSE)</f>
        <v>5000</v>
      </c>
      <c r="P419" s="79" t="s">
        <v>42</v>
      </c>
      <c r="Q419" s="79" t="str">
        <f>+VLOOKUP(F419,[3]Material!$C$2:$E$12,2,FALSE)</f>
        <v>Cal 14</v>
      </c>
      <c r="R419" s="81">
        <f>+IF(P419="ACERO A36",VLOOKUP(Q419,'[3]Velocidades Std 1500 w'!$B$2:$F$15,5,FALSE),IF(P419="INOXIDABLE",VLOOKUP(Q419,'[3]Velocidades Std 1500 w'!$B$17:$F$28,5,FALSE),IF(P419="ALUMINIO",VLOOKUP(Q419,'[3]Velocidades Std 1500 w'!$B$30:$F$38,5,FALSE))))</f>
        <v>2.0080321285140564E-6</v>
      </c>
      <c r="S419" s="82">
        <f t="shared" si="68"/>
        <v>1.0040160642570283E-2</v>
      </c>
      <c r="T419" s="83">
        <f t="shared" si="69"/>
        <v>27.15712915662651</v>
      </c>
      <c r="U419" s="307">
        <f t="shared" si="70"/>
        <v>3756.7362000000003</v>
      </c>
      <c r="V419" s="80">
        <f t="shared" si="75"/>
        <v>37.718234939759043</v>
      </c>
      <c r="W419" s="98">
        <v>32</v>
      </c>
      <c r="X419" s="84">
        <f>+IF(P419="ACERO A36",VLOOKUP(Q419,'[3]Tiempo Objeto'!$B$2:$C$12,2,FALSE),IF(P419="INOXIDABLE",VLOOKUP(Q419,'[3]Tiempo Objeto'!$B$14:$C$22,2,FALSE),IF(P419="ALUMINIO",VLOOKUP(Q419,'[3]Tiempo Objeto'!$B$24:$C$32,2,FALSE))))</f>
        <v>0.3133333333333333</v>
      </c>
      <c r="Y419" s="84">
        <f t="shared" si="71"/>
        <v>10.026666666666666</v>
      </c>
      <c r="Z419" s="80">
        <f t="shared" si="72"/>
        <v>13.925925925925924</v>
      </c>
      <c r="AA419" s="100">
        <v>5</v>
      </c>
      <c r="AB419" s="86">
        <f>+AA419*Analisis!$J$6</f>
        <v>125</v>
      </c>
      <c r="AC419" s="100"/>
      <c r="AD419" s="85">
        <f t="shared" si="73"/>
        <v>0</v>
      </c>
      <c r="AE419" s="86">
        <f>+AC419*Analisis!$J$7</f>
        <v>0</v>
      </c>
      <c r="AF419" s="308">
        <f>+H419*0.0254*I419*0.0254*2*(1+[3]Analisis!$G$2)</f>
        <v>0.86922084220000007</v>
      </c>
      <c r="AG419" s="86">
        <f>+AF419*Analisis!$J$8</f>
        <v>92.61341116297622</v>
      </c>
      <c r="AH419" s="309">
        <f t="shared" si="64"/>
        <v>493.24536577866115</v>
      </c>
      <c r="AI419" s="86">
        <f>+AH419/(1-Analisis!G424)</f>
        <v>493.24536577866115</v>
      </c>
      <c r="AJ419" s="86">
        <f t="shared" si="74"/>
        <v>530.37136105232389</v>
      </c>
      <c r="AK419" s="86">
        <f t="shared" si="65"/>
        <v>0</v>
      </c>
      <c r="AL419" s="310" t="e">
        <f>+VLOOKUP(B419,#REF!,2,FALSE)</f>
        <v>#REF!</v>
      </c>
      <c r="AM419" s="311" t="e">
        <f t="shared" si="79"/>
        <v>#REF!</v>
      </c>
      <c r="AN419" s="312" t="e">
        <f t="shared" si="78"/>
        <v>#REF!</v>
      </c>
    </row>
    <row r="420" spans="1:40" s="73" customFormat="1" x14ac:dyDescent="0.25">
      <c r="A420" s="303">
        <v>2</v>
      </c>
      <c r="B420" s="304" t="s">
        <v>1194</v>
      </c>
      <c r="D420" s="74">
        <f>IFERROR(VLOOKUP(B420,'REQ. PINTADO'!B:C,2,0),0)</f>
        <v>0</v>
      </c>
      <c r="E420" s="305">
        <f t="shared" si="66"/>
        <v>671.48428540193368</v>
      </c>
      <c r="F420" s="103" t="s">
        <v>165</v>
      </c>
      <c r="G420" s="75" t="s">
        <v>147</v>
      </c>
      <c r="H420" s="90">
        <v>23.33</v>
      </c>
      <c r="I420" s="90">
        <v>33.020000000000003</v>
      </c>
      <c r="J420" s="76">
        <v>0.105</v>
      </c>
      <c r="K420" s="306">
        <v>16.38</v>
      </c>
      <c r="L420" s="78">
        <f t="shared" si="67"/>
        <v>43.003346527777786</v>
      </c>
      <c r="M420" s="58">
        <f>+VLOOKUP(F420,Material!$H$2:$M$17,6,FALSE)*H420*I420*(1+Material!$K$14)</f>
        <v>320.17946187500002</v>
      </c>
      <c r="N420" s="79" t="str">
        <f t="shared" si="77"/>
        <v>T5.0</v>
      </c>
      <c r="O420" s="80">
        <f>+VLOOKUP(N420,[3]Material!$A$3:$B$58,2,FALSE)</f>
        <v>5000</v>
      </c>
      <c r="P420" s="79" t="s">
        <v>42</v>
      </c>
      <c r="Q420" s="79" t="str">
        <f>+VLOOKUP(F420,[3]Material!$C$2:$E$12,2,FALSE)</f>
        <v>Cal 14</v>
      </c>
      <c r="R420" s="81">
        <f>+IF(P420="ACERO A36",VLOOKUP(Q420,'[3]Velocidades Std 1500 w'!$B$2:$F$15,5,FALSE),IF(P420="INOXIDABLE",VLOOKUP(Q420,'[3]Velocidades Std 1500 w'!$B$17:$F$28,5,FALSE),IF(P420="ALUMINIO",VLOOKUP(Q420,'[3]Velocidades Std 1500 w'!$B$30:$F$38,5,FALSE))))</f>
        <v>2.0080321285140564E-6</v>
      </c>
      <c r="S420" s="82">
        <f t="shared" si="68"/>
        <v>1.0040160642570283E-2</v>
      </c>
      <c r="T420" s="83">
        <f t="shared" si="69"/>
        <v>27.511872289156628</v>
      </c>
      <c r="U420" s="307">
        <f t="shared" si="70"/>
        <v>3805.8089999999997</v>
      </c>
      <c r="V420" s="80">
        <f t="shared" si="75"/>
        <v>38.210933734939765</v>
      </c>
      <c r="W420" s="98">
        <v>20</v>
      </c>
      <c r="X420" s="84">
        <f>+IF(P420="ACERO A36",VLOOKUP(Q420,'[3]Tiempo Objeto'!$B$2:$C$12,2,FALSE),IF(P420="INOXIDABLE",VLOOKUP(Q420,'[3]Tiempo Objeto'!$B$14:$C$22,2,FALSE),IF(P420="ALUMINIO",VLOOKUP(Q420,'[3]Tiempo Objeto'!$B$24:$C$32,2,FALSE))))</f>
        <v>0.3133333333333333</v>
      </c>
      <c r="Y420" s="84">
        <f t="shared" si="71"/>
        <v>6.2666666666666657</v>
      </c>
      <c r="Z420" s="80">
        <f t="shared" si="72"/>
        <v>8.7037037037037024</v>
      </c>
      <c r="AA420" s="100">
        <v>5</v>
      </c>
      <c r="AB420" s="86">
        <f>+AA420*Analisis!$J$6</f>
        <v>125</v>
      </c>
      <c r="AC420" s="100"/>
      <c r="AD420" s="85">
        <f t="shared" si="73"/>
        <v>0</v>
      </c>
      <c r="AE420" s="86">
        <f>+AC420*Analisis!$J$7</f>
        <v>0</v>
      </c>
      <c r="AF420" s="308">
        <f>+H420*0.0254*I420*0.0254*2*(1+[3]Analisis!$G$2)</f>
        <v>1.2425081601400001</v>
      </c>
      <c r="AG420" s="86">
        <f>+AF420*Analisis!$J$8</f>
        <v>132.3862861101548</v>
      </c>
      <c r="AH420" s="309">
        <f t="shared" si="64"/>
        <v>624.48038542379823</v>
      </c>
      <c r="AI420" s="86">
        <f>+AH420/(1-Analisis!G425)</f>
        <v>624.48038542379823</v>
      </c>
      <c r="AJ420" s="86">
        <f t="shared" si="74"/>
        <v>671.48428540193368</v>
      </c>
      <c r="AK420" s="86">
        <f t="shared" si="65"/>
        <v>0</v>
      </c>
      <c r="AL420" s="310" t="e">
        <f>+VLOOKUP(B420,#REF!,2,FALSE)</f>
        <v>#REF!</v>
      </c>
      <c r="AM420" s="311" t="e">
        <f t="shared" si="79"/>
        <v>#REF!</v>
      </c>
      <c r="AN420" s="312" t="e">
        <f t="shared" si="78"/>
        <v>#REF!</v>
      </c>
    </row>
    <row r="421" spans="1:40" s="73" customFormat="1" x14ac:dyDescent="0.25">
      <c r="A421" s="303">
        <v>3</v>
      </c>
      <c r="B421" s="304" t="s">
        <v>1195</v>
      </c>
      <c r="D421" s="74">
        <f>IFERROR(VLOOKUP(B421,'REQ. PINTADO'!B:C,2,0),0)</f>
        <v>0</v>
      </c>
      <c r="E421" s="305">
        <f t="shared" si="66"/>
        <v>123.61814319624484</v>
      </c>
      <c r="F421" s="103" t="s">
        <v>165</v>
      </c>
      <c r="G421" s="75" t="s">
        <v>147</v>
      </c>
      <c r="H421" s="90">
        <v>5.37</v>
      </c>
      <c r="I421" s="90">
        <v>17.25</v>
      </c>
      <c r="J421" s="76">
        <v>0.105</v>
      </c>
      <c r="K421" s="306">
        <v>16.38</v>
      </c>
      <c r="L421" s="78">
        <f t="shared" si="67"/>
        <v>5.170991586538463</v>
      </c>
      <c r="M421" s="58">
        <f>+VLOOKUP(F421,Material!$H$2:$M$17,6,FALSE)*H421*I421*(1+Material!$K$14)</f>
        <v>38.500382812500007</v>
      </c>
      <c r="N421" s="79" t="str">
        <f t="shared" si="77"/>
        <v>T5.0</v>
      </c>
      <c r="O421" s="80">
        <f>+VLOOKUP(N421,[3]Material!$A$3:$B$58,2,FALSE)</f>
        <v>5000</v>
      </c>
      <c r="P421" s="79" t="s">
        <v>42</v>
      </c>
      <c r="Q421" s="79" t="str">
        <f>+VLOOKUP(F421,[3]Material!$C$2:$E$12,2,FALSE)</f>
        <v>Cal 14</v>
      </c>
      <c r="R421" s="81">
        <f>+IF(P421="ACERO A36",VLOOKUP(Q421,'[3]Velocidades Std 1500 w'!$B$2:$F$15,5,FALSE),IF(P421="INOXIDABLE",VLOOKUP(Q421,'[3]Velocidades Std 1500 w'!$B$17:$F$28,5,FALSE),IF(P421="ALUMINIO",VLOOKUP(Q421,'[3]Velocidades Std 1500 w'!$B$30:$F$38,5,FALSE))))</f>
        <v>2.0080321285140564E-6</v>
      </c>
      <c r="S421" s="82">
        <f t="shared" si="68"/>
        <v>1.0040160642570283E-2</v>
      </c>
      <c r="T421" s="83">
        <f t="shared" si="69"/>
        <v>16.819451566265062</v>
      </c>
      <c r="U421" s="307">
        <f t="shared" si="70"/>
        <v>2326.6908000000003</v>
      </c>
      <c r="V421" s="80">
        <f t="shared" si="75"/>
        <v>23.360349397590369</v>
      </c>
      <c r="W421" s="98">
        <v>28</v>
      </c>
      <c r="X421" s="84">
        <f>+IF(P421="ACERO A36",VLOOKUP(Q421,'[3]Tiempo Objeto'!$B$2:$C$12,2,FALSE),IF(P421="INOXIDABLE",VLOOKUP(Q421,'[3]Tiempo Objeto'!$B$14:$C$22,2,FALSE),IF(P421="ALUMINIO",VLOOKUP(Q421,'[3]Tiempo Objeto'!$B$24:$C$32,2,FALSE))))</f>
        <v>0.3133333333333333</v>
      </c>
      <c r="Y421" s="84">
        <f t="shared" si="71"/>
        <v>8.7733333333333317</v>
      </c>
      <c r="Z421" s="80">
        <f t="shared" si="72"/>
        <v>12.185185185185183</v>
      </c>
      <c r="AA421" s="100">
        <v>1</v>
      </c>
      <c r="AB421" s="86">
        <f>+AA421*Analisis!$J$6</f>
        <v>25</v>
      </c>
      <c r="AC421" s="100"/>
      <c r="AD421" s="85">
        <f t="shared" si="73"/>
        <v>0</v>
      </c>
      <c r="AE421" s="86">
        <f>+AC421*Analisis!$J$7</f>
        <v>0</v>
      </c>
      <c r="AF421" s="308">
        <f>+H421*0.0254*I421*0.0254*2*(1+[3]Analisis!$G$2)</f>
        <v>0.14940695925</v>
      </c>
      <c r="AG421" s="86">
        <f>+AF421*Analisis!$J$8</f>
        <v>15.918955777232147</v>
      </c>
      <c r="AH421" s="309">
        <f t="shared" si="64"/>
        <v>114.96487317250769</v>
      </c>
      <c r="AI421" s="86">
        <f>+AH421/(1-Analisis!G426)</f>
        <v>114.96487317250769</v>
      </c>
      <c r="AJ421" s="86">
        <f t="shared" si="74"/>
        <v>123.61814319624484</v>
      </c>
      <c r="AK421" s="86">
        <f t="shared" si="65"/>
        <v>0</v>
      </c>
      <c r="AL421" s="310" t="e">
        <f>+VLOOKUP(B421,#REF!,2,FALSE)</f>
        <v>#REF!</v>
      </c>
      <c r="AM421" s="311" t="e">
        <f t="shared" si="79"/>
        <v>#REF!</v>
      </c>
      <c r="AN421" s="312" t="e">
        <f t="shared" si="78"/>
        <v>#REF!</v>
      </c>
    </row>
    <row r="422" spans="1:40" s="73" customFormat="1" x14ac:dyDescent="0.25">
      <c r="A422" s="303">
        <v>4</v>
      </c>
      <c r="B422" s="304" t="s">
        <v>1196</v>
      </c>
      <c r="D422" s="74">
        <f>IFERROR(VLOOKUP(B422,'REQ. PINTADO'!B:C,2,0),0)</f>
        <v>0</v>
      </c>
      <c r="E422" s="305">
        <f t="shared" si="66"/>
        <v>2037.7382901387052</v>
      </c>
      <c r="F422" s="103" t="s">
        <v>165</v>
      </c>
      <c r="G422" s="75" t="s">
        <v>147</v>
      </c>
      <c r="H422" s="90">
        <v>70.927999999999997</v>
      </c>
      <c r="I422" s="90">
        <v>33.11</v>
      </c>
      <c r="J422" s="76">
        <v>0.105</v>
      </c>
      <c r="K422" s="306">
        <v>16.38</v>
      </c>
      <c r="L422" s="78">
        <f t="shared" si="67"/>
        <v>131.09536611111113</v>
      </c>
      <c r="M422" s="58">
        <f>+VLOOKUP(F422,Material!$H$2:$M$17,6,FALSE)*H422*I422*(1+Material!$K$14)</f>
        <v>976.06458950000001</v>
      </c>
      <c r="N422" s="79" t="str">
        <f t="shared" si="77"/>
        <v>T5.0</v>
      </c>
      <c r="O422" s="80">
        <f>+VLOOKUP(N422,[3]Material!$A$3:$B$58,2,FALSE)</f>
        <v>5000</v>
      </c>
      <c r="P422" s="79" t="s">
        <v>42</v>
      </c>
      <c r="Q422" s="79" t="str">
        <f>+VLOOKUP(F422,[3]Material!$C$2:$E$12,2,FALSE)</f>
        <v>Cal 14</v>
      </c>
      <c r="R422" s="81">
        <f>+IF(P422="ACERO A36",VLOOKUP(Q422,'[3]Velocidades Std 1500 w'!$B$2:$F$15,5,FALSE),IF(P422="INOXIDABLE",VLOOKUP(Q422,'[3]Velocidades Std 1500 w'!$B$17:$F$28,5,FALSE),IF(P422="ALUMINIO",VLOOKUP(Q422,'[3]Velocidades Std 1500 w'!$B$30:$F$38,5,FALSE))))</f>
        <v>2.0080321285140564E-6</v>
      </c>
      <c r="S422" s="82">
        <f t="shared" si="68"/>
        <v>1.0040160642570283E-2</v>
      </c>
      <c r="T422" s="83">
        <f t="shared" si="69"/>
        <v>155.79315845783137</v>
      </c>
      <c r="U422" s="307">
        <f t="shared" si="70"/>
        <v>21551.386920000001</v>
      </c>
      <c r="V422" s="80">
        <f t="shared" si="75"/>
        <v>216.37938674698799</v>
      </c>
      <c r="W422" s="98">
        <v>400</v>
      </c>
      <c r="X422" s="84">
        <f>+IF(P422="ACERO A36",VLOOKUP(Q422,'[3]Tiempo Objeto'!$B$2:$C$12,2,FALSE),IF(P422="INOXIDABLE",VLOOKUP(Q422,'[3]Tiempo Objeto'!$B$14:$C$22,2,FALSE),IF(P422="ALUMINIO",VLOOKUP(Q422,'[3]Tiempo Objeto'!$B$24:$C$32,2,FALSE))))</f>
        <v>0.3133333333333333</v>
      </c>
      <c r="Y422" s="84">
        <f t="shared" si="71"/>
        <v>125.33333333333331</v>
      </c>
      <c r="Z422" s="80">
        <f t="shared" si="72"/>
        <v>174.07407407407408</v>
      </c>
      <c r="AA422" s="100">
        <v>5</v>
      </c>
      <c r="AB422" s="86">
        <f>+AA422*Analisis!$J$6</f>
        <v>125</v>
      </c>
      <c r="AC422" s="100"/>
      <c r="AD422" s="85">
        <f t="shared" si="73"/>
        <v>0</v>
      </c>
      <c r="AE422" s="86">
        <f>+AC422*Analisis!$J$7</f>
        <v>0</v>
      </c>
      <c r="AF422" s="308">
        <f>+H422*0.0254*I422*0.0254*2*(1+[3]Analisis!$G$2)</f>
        <v>3.7877764244319998</v>
      </c>
      <c r="AG422" s="86">
        <f>+AF422*Analisis!$J$8</f>
        <v>403.57855950793345</v>
      </c>
      <c r="AH422" s="309">
        <f t="shared" si="64"/>
        <v>1895.0966098289957</v>
      </c>
      <c r="AI422" s="86">
        <f>+AH422/(1-Analisis!G427)</f>
        <v>1895.0966098289957</v>
      </c>
      <c r="AJ422" s="86">
        <f t="shared" si="74"/>
        <v>2037.7382901387052</v>
      </c>
      <c r="AK422" s="86">
        <f t="shared" si="65"/>
        <v>0</v>
      </c>
      <c r="AL422" s="310" t="e">
        <f>+VLOOKUP(B422,#REF!,2,FALSE)</f>
        <v>#REF!</v>
      </c>
      <c r="AM422" s="311" t="e">
        <f t="shared" si="79"/>
        <v>#REF!</v>
      </c>
      <c r="AN422" s="312" t="e">
        <f t="shared" si="78"/>
        <v>#REF!</v>
      </c>
    </row>
    <row r="423" spans="1:40" s="73" customFormat="1" x14ac:dyDescent="0.25">
      <c r="A423" s="303">
        <v>5</v>
      </c>
      <c r="B423" s="304" t="s">
        <v>1197</v>
      </c>
      <c r="D423" s="74">
        <f>IFERROR(VLOOKUP(B423,'REQ. PINTADO'!B:C,2,0),0)</f>
        <v>0</v>
      </c>
      <c r="E423" s="305">
        <f t="shared" si="66"/>
        <v>205.46693024143687</v>
      </c>
      <c r="F423" s="103" t="s">
        <v>165</v>
      </c>
      <c r="G423" s="75" t="s">
        <v>147</v>
      </c>
      <c r="H423" s="90">
        <v>30.5</v>
      </c>
      <c r="I423" s="90">
        <v>6.08</v>
      </c>
      <c r="J423" s="76">
        <v>0.105</v>
      </c>
      <c r="K423" s="306">
        <v>16.38</v>
      </c>
      <c r="L423" s="78">
        <f t="shared" si="67"/>
        <v>10.35175213675214</v>
      </c>
      <c r="M423" s="58">
        <f>+VLOOKUP(F423,Material!$H$2:$M$17,6,FALSE)*H423*I423*(1+Material!$K$14)</f>
        <v>77.07350000000001</v>
      </c>
      <c r="N423" s="79" t="str">
        <f t="shared" si="77"/>
        <v>T5.0</v>
      </c>
      <c r="O423" s="80">
        <f>+VLOOKUP(N423,[3]Material!$A$3:$B$58,2,FALSE)</f>
        <v>5000</v>
      </c>
      <c r="P423" s="79" t="s">
        <v>42</v>
      </c>
      <c r="Q423" s="79" t="str">
        <f>+VLOOKUP(F423,[3]Material!$C$2:$E$12,2,FALSE)</f>
        <v>Cal 14</v>
      </c>
      <c r="R423" s="81">
        <f>+IF(P423="ACERO A36",VLOOKUP(Q423,'[3]Velocidades Std 1500 w'!$B$2:$F$15,5,FALSE),IF(P423="INOXIDABLE",VLOOKUP(Q423,'[3]Velocidades Std 1500 w'!$B$17:$F$28,5,FALSE),IF(P423="ALUMINIO",VLOOKUP(Q423,'[3]Velocidades Std 1500 w'!$B$30:$F$38,5,FALSE))))</f>
        <v>2.0080321285140564E-6</v>
      </c>
      <c r="S423" s="82">
        <f t="shared" si="68"/>
        <v>1.0040160642570283E-2</v>
      </c>
      <c r="T423" s="83">
        <f t="shared" si="69"/>
        <v>18.442786987951809</v>
      </c>
      <c r="U423" s="307">
        <f t="shared" si="70"/>
        <v>2551.2521999999999</v>
      </c>
      <c r="V423" s="80">
        <f t="shared" si="75"/>
        <v>25.614981927710847</v>
      </c>
      <c r="W423" s="98">
        <v>15</v>
      </c>
      <c r="X423" s="84">
        <f>+IF(P423="ACERO A36",VLOOKUP(Q423,'[3]Tiempo Objeto'!$B$2:$C$12,2,FALSE),IF(P423="INOXIDABLE",VLOOKUP(Q423,'[3]Tiempo Objeto'!$B$14:$C$22,2,FALSE),IF(P423="ALUMINIO",VLOOKUP(Q423,'[3]Tiempo Objeto'!$B$24:$C$32,2,FALSE))))</f>
        <v>0.3133333333333333</v>
      </c>
      <c r="Y423" s="84">
        <f t="shared" si="71"/>
        <v>4.6999999999999993</v>
      </c>
      <c r="Z423" s="80">
        <f t="shared" si="72"/>
        <v>6.5277777777777768</v>
      </c>
      <c r="AA423" s="100">
        <v>2</v>
      </c>
      <c r="AB423" s="86">
        <f>+AA423*Analisis!$J$6</f>
        <v>50</v>
      </c>
      <c r="AC423" s="100"/>
      <c r="AD423" s="85">
        <f t="shared" si="73"/>
        <v>0</v>
      </c>
      <c r="AE423" s="86">
        <f>+AC423*Analisis!$J$7</f>
        <v>0</v>
      </c>
      <c r="AF423" s="308">
        <f>+H423*0.0254*I423*0.0254*2*(1+[3]Analisis!$G$2)</f>
        <v>0.29909617599999999</v>
      </c>
      <c r="AG423" s="86">
        <f>+AF423*Analisis!$J$8</f>
        <v>31.867985419047628</v>
      </c>
      <c r="AH423" s="309">
        <f t="shared" si="64"/>
        <v>191.08424512453627</v>
      </c>
      <c r="AI423" s="86">
        <f>+AH423/(1-Analisis!G428)</f>
        <v>191.08424512453627</v>
      </c>
      <c r="AJ423" s="86">
        <f t="shared" si="74"/>
        <v>205.46693024143687</v>
      </c>
      <c r="AK423" s="86">
        <f t="shared" si="65"/>
        <v>0</v>
      </c>
      <c r="AL423" s="310" t="e">
        <f>+VLOOKUP(B423,#REF!,2,FALSE)</f>
        <v>#REF!</v>
      </c>
      <c r="AM423" s="311" t="e">
        <f t="shared" si="79"/>
        <v>#REF!</v>
      </c>
      <c r="AN423" s="312" t="e">
        <f t="shared" si="78"/>
        <v>#REF!</v>
      </c>
    </row>
    <row r="424" spans="1:40" s="73" customFormat="1" x14ac:dyDescent="0.25">
      <c r="A424" s="303">
        <v>6</v>
      </c>
      <c r="B424" s="304" t="s">
        <v>1198</v>
      </c>
      <c r="D424" s="74">
        <f>IFERROR(VLOOKUP(B424,'REQ. PINTADO'!B:C,2,0),0)</f>
        <v>0</v>
      </c>
      <c r="E424" s="305">
        <f t="shared" si="66"/>
        <v>32.959776313919015</v>
      </c>
      <c r="F424" s="103" t="s">
        <v>165</v>
      </c>
      <c r="G424" s="75" t="s">
        <v>147</v>
      </c>
      <c r="H424" s="90">
        <v>1</v>
      </c>
      <c r="I424" s="90">
        <v>2.3210000000000002</v>
      </c>
      <c r="J424" s="76">
        <v>0.105</v>
      </c>
      <c r="K424" s="306">
        <v>16.38</v>
      </c>
      <c r="L424" s="78">
        <f t="shared" si="67"/>
        <v>0.12956436965811968</v>
      </c>
      <c r="M424" s="58">
        <f>+VLOOKUP(F424,Material!$H$2:$M$17,6,FALSE)*H424*I424*(1+Material!$K$14)</f>
        <v>0.96466562500000008</v>
      </c>
      <c r="N424" s="79" t="str">
        <f t="shared" si="77"/>
        <v>T5.0</v>
      </c>
      <c r="O424" s="80">
        <f>+VLOOKUP(N424,[3]Material!$A$3:$B$58,2,FALSE)</f>
        <v>5000</v>
      </c>
      <c r="P424" s="79" t="s">
        <v>42</v>
      </c>
      <c r="Q424" s="79" t="str">
        <f>+VLOOKUP(F424,[3]Material!$C$2:$E$12,2,FALSE)</f>
        <v>Cal 14</v>
      </c>
      <c r="R424" s="81">
        <f>+IF(P424="ACERO A36",VLOOKUP(Q424,'[3]Velocidades Std 1500 w'!$B$2:$F$15,5,FALSE),IF(P424="INOXIDABLE",VLOOKUP(Q424,'[3]Velocidades Std 1500 w'!$B$17:$F$28,5,FALSE),IF(P424="ALUMINIO",VLOOKUP(Q424,'[3]Velocidades Std 1500 w'!$B$30:$F$38,5,FALSE))))</f>
        <v>2.0080321285140564E-6</v>
      </c>
      <c r="S424" s="82">
        <f t="shared" si="68"/>
        <v>1.0040160642570283E-2</v>
      </c>
      <c r="T424" s="83">
        <f t="shared" si="69"/>
        <v>2.1481239036144584</v>
      </c>
      <c r="U424" s="307">
        <f t="shared" si="70"/>
        <v>297.15714000000003</v>
      </c>
      <c r="V424" s="80">
        <f t="shared" si="75"/>
        <v>2.9835054216867478</v>
      </c>
      <c r="W424" s="98">
        <v>3</v>
      </c>
      <c r="X424" s="84">
        <f>+IF(P424="ACERO A36",VLOOKUP(Q424,'[3]Tiempo Objeto'!$B$2:$C$12,2,FALSE),IF(P424="INOXIDABLE",VLOOKUP(Q424,'[3]Tiempo Objeto'!$B$14:$C$22,2,FALSE),IF(P424="ALUMINIO",VLOOKUP(Q424,'[3]Tiempo Objeto'!$B$24:$C$32,2,FALSE))))</f>
        <v>0.3133333333333333</v>
      </c>
      <c r="Y424" s="84">
        <f t="shared" si="71"/>
        <v>0.94</v>
      </c>
      <c r="Z424" s="80">
        <f t="shared" si="72"/>
        <v>1.3055555555555556</v>
      </c>
      <c r="AA424" s="100">
        <v>1</v>
      </c>
      <c r="AB424" s="86">
        <f>+AA424*Analisis!$J$6</f>
        <v>25</v>
      </c>
      <c r="AC424" s="100"/>
      <c r="AD424" s="85">
        <f t="shared" si="73"/>
        <v>0</v>
      </c>
      <c r="AE424" s="86">
        <f>+AC424*Analisis!$J$7</f>
        <v>0</v>
      </c>
      <c r="AF424" s="308">
        <f>+H424*0.0254*I424*0.0254*2*(1+[3]Analisis!$G$2)</f>
        <v>3.7435408999999999E-3</v>
      </c>
      <c r="AG424" s="86">
        <f>+AF424*Analisis!$J$8</f>
        <v>0.39886536970238107</v>
      </c>
      <c r="AH424" s="309">
        <f t="shared" si="64"/>
        <v>30.652591971944684</v>
      </c>
      <c r="AI424" s="86">
        <f>+AH424/(1-Analisis!G429)</f>
        <v>30.652591971944684</v>
      </c>
      <c r="AJ424" s="86">
        <f t="shared" si="74"/>
        <v>32.959776313919015</v>
      </c>
      <c r="AK424" s="86">
        <f t="shared" si="65"/>
        <v>0</v>
      </c>
      <c r="AL424" s="310" t="e">
        <f>+VLOOKUP(B424,#REF!,2,FALSE)</f>
        <v>#REF!</v>
      </c>
      <c r="AM424" s="311" t="e">
        <f t="shared" si="79"/>
        <v>#REF!</v>
      </c>
      <c r="AN424" s="312" t="e">
        <f t="shared" si="78"/>
        <v>#REF!</v>
      </c>
    </row>
    <row r="425" spans="1:40" s="73" customFormat="1" x14ac:dyDescent="0.25">
      <c r="A425" s="303">
        <v>1</v>
      </c>
      <c r="B425" s="304" t="s">
        <v>1199</v>
      </c>
      <c r="D425" s="74">
        <f>IFERROR(VLOOKUP(B425,'REQ. PINTADO'!B:C,2,0),0)</f>
        <v>0</v>
      </c>
      <c r="E425" s="305">
        <f t="shared" si="66"/>
        <v>2681.3139990273239</v>
      </c>
      <c r="F425" s="103" t="s">
        <v>165</v>
      </c>
      <c r="G425" s="75" t="s">
        <v>147</v>
      </c>
      <c r="H425" s="90">
        <v>33.06</v>
      </c>
      <c r="I425" s="90">
        <v>70.828000000000003</v>
      </c>
      <c r="J425" s="76">
        <v>0.105</v>
      </c>
      <c r="K425" s="306">
        <v>16.38</v>
      </c>
      <c r="L425" s="78">
        <f t="shared" si="67"/>
        <v>130.71284698717952</v>
      </c>
      <c r="M425" s="58">
        <f>+VLOOKUP(F425,Material!$H$2:$M$17,6,FALSE)*H425*I425*(1+Material!$K$14)</f>
        <v>973.2165607500001</v>
      </c>
      <c r="N425" s="79" t="str">
        <f t="shared" si="77"/>
        <v>T5.0</v>
      </c>
      <c r="O425" s="80">
        <f>+VLOOKUP(N425,[3]Material!$A$3:$B$58,2,FALSE)</f>
        <v>5000</v>
      </c>
      <c r="P425" s="79" t="s">
        <v>42</v>
      </c>
      <c r="Q425" s="79" t="str">
        <f>+VLOOKUP(F425,[3]Material!$C$2:$E$12,2,FALSE)</f>
        <v>Cal 14</v>
      </c>
      <c r="R425" s="81">
        <f>+IF(P425="ACERO A36",VLOOKUP(Q425,'[3]Velocidades Std 1500 w'!$B$2:$F$15,5,FALSE),IF(P425="INOXIDABLE",VLOOKUP(Q425,'[3]Velocidades Std 1500 w'!$B$17:$F$28,5,FALSE),IF(P425="ALUMINIO",VLOOKUP(Q425,'[3]Velocidades Std 1500 w'!$B$30:$F$38,5,FALSE))))</f>
        <v>2.0080321285140564E-6</v>
      </c>
      <c r="S425" s="82">
        <f t="shared" si="68"/>
        <v>1.0040160642570283E-2</v>
      </c>
      <c r="T425" s="83">
        <f t="shared" si="69"/>
        <v>372.6298982168675</v>
      </c>
      <c r="U425" s="307">
        <f t="shared" si="70"/>
        <v>51547.135920000001</v>
      </c>
      <c r="V425" s="80">
        <f t="shared" si="75"/>
        <v>517.54152530120496</v>
      </c>
      <c r="W425" s="98">
        <v>1150</v>
      </c>
      <c r="X425" s="84">
        <f>+IF(P425="ACERO A36",VLOOKUP(Q425,'[3]Tiempo Objeto'!$B$2:$C$12,2,FALSE),IF(P425="INOXIDABLE",VLOOKUP(Q425,'[3]Tiempo Objeto'!$B$14:$C$22,2,FALSE),IF(P425="ALUMINIO",VLOOKUP(Q425,'[3]Tiempo Objeto'!$B$24:$C$32,2,FALSE))))</f>
        <v>0.3133333333333333</v>
      </c>
      <c r="Y425" s="84">
        <f t="shared" si="71"/>
        <v>360.33333333333331</v>
      </c>
      <c r="Z425" s="80">
        <f t="shared" si="72"/>
        <v>500.46296296296293</v>
      </c>
      <c r="AA425" s="100">
        <v>4</v>
      </c>
      <c r="AB425" s="86">
        <f>+AA425*Analisis!$J$6</f>
        <v>100</v>
      </c>
      <c r="AC425" s="100"/>
      <c r="AD425" s="85">
        <f t="shared" si="73"/>
        <v>0</v>
      </c>
      <c r="AE425" s="86">
        <f>+AC425*Analisis!$J$7</f>
        <v>0</v>
      </c>
      <c r="AF425" s="308">
        <f>+H425*0.0254*I425*0.0254*2*(1+[3]Analisis!$G$2)</f>
        <v>3.7767241884720004</v>
      </c>
      <c r="AG425" s="86">
        <f>+AF425*Analisis!$J$8</f>
        <v>402.40097008124303</v>
      </c>
      <c r="AH425" s="309">
        <f t="shared" si="64"/>
        <v>2493.6220190954109</v>
      </c>
      <c r="AI425" s="86">
        <f>+AH425/(1-Analisis!G430)</f>
        <v>2493.6220190954109</v>
      </c>
      <c r="AJ425" s="86">
        <f t="shared" si="74"/>
        <v>2681.3139990273239</v>
      </c>
      <c r="AK425" s="86">
        <f t="shared" si="65"/>
        <v>0</v>
      </c>
      <c r="AL425" s="310" t="e">
        <f>+VLOOKUP(B425,#REF!,2,FALSE)</f>
        <v>#REF!</v>
      </c>
      <c r="AM425" s="311" t="e">
        <f t="shared" si="79"/>
        <v>#REF!</v>
      </c>
      <c r="AN425" s="312" t="e">
        <f t="shared" si="78"/>
        <v>#REF!</v>
      </c>
    </row>
    <row r="426" spans="1:40" s="73" customFormat="1" x14ac:dyDescent="0.25">
      <c r="A426" s="303">
        <v>2</v>
      </c>
      <c r="B426" s="304" t="s">
        <v>1200</v>
      </c>
      <c r="D426" s="74">
        <f>IFERROR(VLOOKUP(B426,'REQ. PINTADO'!B:C,2,0),0)</f>
        <v>0</v>
      </c>
      <c r="E426" s="305">
        <f t="shared" si="66"/>
        <v>205.35724763978681</v>
      </c>
      <c r="F426" s="103" t="s">
        <v>163</v>
      </c>
      <c r="G426" s="75" t="s">
        <v>147</v>
      </c>
      <c r="H426" s="90">
        <v>21.94</v>
      </c>
      <c r="I426" s="90">
        <v>8.5500000000000007</v>
      </c>
      <c r="J426" s="76">
        <v>0.105</v>
      </c>
      <c r="K426" s="306">
        <v>16.38</v>
      </c>
      <c r="L426" s="78">
        <f t="shared" si="67"/>
        <v>9.4572524819838577</v>
      </c>
      <c r="M426" s="58">
        <f>+VLOOKUP(F426,Material!$H$2:$M$17,6,FALSE)*H426*I426*(1+Material!$K$14)</f>
        <v>70.413543479497989</v>
      </c>
      <c r="N426" s="79" t="str">
        <f t="shared" si="77"/>
        <v>T5.0</v>
      </c>
      <c r="O426" s="80">
        <f>+VLOOKUP(N426,[3]Material!$A$3:$B$58,2,FALSE)</f>
        <v>5000</v>
      </c>
      <c r="P426" s="79" t="s">
        <v>42</v>
      </c>
      <c r="Q426" s="79" t="str">
        <f>+VLOOKUP(F426,[3]Material!$C$2:$E$12,2,FALSE)</f>
        <v>Cal 12</v>
      </c>
      <c r="R426" s="81">
        <f>+IF(P426="ACERO A36",VLOOKUP(Q426,'[3]Velocidades Std 1500 w'!$B$2:$F$15,5,FALSE),IF(P426="INOXIDABLE",VLOOKUP(Q426,'[3]Velocidades Std 1500 w'!$B$17:$F$28,5,FALSE),IF(P426="ALUMINIO",VLOOKUP(Q426,'[3]Velocidades Std 1500 w'!$B$30:$F$38,5,FALSE))))</f>
        <v>4.3859649122807014E-6</v>
      </c>
      <c r="S426" s="82">
        <f t="shared" si="68"/>
        <v>2.1929824561403508E-2</v>
      </c>
      <c r="T426" s="83">
        <f t="shared" si="69"/>
        <v>35.785525263157901</v>
      </c>
      <c r="U426" s="307">
        <f t="shared" si="70"/>
        <v>2266.4166000000005</v>
      </c>
      <c r="V426" s="80">
        <f t="shared" si="75"/>
        <v>49.702118421052639</v>
      </c>
      <c r="W426" s="98">
        <v>16</v>
      </c>
      <c r="X426" s="84">
        <f>+IF(P426="ACERO A36",VLOOKUP(Q426,'[3]Tiempo Objeto'!$B$2:$C$12,2,FALSE),IF(P426="INOXIDABLE",VLOOKUP(Q426,'[3]Tiempo Objeto'!$B$14:$C$22,2,FALSE),IF(P426="ALUMINIO",VLOOKUP(Q426,'[3]Tiempo Objeto'!$B$24:$C$32,2,FALSE))))</f>
        <v>0.6133333333333334</v>
      </c>
      <c r="Y426" s="84">
        <f t="shared" si="71"/>
        <v>9.8133333333333344</v>
      </c>
      <c r="Z426" s="80">
        <f t="shared" si="72"/>
        <v>13.629629629629632</v>
      </c>
      <c r="AA426" s="100">
        <v>1</v>
      </c>
      <c r="AB426" s="86">
        <f>+AA426*Analisis!$J$6</f>
        <v>25</v>
      </c>
      <c r="AC426" s="100"/>
      <c r="AD426" s="85">
        <f t="shared" si="73"/>
        <v>0</v>
      </c>
      <c r="AE426" s="86">
        <f>+AC426*Analisis!$J$7</f>
        <v>0</v>
      </c>
      <c r="AF426" s="308">
        <f>+H426*0.0254*I426*0.0254*2*(1+[3]Analisis!$G$2)</f>
        <v>0.30255907230000001</v>
      </c>
      <c r="AG426" s="86">
        <f>+AF426*Analisis!$J$8</f>
        <v>32.236948774821442</v>
      </c>
      <c r="AH426" s="309">
        <f t="shared" si="64"/>
        <v>190.98224030500171</v>
      </c>
      <c r="AI426" s="86">
        <f>+AH426/(1-Analisis!G431)</f>
        <v>190.98224030500171</v>
      </c>
      <c r="AJ426" s="86">
        <f t="shared" si="74"/>
        <v>205.35724763978681</v>
      </c>
      <c r="AK426" s="86">
        <f t="shared" si="65"/>
        <v>0</v>
      </c>
      <c r="AL426" s="310" t="e">
        <f>+VLOOKUP(B426,#REF!,2,FALSE)</f>
        <v>#REF!</v>
      </c>
      <c r="AM426" s="311" t="e">
        <f t="shared" si="79"/>
        <v>#REF!</v>
      </c>
      <c r="AN426" s="312" t="e">
        <f t="shared" si="78"/>
        <v>#REF!</v>
      </c>
    </row>
    <row r="427" spans="1:40" s="73" customFormat="1" x14ac:dyDescent="0.25">
      <c r="A427" s="303"/>
      <c r="B427" s="304" t="s">
        <v>1201</v>
      </c>
      <c r="D427" s="74">
        <f>IFERROR(VLOOKUP(B427,'REQ. PINTADO'!B:C,2,0),0)</f>
        <v>0</v>
      </c>
      <c r="E427" s="305">
        <f t="shared" si="66"/>
        <v>268.24357426377054</v>
      </c>
      <c r="F427" s="103" t="s">
        <v>163</v>
      </c>
      <c r="G427" s="75" t="s">
        <v>147</v>
      </c>
      <c r="H427" s="90">
        <v>31.94</v>
      </c>
      <c r="I427" s="90">
        <v>8.5500000000000007</v>
      </c>
      <c r="J427" s="76">
        <v>0.105</v>
      </c>
      <c r="K427" s="306">
        <v>16.38</v>
      </c>
      <c r="L427" s="78">
        <f t="shared" si="67"/>
        <v>13.767759538494278</v>
      </c>
      <c r="M427" s="58">
        <f>+VLOOKUP(F427,Material!$H$2:$M$17,6,FALSE)*H427*I427*(1+Material!$K$14)</f>
        <v>102.50722783660738</v>
      </c>
      <c r="N427" s="79" t="str">
        <f t="shared" si="77"/>
        <v>T5.0</v>
      </c>
      <c r="O427" s="80">
        <f>+VLOOKUP(N427,[3]Material!$A$3:$B$58,2,FALSE)</f>
        <v>5000</v>
      </c>
      <c r="P427" s="79" t="s">
        <v>42</v>
      </c>
      <c r="Q427" s="79" t="str">
        <f>+VLOOKUP(F427,[3]Material!$C$2:$E$12,2,FALSE)</f>
        <v>Cal 12</v>
      </c>
      <c r="R427" s="81">
        <f>+IF(P427="ACERO A36",VLOOKUP(Q427,'[3]Velocidades Std 1500 w'!$B$2:$F$15,5,FALSE),IF(P427="INOXIDABLE",VLOOKUP(Q427,'[3]Velocidades Std 1500 w'!$B$17:$F$28,5,FALSE),IF(P427="ALUMINIO",VLOOKUP(Q427,'[3]Velocidades Std 1500 w'!$B$30:$F$38,5,FALSE))))</f>
        <v>4.3859649122807014E-6</v>
      </c>
      <c r="S427" s="82">
        <f t="shared" si="68"/>
        <v>2.1929824561403508E-2</v>
      </c>
      <c r="T427" s="83">
        <f t="shared" si="69"/>
        <v>44.207630526315782</v>
      </c>
      <c r="U427" s="307">
        <f t="shared" si="70"/>
        <v>2799.8165999999997</v>
      </c>
      <c r="V427" s="80">
        <f t="shared" si="75"/>
        <v>61.399486842105254</v>
      </c>
      <c r="W427" s="98">
        <v>16</v>
      </c>
      <c r="X427" s="84">
        <f>+IF(P427="ACERO A36",VLOOKUP(Q427,'[3]Tiempo Objeto'!$B$2:$C$12,2,FALSE),IF(P427="INOXIDABLE",VLOOKUP(Q427,'[3]Tiempo Objeto'!$B$14:$C$22,2,FALSE),IF(P427="ALUMINIO",VLOOKUP(Q427,'[3]Tiempo Objeto'!$B$24:$C$32,2,FALSE))))</f>
        <v>0.6133333333333334</v>
      </c>
      <c r="Y427" s="84">
        <f t="shared" si="71"/>
        <v>9.8133333333333344</v>
      </c>
      <c r="Z427" s="80">
        <f t="shared" si="72"/>
        <v>13.629629629629632</v>
      </c>
      <c r="AA427" s="100">
        <v>1</v>
      </c>
      <c r="AB427" s="86">
        <f>+AA427*Analisis!$J$6</f>
        <v>25</v>
      </c>
      <c r="AC427" s="100"/>
      <c r="AD427" s="85">
        <f t="shared" si="73"/>
        <v>0</v>
      </c>
      <c r="AE427" s="86">
        <f>+AC427*Analisis!$J$7</f>
        <v>0</v>
      </c>
      <c r="AF427" s="308">
        <f>+H427*0.0254*I427*0.0254*2*(1+[3]Analisis!$G$2)</f>
        <v>0.44046202230000003</v>
      </c>
      <c r="AG427" s="86">
        <f>+AF427*Analisis!$J$8</f>
        <v>46.9301797569643</v>
      </c>
      <c r="AH427" s="309">
        <f t="shared" si="64"/>
        <v>249.46652406530657</v>
      </c>
      <c r="AI427" s="86">
        <f>+AH427/(1-Analisis!G432)</f>
        <v>249.46652406530657</v>
      </c>
      <c r="AJ427" s="86">
        <f t="shared" si="74"/>
        <v>268.24357426377054</v>
      </c>
      <c r="AK427" s="86">
        <f t="shared" si="65"/>
        <v>0</v>
      </c>
      <c r="AL427" s="310" t="e">
        <f>+VLOOKUP(B427,#REF!,2,FALSE)</f>
        <v>#REF!</v>
      </c>
      <c r="AM427" s="311" t="e">
        <f t="shared" si="79"/>
        <v>#REF!</v>
      </c>
      <c r="AN427" s="312" t="e">
        <f t="shared" si="78"/>
        <v>#REF!</v>
      </c>
    </row>
    <row r="428" spans="1:40" s="73" customFormat="1" x14ac:dyDescent="0.25">
      <c r="A428" s="303"/>
      <c r="B428" s="304" t="s">
        <v>1202</v>
      </c>
      <c r="D428" s="74">
        <f>IFERROR(VLOOKUP(B428,'REQ. PINTADO'!B:C,2,0),0)</f>
        <v>0</v>
      </c>
      <c r="E428" s="305">
        <f t="shared" si="66"/>
        <v>331.12990088775427</v>
      </c>
      <c r="F428" s="103" t="s">
        <v>163</v>
      </c>
      <c r="G428" s="75" t="s">
        <v>147</v>
      </c>
      <c r="H428" s="90">
        <v>41.94</v>
      </c>
      <c r="I428" s="90">
        <v>8.5500000000000007</v>
      </c>
      <c r="J428" s="76">
        <v>0.105</v>
      </c>
      <c r="K428" s="306">
        <v>16.38</v>
      </c>
      <c r="L428" s="78">
        <f t="shared" si="67"/>
        <v>18.078266595004695</v>
      </c>
      <c r="M428" s="58">
        <f>+VLOOKUP(F428,Material!$H$2:$M$17,6,FALSE)*H428*I428*(1+Material!$K$14)</f>
        <v>134.60091219371677</v>
      </c>
      <c r="N428" s="79" t="str">
        <f t="shared" si="77"/>
        <v>T5.0</v>
      </c>
      <c r="O428" s="80">
        <f>+VLOOKUP(N428,[3]Material!$A$3:$B$58,2,FALSE)</f>
        <v>5000</v>
      </c>
      <c r="P428" s="79" t="s">
        <v>42</v>
      </c>
      <c r="Q428" s="79" t="str">
        <f>+VLOOKUP(F428,[3]Material!$C$2:$E$12,2,FALSE)</f>
        <v>Cal 12</v>
      </c>
      <c r="R428" s="81">
        <f>+IF(P428="ACERO A36",VLOOKUP(Q428,'[3]Velocidades Std 1500 w'!$B$2:$F$15,5,FALSE),IF(P428="INOXIDABLE",VLOOKUP(Q428,'[3]Velocidades Std 1500 w'!$B$17:$F$28,5,FALSE),IF(P428="ALUMINIO",VLOOKUP(Q428,'[3]Velocidades Std 1500 w'!$B$30:$F$38,5,FALSE))))</f>
        <v>4.3859649122807014E-6</v>
      </c>
      <c r="S428" s="82">
        <f t="shared" si="68"/>
        <v>2.1929824561403508E-2</v>
      </c>
      <c r="T428" s="83">
        <f t="shared" si="69"/>
        <v>52.629735789473678</v>
      </c>
      <c r="U428" s="307">
        <f t="shared" si="70"/>
        <v>3333.2165999999997</v>
      </c>
      <c r="V428" s="80">
        <f t="shared" si="75"/>
        <v>73.096855263157892</v>
      </c>
      <c r="W428" s="98">
        <v>16</v>
      </c>
      <c r="X428" s="84">
        <f>+IF(P428="ACERO A36",VLOOKUP(Q428,'[3]Tiempo Objeto'!$B$2:$C$12,2,FALSE),IF(P428="INOXIDABLE",VLOOKUP(Q428,'[3]Tiempo Objeto'!$B$14:$C$22,2,FALSE),IF(P428="ALUMINIO",VLOOKUP(Q428,'[3]Tiempo Objeto'!$B$24:$C$32,2,FALSE))))</f>
        <v>0.6133333333333334</v>
      </c>
      <c r="Y428" s="84">
        <f t="shared" si="71"/>
        <v>9.8133333333333344</v>
      </c>
      <c r="Z428" s="80">
        <f t="shared" si="72"/>
        <v>13.629629629629632</v>
      </c>
      <c r="AA428" s="100">
        <v>1</v>
      </c>
      <c r="AB428" s="86">
        <f>+AA428*Analisis!$J$6</f>
        <v>25</v>
      </c>
      <c r="AC428" s="100"/>
      <c r="AD428" s="85">
        <f t="shared" si="73"/>
        <v>0</v>
      </c>
      <c r="AE428" s="86">
        <f>+AC428*Analisis!$J$7</f>
        <v>0</v>
      </c>
      <c r="AF428" s="308">
        <f>+H428*0.0254*I428*0.0254*2*(1+[3]Analisis!$G$2)</f>
        <v>0.57836497229999995</v>
      </c>
      <c r="AG428" s="86">
        <f>+AF428*Analisis!$J$8</f>
        <v>61.623410739107157</v>
      </c>
      <c r="AH428" s="309">
        <f t="shared" si="64"/>
        <v>307.95080782561143</v>
      </c>
      <c r="AI428" s="86">
        <f>+AH428/(1-Analisis!G433)</f>
        <v>307.95080782561143</v>
      </c>
      <c r="AJ428" s="86">
        <f t="shared" si="74"/>
        <v>331.12990088775427</v>
      </c>
      <c r="AK428" s="86">
        <f t="shared" si="65"/>
        <v>0</v>
      </c>
      <c r="AL428" s="310" t="e">
        <f>+VLOOKUP(B428,#REF!,2,FALSE)</f>
        <v>#REF!</v>
      </c>
      <c r="AM428" s="311" t="e">
        <f t="shared" si="79"/>
        <v>#REF!</v>
      </c>
      <c r="AN428" s="312" t="e">
        <f t="shared" si="78"/>
        <v>#REF!</v>
      </c>
    </row>
    <row r="429" spans="1:40" s="73" customFormat="1" x14ac:dyDescent="0.25">
      <c r="A429" s="303"/>
      <c r="B429" s="304" t="s">
        <v>1203</v>
      </c>
      <c r="D429" s="74">
        <f>IFERROR(VLOOKUP(B429,'REQ. PINTADO'!B:C,2,0),0)</f>
        <v>0</v>
      </c>
      <c r="E429" s="305">
        <f t="shared" si="66"/>
        <v>305.97537023816074</v>
      </c>
      <c r="F429" s="103" t="s">
        <v>163</v>
      </c>
      <c r="G429" s="75" t="s">
        <v>147</v>
      </c>
      <c r="H429" s="90">
        <v>37.94</v>
      </c>
      <c r="I429" s="90">
        <v>8.5500000000000007</v>
      </c>
      <c r="J429" s="76">
        <v>0.105</v>
      </c>
      <c r="K429" s="306">
        <v>16.38</v>
      </c>
      <c r="L429" s="78">
        <f t="shared" si="67"/>
        <v>16.354063772400526</v>
      </c>
      <c r="M429" s="58">
        <f>+VLOOKUP(F429,Material!$H$2:$M$17,6,FALSE)*H429*I429*(1+Material!$K$14)</f>
        <v>121.763438450873</v>
      </c>
      <c r="N429" s="79" t="str">
        <f t="shared" si="77"/>
        <v>T5.0</v>
      </c>
      <c r="O429" s="80">
        <f>+VLOOKUP(N429,[3]Material!$A$3:$B$58,2,FALSE)</f>
        <v>5000</v>
      </c>
      <c r="P429" s="79" t="s">
        <v>42</v>
      </c>
      <c r="Q429" s="79" t="str">
        <f>+VLOOKUP(F429,[3]Material!$C$2:$E$12,2,FALSE)</f>
        <v>Cal 12</v>
      </c>
      <c r="R429" s="81">
        <f>+IF(P429="ACERO A36",VLOOKUP(Q429,'[3]Velocidades Std 1500 w'!$B$2:$F$15,5,FALSE),IF(P429="INOXIDABLE",VLOOKUP(Q429,'[3]Velocidades Std 1500 w'!$B$17:$F$28,5,FALSE),IF(P429="ALUMINIO",VLOOKUP(Q429,'[3]Velocidades Std 1500 w'!$B$30:$F$38,5,FALSE))))</f>
        <v>4.3859649122807014E-6</v>
      </c>
      <c r="S429" s="82">
        <f t="shared" si="68"/>
        <v>2.1929824561403508E-2</v>
      </c>
      <c r="T429" s="83">
        <f t="shared" si="69"/>
        <v>49.260893684210515</v>
      </c>
      <c r="U429" s="307">
        <f t="shared" si="70"/>
        <v>3119.8565999999996</v>
      </c>
      <c r="V429" s="80">
        <f t="shared" si="75"/>
        <v>68.417907894736828</v>
      </c>
      <c r="W429" s="98">
        <v>16</v>
      </c>
      <c r="X429" s="84">
        <f>+IF(P429="ACERO A36",VLOOKUP(Q429,'[3]Tiempo Objeto'!$B$2:$C$12,2,FALSE),IF(P429="INOXIDABLE",VLOOKUP(Q429,'[3]Tiempo Objeto'!$B$14:$C$22,2,FALSE),IF(P429="ALUMINIO",VLOOKUP(Q429,'[3]Tiempo Objeto'!$B$24:$C$32,2,FALSE))))</f>
        <v>0.6133333333333334</v>
      </c>
      <c r="Y429" s="84">
        <f t="shared" si="71"/>
        <v>9.8133333333333344</v>
      </c>
      <c r="Z429" s="80">
        <f t="shared" si="72"/>
        <v>13.629629629629632</v>
      </c>
      <c r="AA429" s="100">
        <v>1</v>
      </c>
      <c r="AB429" s="86">
        <f>+AA429*Analisis!$J$6</f>
        <v>25</v>
      </c>
      <c r="AC429" s="100"/>
      <c r="AD429" s="85">
        <f t="shared" si="73"/>
        <v>0</v>
      </c>
      <c r="AE429" s="86">
        <f>+AC429*Analisis!$J$7</f>
        <v>0</v>
      </c>
      <c r="AF429" s="308">
        <f>+H429*0.0254*I429*0.0254*2*(1+[3]Analisis!$G$2)</f>
        <v>0.52320379230000003</v>
      </c>
      <c r="AG429" s="86">
        <f>+AF429*Analisis!$J$8</f>
        <v>55.746118346250022</v>
      </c>
      <c r="AH429" s="309">
        <f t="shared" si="64"/>
        <v>284.55709432148944</v>
      </c>
      <c r="AI429" s="86">
        <f>+AH429/(1-Analisis!G434)</f>
        <v>284.55709432148944</v>
      </c>
      <c r="AJ429" s="86">
        <f t="shared" si="74"/>
        <v>305.97537023816074</v>
      </c>
      <c r="AK429" s="86">
        <f t="shared" si="65"/>
        <v>0</v>
      </c>
      <c r="AL429" s="310" t="e">
        <f>+VLOOKUP(B429,#REF!,2,FALSE)</f>
        <v>#REF!</v>
      </c>
      <c r="AM429" s="311" t="e">
        <f t="shared" si="79"/>
        <v>#REF!</v>
      </c>
      <c r="AN429" s="312" t="e">
        <f t="shared" si="78"/>
        <v>#REF!</v>
      </c>
    </row>
    <row r="430" spans="1:40" s="73" customFormat="1" x14ac:dyDescent="0.25">
      <c r="A430" s="303"/>
      <c r="B430" s="304" t="s">
        <v>1204</v>
      </c>
      <c r="D430" s="74">
        <f>IFERROR(VLOOKUP(B430,'REQ. PINTADO'!B:C,2,0),0)</f>
        <v>0</v>
      </c>
      <c r="E430" s="305">
        <f t="shared" si="66"/>
        <v>318.55263556295745</v>
      </c>
      <c r="F430" s="103" t="s">
        <v>163</v>
      </c>
      <c r="G430" s="75" t="s">
        <v>147</v>
      </c>
      <c r="H430" s="90">
        <v>39.94</v>
      </c>
      <c r="I430" s="90">
        <v>8.5500000000000007</v>
      </c>
      <c r="J430" s="76">
        <v>0.105</v>
      </c>
      <c r="K430" s="306">
        <v>16.38</v>
      </c>
      <c r="L430" s="78">
        <f t="shared" si="67"/>
        <v>17.216165183702611</v>
      </c>
      <c r="M430" s="58">
        <f>+VLOOKUP(F430,Material!$H$2:$M$17,6,FALSE)*H430*I430*(1+Material!$K$14)</f>
        <v>128.18217532229485</v>
      </c>
      <c r="N430" s="79" t="str">
        <f t="shared" si="77"/>
        <v>T5.0</v>
      </c>
      <c r="O430" s="80">
        <f>+VLOOKUP(N430,[3]Material!$A$3:$B$58,2,FALSE)</f>
        <v>5000</v>
      </c>
      <c r="P430" s="79" t="s">
        <v>42</v>
      </c>
      <c r="Q430" s="79" t="str">
        <f>+VLOOKUP(F430,[3]Material!$C$2:$E$12,2,FALSE)</f>
        <v>Cal 12</v>
      </c>
      <c r="R430" s="81">
        <f>+IF(P430="ACERO A36",VLOOKUP(Q430,'[3]Velocidades Std 1500 w'!$B$2:$F$15,5,FALSE),IF(P430="INOXIDABLE",VLOOKUP(Q430,'[3]Velocidades Std 1500 w'!$B$17:$F$28,5,FALSE),IF(P430="ALUMINIO",VLOOKUP(Q430,'[3]Velocidades Std 1500 w'!$B$30:$F$38,5,FALSE))))</f>
        <v>4.3859649122807014E-6</v>
      </c>
      <c r="S430" s="82">
        <f t="shared" si="68"/>
        <v>2.1929824561403508E-2</v>
      </c>
      <c r="T430" s="83">
        <f t="shared" si="69"/>
        <v>50.945314736842093</v>
      </c>
      <c r="U430" s="307">
        <f t="shared" si="70"/>
        <v>3226.5365999999995</v>
      </c>
      <c r="V430" s="80">
        <f t="shared" si="75"/>
        <v>70.757381578947346</v>
      </c>
      <c r="W430" s="98">
        <v>16</v>
      </c>
      <c r="X430" s="84">
        <f>+IF(P430="ACERO A36",VLOOKUP(Q430,'[3]Tiempo Objeto'!$B$2:$C$12,2,FALSE),IF(P430="INOXIDABLE",VLOOKUP(Q430,'[3]Tiempo Objeto'!$B$14:$C$22,2,FALSE),IF(P430="ALUMINIO",VLOOKUP(Q430,'[3]Tiempo Objeto'!$B$24:$C$32,2,FALSE))))</f>
        <v>0.6133333333333334</v>
      </c>
      <c r="Y430" s="84">
        <f t="shared" si="71"/>
        <v>9.8133333333333344</v>
      </c>
      <c r="Z430" s="80">
        <f t="shared" si="72"/>
        <v>13.629629629629632</v>
      </c>
      <c r="AA430" s="100">
        <v>1</v>
      </c>
      <c r="AB430" s="86">
        <f>+AA430*Analisis!$J$6</f>
        <v>25</v>
      </c>
      <c r="AC430" s="100"/>
      <c r="AD430" s="85">
        <f t="shared" si="73"/>
        <v>0</v>
      </c>
      <c r="AE430" s="86">
        <f>+AC430*Analisis!$J$7</f>
        <v>0</v>
      </c>
      <c r="AF430" s="308">
        <f>+H430*0.0254*I430*0.0254*2*(1+[3]Analisis!$G$2)</f>
        <v>0.55078438230000004</v>
      </c>
      <c r="AG430" s="86">
        <f>+AF430*Analisis!$J$8</f>
        <v>58.684764542678593</v>
      </c>
      <c r="AH430" s="309">
        <f t="shared" si="64"/>
        <v>296.25395107355041</v>
      </c>
      <c r="AI430" s="86">
        <f>+AH430/(1-Analisis!G435)</f>
        <v>296.25395107355041</v>
      </c>
      <c r="AJ430" s="86">
        <f t="shared" si="74"/>
        <v>318.55263556295745</v>
      </c>
      <c r="AK430" s="86">
        <f t="shared" si="65"/>
        <v>0</v>
      </c>
      <c r="AL430" s="310" t="e">
        <f>+VLOOKUP(B430,#REF!,2,FALSE)</f>
        <v>#REF!</v>
      </c>
      <c r="AM430" s="311" t="e">
        <f t="shared" si="79"/>
        <v>#REF!</v>
      </c>
      <c r="AN430" s="312" t="e">
        <f t="shared" si="78"/>
        <v>#REF!</v>
      </c>
    </row>
    <row r="431" spans="1:40" s="73" customFormat="1" x14ac:dyDescent="0.25">
      <c r="A431" s="303"/>
      <c r="B431" s="304" t="s">
        <v>1205</v>
      </c>
      <c r="D431" s="74">
        <f>IFERROR(VLOOKUP(B431,'REQ. PINTADO'!B:C,2,0),0)</f>
        <v>0</v>
      </c>
      <c r="E431" s="305">
        <f t="shared" si="66"/>
        <v>356.28443153734776</v>
      </c>
      <c r="F431" s="103" t="s">
        <v>163</v>
      </c>
      <c r="G431" s="75" t="s">
        <v>147</v>
      </c>
      <c r="H431" s="90">
        <v>45.94</v>
      </c>
      <c r="I431" s="90">
        <v>8.5500000000000007</v>
      </c>
      <c r="J431" s="76">
        <v>0.105</v>
      </c>
      <c r="K431" s="306">
        <v>16.38</v>
      </c>
      <c r="L431" s="78">
        <f t="shared" si="67"/>
        <v>19.802469417608858</v>
      </c>
      <c r="M431" s="58">
        <f>+VLOOKUP(F431,Material!$H$2:$M$17,6,FALSE)*H431*I431*(1+Material!$K$14)</f>
        <v>147.43838593656048</v>
      </c>
      <c r="N431" s="79" t="str">
        <f t="shared" si="77"/>
        <v>T5.0</v>
      </c>
      <c r="O431" s="80">
        <f>+VLOOKUP(N431,[3]Material!$A$3:$B$58,2,FALSE)</f>
        <v>5000</v>
      </c>
      <c r="P431" s="79" t="s">
        <v>42</v>
      </c>
      <c r="Q431" s="79" t="str">
        <f>+VLOOKUP(F431,[3]Material!$C$2:$E$12,2,FALSE)</f>
        <v>Cal 12</v>
      </c>
      <c r="R431" s="81">
        <f>+IF(P431="ACERO A36",VLOOKUP(Q431,'[3]Velocidades Std 1500 w'!$B$2:$F$15,5,FALSE),IF(P431="INOXIDABLE",VLOOKUP(Q431,'[3]Velocidades Std 1500 w'!$B$17:$F$28,5,FALSE),IF(P431="ALUMINIO",VLOOKUP(Q431,'[3]Velocidades Std 1500 w'!$B$30:$F$38,5,FALSE))))</f>
        <v>4.3859649122807014E-6</v>
      </c>
      <c r="S431" s="82">
        <f t="shared" si="68"/>
        <v>2.1929824561403508E-2</v>
      </c>
      <c r="T431" s="83">
        <f t="shared" si="69"/>
        <v>55.99857789473684</v>
      </c>
      <c r="U431" s="307">
        <f t="shared" si="70"/>
        <v>3546.5765999999999</v>
      </c>
      <c r="V431" s="80">
        <f t="shared" si="75"/>
        <v>77.775802631578941</v>
      </c>
      <c r="W431" s="98">
        <v>16</v>
      </c>
      <c r="X431" s="84">
        <f>+IF(P431="ACERO A36",VLOOKUP(Q431,'[3]Tiempo Objeto'!$B$2:$C$12,2,FALSE),IF(P431="INOXIDABLE",VLOOKUP(Q431,'[3]Tiempo Objeto'!$B$14:$C$22,2,FALSE),IF(P431="ALUMINIO",VLOOKUP(Q431,'[3]Tiempo Objeto'!$B$24:$C$32,2,FALSE))))</f>
        <v>0.6133333333333334</v>
      </c>
      <c r="Y431" s="84">
        <f t="shared" si="71"/>
        <v>9.8133333333333344</v>
      </c>
      <c r="Z431" s="80">
        <f t="shared" si="72"/>
        <v>13.629629629629632</v>
      </c>
      <c r="AA431" s="100">
        <v>1</v>
      </c>
      <c r="AB431" s="86">
        <f>+AA431*Analisis!$J$6</f>
        <v>25</v>
      </c>
      <c r="AC431" s="100"/>
      <c r="AD431" s="85">
        <f t="shared" si="73"/>
        <v>0</v>
      </c>
      <c r="AE431" s="86">
        <f>+AC431*Analisis!$J$7</f>
        <v>0</v>
      </c>
      <c r="AF431" s="308">
        <f>+H431*0.0254*I431*0.0254*2*(1+[3]Analisis!$G$2)</f>
        <v>0.63352615229999998</v>
      </c>
      <c r="AG431" s="86">
        <f>+AF431*Analisis!$J$8</f>
        <v>67.5007031319643</v>
      </c>
      <c r="AH431" s="309">
        <f t="shared" si="64"/>
        <v>331.34452132973337</v>
      </c>
      <c r="AI431" s="86">
        <f>+AH431/(1-Analisis!G436)</f>
        <v>331.34452132973337</v>
      </c>
      <c r="AJ431" s="86">
        <f t="shared" si="74"/>
        <v>356.28443153734776</v>
      </c>
      <c r="AK431" s="86">
        <f t="shared" si="65"/>
        <v>0</v>
      </c>
      <c r="AL431" s="310" t="e">
        <f>+VLOOKUP(B431,#REF!,2,FALSE)</f>
        <v>#REF!</v>
      </c>
      <c r="AM431" s="311" t="e">
        <f t="shared" si="79"/>
        <v>#REF!</v>
      </c>
      <c r="AN431" s="312" t="e">
        <f t="shared" si="78"/>
        <v>#REF!</v>
      </c>
    </row>
    <row r="432" spans="1:40" s="73" customFormat="1" x14ac:dyDescent="0.25">
      <c r="A432" s="303">
        <v>3</v>
      </c>
      <c r="B432" s="304" t="s">
        <v>1206</v>
      </c>
      <c r="D432" s="74">
        <f>IFERROR(VLOOKUP(B432,'REQ. PINTADO'!B:C,2,0),0)</f>
        <v>0</v>
      </c>
      <c r="E432" s="305">
        <f t="shared" si="66"/>
        <v>1193.0808396459922</v>
      </c>
      <c r="F432" s="103" t="s">
        <v>164</v>
      </c>
      <c r="G432" s="75" t="s">
        <v>147</v>
      </c>
      <c r="H432" s="90">
        <v>39.938000000000002</v>
      </c>
      <c r="I432" s="90">
        <v>10.247</v>
      </c>
      <c r="J432" s="76">
        <v>0.105</v>
      </c>
      <c r="K432" s="306">
        <v>16.38</v>
      </c>
      <c r="L432" s="78">
        <f t="shared" si="67"/>
        <v>38.07520449341169</v>
      </c>
      <c r="M432" s="58">
        <f>+VLOOKUP(F432,Material!$H$2:$M$17,6,FALSE)*H432*I432*(1+Material!$K$14)</f>
        <v>283.48720436458336</v>
      </c>
      <c r="N432" s="79" t="str">
        <f t="shared" si="77"/>
        <v>T5.0</v>
      </c>
      <c r="O432" s="80">
        <f>+VLOOKUP(N432,[3]Material!$A$3:$B$58,2,FALSE)</f>
        <v>5000</v>
      </c>
      <c r="P432" s="79" t="s">
        <v>42</v>
      </c>
      <c r="Q432" s="79" t="str">
        <f>+VLOOKUP(F432,[3]Material!$C$2:$E$12,2,FALSE)</f>
        <v>Cal 10</v>
      </c>
      <c r="R432" s="81">
        <f>+IF(P432="ACERO A36",VLOOKUP(Q432,'[3]Velocidades Std 1500 w'!$B$2:$F$15,5,FALSE),IF(P432="INOXIDABLE",VLOOKUP(Q432,'[3]Velocidades Std 1500 w'!$B$17:$F$28,5,FALSE),IF(P432="ALUMINIO",VLOOKUP(Q432,'[3]Velocidades Std 1500 w'!$B$30:$F$38,5,FALSE))))</f>
        <v>6.1728395061728391E-6</v>
      </c>
      <c r="S432" s="82">
        <f t="shared" si="68"/>
        <v>3.0864197530864196E-2</v>
      </c>
      <c r="T432" s="83">
        <f t="shared" si="69"/>
        <v>308.40595333333334</v>
      </c>
      <c r="U432" s="307">
        <f t="shared" si="70"/>
        <v>13878.267899999999</v>
      </c>
      <c r="V432" s="80">
        <f t="shared" si="75"/>
        <v>428.34160185185181</v>
      </c>
      <c r="W432" s="98">
        <v>280</v>
      </c>
      <c r="X432" s="84">
        <f>+IF(P432="ACERO A36",VLOOKUP(Q432,'[3]Tiempo Objeto'!$B$2:$C$12,2,FALSE),IF(P432="INOXIDABLE",VLOOKUP(Q432,'[3]Tiempo Objeto'!$B$14:$C$22,2,FALSE),IF(P432="ALUMINIO",VLOOKUP(Q432,'[3]Tiempo Objeto'!$B$24:$C$32,2,FALSE))))</f>
        <v>0.71333333333333337</v>
      </c>
      <c r="Y432" s="84">
        <f t="shared" si="71"/>
        <v>199.73333333333335</v>
      </c>
      <c r="Z432" s="80">
        <f t="shared" si="72"/>
        <v>277.40740740740745</v>
      </c>
      <c r="AA432" s="100">
        <v>2</v>
      </c>
      <c r="AB432" s="86">
        <f>+AA432*Analisis!$J$6</f>
        <v>50</v>
      </c>
      <c r="AC432" s="100"/>
      <c r="AD432" s="85">
        <f t="shared" si="73"/>
        <v>0</v>
      </c>
      <c r="AE432" s="86">
        <f>+AC432*Analisis!$J$7</f>
        <v>0</v>
      </c>
      <c r="AF432" s="308">
        <f>+H432*0.0254*I432*0.0254*2*(1+[3]Analisis!$G$2)</f>
        <v>0.66007075404939997</v>
      </c>
      <c r="AG432" s="86">
        <f>+AF432*Analisis!$J$8</f>
        <v>70.328967246930134</v>
      </c>
      <c r="AH432" s="309">
        <f t="shared" si="64"/>
        <v>1109.5651808707728</v>
      </c>
      <c r="AI432" s="86">
        <f>+AH432/(1-Analisis!G437)</f>
        <v>1109.5651808707728</v>
      </c>
      <c r="AJ432" s="86">
        <f t="shared" si="74"/>
        <v>1193.0808396459922</v>
      </c>
      <c r="AK432" s="86">
        <f t="shared" si="65"/>
        <v>0</v>
      </c>
      <c r="AL432" s="310" t="e">
        <f>+VLOOKUP(B432,#REF!,2,FALSE)</f>
        <v>#REF!</v>
      </c>
      <c r="AM432" s="311" t="e">
        <f t="shared" si="79"/>
        <v>#REF!</v>
      </c>
      <c r="AN432" s="312" t="e">
        <f t="shared" si="78"/>
        <v>#REF!</v>
      </c>
    </row>
    <row r="433" spans="1:40" s="73" customFormat="1" x14ac:dyDescent="0.25">
      <c r="A433" s="303">
        <v>4</v>
      </c>
      <c r="B433" s="304" t="s">
        <v>1207</v>
      </c>
      <c r="D433" s="74">
        <f>IFERROR(VLOOKUP(B433,'REQ. PINTADO'!B:C,2,0),0)</f>
        <v>0</v>
      </c>
      <c r="E433" s="305">
        <f t="shared" si="66"/>
        <v>3115.7271531539559</v>
      </c>
      <c r="F433" s="103" t="s">
        <v>165</v>
      </c>
      <c r="G433" s="75" t="s">
        <v>147</v>
      </c>
      <c r="H433" s="90">
        <v>41.06</v>
      </c>
      <c r="I433" s="90">
        <v>70.828000000000003</v>
      </c>
      <c r="J433" s="76">
        <v>0.105</v>
      </c>
      <c r="K433" s="306">
        <v>16.38</v>
      </c>
      <c r="L433" s="78">
        <f t="shared" si="67"/>
        <v>162.34329997863253</v>
      </c>
      <c r="M433" s="58">
        <f>+VLOOKUP(F433,Material!$H$2:$M$17,6,FALSE)*H433*I433*(1+Material!$K$14)</f>
        <v>1208.7196607500002</v>
      </c>
      <c r="N433" s="79" t="str">
        <f t="shared" si="77"/>
        <v>T5.0</v>
      </c>
      <c r="O433" s="80">
        <f>+VLOOKUP(N433,[3]Material!$A$3:$B$58,2,FALSE)</f>
        <v>5000</v>
      </c>
      <c r="P433" s="79" t="s">
        <v>42</v>
      </c>
      <c r="Q433" s="79" t="str">
        <f>+VLOOKUP(F433,[3]Material!$C$2:$E$12,2,FALSE)</f>
        <v>Cal 14</v>
      </c>
      <c r="R433" s="81">
        <f>+IF(P433="ACERO A36",VLOOKUP(Q433,'[3]Velocidades Std 1500 w'!$B$2:$F$15,5,FALSE),IF(P433="INOXIDABLE",VLOOKUP(Q433,'[3]Velocidades Std 1500 w'!$B$17:$F$28,5,FALSE),IF(P433="ALUMINIO",VLOOKUP(Q433,'[3]Velocidades Std 1500 w'!$B$30:$F$38,5,FALSE))))</f>
        <v>2.0080321285140564E-6</v>
      </c>
      <c r="S433" s="82">
        <f t="shared" si="68"/>
        <v>1.0040160642570283E-2</v>
      </c>
      <c r="T433" s="83">
        <f t="shared" si="69"/>
        <v>390.17425966265063</v>
      </c>
      <c r="U433" s="307">
        <f t="shared" si="70"/>
        <v>53974.105920000002</v>
      </c>
      <c r="V433" s="80">
        <f t="shared" si="75"/>
        <v>541.9086939759037</v>
      </c>
      <c r="W433" s="98">
        <v>1200</v>
      </c>
      <c r="X433" s="84">
        <f>+IF(P433="ACERO A36",VLOOKUP(Q433,'[3]Tiempo Objeto'!$B$2:$C$12,2,FALSE),IF(P433="INOXIDABLE",VLOOKUP(Q433,'[3]Tiempo Objeto'!$B$14:$C$22,2,FALSE),IF(P433="ALUMINIO",VLOOKUP(Q433,'[3]Tiempo Objeto'!$B$24:$C$32,2,FALSE))))</f>
        <v>0.3133333333333333</v>
      </c>
      <c r="Y433" s="84">
        <f t="shared" si="71"/>
        <v>375.99999999999994</v>
      </c>
      <c r="Z433" s="80">
        <f t="shared" si="72"/>
        <v>522.22222222222217</v>
      </c>
      <c r="AA433" s="100">
        <v>5</v>
      </c>
      <c r="AB433" s="86">
        <f>+AA433*Analisis!$J$6</f>
        <v>125</v>
      </c>
      <c r="AC433" s="100"/>
      <c r="AD433" s="85">
        <f t="shared" si="73"/>
        <v>0</v>
      </c>
      <c r="AE433" s="86">
        <f>+AC433*Analisis!$J$7</f>
        <v>0</v>
      </c>
      <c r="AF433" s="308">
        <f>+H433*0.0254*I433*0.0254*2*(1+[3]Analisis!$G$2)</f>
        <v>4.6906320380719997</v>
      </c>
      <c r="AG433" s="86">
        <f>+AF433*Analisis!$J$8</f>
        <v>499.77567548505249</v>
      </c>
      <c r="AH433" s="309">
        <f t="shared" si="64"/>
        <v>2897.6262524331787</v>
      </c>
      <c r="AI433" s="86">
        <f>+AH433/(1-Analisis!G438)</f>
        <v>2897.6262524331787</v>
      </c>
      <c r="AJ433" s="86">
        <f t="shared" si="74"/>
        <v>3115.7271531539559</v>
      </c>
      <c r="AK433" s="86">
        <f t="shared" si="65"/>
        <v>0</v>
      </c>
      <c r="AL433" s="310" t="e">
        <f>+VLOOKUP(B433,#REF!,2,FALSE)</f>
        <v>#REF!</v>
      </c>
      <c r="AM433" s="311" t="e">
        <f t="shared" si="79"/>
        <v>#REF!</v>
      </c>
      <c r="AN433" s="312" t="e">
        <f t="shared" si="78"/>
        <v>#REF!</v>
      </c>
    </row>
    <row r="434" spans="1:40" s="73" customFormat="1" x14ac:dyDescent="0.25">
      <c r="A434" s="303">
        <v>5</v>
      </c>
      <c r="B434" s="304" t="s">
        <v>1200</v>
      </c>
      <c r="D434" s="74">
        <f>IFERROR(VLOOKUP(B434,'REQ. PINTADO'!B:C,2,0),0)</f>
        <v>0</v>
      </c>
      <c r="E434" s="305">
        <f t="shared" si="66"/>
        <v>205.35724763978681</v>
      </c>
      <c r="F434" s="103" t="s">
        <v>163</v>
      </c>
      <c r="G434" s="75" t="s">
        <v>147</v>
      </c>
      <c r="H434" s="90">
        <v>21.94</v>
      </c>
      <c r="I434" s="90">
        <v>8.5500000000000007</v>
      </c>
      <c r="J434" s="76">
        <v>0.105</v>
      </c>
      <c r="K434" s="306">
        <v>16.38</v>
      </c>
      <c r="L434" s="78">
        <f t="shared" si="67"/>
        <v>9.4572524819838577</v>
      </c>
      <c r="M434" s="58">
        <f>+VLOOKUP(F434,Material!$H$2:$M$17,6,FALSE)*H434*I434*(1+Material!$K$14)</f>
        <v>70.413543479497989</v>
      </c>
      <c r="N434" s="79" t="str">
        <f t="shared" si="77"/>
        <v>T5.0</v>
      </c>
      <c r="O434" s="80">
        <f>+VLOOKUP(N434,[3]Material!$A$3:$B$58,2,FALSE)</f>
        <v>5000</v>
      </c>
      <c r="P434" s="79" t="s">
        <v>42</v>
      </c>
      <c r="Q434" s="79" t="str">
        <f>+VLOOKUP(F434,[3]Material!$C$2:$E$12,2,FALSE)</f>
        <v>Cal 12</v>
      </c>
      <c r="R434" s="81">
        <f>+IF(P434="ACERO A36",VLOOKUP(Q434,'[3]Velocidades Std 1500 w'!$B$2:$F$15,5,FALSE),IF(P434="INOXIDABLE",VLOOKUP(Q434,'[3]Velocidades Std 1500 w'!$B$17:$F$28,5,FALSE),IF(P434="ALUMINIO",VLOOKUP(Q434,'[3]Velocidades Std 1500 w'!$B$30:$F$38,5,FALSE))))</f>
        <v>4.3859649122807014E-6</v>
      </c>
      <c r="S434" s="82">
        <f t="shared" si="68"/>
        <v>2.1929824561403508E-2</v>
      </c>
      <c r="T434" s="83">
        <f t="shared" si="69"/>
        <v>35.785525263157901</v>
      </c>
      <c r="U434" s="307">
        <f t="shared" si="70"/>
        <v>2266.4166000000005</v>
      </c>
      <c r="V434" s="80">
        <f t="shared" si="75"/>
        <v>49.702118421052639</v>
      </c>
      <c r="W434" s="98">
        <v>16</v>
      </c>
      <c r="X434" s="84">
        <f>+IF(P434="ACERO A36",VLOOKUP(Q434,'[3]Tiempo Objeto'!$B$2:$C$12,2,FALSE),IF(P434="INOXIDABLE",VLOOKUP(Q434,'[3]Tiempo Objeto'!$B$14:$C$22,2,FALSE),IF(P434="ALUMINIO",VLOOKUP(Q434,'[3]Tiempo Objeto'!$B$24:$C$32,2,FALSE))))</f>
        <v>0.6133333333333334</v>
      </c>
      <c r="Y434" s="84">
        <f t="shared" si="71"/>
        <v>9.8133333333333344</v>
      </c>
      <c r="Z434" s="80">
        <f t="shared" si="72"/>
        <v>13.629629629629632</v>
      </c>
      <c r="AA434" s="100">
        <v>1</v>
      </c>
      <c r="AB434" s="86">
        <f>+AA434*Analisis!$J$6</f>
        <v>25</v>
      </c>
      <c r="AC434" s="100"/>
      <c r="AD434" s="85">
        <f t="shared" si="73"/>
        <v>0</v>
      </c>
      <c r="AE434" s="86">
        <f>+AC434*Analisis!$J$7</f>
        <v>0</v>
      </c>
      <c r="AF434" s="308">
        <f>+H434*0.0254*I434*0.0254*2*(1+[3]Analisis!$G$2)</f>
        <v>0.30255907230000001</v>
      </c>
      <c r="AG434" s="86">
        <f>+AF434*Analisis!$J$8</f>
        <v>32.236948774821442</v>
      </c>
      <c r="AH434" s="309">
        <f t="shared" si="64"/>
        <v>190.98224030500171</v>
      </c>
      <c r="AI434" s="86">
        <f>+AH434/(1-Analisis!G439)</f>
        <v>190.98224030500171</v>
      </c>
      <c r="AJ434" s="86">
        <f t="shared" si="74"/>
        <v>205.35724763978681</v>
      </c>
      <c r="AK434" s="86">
        <f t="shared" si="65"/>
        <v>0</v>
      </c>
      <c r="AL434" s="310" t="e">
        <f>+VLOOKUP(B434,#REF!,2,FALSE)</f>
        <v>#REF!</v>
      </c>
      <c r="AM434" s="311" t="e">
        <f t="shared" si="79"/>
        <v>#REF!</v>
      </c>
      <c r="AN434" s="312" t="e">
        <f t="shared" si="78"/>
        <v>#REF!</v>
      </c>
    </row>
    <row r="435" spans="1:40" s="73" customFormat="1" x14ac:dyDescent="0.25">
      <c r="A435" s="303"/>
      <c r="B435" s="304" t="s">
        <v>1201</v>
      </c>
      <c r="D435" s="74">
        <f>IFERROR(VLOOKUP(B435,'REQ. PINTADO'!B:C,2,0),0)</f>
        <v>0</v>
      </c>
      <c r="E435" s="305">
        <f t="shared" si="66"/>
        <v>268.24357426377054</v>
      </c>
      <c r="F435" s="103" t="s">
        <v>163</v>
      </c>
      <c r="G435" s="75" t="s">
        <v>147</v>
      </c>
      <c r="H435" s="90">
        <v>31.94</v>
      </c>
      <c r="I435" s="90">
        <v>8.5500000000000007</v>
      </c>
      <c r="J435" s="76">
        <v>0.105</v>
      </c>
      <c r="K435" s="306">
        <v>16.38</v>
      </c>
      <c r="L435" s="78">
        <f t="shared" si="67"/>
        <v>13.767759538494278</v>
      </c>
      <c r="M435" s="58">
        <f>+VLOOKUP(F435,Material!$H$2:$M$17,6,FALSE)*H435*I435*(1+Material!$K$14)</f>
        <v>102.50722783660738</v>
      </c>
      <c r="N435" s="79" t="str">
        <f t="shared" si="77"/>
        <v>T5.0</v>
      </c>
      <c r="O435" s="80">
        <f>+VLOOKUP(N435,[3]Material!$A$3:$B$58,2,FALSE)</f>
        <v>5000</v>
      </c>
      <c r="P435" s="79" t="s">
        <v>42</v>
      </c>
      <c r="Q435" s="79" t="str">
        <f>+VLOOKUP(F435,[3]Material!$C$2:$E$12,2,FALSE)</f>
        <v>Cal 12</v>
      </c>
      <c r="R435" s="81">
        <f>+IF(P435="ACERO A36",VLOOKUP(Q435,'[3]Velocidades Std 1500 w'!$B$2:$F$15,5,FALSE),IF(P435="INOXIDABLE",VLOOKUP(Q435,'[3]Velocidades Std 1500 w'!$B$17:$F$28,5,FALSE),IF(P435="ALUMINIO",VLOOKUP(Q435,'[3]Velocidades Std 1500 w'!$B$30:$F$38,5,FALSE))))</f>
        <v>4.3859649122807014E-6</v>
      </c>
      <c r="S435" s="82">
        <f t="shared" si="68"/>
        <v>2.1929824561403508E-2</v>
      </c>
      <c r="T435" s="83">
        <f t="shared" si="69"/>
        <v>44.207630526315782</v>
      </c>
      <c r="U435" s="307">
        <f t="shared" si="70"/>
        <v>2799.8165999999997</v>
      </c>
      <c r="V435" s="80">
        <f t="shared" si="75"/>
        <v>61.399486842105254</v>
      </c>
      <c r="W435" s="98">
        <v>16</v>
      </c>
      <c r="X435" s="84">
        <f>+IF(P435="ACERO A36",VLOOKUP(Q435,'[3]Tiempo Objeto'!$B$2:$C$12,2,FALSE),IF(P435="INOXIDABLE",VLOOKUP(Q435,'[3]Tiempo Objeto'!$B$14:$C$22,2,FALSE),IF(P435="ALUMINIO",VLOOKUP(Q435,'[3]Tiempo Objeto'!$B$24:$C$32,2,FALSE))))</f>
        <v>0.6133333333333334</v>
      </c>
      <c r="Y435" s="84">
        <f t="shared" si="71"/>
        <v>9.8133333333333344</v>
      </c>
      <c r="Z435" s="80">
        <f t="shared" si="72"/>
        <v>13.629629629629632</v>
      </c>
      <c r="AA435" s="100">
        <v>1</v>
      </c>
      <c r="AB435" s="86">
        <f>+AA435*Analisis!$J$6</f>
        <v>25</v>
      </c>
      <c r="AC435" s="100"/>
      <c r="AD435" s="85">
        <f t="shared" si="73"/>
        <v>0</v>
      </c>
      <c r="AE435" s="86">
        <f>+AC435*Analisis!$J$7</f>
        <v>0</v>
      </c>
      <c r="AF435" s="308">
        <f>+H435*0.0254*I435*0.0254*2*(1+[3]Analisis!$G$2)</f>
        <v>0.44046202230000003</v>
      </c>
      <c r="AG435" s="86">
        <f>+AF435*Analisis!$J$8</f>
        <v>46.9301797569643</v>
      </c>
      <c r="AH435" s="309">
        <f t="shared" si="64"/>
        <v>249.46652406530657</v>
      </c>
      <c r="AI435" s="86">
        <f>+AH435/(1-Analisis!G440)</f>
        <v>249.46652406530657</v>
      </c>
      <c r="AJ435" s="86">
        <f t="shared" si="74"/>
        <v>268.24357426377054</v>
      </c>
      <c r="AK435" s="86">
        <f t="shared" si="65"/>
        <v>0</v>
      </c>
      <c r="AL435" s="310" t="e">
        <f>+VLOOKUP(B435,#REF!,2,FALSE)</f>
        <v>#REF!</v>
      </c>
      <c r="AM435" s="311" t="e">
        <f t="shared" si="79"/>
        <v>#REF!</v>
      </c>
      <c r="AN435" s="312" t="e">
        <f t="shared" si="78"/>
        <v>#REF!</v>
      </c>
    </row>
    <row r="436" spans="1:40" s="73" customFormat="1" x14ac:dyDescent="0.25">
      <c r="A436" s="303"/>
      <c r="B436" s="304" t="s">
        <v>1202</v>
      </c>
      <c r="D436" s="74">
        <f>IFERROR(VLOOKUP(B436,'REQ. PINTADO'!B:C,2,0),0)</f>
        <v>0</v>
      </c>
      <c r="E436" s="305">
        <f t="shared" si="66"/>
        <v>331.12990088775427</v>
      </c>
      <c r="F436" s="103" t="s">
        <v>163</v>
      </c>
      <c r="G436" s="75" t="s">
        <v>147</v>
      </c>
      <c r="H436" s="90">
        <v>41.94</v>
      </c>
      <c r="I436" s="90">
        <v>8.5500000000000007</v>
      </c>
      <c r="J436" s="76">
        <v>0.105</v>
      </c>
      <c r="K436" s="306">
        <v>16.38</v>
      </c>
      <c r="L436" s="78">
        <f t="shared" si="67"/>
        <v>18.078266595004695</v>
      </c>
      <c r="M436" s="58">
        <f>+VLOOKUP(F436,Material!$H$2:$M$17,6,FALSE)*H436*I436*(1+Material!$K$14)</f>
        <v>134.60091219371677</v>
      </c>
      <c r="N436" s="79" t="str">
        <f t="shared" si="77"/>
        <v>T5.0</v>
      </c>
      <c r="O436" s="80">
        <f>+VLOOKUP(N436,[3]Material!$A$3:$B$58,2,FALSE)</f>
        <v>5000</v>
      </c>
      <c r="P436" s="79" t="s">
        <v>42</v>
      </c>
      <c r="Q436" s="79" t="str">
        <f>+VLOOKUP(F436,[3]Material!$C$2:$E$12,2,FALSE)</f>
        <v>Cal 12</v>
      </c>
      <c r="R436" s="81">
        <f>+IF(P436="ACERO A36",VLOOKUP(Q436,'[3]Velocidades Std 1500 w'!$B$2:$F$15,5,FALSE),IF(P436="INOXIDABLE",VLOOKUP(Q436,'[3]Velocidades Std 1500 w'!$B$17:$F$28,5,FALSE),IF(P436="ALUMINIO",VLOOKUP(Q436,'[3]Velocidades Std 1500 w'!$B$30:$F$38,5,FALSE))))</f>
        <v>4.3859649122807014E-6</v>
      </c>
      <c r="S436" s="82">
        <f t="shared" si="68"/>
        <v>2.1929824561403508E-2</v>
      </c>
      <c r="T436" s="83">
        <f t="shared" si="69"/>
        <v>52.629735789473678</v>
      </c>
      <c r="U436" s="307">
        <f t="shared" si="70"/>
        <v>3333.2165999999997</v>
      </c>
      <c r="V436" s="80">
        <f t="shared" si="75"/>
        <v>73.096855263157892</v>
      </c>
      <c r="W436" s="98">
        <v>16</v>
      </c>
      <c r="X436" s="84">
        <f>+IF(P436="ACERO A36",VLOOKUP(Q436,'[3]Tiempo Objeto'!$B$2:$C$12,2,FALSE),IF(P436="INOXIDABLE",VLOOKUP(Q436,'[3]Tiempo Objeto'!$B$14:$C$22,2,FALSE),IF(P436="ALUMINIO",VLOOKUP(Q436,'[3]Tiempo Objeto'!$B$24:$C$32,2,FALSE))))</f>
        <v>0.6133333333333334</v>
      </c>
      <c r="Y436" s="84">
        <f t="shared" si="71"/>
        <v>9.8133333333333344</v>
      </c>
      <c r="Z436" s="80">
        <f t="shared" si="72"/>
        <v>13.629629629629632</v>
      </c>
      <c r="AA436" s="100">
        <v>1</v>
      </c>
      <c r="AB436" s="86">
        <f>+AA436*Analisis!$J$6</f>
        <v>25</v>
      </c>
      <c r="AC436" s="100"/>
      <c r="AD436" s="85">
        <f t="shared" si="73"/>
        <v>0</v>
      </c>
      <c r="AE436" s="86">
        <f>+AC436*Analisis!$J$7</f>
        <v>0</v>
      </c>
      <c r="AF436" s="308">
        <f>+H436*0.0254*I436*0.0254*2*(1+[3]Analisis!$G$2)</f>
        <v>0.57836497229999995</v>
      </c>
      <c r="AG436" s="86">
        <f>+AF436*Analisis!$J$8</f>
        <v>61.623410739107157</v>
      </c>
      <c r="AH436" s="309">
        <f t="shared" si="64"/>
        <v>307.95080782561143</v>
      </c>
      <c r="AI436" s="86">
        <f>+AH436/(1-Analisis!G441)</f>
        <v>307.95080782561143</v>
      </c>
      <c r="AJ436" s="86">
        <f t="shared" si="74"/>
        <v>331.12990088775427</v>
      </c>
      <c r="AK436" s="86">
        <f t="shared" si="65"/>
        <v>0</v>
      </c>
      <c r="AL436" s="310" t="e">
        <f>+VLOOKUP(B436,#REF!,2,FALSE)</f>
        <v>#REF!</v>
      </c>
      <c r="AM436" s="311" t="e">
        <f t="shared" si="79"/>
        <v>#REF!</v>
      </c>
      <c r="AN436" s="312" t="e">
        <f t="shared" si="78"/>
        <v>#REF!</v>
      </c>
    </row>
    <row r="437" spans="1:40" s="73" customFormat="1" x14ac:dyDescent="0.25">
      <c r="A437" s="303"/>
      <c r="B437" s="304" t="s">
        <v>1203</v>
      </c>
      <c r="D437" s="74">
        <f>IFERROR(VLOOKUP(B437,'REQ. PINTADO'!B:C,2,0),0)</f>
        <v>0</v>
      </c>
      <c r="E437" s="305">
        <f t="shared" si="66"/>
        <v>305.97537023816074</v>
      </c>
      <c r="F437" s="103" t="s">
        <v>163</v>
      </c>
      <c r="G437" s="75" t="s">
        <v>147</v>
      </c>
      <c r="H437" s="90">
        <v>37.94</v>
      </c>
      <c r="I437" s="90">
        <v>8.5500000000000007</v>
      </c>
      <c r="J437" s="76">
        <v>0.105</v>
      </c>
      <c r="K437" s="306">
        <v>16.38</v>
      </c>
      <c r="L437" s="78">
        <f t="shared" si="67"/>
        <v>16.354063772400526</v>
      </c>
      <c r="M437" s="58">
        <f>+VLOOKUP(F437,Material!$H$2:$M$17,6,FALSE)*H437*I437*(1+Material!$K$14)</f>
        <v>121.763438450873</v>
      </c>
      <c r="N437" s="79" t="str">
        <f t="shared" si="77"/>
        <v>T5.0</v>
      </c>
      <c r="O437" s="80">
        <f>+VLOOKUP(N437,[3]Material!$A$3:$B$58,2,FALSE)</f>
        <v>5000</v>
      </c>
      <c r="P437" s="79" t="s">
        <v>42</v>
      </c>
      <c r="Q437" s="79" t="str">
        <f>+VLOOKUP(F437,[3]Material!$C$2:$E$12,2,FALSE)</f>
        <v>Cal 12</v>
      </c>
      <c r="R437" s="81">
        <f>+IF(P437="ACERO A36",VLOOKUP(Q437,'[3]Velocidades Std 1500 w'!$B$2:$F$15,5,FALSE),IF(P437="INOXIDABLE",VLOOKUP(Q437,'[3]Velocidades Std 1500 w'!$B$17:$F$28,5,FALSE),IF(P437="ALUMINIO",VLOOKUP(Q437,'[3]Velocidades Std 1500 w'!$B$30:$F$38,5,FALSE))))</f>
        <v>4.3859649122807014E-6</v>
      </c>
      <c r="S437" s="82">
        <f t="shared" si="68"/>
        <v>2.1929824561403508E-2</v>
      </c>
      <c r="T437" s="83">
        <f t="shared" si="69"/>
        <v>49.260893684210515</v>
      </c>
      <c r="U437" s="307">
        <f t="shared" si="70"/>
        <v>3119.8565999999996</v>
      </c>
      <c r="V437" s="80">
        <f t="shared" si="75"/>
        <v>68.417907894736828</v>
      </c>
      <c r="W437" s="98">
        <v>16</v>
      </c>
      <c r="X437" s="84">
        <f>+IF(P437="ACERO A36",VLOOKUP(Q437,'[3]Tiempo Objeto'!$B$2:$C$12,2,FALSE),IF(P437="INOXIDABLE",VLOOKUP(Q437,'[3]Tiempo Objeto'!$B$14:$C$22,2,FALSE),IF(P437="ALUMINIO",VLOOKUP(Q437,'[3]Tiempo Objeto'!$B$24:$C$32,2,FALSE))))</f>
        <v>0.6133333333333334</v>
      </c>
      <c r="Y437" s="84">
        <f t="shared" si="71"/>
        <v>9.8133333333333344</v>
      </c>
      <c r="Z437" s="80">
        <f t="shared" si="72"/>
        <v>13.629629629629632</v>
      </c>
      <c r="AA437" s="100">
        <v>1</v>
      </c>
      <c r="AB437" s="86">
        <f>+AA437*Analisis!$J$6</f>
        <v>25</v>
      </c>
      <c r="AC437" s="100"/>
      <c r="AD437" s="85">
        <f t="shared" si="73"/>
        <v>0</v>
      </c>
      <c r="AE437" s="86">
        <f>+AC437*Analisis!$J$7</f>
        <v>0</v>
      </c>
      <c r="AF437" s="308">
        <f>+H437*0.0254*I437*0.0254*2*(1+[3]Analisis!$G$2)</f>
        <v>0.52320379230000003</v>
      </c>
      <c r="AG437" s="86">
        <f>+AF437*Analisis!$J$8</f>
        <v>55.746118346250022</v>
      </c>
      <c r="AH437" s="309">
        <f t="shared" si="64"/>
        <v>284.55709432148944</v>
      </c>
      <c r="AI437" s="86">
        <f>+AH437/(1-Analisis!G442)</f>
        <v>284.55709432148944</v>
      </c>
      <c r="AJ437" s="86">
        <f t="shared" si="74"/>
        <v>305.97537023816074</v>
      </c>
      <c r="AK437" s="86">
        <f t="shared" si="65"/>
        <v>0</v>
      </c>
      <c r="AL437" s="310" t="e">
        <f>+VLOOKUP(B437,#REF!,2,FALSE)</f>
        <v>#REF!</v>
      </c>
      <c r="AM437" s="311" t="e">
        <f t="shared" si="79"/>
        <v>#REF!</v>
      </c>
      <c r="AN437" s="312" t="e">
        <f t="shared" si="78"/>
        <v>#REF!</v>
      </c>
    </row>
    <row r="438" spans="1:40" s="73" customFormat="1" x14ac:dyDescent="0.25">
      <c r="A438" s="303"/>
      <c r="B438" s="304" t="s">
        <v>1204</v>
      </c>
      <c r="D438" s="74">
        <f>IFERROR(VLOOKUP(B438,'REQ. PINTADO'!B:C,2,0),0)</f>
        <v>0</v>
      </c>
      <c r="E438" s="305">
        <f t="shared" si="66"/>
        <v>318.55263556295745</v>
      </c>
      <c r="F438" s="103" t="s">
        <v>163</v>
      </c>
      <c r="G438" s="75" t="s">
        <v>147</v>
      </c>
      <c r="H438" s="90">
        <v>39.94</v>
      </c>
      <c r="I438" s="90">
        <v>8.5500000000000007</v>
      </c>
      <c r="J438" s="76">
        <v>0.105</v>
      </c>
      <c r="K438" s="306">
        <v>16.38</v>
      </c>
      <c r="L438" s="78">
        <f t="shared" si="67"/>
        <v>17.216165183702611</v>
      </c>
      <c r="M438" s="58">
        <f>+VLOOKUP(F438,Material!$H$2:$M$17,6,FALSE)*H438*I438*(1+Material!$K$14)</f>
        <v>128.18217532229485</v>
      </c>
      <c r="N438" s="79" t="str">
        <f t="shared" si="77"/>
        <v>T5.0</v>
      </c>
      <c r="O438" s="80">
        <f>+VLOOKUP(N438,[3]Material!$A$3:$B$58,2,FALSE)</f>
        <v>5000</v>
      </c>
      <c r="P438" s="79" t="s">
        <v>42</v>
      </c>
      <c r="Q438" s="79" t="str">
        <f>+VLOOKUP(F438,[3]Material!$C$2:$E$12,2,FALSE)</f>
        <v>Cal 12</v>
      </c>
      <c r="R438" s="81">
        <f>+IF(P438="ACERO A36",VLOOKUP(Q438,'[3]Velocidades Std 1500 w'!$B$2:$F$15,5,FALSE),IF(P438="INOXIDABLE",VLOOKUP(Q438,'[3]Velocidades Std 1500 w'!$B$17:$F$28,5,FALSE),IF(P438="ALUMINIO",VLOOKUP(Q438,'[3]Velocidades Std 1500 w'!$B$30:$F$38,5,FALSE))))</f>
        <v>4.3859649122807014E-6</v>
      </c>
      <c r="S438" s="82">
        <f t="shared" si="68"/>
        <v>2.1929824561403508E-2</v>
      </c>
      <c r="T438" s="83">
        <f t="shared" si="69"/>
        <v>50.945314736842093</v>
      </c>
      <c r="U438" s="307">
        <f t="shared" si="70"/>
        <v>3226.5365999999995</v>
      </c>
      <c r="V438" s="80">
        <f t="shared" si="75"/>
        <v>70.757381578947346</v>
      </c>
      <c r="W438" s="98">
        <v>16</v>
      </c>
      <c r="X438" s="84">
        <f>+IF(P438="ACERO A36",VLOOKUP(Q438,'[3]Tiempo Objeto'!$B$2:$C$12,2,FALSE),IF(P438="INOXIDABLE",VLOOKUP(Q438,'[3]Tiempo Objeto'!$B$14:$C$22,2,FALSE),IF(P438="ALUMINIO",VLOOKUP(Q438,'[3]Tiempo Objeto'!$B$24:$C$32,2,FALSE))))</f>
        <v>0.6133333333333334</v>
      </c>
      <c r="Y438" s="84">
        <f t="shared" si="71"/>
        <v>9.8133333333333344</v>
      </c>
      <c r="Z438" s="80">
        <f t="shared" si="72"/>
        <v>13.629629629629632</v>
      </c>
      <c r="AA438" s="100">
        <v>1</v>
      </c>
      <c r="AB438" s="86">
        <f>+AA438*Analisis!$J$6</f>
        <v>25</v>
      </c>
      <c r="AC438" s="100"/>
      <c r="AD438" s="85">
        <f t="shared" si="73"/>
        <v>0</v>
      </c>
      <c r="AE438" s="86">
        <f>+AC438*Analisis!$J$7</f>
        <v>0</v>
      </c>
      <c r="AF438" s="308">
        <f>+H438*0.0254*I438*0.0254*2*(1+[3]Analisis!$G$2)</f>
        <v>0.55078438230000004</v>
      </c>
      <c r="AG438" s="86">
        <f>+AF438*Analisis!$J$8</f>
        <v>58.684764542678593</v>
      </c>
      <c r="AH438" s="309">
        <f t="shared" si="64"/>
        <v>296.25395107355041</v>
      </c>
      <c r="AI438" s="86">
        <f>+AH438/(1-Analisis!G443)</f>
        <v>296.25395107355041</v>
      </c>
      <c r="AJ438" s="86">
        <f t="shared" si="74"/>
        <v>318.55263556295745</v>
      </c>
      <c r="AK438" s="86">
        <f t="shared" si="65"/>
        <v>0</v>
      </c>
      <c r="AL438" s="310" t="e">
        <f>+VLOOKUP(B438,#REF!,2,FALSE)</f>
        <v>#REF!</v>
      </c>
      <c r="AM438" s="311" t="e">
        <f t="shared" si="79"/>
        <v>#REF!</v>
      </c>
      <c r="AN438" s="312" t="e">
        <f t="shared" si="78"/>
        <v>#REF!</v>
      </c>
    </row>
    <row r="439" spans="1:40" s="73" customFormat="1" x14ac:dyDescent="0.25">
      <c r="A439" s="303"/>
      <c r="B439" s="304" t="s">
        <v>1205</v>
      </c>
      <c r="D439" s="74">
        <f>IFERROR(VLOOKUP(B439,'REQ. PINTADO'!B:C,2,0),0)</f>
        <v>0</v>
      </c>
      <c r="E439" s="305">
        <f t="shared" si="66"/>
        <v>356.28443153734776</v>
      </c>
      <c r="F439" s="103" t="s">
        <v>163</v>
      </c>
      <c r="G439" s="75" t="s">
        <v>147</v>
      </c>
      <c r="H439" s="90">
        <v>45.94</v>
      </c>
      <c r="I439" s="90">
        <v>8.5500000000000007</v>
      </c>
      <c r="J439" s="76">
        <v>0.105</v>
      </c>
      <c r="K439" s="306">
        <v>16.38</v>
      </c>
      <c r="L439" s="78">
        <f t="shared" si="67"/>
        <v>19.802469417608858</v>
      </c>
      <c r="M439" s="58">
        <f>+VLOOKUP(F439,Material!$H$2:$M$17,6,FALSE)*H439*I439*(1+Material!$K$14)</f>
        <v>147.43838593656048</v>
      </c>
      <c r="N439" s="79" t="str">
        <f t="shared" si="77"/>
        <v>T5.0</v>
      </c>
      <c r="O439" s="80">
        <f>+VLOOKUP(N439,[3]Material!$A$3:$B$58,2,FALSE)</f>
        <v>5000</v>
      </c>
      <c r="P439" s="79" t="s">
        <v>42</v>
      </c>
      <c r="Q439" s="79" t="str">
        <f>+VLOOKUP(F439,[3]Material!$C$2:$E$12,2,FALSE)</f>
        <v>Cal 12</v>
      </c>
      <c r="R439" s="81">
        <f>+IF(P439="ACERO A36",VLOOKUP(Q439,'[3]Velocidades Std 1500 w'!$B$2:$F$15,5,FALSE),IF(P439="INOXIDABLE",VLOOKUP(Q439,'[3]Velocidades Std 1500 w'!$B$17:$F$28,5,FALSE),IF(P439="ALUMINIO",VLOOKUP(Q439,'[3]Velocidades Std 1500 w'!$B$30:$F$38,5,FALSE))))</f>
        <v>4.3859649122807014E-6</v>
      </c>
      <c r="S439" s="82">
        <f t="shared" si="68"/>
        <v>2.1929824561403508E-2</v>
      </c>
      <c r="T439" s="83">
        <f t="shared" si="69"/>
        <v>55.99857789473684</v>
      </c>
      <c r="U439" s="307">
        <f t="shared" si="70"/>
        <v>3546.5765999999999</v>
      </c>
      <c r="V439" s="80">
        <f t="shared" si="75"/>
        <v>77.775802631578941</v>
      </c>
      <c r="W439" s="98">
        <v>16</v>
      </c>
      <c r="X439" s="84">
        <f>+IF(P439="ACERO A36",VLOOKUP(Q439,'[3]Tiempo Objeto'!$B$2:$C$12,2,FALSE),IF(P439="INOXIDABLE",VLOOKUP(Q439,'[3]Tiempo Objeto'!$B$14:$C$22,2,FALSE),IF(P439="ALUMINIO",VLOOKUP(Q439,'[3]Tiempo Objeto'!$B$24:$C$32,2,FALSE))))</f>
        <v>0.6133333333333334</v>
      </c>
      <c r="Y439" s="84">
        <f t="shared" si="71"/>
        <v>9.8133333333333344</v>
      </c>
      <c r="Z439" s="80">
        <f t="shared" si="72"/>
        <v>13.629629629629632</v>
      </c>
      <c r="AA439" s="100">
        <v>1</v>
      </c>
      <c r="AB439" s="86">
        <f>+AA439*Analisis!$J$6</f>
        <v>25</v>
      </c>
      <c r="AC439" s="100"/>
      <c r="AD439" s="85">
        <f t="shared" si="73"/>
        <v>0</v>
      </c>
      <c r="AE439" s="86">
        <f>+AC439*Analisis!$J$7</f>
        <v>0</v>
      </c>
      <c r="AF439" s="308">
        <f>+H439*0.0254*I439*0.0254*2*(1+[3]Analisis!$G$2)</f>
        <v>0.63352615229999998</v>
      </c>
      <c r="AG439" s="86">
        <f>+AF439*Analisis!$J$8</f>
        <v>67.5007031319643</v>
      </c>
      <c r="AH439" s="309">
        <f t="shared" si="64"/>
        <v>331.34452132973337</v>
      </c>
      <c r="AI439" s="86">
        <f>+AH439/(1-Analisis!G444)</f>
        <v>331.34452132973337</v>
      </c>
      <c r="AJ439" s="86">
        <f t="shared" si="74"/>
        <v>356.28443153734776</v>
      </c>
      <c r="AK439" s="86">
        <f t="shared" si="65"/>
        <v>0</v>
      </c>
      <c r="AL439" s="310" t="e">
        <f>+VLOOKUP(B439,#REF!,2,FALSE)</f>
        <v>#REF!</v>
      </c>
      <c r="AM439" s="311" t="e">
        <f t="shared" si="79"/>
        <v>#REF!</v>
      </c>
      <c r="AN439" s="312" t="e">
        <f t="shared" si="78"/>
        <v>#REF!</v>
      </c>
    </row>
    <row r="440" spans="1:40" s="73" customFormat="1" x14ac:dyDescent="0.25">
      <c r="A440" s="303">
        <v>6</v>
      </c>
      <c r="B440" s="304" t="s">
        <v>1208</v>
      </c>
      <c r="D440" s="74">
        <f>IFERROR(VLOOKUP(B440,'REQ. PINTADO'!B:C,2,0),0)</f>
        <v>0</v>
      </c>
      <c r="E440" s="305">
        <f t="shared" si="66"/>
        <v>1868.0939372329913</v>
      </c>
      <c r="F440" s="103" t="s">
        <v>165</v>
      </c>
      <c r="G440" s="75" t="s">
        <v>147</v>
      </c>
      <c r="H440" s="90">
        <v>23.06</v>
      </c>
      <c r="I440" s="90">
        <v>70.828000000000003</v>
      </c>
      <c r="J440" s="76">
        <v>0.105</v>
      </c>
      <c r="K440" s="306">
        <v>16.38</v>
      </c>
      <c r="L440" s="78">
        <f t="shared" si="67"/>
        <v>91.174780747863267</v>
      </c>
      <c r="M440" s="58">
        <f>+VLOOKUP(F440,Material!$H$2:$M$17,6,FALSE)*H440*I440*(1+Material!$K$14)</f>
        <v>678.83768574999999</v>
      </c>
      <c r="N440" s="79" t="str">
        <f t="shared" si="77"/>
        <v>T5.0</v>
      </c>
      <c r="O440" s="80">
        <f>+VLOOKUP(N440,[3]Material!$A$3:$B$58,2,FALSE)</f>
        <v>5000</v>
      </c>
      <c r="P440" s="79" t="s">
        <v>42</v>
      </c>
      <c r="Q440" s="79" t="str">
        <f>+VLOOKUP(F440,[3]Material!$C$2:$E$12,2,FALSE)</f>
        <v>Cal 14</v>
      </c>
      <c r="R440" s="81">
        <f>+IF(P440="ACERO A36",VLOOKUP(Q440,'[3]Velocidades Std 1500 w'!$B$2:$F$15,5,FALSE),IF(P440="INOXIDABLE",VLOOKUP(Q440,'[3]Velocidades Std 1500 w'!$B$17:$F$28,5,FALSE),IF(P440="ALUMINIO",VLOOKUP(Q440,'[3]Velocidades Std 1500 w'!$B$30:$F$38,5,FALSE))))</f>
        <v>2.0080321285140564E-6</v>
      </c>
      <c r="S440" s="82">
        <f t="shared" si="68"/>
        <v>1.0040160642570283E-2</v>
      </c>
      <c r="T440" s="83">
        <f t="shared" si="69"/>
        <v>244.42110303614459</v>
      </c>
      <c r="U440" s="307">
        <f t="shared" si="70"/>
        <v>33811.585919999998</v>
      </c>
      <c r="V440" s="80">
        <f t="shared" si="75"/>
        <v>339.47375421686752</v>
      </c>
      <c r="W440" s="98">
        <v>720</v>
      </c>
      <c r="X440" s="84">
        <f>+IF(P440="ACERO A36",VLOOKUP(Q440,'[3]Tiempo Objeto'!$B$2:$C$12,2,FALSE),IF(P440="INOXIDABLE",VLOOKUP(Q440,'[3]Tiempo Objeto'!$B$14:$C$22,2,FALSE),IF(P440="ALUMINIO",VLOOKUP(Q440,'[3]Tiempo Objeto'!$B$24:$C$32,2,FALSE))))</f>
        <v>0.3133333333333333</v>
      </c>
      <c r="Y440" s="84">
        <f t="shared" si="71"/>
        <v>225.59999999999997</v>
      </c>
      <c r="Z440" s="80">
        <f t="shared" si="72"/>
        <v>313.33333333333326</v>
      </c>
      <c r="AA440" s="100">
        <v>5</v>
      </c>
      <c r="AB440" s="86">
        <f>+AA440*Analisis!$J$6</f>
        <v>125</v>
      </c>
      <c r="AC440" s="100"/>
      <c r="AD440" s="85">
        <f t="shared" si="73"/>
        <v>0</v>
      </c>
      <c r="AE440" s="86">
        <f>+AC440*Analisis!$J$7</f>
        <v>0</v>
      </c>
      <c r="AF440" s="308">
        <f>+H440*0.0254*I440*0.0254*2*(1+[3]Analisis!$G$2)</f>
        <v>2.6343393764719996</v>
      </c>
      <c r="AG440" s="86">
        <f>+AF440*Analisis!$J$8</f>
        <v>280.68258832648098</v>
      </c>
      <c r="AH440" s="309">
        <f t="shared" si="64"/>
        <v>1737.3273616266817</v>
      </c>
      <c r="AI440" s="86">
        <f>+AH440/(1-Analisis!G445)</f>
        <v>1737.3273616266817</v>
      </c>
      <c r="AJ440" s="86">
        <f t="shared" si="74"/>
        <v>1868.0939372329913</v>
      </c>
      <c r="AK440" s="86">
        <f t="shared" si="65"/>
        <v>0</v>
      </c>
      <c r="AL440" s="310" t="e">
        <f>+VLOOKUP(B440,#REF!,2,FALSE)</f>
        <v>#REF!</v>
      </c>
      <c r="AM440" s="311" t="e">
        <f t="shared" si="79"/>
        <v>#REF!</v>
      </c>
      <c r="AN440" s="312" t="e">
        <f t="shared" si="78"/>
        <v>#REF!</v>
      </c>
    </row>
    <row r="441" spans="1:40" s="73" customFormat="1" x14ac:dyDescent="0.25">
      <c r="A441" s="303"/>
      <c r="B441" s="304" t="s">
        <v>1209</v>
      </c>
      <c r="D441" s="74">
        <f>IFERROR(VLOOKUP(B441,'REQ. PINTADO'!B:C,2,0),0)</f>
        <v>0</v>
      </c>
      <c r="E441" s="305">
        <f t="shared" si="66"/>
        <v>0</v>
      </c>
      <c r="F441" s="103" t="s">
        <v>165</v>
      </c>
      <c r="G441" s="75" t="s">
        <v>147</v>
      </c>
      <c r="H441" s="90"/>
      <c r="I441" s="90"/>
      <c r="J441" s="76">
        <v>0.105</v>
      </c>
      <c r="K441" s="306">
        <v>16.38</v>
      </c>
      <c r="L441" s="78">
        <f t="shared" si="67"/>
        <v>0</v>
      </c>
      <c r="M441" s="58">
        <f>+VLOOKUP(F441,Material!$H$2:$M$17,6,FALSE)*H441*I441*(1+Material!$K$14)</f>
        <v>0</v>
      </c>
      <c r="N441" s="79" t="str">
        <f t="shared" si="77"/>
        <v>T5.0</v>
      </c>
      <c r="O441" s="80">
        <f>+VLOOKUP(N441,[3]Material!$A$3:$B$58,2,FALSE)</f>
        <v>5000</v>
      </c>
      <c r="P441" s="79" t="s">
        <v>42</v>
      </c>
      <c r="Q441" s="79" t="str">
        <f>+VLOOKUP(F441,[3]Material!$C$2:$E$12,2,FALSE)</f>
        <v>Cal 14</v>
      </c>
      <c r="R441" s="81">
        <f>+IF(P441="ACERO A36",VLOOKUP(Q441,'[3]Velocidades Std 1500 w'!$B$2:$F$15,5,FALSE),IF(P441="INOXIDABLE",VLOOKUP(Q441,'[3]Velocidades Std 1500 w'!$B$17:$F$28,5,FALSE),IF(P441="ALUMINIO",VLOOKUP(Q441,'[3]Velocidades Std 1500 w'!$B$30:$F$38,5,FALSE))))</f>
        <v>2.0080321285140564E-6</v>
      </c>
      <c r="S441" s="82">
        <f t="shared" si="68"/>
        <v>1.0040160642570283E-2</v>
      </c>
      <c r="T441" s="83">
        <f t="shared" si="69"/>
        <v>0</v>
      </c>
      <c r="U441" s="307">
        <f t="shared" si="70"/>
        <v>0</v>
      </c>
      <c r="V441" s="80">
        <f t="shared" si="75"/>
        <v>0</v>
      </c>
      <c r="W441" s="98"/>
      <c r="X441" s="84">
        <f>+IF(P441="ACERO A36",VLOOKUP(Q441,'[3]Tiempo Objeto'!$B$2:$C$12,2,FALSE),IF(P441="INOXIDABLE",VLOOKUP(Q441,'[3]Tiempo Objeto'!$B$14:$C$22,2,FALSE),IF(P441="ALUMINIO",VLOOKUP(Q441,'[3]Tiempo Objeto'!$B$24:$C$32,2,FALSE))))</f>
        <v>0.3133333333333333</v>
      </c>
      <c r="Y441" s="84">
        <f t="shared" si="71"/>
        <v>0</v>
      </c>
      <c r="Z441" s="80">
        <f t="shared" si="72"/>
        <v>0</v>
      </c>
      <c r="AA441" s="100"/>
      <c r="AB441" s="86">
        <f>+AA441*Analisis!$J$6</f>
        <v>0</v>
      </c>
      <c r="AC441" s="100"/>
      <c r="AD441" s="85">
        <f t="shared" si="73"/>
        <v>0</v>
      </c>
      <c r="AE441" s="86">
        <f>+AC441*Analisis!$J$7</f>
        <v>0</v>
      </c>
      <c r="AF441" s="308">
        <f>+H441*0.0254*I441*0.0254*2*(1+[3]Analisis!$G$2)</f>
        <v>0</v>
      </c>
      <c r="AG441" s="86">
        <f>+AF441*Analisis!$J$8</f>
        <v>0</v>
      </c>
      <c r="AH441" s="309">
        <f t="shared" si="64"/>
        <v>0</v>
      </c>
      <c r="AI441" s="86">
        <f>+AH441/(1-Analisis!G446)</f>
        <v>0</v>
      </c>
      <c r="AJ441" s="86">
        <f t="shared" si="74"/>
        <v>0</v>
      </c>
      <c r="AK441" s="86">
        <f t="shared" si="65"/>
        <v>0</v>
      </c>
      <c r="AL441" s="310" t="e">
        <f>+VLOOKUP(B441,#REF!,2,FALSE)</f>
        <v>#REF!</v>
      </c>
      <c r="AM441" s="311" t="e">
        <f t="shared" si="79"/>
        <v>#REF!</v>
      </c>
      <c r="AN441" s="312" t="e">
        <f t="shared" si="78"/>
        <v>#REF!</v>
      </c>
    </row>
    <row r="442" spans="1:40" s="73" customFormat="1" x14ac:dyDescent="0.25">
      <c r="A442" s="303"/>
      <c r="B442" s="304" t="s">
        <v>1210</v>
      </c>
      <c r="D442" s="74">
        <f>IFERROR(VLOOKUP(B442,'REQ. PINTADO'!B:C,2,0),0)</f>
        <v>0</v>
      </c>
      <c r="E442" s="305">
        <f t="shared" si="66"/>
        <v>538.46172904382809</v>
      </c>
      <c r="F442" s="103" t="s">
        <v>163</v>
      </c>
      <c r="G442" s="75" t="s">
        <v>147</v>
      </c>
      <c r="H442" s="90">
        <v>23.33</v>
      </c>
      <c r="I442" s="90">
        <v>23.02</v>
      </c>
      <c r="J442" s="76">
        <v>0.105</v>
      </c>
      <c r="K442" s="306">
        <v>16.38</v>
      </c>
      <c r="L442" s="78">
        <f t="shared" si="67"/>
        <v>27.075862737374187</v>
      </c>
      <c r="M442" s="58">
        <f>+VLOOKUP(F442,Material!$H$2:$M$17,6,FALSE)*H442*I442*(1+Material!$K$14)</f>
        <v>201.59210529008595</v>
      </c>
      <c r="N442" s="79" t="str">
        <f t="shared" si="77"/>
        <v>T5.0</v>
      </c>
      <c r="O442" s="80">
        <f>+VLOOKUP(N442,[3]Material!$A$3:$B$58,2,FALSE)</f>
        <v>5000</v>
      </c>
      <c r="P442" s="79" t="s">
        <v>42</v>
      </c>
      <c r="Q442" s="79" t="str">
        <f>+VLOOKUP(F442,[3]Material!$C$2:$E$12,2,FALSE)</f>
        <v>Cal 12</v>
      </c>
      <c r="R442" s="81">
        <f>+IF(P442="ACERO A36",VLOOKUP(Q442,'[3]Velocidades Std 1500 w'!$B$2:$F$15,5,FALSE),IF(P442="INOXIDABLE",VLOOKUP(Q442,'[3]Velocidades Std 1500 w'!$B$17:$F$28,5,FALSE),IF(P442="ALUMINIO",VLOOKUP(Q442,'[3]Velocidades Std 1500 w'!$B$30:$F$38,5,FALSE))))</f>
        <v>4.3859649122807014E-6</v>
      </c>
      <c r="S442" s="82">
        <f t="shared" si="68"/>
        <v>2.1929824561403508E-2</v>
      </c>
      <c r="T442" s="83">
        <f t="shared" si="69"/>
        <v>49.142984210526308</v>
      </c>
      <c r="U442" s="307">
        <f t="shared" si="70"/>
        <v>3112.3889999999997</v>
      </c>
      <c r="V442" s="80">
        <f t="shared" si="75"/>
        <v>68.254144736842093</v>
      </c>
      <c r="W442" s="98">
        <v>16</v>
      </c>
      <c r="X442" s="84">
        <f>+IF(P442="ACERO A36",VLOOKUP(Q442,'[3]Tiempo Objeto'!$B$2:$C$12,2,FALSE),IF(P442="INOXIDABLE",VLOOKUP(Q442,'[3]Tiempo Objeto'!$B$14:$C$22,2,FALSE),IF(P442="ALUMINIO",VLOOKUP(Q442,'[3]Tiempo Objeto'!$B$24:$C$32,2,FALSE))))</f>
        <v>0.6133333333333334</v>
      </c>
      <c r="Y442" s="84">
        <f t="shared" si="71"/>
        <v>9.8133333333333344</v>
      </c>
      <c r="Z442" s="80">
        <f t="shared" si="72"/>
        <v>13.629629629629632</v>
      </c>
      <c r="AA442" s="100">
        <v>5</v>
      </c>
      <c r="AB442" s="86">
        <f>+AA442*Analisis!$J$6</f>
        <v>125</v>
      </c>
      <c r="AC442" s="100"/>
      <c r="AD442" s="85">
        <f t="shared" si="73"/>
        <v>0</v>
      </c>
      <c r="AE442" s="86">
        <f>+AC442*Analisis!$J$7</f>
        <v>0</v>
      </c>
      <c r="AF442" s="308">
        <f>+H442*0.0254*I442*0.0254*2*(1+[3]Analisis!$G$2)</f>
        <v>0.86621859013999991</v>
      </c>
      <c r="AG442" s="86">
        <f>+AF442*Analisis!$J$8</f>
        <v>92.293528354202394</v>
      </c>
      <c r="AH442" s="309">
        <f t="shared" si="64"/>
        <v>500.76940801076006</v>
      </c>
      <c r="AI442" s="86">
        <f>+AH442/(1-Analisis!G447)</f>
        <v>500.76940801076006</v>
      </c>
      <c r="AJ442" s="86">
        <f t="shared" si="74"/>
        <v>538.46172904382809</v>
      </c>
      <c r="AK442" s="86">
        <f t="shared" si="65"/>
        <v>0</v>
      </c>
      <c r="AL442" s="310" t="e">
        <f>+VLOOKUP(B442,#REF!,2,FALSE)</f>
        <v>#REF!</v>
      </c>
      <c r="AM442" s="311" t="e">
        <f t="shared" si="79"/>
        <v>#REF!</v>
      </c>
      <c r="AN442" s="312" t="e">
        <f t="shared" si="78"/>
        <v>#REF!</v>
      </c>
    </row>
    <row r="443" spans="1:40" s="73" customFormat="1" x14ac:dyDescent="0.25">
      <c r="A443" s="303"/>
      <c r="B443" s="304" t="s">
        <v>1044</v>
      </c>
      <c r="D443" s="74">
        <f>IFERROR(VLOOKUP(B443,'REQ. PINTADO'!B:C,2,0),0)</f>
        <v>0</v>
      </c>
      <c r="E443" s="305">
        <f t="shared" si="66"/>
        <v>0</v>
      </c>
      <c r="F443" s="103" t="s">
        <v>165</v>
      </c>
      <c r="G443" s="75" t="s">
        <v>147</v>
      </c>
      <c r="H443" s="90"/>
      <c r="I443" s="90"/>
      <c r="J443" s="76">
        <v>0.105</v>
      </c>
      <c r="K443" s="306">
        <v>16.38</v>
      </c>
      <c r="L443" s="78">
        <f t="shared" si="67"/>
        <v>0</v>
      </c>
      <c r="M443" s="58">
        <f>+VLOOKUP(F443,Material!$H$2:$M$17,6,FALSE)*H443*I443*(1+Material!$K$14)</f>
        <v>0</v>
      </c>
      <c r="N443" s="79" t="str">
        <f t="shared" si="77"/>
        <v>T5.0</v>
      </c>
      <c r="O443" s="80">
        <f>+VLOOKUP(N443,[3]Material!$A$3:$B$58,2,FALSE)</f>
        <v>5000</v>
      </c>
      <c r="P443" s="79" t="s">
        <v>42</v>
      </c>
      <c r="Q443" s="79" t="str">
        <f>+VLOOKUP(F443,[3]Material!$C$2:$E$12,2,FALSE)</f>
        <v>Cal 14</v>
      </c>
      <c r="R443" s="81">
        <f>+IF(P443="ACERO A36",VLOOKUP(Q443,'[3]Velocidades Std 1500 w'!$B$2:$F$15,5,FALSE),IF(P443="INOXIDABLE",VLOOKUP(Q443,'[3]Velocidades Std 1500 w'!$B$17:$F$28,5,FALSE),IF(P443="ALUMINIO",VLOOKUP(Q443,'[3]Velocidades Std 1500 w'!$B$30:$F$38,5,FALSE))))</f>
        <v>2.0080321285140564E-6</v>
      </c>
      <c r="S443" s="82">
        <f t="shared" si="68"/>
        <v>1.0040160642570283E-2</v>
      </c>
      <c r="T443" s="83">
        <f t="shared" si="69"/>
        <v>0</v>
      </c>
      <c r="U443" s="307">
        <f t="shared" si="70"/>
        <v>0</v>
      </c>
      <c r="V443" s="80">
        <f t="shared" si="75"/>
        <v>0</v>
      </c>
      <c r="W443" s="98"/>
      <c r="X443" s="84">
        <f>+IF(P443="ACERO A36",VLOOKUP(Q443,'[3]Tiempo Objeto'!$B$2:$C$12,2,FALSE),IF(P443="INOXIDABLE",VLOOKUP(Q443,'[3]Tiempo Objeto'!$B$14:$C$22,2,FALSE),IF(P443="ALUMINIO",VLOOKUP(Q443,'[3]Tiempo Objeto'!$B$24:$C$32,2,FALSE))))</f>
        <v>0.3133333333333333</v>
      </c>
      <c r="Y443" s="84">
        <f t="shared" si="71"/>
        <v>0</v>
      </c>
      <c r="Z443" s="80">
        <f t="shared" si="72"/>
        <v>0</v>
      </c>
      <c r="AA443" s="100"/>
      <c r="AB443" s="86">
        <f>+AA443*Analisis!$J$6</f>
        <v>0</v>
      </c>
      <c r="AC443" s="100"/>
      <c r="AD443" s="85">
        <f t="shared" si="73"/>
        <v>0</v>
      </c>
      <c r="AE443" s="86">
        <f>+AC443*Analisis!$J$7</f>
        <v>0</v>
      </c>
      <c r="AF443" s="308">
        <f>+H443*0.0254*I443*0.0254*2*(1+[3]Analisis!$G$2)</f>
        <v>0</v>
      </c>
      <c r="AG443" s="86">
        <f>+AF443*Analisis!$J$8</f>
        <v>0</v>
      </c>
      <c r="AH443" s="309">
        <f t="shared" si="64"/>
        <v>0</v>
      </c>
      <c r="AI443" s="86">
        <f>+AH443/(1-Analisis!G448)</f>
        <v>0</v>
      </c>
      <c r="AJ443" s="86">
        <f t="shared" si="74"/>
        <v>0</v>
      </c>
      <c r="AK443" s="86">
        <f t="shared" si="65"/>
        <v>0</v>
      </c>
      <c r="AL443" s="310" t="e">
        <f>+VLOOKUP(B443,#REF!,2,FALSE)</f>
        <v>#REF!</v>
      </c>
      <c r="AM443" s="311" t="e">
        <f t="shared" si="79"/>
        <v>#REF!</v>
      </c>
      <c r="AN443" s="312" t="e">
        <f t="shared" si="78"/>
        <v>#REF!</v>
      </c>
    </row>
    <row r="444" spans="1:40" s="73" customFormat="1" x14ac:dyDescent="0.25">
      <c r="A444" s="303"/>
      <c r="B444" s="304" t="s">
        <v>1211</v>
      </c>
      <c r="D444" s="74">
        <f>IFERROR(VLOOKUP(B444,'REQ. PINTADO'!B:C,2,0),0)</f>
        <v>0</v>
      </c>
      <c r="E444" s="305">
        <f t="shared" si="66"/>
        <v>89.850619319125812</v>
      </c>
      <c r="F444" s="103" t="s">
        <v>165</v>
      </c>
      <c r="G444" s="75" t="s">
        <v>147</v>
      </c>
      <c r="H444" s="90">
        <v>6.57</v>
      </c>
      <c r="I444" s="90">
        <v>11</v>
      </c>
      <c r="J444" s="76">
        <v>0.105</v>
      </c>
      <c r="K444" s="306">
        <v>16.38</v>
      </c>
      <c r="L444" s="78">
        <f t="shared" si="67"/>
        <v>4.0343028846153857</v>
      </c>
      <c r="M444" s="58">
        <f>+VLOOKUP(F444,Material!$H$2:$M$17,6,FALSE)*H444*I444*(1+Material!$K$14)</f>
        <v>30.037218750000005</v>
      </c>
      <c r="N444" s="79" t="str">
        <f t="shared" si="77"/>
        <v>T5.0</v>
      </c>
      <c r="O444" s="80">
        <f>+VLOOKUP(N444,[3]Material!$A$3:$B$58,2,FALSE)</f>
        <v>5000</v>
      </c>
      <c r="P444" s="79" t="s">
        <v>42</v>
      </c>
      <c r="Q444" s="79" t="str">
        <f>+VLOOKUP(F444,[3]Material!$C$2:$E$12,2,FALSE)</f>
        <v>Cal 14</v>
      </c>
      <c r="R444" s="81">
        <f>+IF(P444="ACERO A36",VLOOKUP(Q444,'[3]Velocidades Std 1500 w'!$B$2:$F$15,5,FALSE),IF(P444="INOXIDABLE",VLOOKUP(Q444,'[3]Velocidades Std 1500 w'!$B$17:$F$28,5,FALSE),IF(P444="ALUMINIO",VLOOKUP(Q444,'[3]Velocidades Std 1500 w'!$B$30:$F$38,5,FALSE))))</f>
        <v>2.0080321285140564E-6</v>
      </c>
      <c r="S444" s="82">
        <f t="shared" si="68"/>
        <v>1.0040160642570283E-2</v>
      </c>
      <c r="T444" s="83">
        <f t="shared" si="69"/>
        <v>9.0883648192771087</v>
      </c>
      <c r="U444" s="307">
        <f t="shared" si="70"/>
        <v>1257.2238</v>
      </c>
      <c r="V444" s="80">
        <f t="shared" si="75"/>
        <v>12.622728915662652</v>
      </c>
      <c r="W444" s="98">
        <v>8</v>
      </c>
      <c r="X444" s="84">
        <f>+IF(P444="ACERO A36",VLOOKUP(Q444,'[3]Tiempo Objeto'!$B$2:$C$12,2,FALSE),IF(P444="INOXIDABLE",VLOOKUP(Q444,'[3]Tiempo Objeto'!$B$14:$C$22,2,FALSE),IF(P444="ALUMINIO",VLOOKUP(Q444,'[3]Tiempo Objeto'!$B$24:$C$32,2,FALSE))))</f>
        <v>0.3133333333333333</v>
      </c>
      <c r="Y444" s="84">
        <f t="shared" si="71"/>
        <v>2.5066666666666664</v>
      </c>
      <c r="Z444" s="80">
        <f t="shared" si="72"/>
        <v>3.481481481481481</v>
      </c>
      <c r="AA444" s="100">
        <v>1</v>
      </c>
      <c r="AB444" s="86">
        <f>+AA444*Analisis!$J$6</f>
        <v>25</v>
      </c>
      <c r="AC444" s="100"/>
      <c r="AD444" s="85">
        <f t="shared" si="73"/>
        <v>0</v>
      </c>
      <c r="AE444" s="86">
        <f>+AC444*Analisis!$J$7</f>
        <v>0</v>
      </c>
      <c r="AF444" s="308">
        <f>+H444*0.0254*I444*0.0254*2*(1+[3]Analisis!$G$2)</f>
        <v>0.116564283</v>
      </c>
      <c r="AG444" s="86">
        <f>+AF444*Analisis!$J$8</f>
        <v>12.419646819642862</v>
      </c>
      <c r="AH444" s="309">
        <f t="shared" si="64"/>
        <v>83.561075966787001</v>
      </c>
      <c r="AI444" s="86">
        <f>+AH444/(1-Analisis!G449)</f>
        <v>83.561075966787001</v>
      </c>
      <c r="AJ444" s="86">
        <f t="shared" si="74"/>
        <v>89.850619319125812</v>
      </c>
      <c r="AK444" s="86">
        <f t="shared" si="65"/>
        <v>0</v>
      </c>
      <c r="AL444" s="310" t="e">
        <f>+VLOOKUP(B444,#REF!,2,FALSE)</f>
        <v>#REF!</v>
      </c>
      <c r="AM444" s="311" t="e">
        <f t="shared" si="79"/>
        <v>#REF!</v>
      </c>
      <c r="AN444" s="312" t="e">
        <f t="shared" si="78"/>
        <v>#REF!</v>
      </c>
    </row>
    <row r="445" spans="1:40" s="73" customFormat="1" x14ac:dyDescent="0.25">
      <c r="A445" s="303"/>
      <c r="B445" s="304" t="s">
        <v>1212</v>
      </c>
      <c r="D445" s="74">
        <f>IFERROR(VLOOKUP(B445,'REQ. PINTADO'!B:C,2,0),0)</f>
        <v>0</v>
      </c>
      <c r="E445" s="305">
        <f t="shared" si="66"/>
        <v>0</v>
      </c>
      <c r="F445" s="103" t="s">
        <v>165</v>
      </c>
      <c r="G445" s="75" t="s">
        <v>147</v>
      </c>
      <c r="H445" s="90"/>
      <c r="I445" s="90"/>
      <c r="J445" s="76">
        <v>0.105</v>
      </c>
      <c r="K445" s="306">
        <v>16.38</v>
      </c>
      <c r="L445" s="78">
        <f t="shared" si="67"/>
        <v>0</v>
      </c>
      <c r="M445" s="58">
        <f>+VLOOKUP(F445,Material!$H$2:$M$17,6,FALSE)*H445*I445*(1+Material!$K$14)</f>
        <v>0</v>
      </c>
      <c r="N445" s="79" t="str">
        <f t="shared" si="77"/>
        <v>T5.0</v>
      </c>
      <c r="O445" s="80">
        <f>+VLOOKUP(N445,[3]Material!$A$3:$B$58,2,FALSE)</f>
        <v>5000</v>
      </c>
      <c r="P445" s="79" t="s">
        <v>42</v>
      </c>
      <c r="Q445" s="79" t="str">
        <f>+VLOOKUP(F445,[3]Material!$C$2:$E$12,2,FALSE)</f>
        <v>Cal 14</v>
      </c>
      <c r="R445" s="81">
        <f>+IF(P445="ACERO A36",VLOOKUP(Q445,'[3]Velocidades Std 1500 w'!$B$2:$F$15,5,FALSE),IF(P445="INOXIDABLE",VLOOKUP(Q445,'[3]Velocidades Std 1500 w'!$B$17:$F$28,5,FALSE),IF(P445="ALUMINIO",VLOOKUP(Q445,'[3]Velocidades Std 1500 w'!$B$30:$F$38,5,FALSE))))</f>
        <v>2.0080321285140564E-6</v>
      </c>
      <c r="S445" s="82">
        <f t="shared" si="68"/>
        <v>1.0040160642570283E-2</v>
      </c>
      <c r="T445" s="83">
        <f t="shared" si="69"/>
        <v>0</v>
      </c>
      <c r="U445" s="307">
        <f t="shared" si="70"/>
        <v>0</v>
      </c>
      <c r="V445" s="80">
        <f t="shared" si="75"/>
        <v>0</v>
      </c>
      <c r="W445" s="98"/>
      <c r="X445" s="84">
        <f>+IF(P445="ACERO A36",VLOOKUP(Q445,'[3]Tiempo Objeto'!$B$2:$C$12,2,FALSE),IF(P445="INOXIDABLE",VLOOKUP(Q445,'[3]Tiempo Objeto'!$B$14:$C$22,2,FALSE),IF(P445="ALUMINIO",VLOOKUP(Q445,'[3]Tiempo Objeto'!$B$24:$C$32,2,FALSE))))</f>
        <v>0.3133333333333333</v>
      </c>
      <c r="Y445" s="84">
        <f t="shared" si="71"/>
        <v>0</v>
      </c>
      <c r="Z445" s="80">
        <f t="shared" si="72"/>
        <v>0</v>
      </c>
      <c r="AA445" s="100"/>
      <c r="AB445" s="86">
        <f>+AA445*Analisis!$J$6</f>
        <v>0</v>
      </c>
      <c r="AC445" s="100"/>
      <c r="AD445" s="85">
        <f t="shared" si="73"/>
        <v>0</v>
      </c>
      <c r="AE445" s="86">
        <f>+AC445*Analisis!$J$7</f>
        <v>0</v>
      </c>
      <c r="AF445" s="308">
        <f>+H445*0.0254*I445*0.0254*2*(1+[3]Analisis!$G$2)</f>
        <v>0</v>
      </c>
      <c r="AG445" s="86">
        <f>+AF445*Analisis!$J$8</f>
        <v>0</v>
      </c>
      <c r="AH445" s="309">
        <f t="shared" si="64"/>
        <v>0</v>
      </c>
      <c r="AI445" s="86">
        <f>+AH445/(1-Analisis!G450)</f>
        <v>0</v>
      </c>
      <c r="AJ445" s="86">
        <f t="shared" si="74"/>
        <v>0</v>
      </c>
      <c r="AK445" s="86">
        <f t="shared" si="65"/>
        <v>0</v>
      </c>
      <c r="AL445" s="310" t="e">
        <f>+VLOOKUP(B445,#REF!,2,FALSE)</f>
        <v>#REF!</v>
      </c>
      <c r="AM445" s="311" t="e">
        <f t="shared" si="79"/>
        <v>#REF!</v>
      </c>
      <c r="AN445" s="312" t="e">
        <f t="shared" si="78"/>
        <v>#REF!</v>
      </c>
    </row>
    <row r="446" spans="1:40" s="73" customFormat="1" x14ac:dyDescent="0.25">
      <c r="A446" s="303"/>
      <c r="B446" s="304" t="s">
        <v>1020</v>
      </c>
      <c r="D446" s="74">
        <f>IFERROR(VLOOKUP(B446,'REQ. PINTADO'!B:C,2,0),0)</f>
        <v>0</v>
      </c>
      <c r="E446" s="305">
        <f t="shared" si="66"/>
        <v>0</v>
      </c>
      <c r="F446" s="103" t="s">
        <v>165</v>
      </c>
      <c r="G446" s="75" t="s">
        <v>147</v>
      </c>
      <c r="H446" s="90"/>
      <c r="I446" s="90"/>
      <c r="J446" s="76">
        <v>0.105</v>
      </c>
      <c r="K446" s="306">
        <v>16.38</v>
      </c>
      <c r="L446" s="78">
        <f t="shared" si="67"/>
        <v>0</v>
      </c>
      <c r="M446" s="58">
        <f>+VLOOKUP(F446,Material!$H$2:$M$17,6,FALSE)*H446*I446*(1+Material!$K$14)</f>
        <v>0</v>
      </c>
      <c r="N446" s="79" t="str">
        <f t="shared" si="77"/>
        <v>T5.0</v>
      </c>
      <c r="O446" s="80">
        <f>+VLOOKUP(N446,[3]Material!$A$3:$B$58,2,FALSE)</f>
        <v>5000</v>
      </c>
      <c r="P446" s="79" t="s">
        <v>42</v>
      </c>
      <c r="Q446" s="79" t="str">
        <f>+VLOOKUP(F446,[3]Material!$C$2:$E$12,2,FALSE)</f>
        <v>Cal 14</v>
      </c>
      <c r="R446" s="81">
        <f>+IF(P446="ACERO A36",VLOOKUP(Q446,'[3]Velocidades Std 1500 w'!$B$2:$F$15,5,FALSE),IF(P446="INOXIDABLE",VLOOKUP(Q446,'[3]Velocidades Std 1500 w'!$B$17:$F$28,5,FALSE),IF(P446="ALUMINIO",VLOOKUP(Q446,'[3]Velocidades Std 1500 w'!$B$30:$F$38,5,FALSE))))</f>
        <v>2.0080321285140564E-6</v>
      </c>
      <c r="S446" s="82">
        <f t="shared" si="68"/>
        <v>1.0040160642570283E-2</v>
      </c>
      <c r="T446" s="83">
        <f t="shared" si="69"/>
        <v>0</v>
      </c>
      <c r="U446" s="307">
        <f t="shared" si="70"/>
        <v>0</v>
      </c>
      <c r="V446" s="80">
        <f t="shared" si="75"/>
        <v>0</v>
      </c>
      <c r="W446" s="98"/>
      <c r="X446" s="84">
        <f>+IF(P446="ACERO A36",VLOOKUP(Q446,'[3]Tiempo Objeto'!$B$2:$C$12,2,FALSE),IF(P446="INOXIDABLE",VLOOKUP(Q446,'[3]Tiempo Objeto'!$B$14:$C$22,2,FALSE),IF(P446="ALUMINIO",VLOOKUP(Q446,'[3]Tiempo Objeto'!$B$24:$C$32,2,FALSE))))</f>
        <v>0.3133333333333333</v>
      </c>
      <c r="Y446" s="84">
        <f t="shared" si="71"/>
        <v>0</v>
      </c>
      <c r="Z446" s="80">
        <f t="shared" si="72"/>
        <v>0</v>
      </c>
      <c r="AA446" s="100"/>
      <c r="AB446" s="86">
        <f>+AA446*Analisis!$J$6</f>
        <v>0</v>
      </c>
      <c r="AC446" s="100"/>
      <c r="AD446" s="85">
        <f t="shared" si="73"/>
        <v>0</v>
      </c>
      <c r="AE446" s="86">
        <f>+AC446*Analisis!$J$7</f>
        <v>0</v>
      </c>
      <c r="AF446" s="308">
        <f>+H446*0.0254*I446*0.0254*2*(1+[3]Analisis!$G$2)</f>
        <v>0</v>
      </c>
      <c r="AG446" s="86">
        <f>+AF446*Analisis!$J$8</f>
        <v>0</v>
      </c>
      <c r="AH446" s="309">
        <f t="shared" si="64"/>
        <v>0</v>
      </c>
      <c r="AI446" s="86">
        <f>+AH446/(1-Analisis!G451)</f>
        <v>0</v>
      </c>
      <c r="AJ446" s="86">
        <f t="shared" si="74"/>
        <v>0</v>
      </c>
      <c r="AK446" s="86">
        <f t="shared" si="65"/>
        <v>0</v>
      </c>
      <c r="AL446" s="310" t="e">
        <f>+VLOOKUP(B446,#REF!,2,FALSE)</f>
        <v>#REF!</v>
      </c>
      <c r="AM446" s="311" t="e">
        <f t="shared" si="79"/>
        <v>#REF!</v>
      </c>
      <c r="AN446" s="312" t="e">
        <f t="shared" si="78"/>
        <v>#REF!</v>
      </c>
    </row>
    <row r="447" spans="1:40" s="73" customFormat="1" x14ac:dyDescent="0.25">
      <c r="A447" s="313">
        <v>1</v>
      </c>
      <c r="B447" s="119" t="s">
        <v>1213</v>
      </c>
      <c r="D447" s="74">
        <f>IFERROR(VLOOKUP(B447,'REQ. PINTADO'!B:C,2,0),0)</f>
        <v>0</v>
      </c>
      <c r="E447" s="305">
        <f t="shared" si="66"/>
        <v>310.63514623476811</v>
      </c>
      <c r="F447" s="103" t="s">
        <v>165</v>
      </c>
      <c r="G447" s="75" t="s">
        <v>147</v>
      </c>
      <c r="H447" s="90">
        <v>6.87</v>
      </c>
      <c r="I447" s="90">
        <v>39.369999999999997</v>
      </c>
      <c r="J447" s="76">
        <v>0.105</v>
      </c>
      <c r="K447" s="306">
        <v>16.38</v>
      </c>
      <c r="L447" s="78">
        <f t="shared" si="67"/>
        <v>15.098458092948722</v>
      </c>
      <c r="M447" s="58">
        <f>+VLOOKUP(F447,Material!$H$2:$M$17,6,FALSE)*H447*I447*(1+Material!$K$14)</f>
        <v>112.41488343750001</v>
      </c>
      <c r="N447" s="79" t="str">
        <f t="shared" si="77"/>
        <v>T5.0</v>
      </c>
      <c r="O447" s="80">
        <f>+VLOOKUP(N447,[3]Material!$A$3:$B$58,2,FALSE)</f>
        <v>5000</v>
      </c>
      <c r="P447" s="79" t="s">
        <v>42</v>
      </c>
      <c r="Q447" s="79" t="str">
        <f>+VLOOKUP(F447,[3]Material!$C$2:$E$12,2,FALSE)</f>
        <v>Cal 14</v>
      </c>
      <c r="R447" s="81">
        <f>+IF(P447="ACERO A36",VLOOKUP(Q447,'[3]Velocidades Std 1500 w'!$B$2:$F$15,5,FALSE),IF(P447="INOXIDABLE",VLOOKUP(Q447,'[3]Velocidades Std 1500 w'!$B$17:$F$28,5,FALSE),IF(P447="ALUMINIO",VLOOKUP(Q447,'[3]Velocidades Std 1500 w'!$B$30:$F$38,5,FALSE))))</f>
        <v>2.0080321285140564E-6</v>
      </c>
      <c r="S447" s="82">
        <f t="shared" si="68"/>
        <v>1.0040160642570283E-2</v>
      </c>
      <c r="T447" s="83">
        <f t="shared" si="69"/>
        <v>36.916421204819279</v>
      </c>
      <c r="U447" s="307">
        <f t="shared" si="70"/>
        <v>5106.7716</v>
      </c>
      <c r="V447" s="80">
        <f t="shared" si="75"/>
        <v>51.272807228915674</v>
      </c>
      <c r="W447" s="98">
        <v>66</v>
      </c>
      <c r="X447" s="84">
        <f>+IF(P447="ACERO A36",VLOOKUP(Q447,'[3]Tiempo Objeto'!$B$2:$C$12,2,FALSE),IF(P447="INOXIDABLE",VLOOKUP(Q447,'[3]Tiempo Objeto'!$B$14:$C$22,2,FALSE),IF(P447="ALUMINIO",VLOOKUP(Q447,'[3]Tiempo Objeto'!$B$24:$C$32,2,FALSE))))</f>
        <v>0.3133333333333333</v>
      </c>
      <c r="Y447" s="84">
        <f t="shared" si="71"/>
        <v>20.679999999999996</v>
      </c>
      <c r="Z447" s="80">
        <f t="shared" si="72"/>
        <v>28.722222222222218</v>
      </c>
      <c r="AA447" s="100">
        <v>2</v>
      </c>
      <c r="AB447" s="86">
        <f>+AA447*Analisis!$J$6</f>
        <v>50</v>
      </c>
      <c r="AC447" s="100"/>
      <c r="AD447" s="85">
        <f t="shared" si="73"/>
        <v>0</v>
      </c>
      <c r="AE447" s="86">
        <f>+AC447*Analisis!$J$7</f>
        <v>0</v>
      </c>
      <c r="AF447" s="308">
        <f>+H447*0.0254*I447*0.0254*2*(1+[3]Analisis!$G$2)</f>
        <v>0.43624412750999991</v>
      </c>
      <c r="AG447" s="86">
        <f>+AF447*Analisis!$J$8</f>
        <v>46.480773109696436</v>
      </c>
      <c r="AH447" s="309">
        <f t="shared" si="64"/>
        <v>288.89068599833433</v>
      </c>
      <c r="AI447" s="86">
        <f>+AH447/(1-Analisis!G452)</f>
        <v>288.89068599833433</v>
      </c>
      <c r="AJ447" s="86">
        <f t="shared" si="74"/>
        <v>310.63514623476811</v>
      </c>
      <c r="AK447" s="86">
        <f t="shared" si="65"/>
        <v>0</v>
      </c>
      <c r="AL447" s="310" t="e">
        <f>+VLOOKUP(B447,#REF!,2,FALSE)</f>
        <v>#REF!</v>
      </c>
      <c r="AM447" s="311" t="e">
        <f t="shared" si="79"/>
        <v>#REF!</v>
      </c>
      <c r="AN447" s="312" t="e">
        <f t="shared" si="78"/>
        <v>#REF!</v>
      </c>
    </row>
    <row r="448" spans="1:40" s="73" customFormat="1" x14ac:dyDescent="0.25">
      <c r="A448" s="320"/>
      <c r="B448" s="321" t="s">
        <v>1182</v>
      </c>
      <c r="D448" s="74">
        <f>IFERROR(VLOOKUP(B448,'REQ. PINTADO'!B:C,2,0),0)</f>
        <v>0</v>
      </c>
      <c r="E448" s="305">
        <f t="shared" si="66"/>
        <v>423.64795231284762</v>
      </c>
      <c r="F448" s="103" t="s">
        <v>163</v>
      </c>
      <c r="G448" s="75" t="s">
        <v>147</v>
      </c>
      <c r="H448" s="90">
        <v>2.7</v>
      </c>
      <c r="I448" s="90">
        <v>85.94</v>
      </c>
      <c r="J448" s="76">
        <v>0.105</v>
      </c>
      <c r="K448" s="306">
        <v>16.38</v>
      </c>
      <c r="L448" s="78">
        <f t="shared" si="67"/>
        <v>11.698262413784379</v>
      </c>
      <c r="M448" s="58">
        <f>+VLOOKUP(F448,Material!$H$2:$M$17,6,FALSE)*H448*I448*(1+Material!$K$14)</f>
        <v>87.098881062630952</v>
      </c>
      <c r="N448" s="79" t="str">
        <f t="shared" si="77"/>
        <v>T5.0</v>
      </c>
      <c r="O448" s="80">
        <f>+VLOOKUP(N448,[3]Material!$A$3:$B$58,2,FALSE)</f>
        <v>5000</v>
      </c>
      <c r="P448" s="79" t="s">
        <v>42</v>
      </c>
      <c r="Q448" s="79" t="str">
        <f>+VLOOKUP(F448,[3]Material!$C$2:$E$12,2,FALSE)</f>
        <v>Cal 12</v>
      </c>
      <c r="R448" s="81">
        <f>+IF(P448="ACERO A36",VLOOKUP(Q448,'[3]Velocidades Std 1500 w'!$B$2:$F$15,5,FALSE),IF(P448="INOXIDABLE",VLOOKUP(Q448,'[3]Velocidades Std 1500 w'!$B$17:$F$28,5,FALSE),IF(P448="ALUMINIO",VLOOKUP(Q448,'[3]Velocidades Std 1500 w'!$B$30:$F$38,5,FALSE))))</f>
        <v>4.3859649122807014E-6</v>
      </c>
      <c r="S448" s="82">
        <f t="shared" si="68"/>
        <v>2.1929824561403508E-2</v>
      </c>
      <c r="T448" s="83">
        <f t="shared" si="69"/>
        <v>125.18617263157893</v>
      </c>
      <c r="U448" s="307">
        <f t="shared" si="70"/>
        <v>7928.4575999999988</v>
      </c>
      <c r="V448" s="80">
        <f t="shared" si="75"/>
        <v>173.86968421052629</v>
      </c>
      <c r="W448" s="98">
        <v>80</v>
      </c>
      <c r="X448" s="84">
        <f>+IF(P448="ACERO A36",VLOOKUP(Q448,'[3]Tiempo Objeto'!$B$2:$C$12,2,FALSE),IF(P448="INOXIDABLE",VLOOKUP(Q448,'[3]Tiempo Objeto'!$B$14:$C$22,2,FALSE),IF(P448="ALUMINIO",VLOOKUP(Q448,'[3]Tiempo Objeto'!$B$24:$C$32,2,FALSE))))</f>
        <v>0.6133333333333334</v>
      </c>
      <c r="Y448" s="84">
        <f t="shared" si="71"/>
        <v>49.06666666666667</v>
      </c>
      <c r="Z448" s="80">
        <f t="shared" si="72"/>
        <v>68.148148148148152</v>
      </c>
      <c r="AA448" s="100">
        <v>1</v>
      </c>
      <c r="AB448" s="86">
        <f>+AA448*Analisis!$J$6</f>
        <v>25</v>
      </c>
      <c r="AC448" s="100"/>
      <c r="AD448" s="85">
        <f t="shared" si="73"/>
        <v>0</v>
      </c>
      <c r="AE448" s="86">
        <f>+AC448*Analisis!$J$7</f>
        <v>0</v>
      </c>
      <c r="AF448" s="308">
        <f>+H448*0.0254*I448*0.0254*2*(1+[3]Analisis!$G$2)</f>
        <v>0.37425409019999994</v>
      </c>
      <c r="AG448" s="86">
        <f>+AF448*Analisis!$J$8</f>
        <v>39.875882229642862</v>
      </c>
      <c r="AH448" s="309">
        <f t="shared" si="64"/>
        <v>393.99259565094826</v>
      </c>
      <c r="AI448" s="86">
        <f>+AH448/(1-Analisis!G453)</f>
        <v>393.99259565094826</v>
      </c>
      <c r="AJ448" s="86">
        <f t="shared" si="74"/>
        <v>423.64795231284762</v>
      </c>
      <c r="AK448" s="86">
        <f t="shared" si="65"/>
        <v>0</v>
      </c>
      <c r="AL448" s="310" t="e">
        <f>+VLOOKUP(B448,#REF!,2,FALSE)</f>
        <v>#REF!</v>
      </c>
      <c r="AM448" s="311" t="e">
        <f t="shared" si="79"/>
        <v>#REF!</v>
      </c>
      <c r="AN448" s="312" t="e">
        <f t="shared" si="78"/>
        <v>#REF!</v>
      </c>
    </row>
    <row r="449" spans="1:40" s="73" customFormat="1" x14ac:dyDescent="0.25">
      <c r="A449" s="320"/>
      <c r="B449" s="321" t="s">
        <v>1214</v>
      </c>
      <c r="D449" s="74">
        <f>IFERROR(VLOOKUP(B449,'REQ. PINTADO'!B:C,2,0),0)</f>
        <v>0</v>
      </c>
      <c r="E449" s="305">
        <f t="shared" si="66"/>
        <v>682.28224426246538</v>
      </c>
      <c r="F449" s="103" t="s">
        <v>165</v>
      </c>
      <c r="G449" s="75" t="s">
        <v>147</v>
      </c>
      <c r="H449" s="90">
        <v>23.33</v>
      </c>
      <c r="I449" s="90">
        <v>33.020000000000003</v>
      </c>
      <c r="J449" s="76">
        <v>0.105</v>
      </c>
      <c r="K449" s="306">
        <v>16.38</v>
      </c>
      <c r="L449" s="78">
        <f t="shared" si="67"/>
        <v>43.003346527777786</v>
      </c>
      <c r="M449" s="58">
        <f>+VLOOKUP(F449,Material!$H$2:$M$17,6,FALSE)*H449*I449*(1+Material!$K$14)</f>
        <v>320.17946187500002</v>
      </c>
      <c r="N449" s="79" t="str">
        <f t="shared" si="77"/>
        <v>T5.0</v>
      </c>
      <c r="O449" s="80">
        <f>+VLOOKUP(N449,[3]Material!$A$3:$B$58,2,FALSE)</f>
        <v>5000</v>
      </c>
      <c r="P449" s="79" t="s">
        <v>42</v>
      </c>
      <c r="Q449" s="79" t="str">
        <f>+VLOOKUP(F449,[3]Material!$C$2:$E$12,2,FALSE)</f>
        <v>Cal 14</v>
      </c>
      <c r="R449" s="81">
        <f>+IF(P449="ACERO A36",VLOOKUP(Q449,'[3]Velocidades Std 1500 w'!$B$2:$F$15,5,FALSE),IF(P449="INOXIDABLE",VLOOKUP(Q449,'[3]Velocidades Std 1500 w'!$B$17:$F$28,5,FALSE),IF(P449="ALUMINIO",VLOOKUP(Q449,'[3]Velocidades Std 1500 w'!$B$30:$F$38,5,FALSE))))</f>
        <v>2.0080321285140564E-6</v>
      </c>
      <c r="S449" s="82">
        <f t="shared" si="68"/>
        <v>1.0040160642570283E-2</v>
      </c>
      <c r="T449" s="83">
        <f t="shared" si="69"/>
        <v>30.982185542168672</v>
      </c>
      <c r="U449" s="307">
        <f t="shared" si="70"/>
        <v>4285.8689999999997</v>
      </c>
      <c r="V449" s="80">
        <f t="shared" si="75"/>
        <v>43.030813253012049</v>
      </c>
      <c r="W449" s="98">
        <v>32</v>
      </c>
      <c r="X449" s="84">
        <f>+IF(P449="ACERO A36",VLOOKUP(Q449,'[3]Tiempo Objeto'!$B$2:$C$12,2,FALSE),IF(P449="INOXIDABLE",VLOOKUP(Q449,'[3]Tiempo Objeto'!$B$14:$C$22,2,FALSE),IF(P449="ALUMINIO",VLOOKUP(Q449,'[3]Tiempo Objeto'!$B$24:$C$32,2,FALSE))))</f>
        <v>0.3133333333333333</v>
      </c>
      <c r="Y449" s="84">
        <f t="shared" si="71"/>
        <v>10.026666666666666</v>
      </c>
      <c r="Z449" s="80">
        <f t="shared" si="72"/>
        <v>13.925925925925924</v>
      </c>
      <c r="AA449" s="100">
        <v>5</v>
      </c>
      <c r="AB449" s="86">
        <f>+AA449*Analisis!$J$6</f>
        <v>125</v>
      </c>
      <c r="AC449" s="100"/>
      <c r="AD449" s="85">
        <f t="shared" si="73"/>
        <v>0</v>
      </c>
      <c r="AE449" s="86">
        <f>+AC449*Analisis!$J$7</f>
        <v>0</v>
      </c>
      <c r="AF449" s="308">
        <f>+H449*0.0254*I449*0.0254*2*(1+[3]Analisis!$G$2)</f>
        <v>1.2425081601400001</v>
      </c>
      <c r="AG449" s="86">
        <f>+AF449*Analisis!$J$8</f>
        <v>132.3862861101548</v>
      </c>
      <c r="AH449" s="309">
        <f t="shared" si="64"/>
        <v>634.52248716409281</v>
      </c>
      <c r="AI449" s="86">
        <f>+AH449/(1-Analisis!G454)</f>
        <v>634.52248716409281</v>
      </c>
      <c r="AJ449" s="86">
        <f t="shared" si="74"/>
        <v>682.28224426246538</v>
      </c>
      <c r="AK449" s="86">
        <f t="shared" si="65"/>
        <v>0</v>
      </c>
      <c r="AL449" s="310" t="e">
        <f>+VLOOKUP(B449,#REF!,2,FALSE)</f>
        <v>#REF!</v>
      </c>
      <c r="AM449" s="311" t="e">
        <f t="shared" si="79"/>
        <v>#REF!</v>
      </c>
      <c r="AN449" s="312" t="e">
        <f t="shared" si="78"/>
        <v>#REF!</v>
      </c>
    </row>
    <row r="450" spans="1:40" s="73" customFormat="1" x14ac:dyDescent="0.25">
      <c r="A450" s="320"/>
      <c r="B450" s="321" t="s">
        <v>1215</v>
      </c>
      <c r="D450" s="74">
        <f>IFERROR(VLOOKUP(B450,'REQ. PINTADO'!B:C,2,0),0)</f>
        <v>0</v>
      </c>
      <c r="E450" s="305">
        <f t="shared" si="66"/>
        <v>682.28224426246538</v>
      </c>
      <c r="F450" s="103" t="s">
        <v>165</v>
      </c>
      <c r="G450" s="75" t="s">
        <v>147</v>
      </c>
      <c r="H450" s="90">
        <v>23.33</v>
      </c>
      <c r="I450" s="90">
        <v>33.020000000000003</v>
      </c>
      <c r="J450" s="76">
        <v>0.105</v>
      </c>
      <c r="K450" s="306">
        <v>16.38</v>
      </c>
      <c r="L450" s="78">
        <f t="shared" si="67"/>
        <v>43.003346527777786</v>
      </c>
      <c r="M450" s="58">
        <f>+VLOOKUP(F450,Material!$H$2:$M$17,6,FALSE)*H450*I450*(1+Material!$K$14)</f>
        <v>320.17946187500002</v>
      </c>
      <c r="N450" s="79" t="str">
        <f t="shared" si="77"/>
        <v>T5.0</v>
      </c>
      <c r="O450" s="80">
        <f>+VLOOKUP(N450,[3]Material!$A$3:$B$58,2,FALSE)</f>
        <v>5000</v>
      </c>
      <c r="P450" s="79" t="s">
        <v>42</v>
      </c>
      <c r="Q450" s="79" t="str">
        <f>+VLOOKUP(F450,[3]Material!$C$2:$E$12,2,FALSE)</f>
        <v>Cal 14</v>
      </c>
      <c r="R450" s="81">
        <f>+IF(P450="ACERO A36",VLOOKUP(Q450,'[3]Velocidades Std 1500 w'!$B$2:$F$15,5,FALSE),IF(P450="INOXIDABLE",VLOOKUP(Q450,'[3]Velocidades Std 1500 w'!$B$17:$F$28,5,FALSE),IF(P450="ALUMINIO",VLOOKUP(Q450,'[3]Velocidades Std 1500 w'!$B$30:$F$38,5,FALSE))))</f>
        <v>2.0080321285140564E-6</v>
      </c>
      <c r="S450" s="82">
        <f t="shared" si="68"/>
        <v>1.0040160642570283E-2</v>
      </c>
      <c r="T450" s="83">
        <f t="shared" si="69"/>
        <v>30.982185542168672</v>
      </c>
      <c r="U450" s="307">
        <f t="shared" si="70"/>
        <v>4285.8689999999997</v>
      </c>
      <c r="V450" s="80">
        <f t="shared" si="75"/>
        <v>43.030813253012049</v>
      </c>
      <c r="W450" s="98">
        <v>32</v>
      </c>
      <c r="X450" s="84">
        <f>+IF(P450="ACERO A36",VLOOKUP(Q450,'[3]Tiempo Objeto'!$B$2:$C$12,2,FALSE),IF(P450="INOXIDABLE",VLOOKUP(Q450,'[3]Tiempo Objeto'!$B$14:$C$22,2,FALSE),IF(P450="ALUMINIO",VLOOKUP(Q450,'[3]Tiempo Objeto'!$B$24:$C$32,2,FALSE))))</f>
        <v>0.3133333333333333</v>
      </c>
      <c r="Y450" s="84">
        <f t="shared" si="71"/>
        <v>10.026666666666666</v>
      </c>
      <c r="Z450" s="80">
        <f t="shared" si="72"/>
        <v>13.925925925925924</v>
      </c>
      <c r="AA450" s="100">
        <v>5</v>
      </c>
      <c r="AB450" s="86">
        <f>+AA450*Analisis!$J$6</f>
        <v>125</v>
      </c>
      <c r="AC450" s="100"/>
      <c r="AD450" s="85">
        <f t="shared" si="73"/>
        <v>0</v>
      </c>
      <c r="AE450" s="86">
        <f>+AC450*Analisis!$J$7</f>
        <v>0</v>
      </c>
      <c r="AF450" s="308">
        <f>+H450*0.0254*I450*0.0254*2*(1+[3]Analisis!$G$2)</f>
        <v>1.2425081601400001</v>
      </c>
      <c r="AG450" s="86">
        <f>+AF450*Analisis!$J$8</f>
        <v>132.3862861101548</v>
      </c>
      <c r="AH450" s="309">
        <f t="shared" si="64"/>
        <v>634.52248716409281</v>
      </c>
      <c r="AI450" s="86">
        <f>+AH450/(1-Analisis!G455)</f>
        <v>634.52248716409281</v>
      </c>
      <c r="AJ450" s="86">
        <f t="shared" si="74"/>
        <v>682.28224426246538</v>
      </c>
      <c r="AK450" s="86">
        <f t="shared" si="65"/>
        <v>0</v>
      </c>
      <c r="AL450" s="310" t="e">
        <f>+VLOOKUP(B450,#REF!,2,FALSE)</f>
        <v>#REF!</v>
      </c>
      <c r="AM450" s="311" t="e">
        <f t="shared" si="79"/>
        <v>#REF!</v>
      </c>
      <c r="AN450" s="312" t="e">
        <f t="shared" si="78"/>
        <v>#REF!</v>
      </c>
    </row>
    <row r="451" spans="1:40" s="73" customFormat="1" x14ac:dyDescent="0.25">
      <c r="A451" s="320"/>
      <c r="B451" s="321" t="s">
        <v>1216</v>
      </c>
      <c r="D451" s="74">
        <f>IFERROR(VLOOKUP(B451,'REQ. PINTADO'!B:C,2,0),0)</f>
        <v>0</v>
      </c>
      <c r="E451" s="305">
        <f t="shared" si="66"/>
        <v>682.28224426246538</v>
      </c>
      <c r="F451" s="103" t="s">
        <v>165</v>
      </c>
      <c r="G451" s="75" t="s">
        <v>147</v>
      </c>
      <c r="H451" s="90">
        <v>23.33</v>
      </c>
      <c r="I451" s="90">
        <v>33.020000000000003</v>
      </c>
      <c r="J451" s="76">
        <v>0.105</v>
      </c>
      <c r="K451" s="306">
        <v>16.38</v>
      </c>
      <c r="L451" s="78">
        <f t="shared" si="67"/>
        <v>43.003346527777786</v>
      </c>
      <c r="M451" s="58">
        <f>+VLOOKUP(F451,Material!$H$2:$M$17,6,FALSE)*H451*I451*(1+Material!$K$14)</f>
        <v>320.17946187500002</v>
      </c>
      <c r="N451" s="79" t="str">
        <f t="shared" si="77"/>
        <v>T5.0</v>
      </c>
      <c r="O451" s="80">
        <f>+VLOOKUP(N451,[3]Material!$A$3:$B$58,2,FALSE)</f>
        <v>5000</v>
      </c>
      <c r="P451" s="79" t="s">
        <v>42</v>
      </c>
      <c r="Q451" s="79" t="str">
        <f>+VLOOKUP(F451,[3]Material!$C$2:$E$12,2,FALSE)</f>
        <v>Cal 14</v>
      </c>
      <c r="R451" s="81">
        <f>+IF(P451="ACERO A36",VLOOKUP(Q451,'[3]Velocidades Std 1500 w'!$B$2:$F$15,5,FALSE),IF(P451="INOXIDABLE",VLOOKUP(Q451,'[3]Velocidades Std 1500 w'!$B$17:$F$28,5,FALSE),IF(P451="ALUMINIO",VLOOKUP(Q451,'[3]Velocidades Std 1500 w'!$B$30:$F$38,5,FALSE))))</f>
        <v>2.0080321285140564E-6</v>
      </c>
      <c r="S451" s="82">
        <f t="shared" si="68"/>
        <v>1.0040160642570283E-2</v>
      </c>
      <c r="T451" s="83">
        <f t="shared" si="69"/>
        <v>30.982185542168672</v>
      </c>
      <c r="U451" s="307">
        <f t="shared" si="70"/>
        <v>4285.8689999999997</v>
      </c>
      <c r="V451" s="80">
        <f t="shared" si="75"/>
        <v>43.030813253012049</v>
      </c>
      <c r="W451" s="98">
        <v>32</v>
      </c>
      <c r="X451" s="84">
        <f>+IF(P451="ACERO A36",VLOOKUP(Q451,'[3]Tiempo Objeto'!$B$2:$C$12,2,FALSE),IF(P451="INOXIDABLE",VLOOKUP(Q451,'[3]Tiempo Objeto'!$B$14:$C$22,2,FALSE),IF(P451="ALUMINIO",VLOOKUP(Q451,'[3]Tiempo Objeto'!$B$24:$C$32,2,FALSE))))</f>
        <v>0.3133333333333333</v>
      </c>
      <c r="Y451" s="84">
        <f t="shared" si="71"/>
        <v>10.026666666666666</v>
      </c>
      <c r="Z451" s="80">
        <f t="shared" si="72"/>
        <v>13.925925925925924</v>
      </c>
      <c r="AA451" s="100">
        <v>5</v>
      </c>
      <c r="AB451" s="86">
        <f>+AA451*Analisis!$J$6</f>
        <v>125</v>
      </c>
      <c r="AC451" s="100"/>
      <c r="AD451" s="85">
        <f t="shared" si="73"/>
        <v>0</v>
      </c>
      <c r="AE451" s="86">
        <f>+AC451*Analisis!$J$7</f>
        <v>0</v>
      </c>
      <c r="AF451" s="308">
        <f>+H451*0.0254*I451*0.0254*2*(1+[3]Analisis!$G$2)</f>
        <v>1.2425081601400001</v>
      </c>
      <c r="AG451" s="86">
        <f>+AF451*Analisis!$J$8</f>
        <v>132.3862861101548</v>
      </c>
      <c r="AH451" s="309">
        <f t="shared" si="64"/>
        <v>634.52248716409281</v>
      </c>
      <c r="AI451" s="86">
        <f>+AH451/(1-Analisis!G456)</f>
        <v>634.52248716409281</v>
      </c>
      <c r="AJ451" s="86">
        <f t="shared" si="74"/>
        <v>682.28224426246538</v>
      </c>
      <c r="AK451" s="86">
        <f t="shared" si="65"/>
        <v>0</v>
      </c>
      <c r="AL451" s="310" t="e">
        <f>+VLOOKUP(B451,#REF!,2,FALSE)</f>
        <v>#REF!</v>
      </c>
      <c r="AM451" s="311" t="e">
        <f t="shared" si="79"/>
        <v>#REF!</v>
      </c>
      <c r="AN451" s="312" t="e">
        <f t="shared" si="78"/>
        <v>#REF!</v>
      </c>
    </row>
    <row r="452" spans="1:40" s="73" customFormat="1" x14ac:dyDescent="0.25">
      <c r="A452" s="320"/>
      <c r="B452" s="321" t="s">
        <v>1217</v>
      </c>
      <c r="D452" s="74">
        <f>IFERROR(VLOOKUP(B452,'REQ. PINTADO'!B:C,2,0),0)</f>
        <v>0</v>
      </c>
      <c r="E452" s="305">
        <f t="shared" si="66"/>
        <v>682.28224426246538</v>
      </c>
      <c r="F452" s="103" t="s">
        <v>165</v>
      </c>
      <c r="G452" s="75" t="s">
        <v>147</v>
      </c>
      <c r="H452" s="90">
        <v>23.33</v>
      </c>
      <c r="I452" s="90">
        <v>33.020000000000003</v>
      </c>
      <c r="J452" s="76">
        <v>0.105</v>
      </c>
      <c r="K452" s="306">
        <v>16.38</v>
      </c>
      <c r="L452" s="78">
        <f t="shared" si="67"/>
        <v>43.003346527777786</v>
      </c>
      <c r="M452" s="58">
        <f>+VLOOKUP(F452,Material!$H$2:$M$17,6,FALSE)*H452*I452*(1+Material!$K$14)</f>
        <v>320.17946187500002</v>
      </c>
      <c r="N452" s="79" t="str">
        <f t="shared" ref="N452:N515" si="80">+N451</f>
        <v>T5.0</v>
      </c>
      <c r="O452" s="80">
        <f>+VLOOKUP(N452,[3]Material!$A$3:$B$58,2,FALSE)</f>
        <v>5000</v>
      </c>
      <c r="P452" s="79" t="s">
        <v>42</v>
      </c>
      <c r="Q452" s="79" t="str">
        <f>+VLOOKUP(F452,[3]Material!$C$2:$E$12,2,FALSE)</f>
        <v>Cal 14</v>
      </c>
      <c r="R452" s="81">
        <f>+IF(P452="ACERO A36",VLOOKUP(Q452,'[3]Velocidades Std 1500 w'!$B$2:$F$15,5,FALSE),IF(P452="INOXIDABLE",VLOOKUP(Q452,'[3]Velocidades Std 1500 w'!$B$17:$F$28,5,FALSE),IF(P452="ALUMINIO",VLOOKUP(Q452,'[3]Velocidades Std 1500 w'!$B$30:$F$38,5,FALSE))))</f>
        <v>2.0080321285140564E-6</v>
      </c>
      <c r="S452" s="82">
        <f t="shared" si="68"/>
        <v>1.0040160642570283E-2</v>
      </c>
      <c r="T452" s="83">
        <f t="shared" si="69"/>
        <v>30.982185542168672</v>
      </c>
      <c r="U452" s="307">
        <f t="shared" si="70"/>
        <v>4285.8689999999997</v>
      </c>
      <c r="V452" s="80">
        <f t="shared" si="75"/>
        <v>43.030813253012049</v>
      </c>
      <c r="W452" s="98">
        <v>32</v>
      </c>
      <c r="X452" s="84">
        <f>+IF(P452="ACERO A36",VLOOKUP(Q452,'[3]Tiempo Objeto'!$B$2:$C$12,2,FALSE),IF(P452="INOXIDABLE",VLOOKUP(Q452,'[3]Tiempo Objeto'!$B$14:$C$22,2,FALSE),IF(P452="ALUMINIO",VLOOKUP(Q452,'[3]Tiempo Objeto'!$B$24:$C$32,2,FALSE))))</f>
        <v>0.3133333333333333</v>
      </c>
      <c r="Y452" s="84">
        <f t="shared" si="71"/>
        <v>10.026666666666666</v>
      </c>
      <c r="Z452" s="80">
        <f t="shared" si="72"/>
        <v>13.925925925925924</v>
      </c>
      <c r="AA452" s="100">
        <v>5</v>
      </c>
      <c r="AB452" s="86">
        <f>+AA452*Analisis!$J$6</f>
        <v>125</v>
      </c>
      <c r="AC452" s="100"/>
      <c r="AD452" s="85">
        <f t="shared" si="73"/>
        <v>0</v>
      </c>
      <c r="AE452" s="86">
        <f>+AC452*Analisis!$J$7</f>
        <v>0</v>
      </c>
      <c r="AF452" s="308">
        <f>+H452*0.0254*I452*0.0254*2*(1+[3]Analisis!$G$2)</f>
        <v>1.2425081601400001</v>
      </c>
      <c r="AG452" s="86">
        <f>+AF452*Analisis!$J$8</f>
        <v>132.3862861101548</v>
      </c>
      <c r="AH452" s="309">
        <f t="shared" si="64"/>
        <v>634.52248716409281</v>
      </c>
      <c r="AI452" s="86">
        <f>+AH452/(1-Analisis!G457)</f>
        <v>634.52248716409281</v>
      </c>
      <c r="AJ452" s="86">
        <f t="shared" si="74"/>
        <v>682.28224426246538</v>
      </c>
      <c r="AK452" s="86">
        <f t="shared" si="65"/>
        <v>0</v>
      </c>
      <c r="AL452" s="310" t="e">
        <f>+VLOOKUP(B452,#REF!,2,FALSE)</f>
        <v>#REF!</v>
      </c>
      <c r="AM452" s="311" t="e">
        <f t="shared" si="79"/>
        <v>#REF!</v>
      </c>
      <c r="AN452" s="312" t="e">
        <f t="shared" si="78"/>
        <v>#REF!</v>
      </c>
    </row>
    <row r="453" spans="1:40" s="73" customFormat="1" x14ac:dyDescent="0.25">
      <c r="A453" s="320"/>
      <c r="B453" s="321" t="s">
        <v>1218</v>
      </c>
      <c r="D453" s="74">
        <f>IFERROR(VLOOKUP(B453,'REQ. PINTADO'!B:C,2,0),0)</f>
        <v>0</v>
      </c>
      <c r="E453" s="305">
        <f t="shared" si="66"/>
        <v>682.28224426246538</v>
      </c>
      <c r="F453" s="103" t="s">
        <v>165</v>
      </c>
      <c r="G453" s="75" t="s">
        <v>147</v>
      </c>
      <c r="H453" s="90">
        <v>23.33</v>
      </c>
      <c r="I453" s="90">
        <v>33.020000000000003</v>
      </c>
      <c r="J453" s="76">
        <v>0.105</v>
      </c>
      <c r="K453" s="306">
        <v>16.38</v>
      </c>
      <c r="L453" s="78">
        <f t="shared" si="67"/>
        <v>43.003346527777786</v>
      </c>
      <c r="M453" s="58">
        <f>+VLOOKUP(F453,Material!$H$2:$M$17,6,FALSE)*H453*I453*(1+Material!$K$14)</f>
        <v>320.17946187500002</v>
      </c>
      <c r="N453" s="79" t="str">
        <f t="shared" si="80"/>
        <v>T5.0</v>
      </c>
      <c r="O453" s="80">
        <f>+VLOOKUP(N453,[3]Material!$A$3:$B$58,2,FALSE)</f>
        <v>5000</v>
      </c>
      <c r="P453" s="79" t="s">
        <v>42</v>
      </c>
      <c r="Q453" s="79" t="str">
        <f>+VLOOKUP(F453,[3]Material!$C$2:$E$12,2,FALSE)</f>
        <v>Cal 14</v>
      </c>
      <c r="R453" s="81">
        <f>+IF(P453="ACERO A36",VLOOKUP(Q453,'[3]Velocidades Std 1500 w'!$B$2:$F$15,5,FALSE),IF(P453="INOXIDABLE",VLOOKUP(Q453,'[3]Velocidades Std 1500 w'!$B$17:$F$28,5,FALSE),IF(P453="ALUMINIO",VLOOKUP(Q453,'[3]Velocidades Std 1500 w'!$B$30:$F$38,5,FALSE))))</f>
        <v>2.0080321285140564E-6</v>
      </c>
      <c r="S453" s="82">
        <f t="shared" si="68"/>
        <v>1.0040160642570283E-2</v>
      </c>
      <c r="T453" s="83">
        <f t="shared" si="69"/>
        <v>30.982185542168672</v>
      </c>
      <c r="U453" s="307">
        <f t="shared" si="70"/>
        <v>4285.8689999999997</v>
      </c>
      <c r="V453" s="80">
        <f t="shared" si="75"/>
        <v>43.030813253012049</v>
      </c>
      <c r="W453" s="98">
        <v>32</v>
      </c>
      <c r="X453" s="84">
        <f>+IF(P453="ACERO A36",VLOOKUP(Q453,'[3]Tiempo Objeto'!$B$2:$C$12,2,FALSE),IF(P453="INOXIDABLE",VLOOKUP(Q453,'[3]Tiempo Objeto'!$B$14:$C$22,2,FALSE),IF(P453="ALUMINIO",VLOOKUP(Q453,'[3]Tiempo Objeto'!$B$24:$C$32,2,FALSE))))</f>
        <v>0.3133333333333333</v>
      </c>
      <c r="Y453" s="84">
        <f t="shared" si="71"/>
        <v>10.026666666666666</v>
      </c>
      <c r="Z453" s="80">
        <f t="shared" si="72"/>
        <v>13.925925925925924</v>
      </c>
      <c r="AA453" s="100">
        <v>5</v>
      </c>
      <c r="AB453" s="86">
        <f>+AA453*Analisis!$J$6</f>
        <v>125</v>
      </c>
      <c r="AC453" s="100"/>
      <c r="AD453" s="85">
        <f t="shared" si="73"/>
        <v>0</v>
      </c>
      <c r="AE453" s="86">
        <f>+AC453*Analisis!$J$7</f>
        <v>0</v>
      </c>
      <c r="AF453" s="308">
        <f>+H453*0.0254*I453*0.0254*2*(1+[3]Analisis!$G$2)</f>
        <v>1.2425081601400001</v>
      </c>
      <c r="AG453" s="86">
        <f>+AF453*Analisis!$J$8</f>
        <v>132.3862861101548</v>
      </c>
      <c r="AH453" s="309">
        <f t="shared" si="64"/>
        <v>634.52248716409281</v>
      </c>
      <c r="AI453" s="86">
        <f>+AH453/(1-Analisis!G458)</f>
        <v>634.52248716409281</v>
      </c>
      <c r="AJ453" s="86">
        <f t="shared" si="74"/>
        <v>682.28224426246538</v>
      </c>
      <c r="AK453" s="86">
        <f t="shared" si="65"/>
        <v>0</v>
      </c>
      <c r="AL453" s="310" t="e">
        <f>+VLOOKUP(B453,#REF!,2,FALSE)</f>
        <v>#REF!</v>
      </c>
      <c r="AM453" s="311" t="e">
        <f t="shared" si="79"/>
        <v>#REF!</v>
      </c>
      <c r="AN453" s="312" t="e">
        <f t="shared" si="78"/>
        <v>#REF!</v>
      </c>
    </row>
    <row r="454" spans="1:40" s="73" customFormat="1" x14ac:dyDescent="0.25">
      <c r="A454" s="320"/>
      <c r="B454" s="321" t="s">
        <v>1219</v>
      </c>
      <c r="D454" s="74">
        <f>IFERROR(VLOOKUP(B454,'REQ. PINTADO'!B:C,2,0),0)</f>
        <v>0</v>
      </c>
      <c r="E454" s="305">
        <f t="shared" si="66"/>
        <v>682.28224426246538</v>
      </c>
      <c r="F454" s="103" t="s">
        <v>165</v>
      </c>
      <c r="G454" s="75" t="s">
        <v>147</v>
      </c>
      <c r="H454" s="90">
        <v>23.33</v>
      </c>
      <c r="I454" s="90">
        <v>33.020000000000003</v>
      </c>
      <c r="J454" s="76">
        <v>0.105</v>
      </c>
      <c r="K454" s="306">
        <v>16.38</v>
      </c>
      <c r="L454" s="78">
        <f t="shared" si="67"/>
        <v>43.003346527777786</v>
      </c>
      <c r="M454" s="58">
        <f>+VLOOKUP(F454,Material!$H$2:$M$17,6,FALSE)*H454*I454*(1+Material!$K$14)</f>
        <v>320.17946187500002</v>
      </c>
      <c r="N454" s="79" t="str">
        <f t="shared" si="80"/>
        <v>T5.0</v>
      </c>
      <c r="O454" s="80">
        <f>+VLOOKUP(N454,[3]Material!$A$3:$B$58,2,FALSE)</f>
        <v>5000</v>
      </c>
      <c r="P454" s="79" t="s">
        <v>42</v>
      </c>
      <c r="Q454" s="79" t="str">
        <f>+VLOOKUP(F454,[3]Material!$C$2:$E$12,2,FALSE)</f>
        <v>Cal 14</v>
      </c>
      <c r="R454" s="81">
        <f>+IF(P454="ACERO A36",VLOOKUP(Q454,'[3]Velocidades Std 1500 w'!$B$2:$F$15,5,FALSE),IF(P454="INOXIDABLE",VLOOKUP(Q454,'[3]Velocidades Std 1500 w'!$B$17:$F$28,5,FALSE),IF(P454="ALUMINIO",VLOOKUP(Q454,'[3]Velocidades Std 1500 w'!$B$30:$F$38,5,FALSE))))</f>
        <v>2.0080321285140564E-6</v>
      </c>
      <c r="S454" s="82">
        <f t="shared" si="68"/>
        <v>1.0040160642570283E-2</v>
      </c>
      <c r="T454" s="83">
        <f t="shared" si="69"/>
        <v>30.982185542168672</v>
      </c>
      <c r="U454" s="307">
        <f t="shared" si="70"/>
        <v>4285.8689999999997</v>
      </c>
      <c r="V454" s="80">
        <f t="shared" si="75"/>
        <v>43.030813253012049</v>
      </c>
      <c r="W454" s="98">
        <v>32</v>
      </c>
      <c r="X454" s="84">
        <f>+IF(P454="ACERO A36",VLOOKUP(Q454,'[3]Tiempo Objeto'!$B$2:$C$12,2,FALSE),IF(P454="INOXIDABLE",VLOOKUP(Q454,'[3]Tiempo Objeto'!$B$14:$C$22,2,FALSE),IF(P454="ALUMINIO",VLOOKUP(Q454,'[3]Tiempo Objeto'!$B$24:$C$32,2,FALSE))))</f>
        <v>0.3133333333333333</v>
      </c>
      <c r="Y454" s="84">
        <f t="shared" si="71"/>
        <v>10.026666666666666</v>
      </c>
      <c r="Z454" s="80">
        <f t="shared" si="72"/>
        <v>13.925925925925924</v>
      </c>
      <c r="AA454" s="100">
        <v>5</v>
      </c>
      <c r="AB454" s="86">
        <f>+AA454*Analisis!$J$6</f>
        <v>125</v>
      </c>
      <c r="AC454" s="100"/>
      <c r="AD454" s="85">
        <f t="shared" si="73"/>
        <v>0</v>
      </c>
      <c r="AE454" s="86">
        <f>+AC454*Analisis!$J$7</f>
        <v>0</v>
      </c>
      <c r="AF454" s="308">
        <f>+H454*0.0254*I454*0.0254*2*(1+[3]Analisis!$G$2)</f>
        <v>1.2425081601400001</v>
      </c>
      <c r="AG454" s="86">
        <f>+AF454*Analisis!$J$8</f>
        <v>132.3862861101548</v>
      </c>
      <c r="AH454" s="309">
        <f t="shared" si="64"/>
        <v>634.52248716409281</v>
      </c>
      <c r="AI454" s="86">
        <f>+AH454/(1-Analisis!G459)</f>
        <v>634.52248716409281</v>
      </c>
      <c r="AJ454" s="86">
        <f t="shared" si="74"/>
        <v>682.28224426246538</v>
      </c>
      <c r="AK454" s="86">
        <f t="shared" si="65"/>
        <v>0</v>
      </c>
      <c r="AL454" s="310" t="e">
        <f>+VLOOKUP(B454,#REF!,2,FALSE)</f>
        <v>#REF!</v>
      </c>
      <c r="AM454" s="311" t="e">
        <f t="shared" si="79"/>
        <v>#REF!</v>
      </c>
      <c r="AN454" s="312" t="e">
        <f t="shared" si="78"/>
        <v>#REF!</v>
      </c>
    </row>
    <row r="455" spans="1:40" s="73" customFormat="1" x14ac:dyDescent="0.25">
      <c r="A455" s="320"/>
      <c r="B455" s="321" t="s">
        <v>1220</v>
      </c>
      <c r="D455" s="74">
        <f>IFERROR(VLOOKUP(B455,'REQ. PINTADO'!B:C,2,0),0)</f>
        <v>0</v>
      </c>
      <c r="E455" s="305">
        <f t="shared" si="66"/>
        <v>4086.7914752707416</v>
      </c>
      <c r="F455" s="103" t="s">
        <v>165</v>
      </c>
      <c r="G455" s="75" t="s">
        <v>147</v>
      </c>
      <c r="H455" s="90">
        <v>39.207999999999998</v>
      </c>
      <c r="I455" s="90">
        <v>70.91</v>
      </c>
      <c r="J455" s="76">
        <v>0.105</v>
      </c>
      <c r="K455" s="306">
        <v>16.38</v>
      </c>
      <c r="L455" s="78">
        <f t="shared" si="67"/>
        <v>155.20032305555557</v>
      </c>
      <c r="M455" s="58">
        <f>+VLOOKUP(F455,Material!$H$2:$M$17,6,FALSE)*H455*I455*(1+Material!$K$14)</f>
        <v>1155.53695075</v>
      </c>
      <c r="N455" s="79" t="str">
        <f t="shared" si="80"/>
        <v>T5.0</v>
      </c>
      <c r="O455" s="80">
        <f>+VLOOKUP(N455,[3]Material!$A$3:$B$58,2,FALSE)</f>
        <v>5000</v>
      </c>
      <c r="P455" s="79" t="s">
        <v>42</v>
      </c>
      <c r="Q455" s="79" t="str">
        <f>+VLOOKUP(F455,[3]Material!$C$2:$E$12,2,FALSE)</f>
        <v>Cal 14</v>
      </c>
      <c r="R455" s="81">
        <f>+IF(P455="ACERO A36",VLOOKUP(Q455,'[3]Velocidades Std 1500 w'!$B$2:$F$15,5,FALSE),IF(P455="INOXIDABLE",VLOOKUP(Q455,'[3]Velocidades Std 1500 w'!$B$17:$F$28,5,FALSE),IF(P455="ALUMINIO",VLOOKUP(Q455,'[3]Velocidades Std 1500 w'!$B$30:$F$38,5,FALSE))))</f>
        <v>2.0080321285140564E-6</v>
      </c>
      <c r="S455" s="82">
        <f t="shared" si="68"/>
        <v>1.0040160642570283E-2</v>
      </c>
      <c r="T455" s="83">
        <f t="shared" si="69"/>
        <v>736.5230900240964</v>
      </c>
      <c r="U455" s="307">
        <f t="shared" si="70"/>
        <v>101885.69412</v>
      </c>
      <c r="V455" s="80">
        <f t="shared" si="75"/>
        <v>1022.9487361445784</v>
      </c>
      <c r="W455" s="98">
        <v>2400</v>
      </c>
      <c r="X455" s="84">
        <f>+IF(P455="ACERO A36",VLOOKUP(Q455,'[3]Tiempo Objeto'!$B$2:$C$12,2,FALSE),IF(P455="INOXIDABLE",VLOOKUP(Q455,'[3]Tiempo Objeto'!$B$14:$C$22,2,FALSE),IF(P455="ALUMINIO",VLOOKUP(Q455,'[3]Tiempo Objeto'!$B$24:$C$32,2,FALSE))))</f>
        <v>0.3133333333333333</v>
      </c>
      <c r="Y455" s="84">
        <f t="shared" si="71"/>
        <v>751.99999999999989</v>
      </c>
      <c r="Z455" s="80">
        <f t="shared" si="72"/>
        <v>1044.4444444444443</v>
      </c>
      <c r="AA455" s="100">
        <v>4</v>
      </c>
      <c r="AB455" s="86">
        <f>+AA455*Analisis!$J$6</f>
        <v>100</v>
      </c>
      <c r="AC455" s="100"/>
      <c r="AD455" s="85">
        <f t="shared" si="73"/>
        <v>0</v>
      </c>
      <c r="AE455" s="86">
        <f>+AC455*Analisis!$J$7</f>
        <v>0</v>
      </c>
      <c r="AF455" s="308">
        <f>+H455*0.0254*I455*0.0254*2*(1+[3]Analisis!$G$2)</f>
        <v>4.4842479347119992</v>
      </c>
      <c r="AG455" s="86">
        <f>+AF455*Analisis!$J$8</f>
        <v>477.78594066276673</v>
      </c>
      <c r="AH455" s="309">
        <f t="shared" si="64"/>
        <v>3800.7160720017896</v>
      </c>
      <c r="AI455" s="86">
        <f>+AH455/(1-Analisis!G460)</f>
        <v>3800.7160720017896</v>
      </c>
      <c r="AJ455" s="86">
        <f t="shared" si="74"/>
        <v>4086.7914752707416</v>
      </c>
      <c r="AK455" s="86">
        <f t="shared" si="65"/>
        <v>0</v>
      </c>
      <c r="AL455" s="310" t="e">
        <f>+VLOOKUP(B455,#REF!,2,FALSE)</f>
        <v>#REF!</v>
      </c>
      <c r="AM455" s="311" t="e">
        <f t="shared" si="79"/>
        <v>#REF!</v>
      </c>
      <c r="AN455" s="312" t="e">
        <f t="shared" si="78"/>
        <v>#REF!</v>
      </c>
    </row>
    <row r="456" spans="1:40" s="73" customFormat="1" x14ac:dyDescent="0.25">
      <c r="A456" s="320"/>
      <c r="B456" s="321" t="s">
        <v>1221</v>
      </c>
      <c r="D456" s="74">
        <f>IFERROR(VLOOKUP(B456,'REQ. PINTADO'!B:C,2,0),0)</f>
        <v>0</v>
      </c>
      <c r="E456" s="305">
        <f t="shared" si="66"/>
        <v>610.18793500620143</v>
      </c>
      <c r="F456" s="103" t="s">
        <v>163</v>
      </c>
      <c r="G456" s="75" t="s">
        <v>147</v>
      </c>
      <c r="H456" s="90">
        <v>19.04</v>
      </c>
      <c r="I456" s="90">
        <v>37.590000000000003</v>
      </c>
      <c r="J456" s="76">
        <v>0.105</v>
      </c>
      <c r="K456" s="306">
        <v>16.38</v>
      </c>
      <c r="L456" s="78">
        <f t="shared" si="67"/>
        <v>36.082906704566959</v>
      </c>
      <c r="M456" s="58">
        <f>+VLOOKUP(F456,Material!$H$2:$M$17,6,FALSE)*H456*I456*(1+Material!$K$14)</f>
        <v>268.65364173673032</v>
      </c>
      <c r="N456" s="79" t="str">
        <f t="shared" si="80"/>
        <v>T5.0</v>
      </c>
      <c r="O456" s="80">
        <f>+VLOOKUP(N456,[3]Material!$A$3:$B$58,2,FALSE)</f>
        <v>5000</v>
      </c>
      <c r="P456" s="79" t="s">
        <v>42</v>
      </c>
      <c r="Q456" s="79" t="str">
        <f>+VLOOKUP(F456,[3]Material!$C$2:$E$12,2,FALSE)</f>
        <v>Cal 12</v>
      </c>
      <c r="R456" s="81">
        <f>+IF(P456="ACERO A36",VLOOKUP(Q456,'[3]Velocidades Std 1500 w'!$B$2:$F$15,5,FALSE),IF(P456="INOXIDABLE",VLOOKUP(Q456,'[3]Velocidades Std 1500 w'!$B$17:$F$28,5,FALSE),IF(P456="ALUMINIO",VLOOKUP(Q456,'[3]Velocidades Std 1500 w'!$B$30:$F$38,5,FALSE))))</f>
        <v>4.3859649122807014E-6</v>
      </c>
      <c r="S456" s="82">
        <f t="shared" si="68"/>
        <v>2.1929824561403508E-2</v>
      </c>
      <c r="T456" s="83">
        <f t="shared" si="69"/>
        <v>60.327539999999985</v>
      </c>
      <c r="U456" s="307">
        <f t="shared" si="70"/>
        <v>3820.7441999999996</v>
      </c>
      <c r="V456" s="80">
        <f t="shared" si="75"/>
        <v>83.788249999999991</v>
      </c>
      <c r="W456" s="98">
        <v>20</v>
      </c>
      <c r="X456" s="84">
        <f>+IF(P456="ACERO A36",VLOOKUP(Q456,'[3]Tiempo Objeto'!$B$2:$C$12,2,FALSE),IF(P456="INOXIDABLE",VLOOKUP(Q456,'[3]Tiempo Objeto'!$B$14:$C$22,2,FALSE),IF(P456="ALUMINIO",VLOOKUP(Q456,'[3]Tiempo Objeto'!$B$24:$C$32,2,FALSE))))</f>
        <v>0.6133333333333334</v>
      </c>
      <c r="Y456" s="84">
        <f t="shared" si="71"/>
        <v>12.266666666666667</v>
      </c>
      <c r="Z456" s="80">
        <f t="shared" si="72"/>
        <v>17.037037037037038</v>
      </c>
      <c r="AA456" s="100">
        <v>3</v>
      </c>
      <c r="AB456" s="86">
        <f>+AA456*Analisis!$J$6</f>
        <v>75</v>
      </c>
      <c r="AC456" s="100"/>
      <c r="AD456" s="85">
        <f t="shared" si="73"/>
        <v>0</v>
      </c>
      <c r="AE456" s="86">
        <f>+AC456*Analisis!$J$7</f>
        <v>0</v>
      </c>
      <c r="AF456" s="308">
        <f>+H456*0.0254*I456*0.0254*2*(1+[3]Analisis!$G$2)</f>
        <v>1.1543744654399999</v>
      </c>
      <c r="AG456" s="86">
        <f>+AF456*Analisis!$J$8</f>
        <v>122.99585078200002</v>
      </c>
      <c r="AH456" s="309">
        <f t="shared" si="64"/>
        <v>567.47477955576733</v>
      </c>
      <c r="AI456" s="86">
        <f>+AH456/(1-Analisis!G461)</f>
        <v>567.47477955576733</v>
      </c>
      <c r="AJ456" s="86">
        <f t="shared" si="74"/>
        <v>610.18793500620143</v>
      </c>
      <c r="AK456" s="86">
        <f t="shared" si="65"/>
        <v>0</v>
      </c>
      <c r="AL456" s="310" t="e">
        <f>+VLOOKUP(B456,#REF!,2,FALSE)</f>
        <v>#REF!</v>
      </c>
      <c r="AM456" s="311" t="e">
        <f t="shared" si="79"/>
        <v>#REF!</v>
      </c>
      <c r="AN456" s="312" t="e">
        <f t="shared" si="78"/>
        <v>#REF!</v>
      </c>
    </row>
    <row r="457" spans="1:40" s="73" customFormat="1" x14ac:dyDescent="0.25">
      <c r="A457" s="320"/>
      <c r="B457" s="321" t="s">
        <v>1222</v>
      </c>
      <c r="D457" s="74">
        <f>IFERROR(VLOOKUP(B457,'REQ. PINTADO'!B:C,2,0),0)</f>
        <v>0</v>
      </c>
      <c r="E457" s="305">
        <f t="shared" si="66"/>
        <v>1086.9926208142392</v>
      </c>
      <c r="F457" s="103" t="s">
        <v>163</v>
      </c>
      <c r="G457" s="75" t="s">
        <v>147</v>
      </c>
      <c r="H457" s="90">
        <v>37.32</v>
      </c>
      <c r="I457" s="90">
        <v>18.899999999999999</v>
      </c>
      <c r="J457" s="76">
        <v>0.105</v>
      </c>
      <c r="K457" s="306">
        <v>16.38</v>
      </c>
      <c r="L457" s="78">
        <f t="shared" si="67"/>
        <v>35.560322003456257</v>
      </c>
      <c r="M457" s="58">
        <f>+VLOOKUP(F457,Material!$H$2:$M$17,6,FALSE)*H457*I457*(1+Material!$K$14)</f>
        <v>264.76276109846066</v>
      </c>
      <c r="N457" s="79" t="str">
        <f t="shared" si="80"/>
        <v>T5.0</v>
      </c>
      <c r="O457" s="80">
        <f>+VLOOKUP(N457,[3]Material!$A$3:$B$58,2,FALSE)</f>
        <v>5000</v>
      </c>
      <c r="P457" s="79" t="s">
        <v>42</v>
      </c>
      <c r="Q457" s="79" t="str">
        <f>+VLOOKUP(F457,[3]Material!$C$2:$E$12,2,FALSE)</f>
        <v>Cal 12</v>
      </c>
      <c r="R457" s="81">
        <f>+IF(P457="ACERO A36",VLOOKUP(Q457,'[3]Velocidades Std 1500 w'!$B$2:$F$15,5,FALSE),IF(P457="INOXIDABLE",VLOOKUP(Q457,'[3]Velocidades Std 1500 w'!$B$17:$F$28,5,FALSE),IF(P457="ALUMINIO",VLOOKUP(Q457,'[3]Velocidades Std 1500 w'!$B$30:$F$38,5,FALSE))))</f>
        <v>4.3859649122807014E-6</v>
      </c>
      <c r="S457" s="82">
        <f t="shared" si="68"/>
        <v>2.1929824561403508E-2</v>
      </c>
      <c r="T457" s="83">
        <f t="shared" si="69"/>
        <v>224.21328631578947</v>
      </c>
      <c r="U457" s="307">
        <f t="shared" si="70"/>
        <v>14200.174800000001</v>
      </c>
      <c r="V457" s="80">
        <f t="shared" si="75"/>
        <v>311.40734210526318</v>
      </c>
      <c r="W457" s="98">
        <v>280</v>
      </c>
      <c r="X457" s="84">
        <f>+IF(P457="ACERO A36",VLOOKUP(Q457,'[3]Tiempo Objeto'!$B$2:$C$12,2,FALSE),IF(P457="INOXIDABLE",VLOOKUP(Q457,'[3]Tiempo Objeto'!$B$14:$C$22,2,FALSE),IF(P457="ALUMINIO",VLOOKUP(Q457,'[3]Tiempo Objeto'!$B$24:$C$32,2,FALSE))))</f>
        <v>0.6133333333333334</v>
      </c>
      <c r="Y457" s="84">
        <f t="shared" si="71"/>
        <v>171.73333333333335</v>
      </c>
      <c r="Z457" s="80">
        <f t="shared" si="72"/>
        <v>238.51851851851853</v>
      </c>
      <c r="AA457" s="100">
        <v>3</v>
      </c>
      <c r="AB457" s="86">
        <f>+AA457*Analisis!$J$6</f>
        <v>75</v>
      </c>
      <c r="AC457" s="100"/>
      <c r="AD457" s="85">
        <f t="shared" si="73"/>
        <v>0</v>
      </c>
      <c r="AE457" s="86">
        <f>+AC457*Analisis!$J$7</f>
        <v>0</v>
      </c>
      <c r="AF457" s="308">
        <f>+H457*0.0254*I457*0.0254*2*(1+[3]Analisis!$G$2)</f>
        <v>1.1376557891999997</v>
      </c>
      <c r="AG457" s="86">
        <f>+AF457*Analisis!$J$8</f>
        <v>121.214515635</v>
      </c>
      <c r="AH457" s="309">
        <f t="shared" si="64"/>
        <v>1010.9031373572425</v>
      </c>
      <c r="AI457" s="86">
        <f>+AH457/(1-Analisis!G462)</f>
        <v>1010.9031373572425</v>
      </c>
      <c r="AJ457" s="86">
        <f t="shared" si="74"/>
        <v>1086.9926208142392</v>
      </c>
      <c r="AK457" s="86">
        <f t="shared" si="65"/>
        <v>0</v>
      </c>
      <c r="AL457" s="310" t="e">
        <f>+VLOOKUP(B457,#REF!,2,FALSE)</f>
        <v>#REF!</v>
      </c>
      <c r="AM457" s="311" t="e">
        <f t="shared" si="79"/>
        <v>#REF!</v>
      </c>
      <c r="AN457" s="312" t="e">
        <f t="shared" si="78"/>
        <v>#REF!</v>
      </c>
    </row>
    <row r="458" spans="1:40" s="73" customFormat="1" x14ac:dyDescent="0.25">
      <c r="A458" s="320"/>
      <c r="B458" s="321" t="s">
        <v>1223</v>
      </c>
      <c r="D458" s="74">
        <f>IFERROR(VLOOKUP(B458,'REQ. PINTADO'!B:C,2,0),0)</f>
        <v>0</v>
      </c>
      <c r="E458" s="305">
        <f t="shared" si="66"/>
        <v>963.78189118404032</v>
      </c>
      <c r="F458" s="103" t="s">
        <v>164</v>
      </c>
      <c r="G458" s="75" t="s">
        <v>147</v>
      </c>
      <c r="H458" s="90">
        <v>37.94</v>
      </c>
      <c r="I458" s="90">
        <v>7.25</v>
      </c>
      <c r="J458" s="76">
        <v>0.105</v>
      </c>
      <c r="K458" s="306">
        <v>16.38</v>
      </c>
      <c r="L458" s="78">
        <f t="shared" si="67"/>
        <v>25.591428507834763</v>
      </c>
      <c r="M458" s="58">
        <f>+VLOOKUP(F458,Material!$H$2:$M$17,6,FALSE)*H458*I458*(1+Material!$K$14)</f>
        <v>190.53981770833335</v>
      </c>
      <c r="N458" s="79" t="str">
        <f t="shared" si="80"/>
        <v>T5.0</v>
      </c>
      <c r="O458" s="80">
        <f>+VLOOKUP(N458,[3]Material!$A$3:$B$58,2,FALSE)</f>
        <v>5000</v>
      </c>
      <c r="P458" s="79" t="s">
        <v>42</v>
      </c>
      <c r="Q458" s="79" t="str">
        <f>+VLOOKUP(F458,[3]Material!$C$2:$E$12,2,FALSE)</f>
        <v>Cal 10</v>
      </c>
      <c r="R458" s="81">
        <f>+IF(P458="ACERO A36",VLOOKUP(Q458,'[3]Velocidades Std 1500 w'!$B$2:$F$15,5,FALSE),IF(P458="INOXIDABLE",VLOOKUP(Q458,'[3]Velocidades Std 1500 w'!$B$17:$F$28,5,FALSE),IF(P458="ALUMINIO",VLOOKUP(Q458,'[3]Velocidades Std 1500 w'!$B$30:$F$38,5,FALSE))))</f>
        <v>6.1728395061728391E-6</v>
      </c>
      <c r="S458" s="82">
        <f t="shared" si="68"/>
        <v>3.0864197530864196E-2</v>
      </c>
      <c r="T458" s="83">
        <f t="shared" si="69"/>
        <v>266.92521333333332</v>
      </c>
      <c r="U458" s="307">
        <f t="shared" si="70"/>
        <v>12011.634600000001</v>
      </c>
      <c r="V458" s="80">
        <f t="shared" si="75"/>
        <v>370.729462962963</v>
      </c>
      <c r="W458" s="98">
        <v>240</v>
      </c>
      <c r="X458" s="84">
        <f>+IF(P458="ACERO A36",VLOOKUP(Q458,'[3]Tiempo Objeto'!$B$2:$C$12,2,FALSE),IF(P458="INOXIDABLE",VLOOKUP(Q458,'[3]Tiempo Objeto'!$B$14:$C$22,2,FALSE),IF(P458="ALUMINIO",VLOOKUP(Q458,'[3]Tiempo Objeto'!$B$24:$C$32,2,FALSE))))</f>
        <v>0.71333333333333337</v>
      </c>
      <c r="Y458" s="84">
        <f t="shared" si="71"/>
        <v>171.20000000000002</v>
      </c>
      <c r="Z458" s="80">
        <f t="shared" si="72"/>
        <v>237.7777777777778</v>
      </c>
      <c r="AA458" s="100">
        <v>2</v>
      </c>
      <c r="AB458" s="86">
        <f>+AA458*Analisis!$J$6</f>
        <v>50</v>
      </c>
      <c r="AC458" s="100"/>
      <c r="AD458" s="85">
        <f t="shared" si="73"/>
        <v>0</v>
      </c>
      <c r="AE458" s="86">
        <f>+AC458*Analisis!$J$7</f>
        <v>0</v>
      </c>
      <c r="AF458" s="308">
        <f>+H458*0.0254*I458*0.0254*2*(1+[3]Analisis!$G$2)</f>
        <v>0.44365233849999991</v>
      </c>
      <c r="AG458" s="86">
        <f>+AF458*Analisis!$J$8</f>
        <v>47.27010035208334</v>
      </c>
      <c r="AH458" s="309">
        <f t="shared" si="64"/>
        <v>896.31715880115746</v>
      </c>
      <c r="AI458" s="86">
        <f>+AH458/(1-Analisis!G463)</f>
        <v>896.31715880115746</v>
      </c>
      <c r="AJ458" s="86">
        <f t="shared" si="74"/>
        <v>963.78189118404032</v>
      </c>
      <c r="AK458" s="86">
        <f t="shared" si="65"/>
        <v>0</v>
      </c>
      <c r="AL458" s="310" t="e">
        <f>+VLOOKUP(B458,#REF!,2,FALSE)</f>
        <v>#REF!</v>
      </c>
      <c r="AM458" s="311" t="e">
        <f t="shared" si="79"/>
        <v>#REF!</v>
      </c>
      <c r="AN458" s="312" t="e">
        <f t="shared" si="78"/>
        <v>#REF!</v>
      </c>
    </row>
    <row r="459" spans="1:40" s="73" customFormat="1" x14ac:dyDescent="0.25">
      <c r="A459" s="320"/>
      <c r="B459" s="321" t="s">
        <v>1224</v>
      </c>
      <c r="D459" s="74">
        <f>IFERROR(VLOOKUP(B459,'REQ. PINTADO'!B:C,2,0),0)</f>
        <v>0</v>
      </c>
      <c r="E459" s="305">
        <f t="shared" si="66"/>
        <v>2041.5285345648633</v>
      </c>
      <c r="F459" s="103" t="s">
        <v>163</v>
      </c>
      <c r="G459" s="75" t="s">
        <v>147</v>
      </c>
      <c r="H459" s="90">
        <v>41.8</v>
      </c>
      <c r="I459" s="90">
        <v>71.766999999999996</v>
      </c>
      <c r="J459" s="76">
        <v>0.105</v>
      </c>
      <c r="K459" s="306">
        <v>16.38</v>
      </c>
      <c r="L459" s="78">
        <f t="shared" si="67"/>
        <v>151.23883374090732</v>
      </c>
      <c r="M459" s="58">
        <f>+VLOOKUP(F459,Material!$H$2:$M$17,6,FALSE)*H459*I459*(1+Material!$K$14)</f>
        <v>1126.0418621254826</v>
      </c>
      <c r="N459" s="79" t="str">
        <f t="shared" si="80"/>
        <v>T5.0</v>
      </c>
      <c r="O459" s="80">
        <f>+VLOOKUP(N459,[3]Material!$A$3:$B$58,2,FALSE)</f>
        <v>5000</v>
      </c>
      <c r="P459" s="79" t="s">
        <v>42</v>
      </c>
      <c r="Q459" s="79" t="str">
        <f>+VLOOKUP(F459,[3]Material!$C$2:$E$12,2,FALSE)</f>
        <v>Cal 12</v>
      </c>
      <c r="R459" s="81">
        <f>+IF(P459="ACERO A36",VLOOKUP(Q459,'[3]Velocidades Std 1500 w'!$B$2:$F$15,5,FALSE),IF(P459="INOXIDABLE",VLOOKUP(Q459,'[3]Velocidades Std 1500 w'!$B$17:$F$28,5,FALSE),IF(P459="ALUMINIO",VLOOKUP(Q459,'[3]Velocidades Std 1500 w'!$B$30:$F$38,5,FALSE))))</f>
        <v>4.3859649122807014E-6</v>
      </c>
      <c r="S459" s="82">
        <f t="shared" si="68"/>
        <v>2.1929824561403508E-2</v>
      </c>
      <c r="T459" s="83">
        <f t="shared" si="69"/>
        <v>104.49053336842104</v>
      </c>
      <c r="U459" s="307">
        <f t="shared" si="70"/>
        <v>6617.7337799999996</v>
      </c>
      <c r="V459" s="80">
        <f t="shared" si="75"/>
        <v>145.12574078947367</v>
      </c>
      <c r="W459" s="98">
        <v>14</v>
      </c>
      <c r="X459" s="84">
        <f>+IF(P459="ACERO A36",VLOOKUP(Q459,'[3]Tiempo Objeto'!$B$2:$C$12,2,FALSE),IF(P459="INOXIDABLE",VLOOKUP(Q459,'[3]Tiempo Objeto'!$B$14:$C$22,2,FALSE),IF(P459="ALUMINIO",VLOOKUP(Q459,'[3]Tiempo Objeto'!$B$24:$C$32,2,FALSE))))</f>
        <v>0.6133333333333334</v>
      </c>
      <c r="Y459" s="84">
        <f t="shared" si="71"/>
        <v>8.5866666666666678</v>
      </c>
      <c r="Z459" s="80">
        <f t="shared" si="72"/>
        <v>11.925925925925927</v>
      </c>
      <c r="AA459" s="100">
        <v>4</v>
      </c>
      <c r="AB459" s="86">
        <f>+AA459*Analisis!$J$6</f>
        <v>100</v>
      </c>
      <c r="AC459" s="100"/>
      <c r="AD459" s="85">
        <f t="shared" si="73"/>
        <v>0</v>
      </c>
      <c r="AE459" s="86">
        <f>+AC459*Analisis!$J$7</f>
        <v>0</v>
      </c>
      <c r="AF459" s="308">
        <f>+H459*0.0254*I459*0.0254*2*(1+[3]Analisis!$G$2)</f>
        <v>4.8384751617399981</v>
      </c>
      <c r="AG459" s="86">
        <f>+AF459*Analisis!$J$8</f>
        <v>515.52800830444039</v>
      </c>
      <c r="AH459" s="309">
        <f t="shared" si="64"/>
        <v>1898.6215371453227</v>
      </c>
      <c r="AI459" s="86">
        <f>+AH459/(1-Analisis!G464)</f>
        <v>1898.6215371453227</v>
      </c>
      <c r="AJ459" s="86">
        <f t="shared" si="74"/>
        <v>2041.5285345648633</v>
      </c>
      <c r="AK459" s="86">
        <f t="shared" si="65"/>
        <v>0</v>
      </c>
      <c r="AL459" s="310" t="e">
        <f>+VLOOKUP(B459,#REF!,2,FALSE)</f>
        <v>#REF!</v>
      </c>
      <c r="AM459" s="311" t="e">
        <f t="shared" si="79"/>
        <v>#REF!</v>
      </c>
      <c r="AN459" s="312" t="e">
        <f t="shared" si="78"/>
        <v>#REF!</v>
      </c>
    </row>
    <row r="460" spans="1:40" s="73" customFormat="1" x14ac:dyDescent="0.25">
      <c r="A460" s="320"/>
      <c r="B460" s="321" t="s">
        <v>1225</v>
      </c>
      <c r="D460" s="74">
        <f>IFERROR(VLOOKUP(B460,'REQ. PINTADO'!B:C,2,0),0)</f>
        <v>0</v>
      </c>
      <c r="E460" s="305">
        <f t="shared" si="66"/>
        <v>732.93745499047395</v>
      </c>
      <c r="F460" s="103" t="s">
        <v>163</v>
      </c>
      <c r="G460" s="75" t="s">
        <v>147</v>
      </c>
      <c r="H460" s="90">
        <v>23.33</v>
      </c>
      <c r="I460" s="90">
        <v>33.020000000000003</v>
      </c>
      <c r="J460" s="76">
        <v>0.105</v>
      </c>
      <c r="K460" s="306">
        <v>16.38</v>
      </c>
      <c r="L460" s="78">
        <f t="shared" si="67"/>
        <v>38.837749243618411</v>
      </c>
      <c r="M460" s="58">
        <f>+VLOOKUP(F460,Material!$H$2:$M$17,6,FALSE)*H460*I460*(1+Material!$K$14)</f>
        <v>289.16469664112248</v>
      </c>
      <c r="N460" s="79" t="str">
        <f t="shared" si="80"/>
        <v>T5.0</v>
      </c>
      <c r="O460" s="80">
        <f>+VLOOKUP(N460,[3]Material!$A$3:$B$58,2,FALSE)</f>
        <v>5000</v>
      </c>
      <c r="P460" s="79" t="s">
        <v>42</v>
      </c>
      <c r="Q460" s="79" t="str">
        <f>+VLOOKUP(F460,[3]Material!$C$2:$E$12,2,FALSE)</f>
        <v>Cal 12</v>
      </c>
      <c r="R460" s="81">
        <f>+IF(P460="ACERO A36",VLOOKUP(Q460,'[3]Velocidades Std 1500 w'!$B$2:$F$15,5,FALSE),IF(P460="INOXIDABLE",VLOOKUP(Q460,'[3]Velocidades Std 1500 w'!$B$17:$F$28,5,FALSE),IF(P460="ALUMINIO",VLOOKUP(Q460,'[3]Velocidades Std 1500 w'!$B$30:$F$38,5,FALSE))))</f>
        <v>4.3859649122807014E-6</v>
      </c>
      <c r="S460" s="82">
        <f t="shared" si="68"/>
        <v>2.1929824561403508E-2</v>
      </c>
      <c r="T460" s="83">
        <f t="shared" si="69"/>
        <v>72.724878947368396</v>
      </c>
      <c r="U460" s="307">
        <f t="shared" si="70"/>
        <v>4605.9089999999987</v>
      </c>
      <c r="V460" s="80">
        <f t="shared" si="75"/>
        <v>101.00677631578944</v>
      </c>
      <c r="W460" s="98">
        <v>40</v>
      </c>
      <c r="X460" s="84">
        <f>+IF(P460="ACERO A36",VLOOKUP(Q460,'[3]Tiempo Objeto'!$B$2:$C$12,2,FALSE),IF(P460="INOXIDABLE",VLOOKUP(Q460,'[3]Tiempo Objeto'!$B$14:$C$22,2,FALSE),IF(P460="ALUMINIO",VLOOKUP(Q460,'[3]Tiempo Objeto'!$B$24:$C$32,2,FALSE))))</f>
        <v>0.6133333333333334</v>
      </c>
      <c r="Y460" s="84">
        <f t="shared" si="71"/>
        <v>24.533333333333335</v>
      </c>
      <c r="Z460" s="80">
        <f t="shared" si="72"/>
        <v>34.074074074074076</v>
      </c>
      <c r="AA460" s="100">
        <v>5</v>
      </c>
      <c r="AB460" s="86">
        <f>+AA460*Analisis!$J$6</f>
        <v>125</v>
      </c>
      <c r="AC460" s="100"/>
      <c r="AD460" s="85">
        <f t="shared" si="73"/>
        <v>0</v>
      </c>
      <c r="AE460" s="86">
        <f>+AC460*Analisis!$J$7</f>
        <v>0</v>
      </c>
      <c r="AF460" s="308">
        <f>+H460*0.0254*I460*0.0254*2*(1+[3]Analisis!$G$2)</f>
        <v>1.2425081601400001</v>
      </c>
      <c r="AG460" s="86">
        <f>+AF460*Analisis!$J$8</f>
        <v>132.3862861101548</v>
      </c>
      <c r="AH460" s="309">
        <f t="shared" si="64"/>
        <v>681.63183314114076</v>
      </c>
      <c r="AI460" s="86">
        <f>+AH460/(1-Analisis!G465)</f>
        <v>681.63183314114076</v>
      </c>
      <c r="AJ460" s="86">
        <f t="shared" si="74"/>
        <v>732.93745499047395</v>
      </c>
      <c r="AK460" s="86">
        <f t="shared" si="65"/>
        <v>0</v>
      </c>
      <c r="AL460" s="310" t="e">
        <f>+VLOOKUP(B460,#REF!,2,FALSE)</f>
        <v>#REF!</v>
      </c>
      <c r="AM460" s="311" t="e">
        <f t="shared" si="79"/>
        <v>#REF!</v>
      </c>
      <c r="AN460" s="312" t="e">
        <f t="shared" si="78"/>
        <v>#REF!</v>
      </c>
    </row>
    <row r="461" spans="1:40" s="73" customFormat="1" x14ac:dyDescent="0.25">
      <c r="A461" s="320"/>
      <c r="B461" s="321" t="s">
        <v>1214</v>
      </c>
      <c r="D461" s="74">
        <f>IFERROR(VLOOKUP(B461,'REQ. PINTADO'!B:C,2,0),0)</f>
        <v>0</v>
      </c>
      <c r="E461" s="305">
        <f t="shared" si="66"/>
        <v>732.93745499047395</v>
      </c>
      <c r="F461" s="103" t="s">
        <v>163</v>
      </c>
      <c r="G461" s="75" t="s">
        <v>147</v>
      </c>
      <c r="H461" s="90">
        <v>23.33</v>
      </c>
      <c r="I461" s="90">
        <v>33.020000000000003</v>
      </c>
      <c r="J461" s="76">
        <v>0.105</v>
      </c>
      <c r="K461" s="306">
        <v>16.38</v>
      </c>
      <c r="L461" s="78">
        <f t="shared" si="67"/>
        <v>38.837749243618411</v>
      </c>
      <c r="M461" s="58">
        <f>+VLOOKUP(F461,Material!$H$2:$M$17,6,FALSE)*H461*I461*(1+Material!$K$14)</f>
        <v>289.16469664112248</v>
      </c>
      <c r="N461" s="79" t="str">
        <f t="shared" si="80"/>
        <v>T5.0</v>
      </c>
      <c r="O461" s="80">
        <f>+VLOOKUP(N461,[3]Material!$A$3:$B$58,2,FALSE)</f>
        <v>5000</v>
      </c>
      <c r="P461" s="79" t="s">
        <v>42</v>
      </c>
      <c r="Q461" s="79" t="str">
        <f>+VLOOKUP(F461,[3]Material!$C$2:$E$12,2,FALSE)</f>
        <v>Cal 12</v>
      </c>
      <c r="R461" s="81">
        <f>+IF(P461="ACERO A36",VLOOKUP(Q461,'[3]Velocidades Std 1500 w'!$B$2:$F$15,5,FALSE),IF(P461="INOXIDABLE",VLOOKUP(Q461,'[3]Velocidades Std 1500 w'!$B$17:$F$28,5,FALSE),IF(P461="ALUMINIO",VLOOKUP(Q461,'[3]Velocidades Std 1500 w'!$B$30:$F$38,5,FALSE))))</f>
        <v>4.3859649122807014E-6</v>
      </c>
      <c r="S461" s="82">
        <f t="shared" si="68"/>
        <v>2.1929824561403508E-2</v>
      </c>
      <c r="T461" s="83">
        <f t="shared" si="69"/>
        <v>72.724878947368396</v>
      </c>
      <c r="U461" s="307">
        <f t="shared" si="70"/>
        <v>4605.9089999999987</v>
      </c>
      <c r="V461" s="80">
        <f t="shared" si="75"/>
        <v>101.00677631578944</v>
      </c>
      <c r="W461" s="98">
        <v>40</v>
      </c>
      <c r="X461" s="84">
        <f>+IF(P461="ACERO A36",VLOOKUP(Q461,'[3]Tiempo Objeto'!$B$2:$C$12,2,FALSE),IF(P461="INOXIDABLE",VLOOKUP(Q461,'[3]Tiempo Objeto'!$B$14:$C$22,2,FALSE),IF(P461="ALUMINIO",VLOOKUP(Q461,'[3]Tiempo Objeto'!$B$24:$C$32,2,FALSE))))</f>
        <v>0.6133333333333334</v>
      </c>
      <c r="Y461" s="84">
        <f t="shared" si="71"/>
        <v>24.533333333333335</v>
      </c>
      <c r="Z461" s="80">
        <f t="shared" si="72"/>
        <v>34.074074074074076</v>
      </c>
      <c r="AA461" s="100">
        <v>5</v>
      </c>
      <c r="AB461" s="86">
        <f>+AA461*Analisis!$J$6</f>
        <v>125</v>
      </c>
      <c r="AC461" s="100"/>
      <c r="AD461" s="85">
        <f t="shared" si="73"/>
        <v>0</v>
      </c>
      <c r="AE461" s="86">
        <f>+AC461*Analisis!$J$7</f>
        <v>0</v>
      </c>
      <c r="AF461" s="308">
        <f>+H461*0.0254*I461*0.0254*2*(1+[3]Analisis!$G$2)</f>
        <v>1.2425081601400001</v>
      </c>
      <c r="AG461" s="86">
        <f>+AF461*Analisis!$J$8</f>
        <v>132.3862861101548</v>
      </c>
      <c r="AH461" s="309">
        <f t="shared" si="64"/>
        <v>681.63183314114076</v>
      </c>
      <c r="AI461" s="86">
        <f>+AH461/(1-Analisis!G466)</f>
        <v>681.63183314114076</v>
      </c>
      <c r="AJ461" s="86">
        <f t="shared" si="74"/>
        <v>732.93745499047395</v>
      </c>
      <c r="AK461" s="86">
        <f t="shared" si="65"/>
        <v>0</v>
      </c>
      <c r="AL461" s="310" t="e">
        <f>+VLOOKUP(B461,#REF!,2,FALSE)</f>
        <v>#REF!</v>
      </c>
      <c r="AM461" s="311" t="e">
        <f t="shared" si="79"/>
        <v>#REF!</v>
      </c>
      <c r="AN461" s="312" t="e">
        <f t="shared" si="78"/>
        <v>#REF!</v>
      </c>
    </row>
    <row r="462" spans="1:40" s="73" customFormat="1" x14ac:dyDescent="0.25">
      <c r="A462" s="320"/>
      <c r="B462" s="321" t="s">
        <v>1215</v>
      </c>
      <c r="D462" s="74">
        <f>IFERROR(VLOOKUP(B462,'REQ. PINTADO'!B:C,2,0),0)</f>
        <v>0</v>
      </c>
      <c r="E462" s="305">
        <f t="shared" si="66"/>
        <v>732.93745499047395</v>
      </c>
      <c r="F462" s="103" t="s">
        <v>163</v>
      </c>
      <c r="G462" s="75" t="s">
        <v>147</v>
      </c>
      <c r="H462" s="90">
        <v>23.33</v>
      </c>
      <c r="I462" s="90">
        <v>33.020000000000003</v>
      </c>
      <c r="J462" s="76">
        <v>0.105</v>
      </c>
      <c r="K462" s="306">
        <v>16.38</v>
      </c>
      <c r="L462" s="78">
        <f t="shared" si="67"/>
        <v>38.837749243618411</v>
      </c>
      <c r="M462" s="58">
        <f>+VLOOKUP(F462,Material!$H$2:$M$17,6,FALSE)*H462*I462*(1+Material!$K$14)</f>
        <v>289.16469664112248</v>
      </c>
      <c r="N462" s="79" t="str">
        <f t="shared" si="80"/>
        <v>T5.0</v>
      </c>
      <c r="O462" s="80">
        <f>+VLOOKUP(N462,[3]Material!$A$3:$B$58,2,FALSE)</f>
        <v>5000</v>
      </c>
      <c r="P462" s="79" t="s">
        <v>42</v>
      </c>
      <c r="Q462" s="79" t="str">
        <f>+VLOOKUP(F462,[3]Material!$C$2:$E$12,2,FALSE)</f>
        <v>Cal 12</v>
      </c>
      <c r="R462" s="81">
        <f>+IF(P462="ACERO A36",VLOOKUP(Q462,'[3]Velocidades Std 1500 w'!$B$2:$F$15,5,FALSE),IF(P462="INOXIDABLE",VLOOKUP(Q462,'[3]Velocidades Std 1500 w'!$B$17:$F$28,5,FALSE),IF(P462="ALUMINIO",VLOOKUP(Q462,'[3]Velocidades Std 1500 w'!$B$30:$F$38,5,FALSE))))</f>
        <v>4.3859649122807014E-6</v>
      </c>
      <c r="S462" s="82">
        <f t="shared" si="68"/>
        <v>2.1929824561403508E-2</v>
      </c>
      <c r="T462" s="83">
        <f t="shared" si="69"/>
        <v>72.724878947368396</v>
      </c>
      <c r="U462" s="307">
        <f t="shared" si="70"/>
        <v>4605.9089999999987</v>
      </c>
      <c r="V462" s="80">
        <f t="shared" si="75"/>
        <v>101.00677631578944</v>
      </c>
      <c r="W462" s="98">
        <v>40</v>
      </c>
      <c r="X462" s="84">
        <f>+IF(P462="ACERO A36",VLOOKUP(Q462,'[3]Tiempo Objeto'!$B$2:$C$12,2,FALSE),IF(P462="INOXIDABLE",VLOOKUP(Q462,'[3]Tiempo Objeto'!$B$14:$C$22,2,FALSE),IF(P462="ALUMINIO",VLOOKUP(Q462,'[3]Tiempo Objeto'!$B$24:$C$32,2,FALSE))))</f>
        <v>0.6133333333333334</v>
      </c>
      <c r="Y462" s="84">
        <f t="shared" si="71"/>
        <v>24.533333333333335</v>
      </c>
      <c r="Z462" s="80">
        <f t="shared" si="72"/>
        <v>34.074074074074076</v>
      </c>
      <c r="AA462" s="100">
        <v>5</v>
      </c>
      <c r="AB462" s="86">
        <f>+AA462*Analisis!$J$6</f>
        <v>125</v>
      </c>
      <c r="AC462" s="100"/>
      <c r="AD462" s="85">
        <f t="shared" si="73"/>
        <v>0</v>
      </c>
      <c r="AE462" s="86">
        <f>+AC462*Analisis!$J$7</f>
        <v>0</v>
      </c>
      <c r="AF462" s="308">
        <f>+H462*0.0254*I462*0.0254*2*(1+[3]Analisis!$G$2)</f>
        <v>1.2425081601400001</v>
      </c>
      <c r="AG462" s="86">
        <f>+AF462*Analisis!$J$8</f>
        <v>132.3862861101548</v>
      </c>
      <c r="AH462" s="309">
        <f t="shared" si="64"/>
        <v>681.63183314114076</v>
      </c>
      <c r="AI462" s="86">
        <f>+AH462/(1-Analisis!G467)</f>
        <v>681.63183314114076</v>
      </c>
      <c r="AJ462" s="86">
        <f t="shared" si="74"/>
        <v>732.93745499047395</v>
      </c>
      <c r="AK462" s="86">
        <f t="shared" si="65"/>
        <v>0</v>
      </c>
      <c r="AL462" s="310" t="e">
        <f>+VLOOKUP(B462,#REF!,2,FALSE)</f>
        <v>#REF!</v>
      </c>
      <c r="AM462" s="311" t="e">
        <f t="shared" si="79"/>
        <v>#REF!</v>
      </c>
      <c r="AN462" s="312" t="e">
        <f t="shared" si="78"/>
        <v>#REF!</v>
      </c>
    </row>
    <row r="463" spans="1:40" s="73" customFormat="1" x14ac:dyDescent="0.25">
      <c r="A463" s="320"/>
      <c r="B463" s="321" t="s">
        <v>1216</v>
      </c>
      <c r="D463" s="74">
        <f>IFERROR(VLOOKUP(B463,'REQ. PINTADO'!B:C,2,0),0)</f>
        <v>0</v>
      </c>
      <c r="E463" s="305">
        <f t="shared" si="66"/>
        <v>732.93745499047395</v>
      </c>
      <c r="F463" s="103" t="s">
        <v>163</v>
      </c>
      <c r="G463" s="75" t="s">
        <v>147</v>
      </c>
      <c r="H463" s="90">
        <v>23.33</v>
      </c>
      <c r="I463" s="90">
        <v>33.020000000000003</v>
      </c>
      <c r="J463" s="76">
        <v>0.105</v>
      </c>
      <c r="K463" s="306">
        <v>16.38</v>
      </c>
      <c r="L463" s="78">
        <f t="shared" si="67"/>
        <v>38.837749243618411</v>
      </c>
      <c r="M463" s="58">
        <f>+VLOOKUP(F463,Material!$H$2:$M$17,6,FALSE)*H463*I463*(1+Material!$K$14)</f>
        <v>289.16469664112248</v>
      </c>
      <c r="N463" s="79" t="str">
        <f t="shared" si="80"/>
        <v>T5.0</v>
      </c>
      <c r="O463" s="80">
        <f>+VLOOKUP(N463,[3]Material!$A$3:$B$58,2,FALSE)</f>
        <v>5000</v>
      </c>
      <c r="P463" s="79" t="s">
        <v>42</v>
      </c>
      <c r="Q463" s="79" t="str">
        <f>+VLOOKUP(F463,[3]Material!$C$2:$E$12,2,FALSE)</f>
        <v>Cal 12</v>
      </c>
      <c r="R463" s="81">
        <f>+IF(P463="ACERO A36",VLOOKUP(Q463,'[3]Velocidades Std 1500 w'!$B$2:$F$15,5,FALSE),IF(P463="INOXIDABLE",VLOOKUP(Q463,'[3]Velocidades Std 1500 w'!$B$17:$F$28,5,FALSE),IF(P463="ALUMINIO",VLOOKUP(Q463,'[3]Velocidades Std 1500 w'!$B$30:$F$38,5,FALSE))))</f>
        <v>4.3859649122807014E-6</v>
      </c>
      <c r="S463" s="82">
        <f t="shared" si="68"/>
        <v>2.1929824561403508E-2</v>
      </c>
      <c r="T463" s="83">
        <f t="shared" si="69"/>
        <v>72.724878947368396</v>
      </c>
      <c r="U463" s="307">
        <f t="shared" si="70"/>
        <v>4605.9089999999987</v>
      </c>
      <c r="V463" s="80">
        <f t="shared" si="75"/>
        <v>101.00677631578944</v>
      </c>
      <c r="W463" s="98">
        <v>40</v>
      </c>
      <c r="X463" s="84">
        <f>+IF(P463="ACERO A36",VLOOKUP(Q463,'[3]Tiempo Objeto'!$B$2:$C$12,2,FALSE),IF(P463="INOXIDABLE",VLOOKUP(Q463,'[3]Tiempo Objeto'!$B$14:$C$22,2,FALSE),IF(P463="ALUMINIO",VLOOKUP(Q463,'[3]Tiempo Objeto'!$B$24:$C$32,2,FALSE))))</f>
        <v>0.6133333333333334</v>
      </c>
      <c r="Y463" s="84">
        <f t="shared" si="71"/>
        <v>24.533333333333335</v>
      </c>
      <c r="Z463" s="80">
        <f t="shared" si="72"/>
        <v>34.074074074074076</v>
      </c>
      <c r="AA463" s="100">
        <v>5</v>
      </c>
      <c r="AB463" s="86">
        <f>+AA463*Analisis!$J$6</f>
        <v>125</v>
      </c>
      <c r="AC463" s="100"/>
      <c r="AD463" s="85">
        <f t="shared" si="73"/>
        <v>0</v>
      </c>
      <c r="AE463" s="86">
        <f>+AC463*Analisis!$J$7</f>
        <v>0</v>
      </c>
      <c r="AF463" s="308">
        <f>+H463*0.0254*I463*0.0254*2*(1+[3]Analisis!$G$2)</f>
        <v>1.2425081601400001</v>
      </c>
      <c r="AG463" s="86">
        <f>+AF463*Analisis!$J$8</f>
        <v>132.3862861101548</v>
      </c>
      <c r="AH463" s="309">
        <f t="shared" si="64"/>
        <v>681.63183314114076</v>
      </c>
      <c r="AI463" s="86">
        <f>+AH463/(1-Analisis!G468)</f>
        <v>681.63183314114076</v>
      </c>
      <c r="AJ463" s="86">
        <f t="shared" si="74"/>
        <v>732.93745499047395</v>
      </c>
      <c r="AK463" s="86">
        <f t="shared" si="65"/>
        <v>0</v>
      </c>
      <c r="AL463" s="310" t="e">
        <f>+VLOOKUP(B463,#REF!,2,FALSE)</f>
        <v>#REF!</v>
      </c>
      <c r="AM463" s="311" t="e">
        <f t="shared" si="79"/>
        <v>#REF!</v>
      </c>
      <c r="AN463" s="312" t="e">
        <f t="shared" si="78"/>
        <v>#REF!</v>
      </c>
    </row>
    <row r="464" spans="1:40" s="73" customFormat="1" x14ac:dyDescent="0.25">
      <c r="A464" s="320"/>
      <c r="B464" s="321" t="s">
        <v>1217</v>
      </c>
      <c r="D464" s="74">
        <f>IFERROR(VLOOKUP(B464,'REQ. PINTADO'!B:C,2,0),0)</f>
        <v>0</v>
      </c>
      <c r="E464" s="305">
        <f t="shared" si="66"/>
        <v>732.93745499047395</v>
      </c>
      <c r="F464" s="103" t="s">
        <v>163</v>
      </c>
      <c r="G464" s="75" t="s">
        <v>147</v>
      </c>
      <c r="H464" s="90">
        <v>23.33</v>
      </c>
      <c r="I464" s="90">
        <v>33.020000000000003</v>
      </c>
      <c r="J464" s="76">
        <v>0.105</v>
      </c>
      <c r="K464" s="306">
        <v>16.38</v>
      </c>
      <c r="L464" s="78">
        <f t="shared" si="67"/>
        <v>38.837749243618411</v>
      </c>
      <c r="M464" s="58">
        <f>+VLOOKUP(F464,Material!$H$2:$M$17,6,FALSE)*H464*I464*(1+Material!$K$14)</f>
        <v>289.16469664112248</v>
      </c>
      <c r="N464" s="79" t="str">
        <f t="shared" si="80"/>
        <v>T5.0</v>
      </c>
      <c r="O464" s="80">
        <f>+VLOOKUP(N464,[3]Material!$A$3:$B$58,2,FALSE)</f>
        <v>5000</v>
      </c>
      <c r="P464" s="79" t="s">
        <v>42</v>
      </c>
      <c r="Q464" s="79" t="str">
        <f>+VLOOKUP(F464,[3]Material!$C$2:$E$12,2,FALSE)</f>
        <v>Cal 12</v>
      </c>
      <c r="R464" s="81">
        <f>+IF(P464="ACERO A36",VLOOKUP(Q464,'[3]Velocidades Std 1500 w'!$B$2:$F$15,5,FALSE),IF(P464="INOXIDABLE",VLOOKUP(Q464,'[3]Velocidades Std 1500 w'!$B$17:$F$28,5,FALSE),IF(P464="ALUMINIO",VLOOKUP(Q464,'[3]Velocidades Std 1500 w'!$B$30:$F$38,5,FALSE))))</f>
        <v>4.3859649122807014E-6</v>
      </c>
      <c r="S464" s="82">
        <f t="shared" si="68"/>
        <v>2.1929824561403508E-2</v>
      </c>
      <c r="T464" s="83">
        <f t="shared" si="69"/>
        <v>72.724878947368396</v>
      </c>
      <c r="U464" s="307">
        <f t="shared" si="70"/>
        <v>4605.9089999999987</v>
      </c>
      <c r="V464" s="80">
        <f t="shared" si="75"/>
        <v>101.00677631578944</v>
      </c>
      <c r="W464" s="98">
        <v>40</v>
      </c>
      <c r="X464" s="84">
        <f>+IF(P464="ACERO A36",VLOOKUP(Q464,'[3]Tiempo Objeto'!$B$2:$C$12,2,FALSE),IF(P464="INOXIDABLE",VLOOKUP(Q464,'[3]Tiempo Objeto'!$B$14:$C$22,2,FALSE),IF(P464="ALUMINIO",VLOOKUP(Q464,'[3]Tiempo Objeto'!$B$24:$C$32,2,FALSE))))</f>
        <v>0.6133333333333334</v>
      </c>
      <c r="Y464" s="84">
        <f t="shared" si="71"/>
        <v>24.533333333333335</v>
      </c>
      <c r="Z464" s="80">
        <f t="shared" si="72"/>
        <v>34.074074074074076</v>
      </c>
      <c r="AA464" s="100">
        <v>5</v>
      </c>
      <c r="AB464" s="86">
        <f>+AA464*Analisis!$J$6</f>
        <v>125</v>
      </c>
      <c r="AC464" s="100"/>
      <c r="AD464" s="85">
        <f t="shared" si="73"/>
        <v>0</v>
      </c>
      <c r="AE464" s="86">
        <f>+AC464*Analisis!$J$7</f>
        <v>0</v>
      </c>
      <c r="AF464" s="308">
        <f>+H464*0.0254*I464*0.0254*2*(1+[3]Analisis!$G$2)</f>
        <v>1.2425081601400001</v>
      </c>
      <c r="AG464" s="86">
        <f>+AF464*Analisis!$J$8</f>
        <v>132.3862861101548</v>
      </c>
      <c r="AH464" s="309">
        <f t="shared" si="64"/>
        <v>681.63183314114076</v>
      </c>
      <c r="AI464" s="86">
        <f>+AH464/(1-Analisis!G469)</f>
        <v>681.63183314114076</v>
      </c>
      <c r="AJ464" s="86">
        <f t="shared" si="74"/>
        <v>732.93745499047395</v>
      </c>
      <c r="AK464" s="86">
        <f t="shared" si="65"/>
        <v>0</v>
      </c>
      <c r="AL464" s="310" t="e">
        <f>+VLOOKUP(B464,#REF!,2,FALSE)</f>
        <v>#REF!</v>
      </c>
      <c r="AM464" s="311" t="e">
        <f t="shared" si="79"/>
        <v>#REF!</v>
      </c>
      <c r="AN464" s="312" t="e">
        <f t="shared" si="78"/>
        <v>#REF!</v>
      </c>
    </row>
    <row r="465" spans="1:40" s="73" customFormat="1" x14ac:dyDescent="0.25">
      <c r="A465" s="320"/>
      <c r="B465" s="321" t="s">
        <v>1218</v>
      </c>
      <c r="D465" s="74">
        <f>IFERROR(VLOOKUP(B465,'REQ. PINTADO'!B:C,2,0),0)</f>
        <v>0</v>
      </c>
      <c r="E465" s="305">
        <f t="shared" si="66"/>
        <v>732.93745499047395</v>
      </c>
      <c r="F465" s="103" t="s">
        <v>163</v>
      </c>
      <c r="G465" s="75" t="s">
        <v>147</v>
      </c>
      <c r="H465" s="90">
        <v>23.33</v>
      </c>
      <c r="I465" s="90">
        <v>33.020000000000003</v>
      </c>
      <c r="J465" s="76">
        <v>0.105</v>
      </c>
      <c r="K465" s="306">
        <v>16.38</v>
      </c>
      <c r="L465" s="78">
        <f t="shared" si="67"/>
        <v>38.837749243618411</v>
      </c>
      <c r="M465" s="58">
        <f>+VLOOKUP(F465,Material!$H$2:$M$17,6,FALSE)*H465*I465*(1+Material!$K$14)</f>
        <v>289.16469664112248</v>
      </c>
      <c r="N465" s="79" t="str">
        <f t="shared" si="80"/>
        <v>T5.0</v>
      </c>
      <c r="O465" s="80">
        <f>+VLOOKUP(N465,[3]Material!$A$3:$B$58,2,FALSE)</f>
        <v>5000</v>
      </c>
      <c r="P465" s="79" t="s">
        <v>42</v>
      </c>
      <c r="Q465" s="79" t="str">
        <f>+VLOOKUP(F465,[3]Material!$C$2:$E$12,2,FALSE)</f>
        <v>Cal 12</v>
      </c>
      <c r="R465" s="81">
        <f>+IF(P465="ACERO A36",VLOOKUP(Q465,'[3]Velocidades Std 1500 w'!$B$2:$F$15,5,FALSE),IF(P465="INOXIDABLE",VLOOKUP(Q465,'[3]Velocidades Std 1500 w'!$B$17:$F$28,5,FALSE),IF(P465="ALUMINIO",VLOOKUP(Q465,'[3]Velocidades Std 1500 w'!$B$30:$F$38,5,FALSE))))</f>
        <v>4.3859649122807014E-6</v>
      </c>
      <c r="S465" s="82">
        <f t="shared" si="68"/>
        <v>2.1929824561403508E-2</v>
      </c>
      <c r="T465" s="83">
        <f t="shared" si="69"/>
        <v>72.724878947368396</v>
      </c>
      <c r="U465" s="307">
        <f t="shared" si="70"/>
        <v>4605.9089999999987</v>
      </c>
      <c r="V465" s="80">
        <f t="shared" si="75"/>
        <v>101.00677631578944</v>
      </c>
      <c r="W465" s="98">
        <v>40</v>
      </c>
      <c r="X465" s="84">
        <f>+IF(P465="ACERO A36",VLOOKUP(Q465,'[3]Tiempo Objeto'!$B$2:$C$12,2,FALSE),IF(P465="INOXIDABLE",VLOOKUP(Q465,'[3]Tiempo Objeto'!$B$14:$C$22,2,FALSE),IF(P465="ALUMINIO",VLOOKUP(Q465,'[3]Tiempo Objeto'!$B$24:$C$32,2,FALSE))))</f>
        <v>0.6133333333333334</v>
      </c>
      <c r="Y465" s="84">
        <f t="shared" si="71"/>
        <v>24.533333333333335</v>
      </c>
      <c r="Z465" s="80">
        <f t="shared" si="72"/>
        <v>34.074074074074076</v>
      </c>
      <c r="AA465" s="100">
        <v>5</v>
      </c>
      <c r="AB465" s="86">
        <f>+AA465*Analisis!$J$6</f>
        <v>125</v>
      </c>
      <c r="AC465" s="100"/>
      <c r="AD465" s="85">
        <f t="shared" si="73"/>
        <v>0</v>
      </c>
      <c r="AE465" s="86">
        <f>+AC465*Analisis!$J$7</f>
        <v>0</v>
      </c>
      <c r="AF465" s="308">
        <f>+H465*0.0254*I465*0.0254*2*(1+[3]Analisis!$G$2)</f>
        <v>1.2425081601400001</v>
      </c>
      <c r="AG465" s="86">
        <f>+AF465*Analisis!$J$8</f>
        <v>132.3862861101548</v>
      </c>
      <c r="AH465" s="309">
        <f t="shared" si="64"/>
        <v>681.63183314114076</v>
      </c>
      <c r="AI465" s="86">
        <f>+AH465/(1-Analisis!G470)</f>
        <v>681.63183314114076</v>
      </c>
      <c r="AJ465" s="86">
        <f t="shared" si="74"/>
        <v>732.93745499047395</v>
      </c>
      <c r="AK465" s="86">
        <f t="shared" si="65"/>
        <v>0</v>
      </c>
      <c r="AL465" s="310" t="e">
        <f>+VLOOKUP(B465,#REF!,2,FALSE)</f>
        <v>#REF!</v>
      </c>
      <c r="AM465" s="311" t="e">
        <f t="shared" si="79"/>
        <v>#REF!</v>
      </c>
      <c r="AN465" s="312" t="e">
        <f t="shared" si="78"/>
        <v>#REF!</v>
      </c>
    </row>
    <row r="466" spans="1:40" s="73" customFormat="1" x14ac:dyDescent="0.25">
      <c r="A466" s="320"/>
      <c r="B466" s="321" t="s">
        <v>1219</v>
      </c>
      <c r="D466" s="74">
        <f>IFERROR(VLOOKUP(B466,'REQ. PINTADO'!B:C,2,0),0)</f>
        <v>0</v>
      </c>
      <c r="E466" s="305">
        <f t="shared" si="66"/>
        <v>732.93745499047395</v>
      </c>
      <c r="F466" s="103" t="s">
        <v>163</v>
      </c>
      <c r="G466" s="75" t="s">
        <v>147</v>
      </c>
      <c r="H466" s="90">
        <v>23.33</v>
      </c>
      <c r="I466" s="90">
        <v>33.020000000000003</v>
      </c>
      <c r="J466" s="76">
        <v>0.105</v>
      </c>
      <c r="K466" s="306">
        <v>16.38</v>
      </c>
      <c r="L466" s="78">
        <f t="shared" si="67"/>
        <v>38.837749243618411</v>
      </c>
      <c r="M466" s="58">
        <f>+VLOOKUP(F466,Material!$H$2:$M$17,6,FALSE)*H466*I466*(1+Material!$K$14)</f>
        <v>289.16469664112248</v>
      </c>
      <c r="N466" s="79" t="str">
        <f t="shared" si="80"/>
        <v>T5.0</v>
      </c>
      <c r="O466" s="80">
        <f>+VLOOKUP(N466,[3]Material!$A$3:$B$58,2,FALSE)</f>
        <v>5000</v>
      </c>
      <c r="P466" s="79" t="s">
        <v>42</v>
      </c>
      <c r="Q466" s="79" t="str">
        <f>+VLOOKUP(F466,[3]Material!$C$2:$E$12,2,FALSE)</f>
        <v>Cal 12</v>
      </c>
      <c r="R466" s="81">
        <f>+IF(P466="ACERO A36",VLOOKUP(Q466,'[3]Velocidades Std 1500 w'!$B$2:$F$15,5,FALSE),IF(P466="INOXIDABLE",VLOOKUP(Q466,'[3]Velocidades Std 1500 w'!$B$17:$F$28,5,FALSE),IF(P466="ALUMINIO",VLOOKUP(Q466,'[3]Velocidades Std 1500 w'!$B$30:$F$38,5,FALSE))))</f>
        <v>4.3859649122807014E-6</v>
      </c>
      <c r="S466" s="82">
        <f t="shared" si="68"/>
        <v>2.1929824561403508E-2</v>
      </c>
      <c r="T466" s="83">
        <f t="shared" si="69"/>
        <v>72.724878947368396</v>
      </c>
      <c r="U466" s="307">
        <f t="shared" si="70"/>
        <v>4605.9089999999987</v>
      </c>
      <c r="V466" s="80">
        <f t="shared" si="75"/>
        <v>101.00677631578944</v>
      </c>
      <c r="W466" s="98">
        <v>40</v>
      </c>
      <c r="X466" s="84">
        <f>+IF(P466="ACERO A36",VLOOKUP(Q466,'[3]Tiempo Objeto'!$B$2:$C$12,2,FALSE),IF(P466="INOXIDABLE",VLOOKUP(Q466,'[3]Tiempo Objeto'!$B$14:$C$22,2,FALSE),IF(P466="ALUMINIO",VLOOKUP(Q466,'[3]Tiempo Objeto'!$B$24:$C$32,2,FALSE))))</f>
        <v>0.6133333333333334</v>
      </c>
      <c r="Y466" s="84">
        <f t="shared" si="71"/>
        <v>24.533333333333335</v>
      </c>
      <c r="Z466" s="80">
        <f t="shared" si="72"/>
        <v>34.074074074074076</v>
      </c>
      <c r="AA466" s="100">
        <v>5</v>
      </c>
      <c r="AB466" s="86">
        <f>+AA466*Analisis!$J$6</f>
        <v>125</v>
      </c>
      <c r="AC466" s="100"/>
      <c r="AD466" s="85">
        <f t="shared" si="73"/>
        <v>0</v>
      </c>
      <c r="AE466" s="86">
        <f>+AC466*Analisis!$J$7</f>
        <v>0</v>
      </c>
      <c r="AF466" s="308">
        <f>+H466*0.0254*I466*0.0254*2*(1+[3]Analisis!$G$2)</f>
        <v>1.2425081601400001</v>
      </c>
      <c r="AG466" s="86">
        <f>+AF466*Analisis!$J$8</f>
        <v>132.3862861101548</v>
      </c>
      <c r="AH466" s="309">
        <f t="shared" si="64"/>
        <v>681.63183314114076</v>
      </c>
      <c r="AI466" s="86">
        <f>+AH466/(1-Analisis!G471)</f>
        <v>681.63183314114076</v>
      </c>
      <c r="AJ466" s="86">
        <f t="shared" si="74"/>
        <v>732.93745499047395</v>
      </c>
      <c r="AK466" s="86">
        <f t="shared" si="65"/>
        <v>0</v>
      </c>
      <c r="AL466" s="310" t="e">
        <f>+VLOOKUP(B466,#REF!,2,FALSE)</f>
        <v>#REF!</v>
      </c>
      <c r="AM466" s="311" t="e">
        <f t="shared" si="79"/>
        <v>#REF!</v>
      </c>
      <c r="AN466" s="312" t="e">
        <f t="shared" si="78"/>
        <v>#REF!</v>
      </c>
    </row>
    <row r="467" spans="1:40" s="73" customFormat="1" x14ac:dyDescent="0.25">
      <c r="A467" s="320"/>
      <c r="B467" s="321" t="s">
        <v>1226</v>
      </c>
      <c r="D467" s="74">
        <f>IFERROR(VLOOKUP(B467,'REQ. PINTADO'!B:C,2,0),0)</f>
        <v>0</v>
      </c>
      <c r="E467" s="305">
        <f t="shared" si="66"/>
        <v>1330.5518273053628</v>
      </c>
      <c r="F467" s="103" t="s">
        <v>163</v>
      </c>
      <c r="G467" s="75" t="s">
        <v>147</v>
      </c>
      <c r="H467" s="90">
        <v>45.83</v>
      </c>
      <c r="I467" s="90">
        <v>39.020000000000003</v>
      </c>
      <c r="J467" s="76">
        <v>0.105</v>
      </c>
      <c r="K467" s="306">
        <v>16.38</v>
      </c>
      <c r="L467" s="78">
        <f t="shared" si="67"/>
        <v>90.156982553953497</v>
      </c>
      <c r="M467" s="58">
        <f>+VLOOKUP(F467,Material!$H$2:$M$17,6,FALSE)*H467*I467*(1+Material!$K$14)</f>
        <v>671.25971556079912</v>
      </c>
      <c r="N467" s="79" t="str">
        <f t="shared" si="80"/>
        <v>T5.0</v>
      </c>
      <c r="O467" s="80">
        <f>+VLOOKUP(N467,[3]Material!$A$3:$B$58,2,FALSE)</f>
        <v>5000</v>
      </c>
      <c r="P467" s="79" t="s">
        <v>42</v>
      </c>
      <c r="Q467" s="79" t="str">
        <f>+VLOOKUP(F467,[3]Material!$C$2:$E$12,2,FALSE)</f>
        <v>Cal 12</v>
      </c>
      <c r="R467" s="81">
        <f>+IF(P467="ACERO A36",VLOOKUP(Q467,'[3]Velocidades Std 1500 w'!$B$2:$F$15,5,FALSE),IF(P467="INOXIDABLE",VLOOKUP(Q467,'[3]Velocidades Std 1500 w'!$B$17:$F$28,5,FALSE),IF(P467="ALUMINIO",VLOOKUP(Q467,'[3]Velocidades Std 1500 w'!$B$30:$F$38,5,FALSE))))</f>
        <v>4.3859649122807014E-6</v>
      </c>
      <c r="S467" s="82">
        <f t="shared" si="68"/>
        <v>2.1929824561403508E-2</v>
      </c>
      <c r="T467" s="83">
        <f t="shared" si="69"/>
        <v>84.09472105263157</v>
      </c>
      <c r="U467" s="307">
        <f t="shared" si="70"/>
        <v>5325.9989999999998</v>
      </c>
      <c r="V467" s="80">
        <f t="shared" si="75"/>
        <v>116.79822368421051</v>
      </c>
      <c r="W467" s="98">
        <v>20</v>
      </c>
      <c r="X467" s="84">
        <f>+IF(P467="ACERO A36",VLOOKUP(Q467,'[3]Tiempo Objeto'!$B$2:$C$12,2,FALSE),IF(P467="INOXIDABLE",VLOOKUP(Q467,'[3]Tiempo Objeto'!$B$14:$C$22,2,FALSE),IF(P467="ALUMINIO",VLOOKUP(Q467,'[3]Tiempo Objeto'!$B$24:$C$32,2,FALSE))))</f>
        <v>0.6133333333333334</v>
      </c>
      <c r="Y467" s="84">
        <f t="shared" si="71"/>
        <v>12.266666666666667</v>
      </c>
      <c r="Z467" s="80">
        <f t="shared" si="72"/>
        <v>17.037037037037038</v>
      </c>
      <c r="AA467" s="100">
        <v>5</v>
      </c>
      <c r="AB467" s="86">
        <f>+AA467*Analisis!$J$6</f>
        <v>125</v>
      </c>
      <c r="AC467" s="100"/>
      <c r="AD467" s="85">
        <f t="shared" si="73"/>
        <v>0</v>
      </c>
      <c r="AE467" s="86">
        <f>+AC467*Analisis!$J$7</f>
        <v>0</v>
      </c>
      <c r="AF467" s="308">
        <f>+H467*0.0254*I467*0.0254*2*(1+[3]Analisis!$G$2)</f>
        <v>2.8843274571399995</v>
      </c>
      <c r="AG467" s="86">
        <f>+AF467*Analisis!$J$8</f>
        <v>307.31822311194054</v>
      </c>
      <c r="AH467" s="309">
        <f t="shared" si="64"/>
        <v>1237.4131993939873</v>
      </c>
      <c r="AI467" s="86">
        <f>+AH467/(1-Analisis!G472)</f>
        <v>1237.4131993939873</v>
      </c>
      <c r="AJ467" s="86">
        <f t="shared" si="74"/>
        <v>1330.5518273053628</v>
      </c>
      <c r="AK467" s="86">
        <f t="shared" si="65"/>
        <v>0</v>
      </c>
      <c r="AL467" s="310" t="e">
        <f>+VLOOKUP(B467,#REF!,2,FALSE)</f>
        <v>#REF!</v>
      </c>
      <c r="AM467" s="311" t="e">
        <f t="shared" si="79"/>
        <v>#REF!</v>
      </c>
      <c r="AN467" s="312" t="e">
        <f t="shared" si="78"/>
        <v>#REF!</v>
      </c>
    </row>
    <row r="468" spans="1:40" s="73" customFormat="1" x14ac:dyDescent="0.25">
      <c r="A468" s="320"/>
      <c r="B468" s="321" t="s">
        <v>1227</v>
      </c>
      <c r="D468" s="74">
        <f>IFERROR(VLOOKUP(B468,'REQ. PINTADO'!B:C,2,0),0)</f>
        <v>0</v>
      </c>
      <c r="E468" s="305">
        <f t="shared" si="66"/>
        <v>732.93745499047395</v>
      </c>
      <c r="F468" s="103" t="s">
        <v>163</v>
      </c>
      <c r="G468" s="75" t="s">
        <v>147</v>
      </c>
      <c r="H468" s="90">
        <v>23.33</v>
      </c>
      <c r="I468" s="90">
        <v>33.020000000000003</v>
      </c>
      <c r="J468" s="76">
        <v>0.105</v>
      </c>
      <c r="K468" s="306">
        <v>16.38</v>
      </c>
      <c r="L468" s="78">
        <f t="shared" si="67"/>
        <v>38.837749243618411</v>
      </c>
      <c r="M468" s="58">
        <f>+VLOOKUP(F468,Material!$H$2:$M$17,6,FALSE)*H468*I468*(1+Material!$K$14)</f>
        <v>289.16469664112248</v>
      </c>
      <c r="N468" s="79" t="str">
        <f t="shared" si="80"/>
        <v>T5.0</v>
      </c>
      <c r="O468" s="80">
        <f>+VLOOKUP(N468,[3]Material!$A$3:$B$58,2,FALSE)</f>
        <v>5000</v>
      </c>
      <c r="P468" s="79" t="s">
        <v>42</v>
      </c>
      <c r="Q468" s="79" t="str">
        <f>+VLOOKUP(F468,[3]Material!$C$2:$E$12,2,FALSE)</f>
        <v>Cal 12</v>
      </c>
      <c r="R468" s="81">
        <f>+IF(P468="ACERO A36",VLOOKUP(Q468,'[3]Velocidades Std 1500 w'!$B$2:$F$15,5,FALSE),IF(P468="INOXIDABLE",VLOOKUP(Q468,'[3]Velocidades Std 1500 w'!$B$17:$F$28,5,FALSE),IF(P468="ALUMINIO",VLOOKUP(Q468,'[3]Velocidades Std 1500 w'!$B$30:$F$38,5,FALSE))))</f>
        <v>4.3859649122807014E-6</v>
      </c>
      <c r="S468" s="82">
        <f t="shared" si="68"/>
        <v>2.1929824561403508E-2</v>
      </c>
      <c r="T468" s="83">
        <f t="shared" si="69"/>
        <v>72.724878947368396</v>
      </c>
      <c r="U468" s="307">
        <f t="shared" si="70"/>
        <v>4605.9089999999987</v>
      </c>
      <c r="V468" s="80">
        <f t="shared" si="75"/>
        <v>101.00677631578944</v>
      </c>
      <c r="W468" s="98">
        <v>40</v>
      </c>
      <c r="X468" s="84">
        <f>+IF(P468="ACERO A36",VLOOKUP(Q468,'[3]Tiempo Objeto'!$B$2:$C$12,2,FALSE),IF(P468="INOXIDABLE",VLOOKUP(Q468,'[3]Tiempo Objeto'!$B$14:$C$22,2,FALSE),IF(P468="ALUMINIO",VLOOKUP(Q468,'[3]Tiempo Objeto'!$B$24:$C$32,2,FALSE))))</f>
        <v>0.6133333333333334</v>
      </c>
      <c r="Y468" s="84">
        <f t="shared" si="71"/>
        <v>24.533333333333335</v>
      </c>
      <c r="Z468" s="80">
        <f t="shared" si="72"/>
        <v>34.074074074074076</v>
      </c>
      <c r="AA468" s="100">
        <v>5</v>
      </c>
      <c r="AB468" s="86">
        <f>+AA468*Analisis!$J$6</f>
        <v>125</v>
      </c>
      <c r="AC468" s="100"/>
      <c r="AD468" s="85">
        <f t="shared" si="73"/>
        <v>0</v>
      </c>
      <c r="AE468" s="86">
        <f>+AC468*Analisis!$J$7</f>
        <v>0</v>
      </c>
      <c r="AF468" s="308">
        <f>+H468*0.0254*I468*0.0254*2*(1+[3]Analisis!$G$2)</f>
        <v>1.2425081601400001</v>
      </c>
      <c r="AG468" s="86">
        <f>+AF468*Analisis!$J$8</f>
        <v>132.3862861101548</v>
      </c>
      <c r="AH468" s="309">
        <f t="shared" si="64"/>
        <v>681.63183314114076</v>
      </c>
      <c r="AI468" s="86">
        <f>+AH468/(1-Analisis!G473)</f>
        <v>681.63183314114076</v>
      </c>
      <c r="AJ468" s="86">
        <f t="shared" si="74"/>
        <v>732.93745499047395</v>
      </c>
      <c r="AK468" s="86">
        <f t="shared" si="65"/>
        <v>0</v>
      </c>
      <c r="AL468" s="310" t="e">
        <f>+VLOOKUP(B468,#REF!,2,FALSE)</f>
        <v>#REF!</v>
      </c>
      <c r="AM468" s="311" t="e">
        <f t="shared" si="79"/>
        <v>#REF!</v>
      </c>
      <c r="AN468" s="312" t="e">
        <f t="shared" si="78"/>
        <v>#REF!</v>
      </c>
    </row>
    <row r="469" spans="1:40" s="73" customFormat="1" x14ac:dyDescent="0.25">
      <c r="A469" s="322"/>
      <c r="B469" s="323" t="s">
        <v>178</v>
      </c>
      <c r="D469" s="74">
        <f>IFERROR(VLOOKUP(B469,'REQ. PINTADO'!B:C,2,0),0)</f>
        <v>0</v>
      </c>
      <c r="E469" s="305">
        <f t="shared" si="66"/>
        <v>1233.6038742613523</v>
      </c>
      <c r="F469" s="103" t="s">
        <v>163</v>
      </c>
      <c r="G469" s="75" t="s">
        <v>147</v>
      </c>
      <c r="H469" s="90">
        <v>38.325000000000003</v>
      </c>
      <c r="I469" s="90">
        <v>41.02</v>
      </c>
      <c r="J469" s="76">
        <v>0.105</v>
      </c>
      <c r="K469" s="306">
        <v>16.38</v>
      </c>
      <c r="L469" s="78">
        <f t="shared" si="67"/>
        <v>79.257444493918698</v>
      </c>
      <c r="M469" s="58">
        <f>+VLOOKUP(F469,Material!$H$2:$M$17,6,FALSE)*H469*I469*(1+Material!$K$14)</f>
        <v>590.10770036835822</v>
      </c>
      <c r="N469" s="79" t="str">
        <f t="shared" si="80"/>
        <v>T5.0</v>
      </c>
      <c r="O469" s="80">
        <f>+VLOOKUP(N469,[3]Material!$A$3:$B$58,2,FALSE)</f>
        <v>5000</v>
      </c>
      <c r="P469" s="79" t="s">
        <v>42</v>
      </c>
      <c r="Q469" s="79" t="str">
        <f>+VLOOKUP(F469,[3]Material!$C$2:$E$12,2,FALSE)</f>
        <v>Cal 12</v>
      </c>
      <c r="R469" s="81">
        <f>+IF(P469="ACERO A36",VLOOKUP(Q469,'[3]Velocidades Std 1500 w'!$B$2:$F$15,5,FALSE),IF(P469="INOXIDABLE",VLOOKUP(Q469,'[3]Velocidades Std 1500 w'!$B$17:$F$28,5,FALSE),IF(P469="ALUMINIO",VLOOKUP(Q469,'[3]Velocidades Std 1500 w'!$B$30:$F$38,5,FALSE))))</f>
        <v>4.3859649122807014E-6</v>
      </c>
      <c r="S469" s="82">
        <f t="shared" si="68"/>
        <v>2.1929824561403508E-2</v>
      </c>
      <c r="T469" s="83">
        <f t="shared" si="69"/>
        <v>92.09151</v>
      </c>
      <c r="U469" s="307">
        <f t="shared" si="70"/>
        <v>5832.4623000000001</v>
      </c>
      <c r="V469" s="80">
        <f t="shared" si="75"/>
        <v>127.90487499999999</v>
      </c>
      <c r="W469" s="98">
        <v>40</v>
      </c>
      <c r="X469" s="84">
        <f>+IF(P469="ACERO A36",VLOOKUP(Q469,'[3]Tiempo Objeto'!$B$2:$C$12,2,FALSE),IF(P469="INOXIDABLE",VLOOKUP(Q469,'[3]Tiempo Objeto'!$B$14:$C$22,2,FALSE),IF(P469="ALUMINIO",VLOOKUP(Q469,'[3]Tiempo Objeto'!$B$24:$C$32,2,FALSE))))</f>
        <v>0.6133333333333334</v>
      </c>
      <c r="Y469" s="84">
        <f t="shared" si="71"/>
        <v>24.533333333333335</v>
      </c>
      <c r="Z469" s="80">
        <f t="shared" si="72"/>
        <v>34.074074074074076</v>
      </c>
      <c r="AA469" s="100">
        <v>5</v>
      </c>
      <c r="AB469" s="86">
        <f>+AA469*Analisis!$J$6</f>
        <v>125</v>
      </c>
      <c r="AC469" s="100"/>
      <c r="AD469" s="85">
        <f t="shared" si="73"/>
        <v>0</v>
      </c>
      <c r="AE469" s="86">
        <f>+AC469*Analisis!$J$7</f>
        <v>0</v>
      </c>
      <c r="AF469" s="308">
        <f>+H469*0.0254*I469*0.0254*2*(1+[3]Analisis!$G$2)</f>
        <v>2.5356263803500001</v>
      </c>
      <c r="AG469" s="86">
        <f>+AF469*Analisis!$J$8</f>
        <v>270.16495362062511</v>
      </c>
      <c r="AH469" s="309">
        <f t="shared" si="64"/>
        <v>1147.2516030630575</v>
      </c>
      <c r="AI469" s="86">
        <f>+AH469/(1-Analisis!G474)</f>
        <v>1147.2516030630575</v>
      </c>
      <c r="AJ469" s="86">
        <f t="shared" si="74"/>
        <v>1233.6038742613523</v>
      </c>
      <c r="AK469" s="86">
        <f t="shared" si="65"/>
        <v>0</v>
      </c>
      <c r="AL469" s="310" t="e">
        <f>+VLOOKUP(B469,#REF!,2,FALSE)</f>
        <v>#REF!</v>
      </c>
      <c r="AM469" s="311" t="e">
        <f t="shared" si="79"/>
        <v>#REF!</v>
      </c>
      <c r="AN469" s="312" t="e">
        <f t="shared" si="78"/>
        <v>#REF!</v>
      </c>
    </row>
    <row r="470" spans="1:40" s="73" customFormat="1" x14ac:dyDescent="0.25">
      <c r="A470" s="322"/>
      <c r="B470" s="323" t="s">
        <v>1228</v>
      </c>
      <c r="D470" s="74">
        <f>IFERROR(VLOOKUP(B470,'REQ. PINTADO'!B:C,2,0),0)</f>
        <v>0</v>
      </c>
      <c r="E470" s="305">
        <f t="shared" si="66"/>
        <v>1233.6038742613523</v>
      </c>
      <c r="F470" s="103" t="s">
        <v>163</v>
      </c>
      <c r="G470" s="75" t="s">
        <v>147</v>
      </c>
      <c r="H470" s="90">
        <v>38.325000000000003</v>
      </c>
      <c r="I470" s="90">
        <v>41.02</v>
      </c>
      <c r="J470" s="76">
        <v>0.105</v>
      </c>
      <c r="K470" s="306">
        <v>16.38</v>
      </c>
      <c r="L470" s="78">
        <f t="shared" si="67"/>
        <v>79.257444493918698</v>
      </c>
      <c r="M470" s="58">
        <f>+VLOOKUP(F470,Material!$H$2:$M$17,6,FALSE)*H470*I470*(1+Material!$K$14)</f>
        <v>590.10770036835822</v>
      </c>
      <c r="N470" s="79" t="str">
        <f t="shared" si="80"/>
        <v>T5.0</v>
      </c>
      <c r="O470" s="80">
        <f>+VLOOKUP(N470,[3]Material!$A$3:$B$58,2,FALSE)</f>
        <v>5000</v>
      </c>
      <c r="P470" s="79" t="s">
        <v>42</v>
      </c>
      <c r="Q470" s="79" t="str">
        <f>+VLOOKUP(F470,[3]Material!$C$2:$E$12,2,FALSE)</f>
        <v>Cal 12</v>
      </c>
      <c r="R470" s="81">
        <f>+IF(P470="ACERO A36",VLOOKUP(Q470,'[3]Velocidades Std 1500 w'!$B$2:$F$15,5,FALSE),IF(P470="INOXIDABLE",VLOOKUP(Q470,'[3]Velocidades Std 1500 w'!$B$17:$F$28,5,FALSE),IF(P470="ALUMINIO",VLOOKUP(Q470,'[3]Velocidades Std 1500 w'!$B$30:$F$38,5,FALSE))))</f>
        <v>4.3859649122807014E-6</v>
      </c>
      <c r="S470" s="82">
        <f t="shared" si="68"/>
        <v>2.1929824561403508E-2</v>
      </c>
      <c r="T470" s="83">
        <f t="shared" si="69"/>
        <v>92.09151</v>
      </c>
      <c r="U470" s="307">
        <f t="shared" si="70"/>
        <v>5832.4623000000001</v>
      </c>
      <c r="V470" s="80">
        <f t="shared" si="75"/>
        <v>127.90487499999999</v>
      </c>
      <c r="W470" s="98">
        <v>40</v>
      </c>
      <c r="X470" s="84">
        <f>+IF(P470="ACERO A36",VLOOKUP(Q470,'[3]Tiempo Objeto'!$B$2:$C$12,2,FALSE),IF(P470="INOXIDABLE",VLOOKUP(Q470,'[3]Tiempo Objeto'!$B$14:$C$22,2,FALSE),IF(P470="ALUMINIO",VLOOKUP(Q470,'[3]Tiempo Objeto'!$B$24:$C$32,2,FALSE))))</f>
        <v>0.6133333333333334</v>
      </c>
      <c r="Y470" s="84">
        <f t="shared" si="71"/>
        <v>24.533333333333335</v>
      </c>
      <c r="Z470" s="80">
        <f t="shared" si="72"/>
        <v>34.074074074074076</v>
      </c>
      <c r="AA470" s="100">
        <v>5</v>
      </c>
      <c r="AB470" s="86">
        <f>+AA470*Analisis!$J$6</f>
        <v>125</v>
      </c>
      <c r="AC470" s="100"/>
      <c r="AD470" s="85">
        <f t="shared" si="73"/>
        <v>0</v>
      </c>
      <c r="AE470" s="86">
        <f>+AC470*Analisis!$J$7</f>
        <v>0</v>
      </c>
      <c r="AF470" s="308">
        <f>+H470*0.0254*I470*0.0254*2*(1+[3]Analisis!$G$2)</f>
        <v>2.5356263803500001</v>
      </c>
      <c r="AG470" s="86">
        <f>+AF470*Analisis!$J$8</f>
        <v>270.16495362062511</v>
      </c>
      <c r="AH470" s="309">
        <f t="shared" si="64"/>
        <v>1147.2516030630575</v>
      </c>
      <c r="AI470" s="86">
        <f>+AH470/(1-Analisis!G475)</f>
        <v>1147.2516030630575</v>
      </c>
      <c r="AJ470" s="86">
        <f t="shared" si="74"/>
        <v>1233.6038742613523</v>
      </c>
      <c r="AK470" s="86">
        <f t="shared" si="65"/>
        <v>0</v>
      </c>
      <c r="AL470" s="310" t="e">
        <f>+VLOOKUP(B470,#REF!,2,FALSE)</f>
        <v>#REF!</v>
      </c>
      <c r="AM470" s="311" t="e">
        <f t="shared" si="79"/>
        <v>#REF!</v>
      </c>
      <c r="AN470" s="312" t="e">
        <f t="shared" si="78"/>
        <v>#REF!</v>
      </c>
    </row>
    <row r="471" spans="1:40" s="73" customFormat="1" x14ac:dyDescent="0.25">
      <c r="A471" s="324"/>
      <c r="B471" s="118" t="s">
        <v>1229</v>
      </c>
      <c r="D471" s="74">
        <f>IFERROR(VLOOKUP(B471,'REQ. PINTADO'!B:C,2,0),0)</f>
        <v>0</v>
      </c>
      <c r="E471" s="305">
        <f t="shared" si="66"/>
        <v>125.41780300633347</v>
      </c>
      <c r="F471" s="103" t="s">
        <v>165</v>
      </c>
      <c r="G471" s="75" t="s">
        <v>147</v>
      </c>
      <c r="H471" s="90">
        <v>5.37</v>
      </c>
      <c r="I471" s="90">
        <v>17.25</v>
      </c>
      <c r="J471" s="76">
        <v>0.105</v>
      </c>
      <c r="K471" s="306">
        <v>16.38</v>
      </c>
      <c r="L471" s="78">
        <f t="shared" si="67"/>
        <v>5.170991586538463</v>
      </c>
      <c r="M471" s="58">
        <f>+VLOOKUP(F471,Material!$H$2:$M$17,6,FALSE)*H471*I471*(1+Material!$K$14)</f>
        <v>38.500382812500007</v>
      </c>
      <c r="N471" s="79" t="str">
        <f t="shared" si="80"/>
        <v>T5.0</v>
      </c>
      <c r="O471" s="80">
        <f>+VLOOKUP(N471,[3]Material!$A$3:$B$58,2,FALSE)</f>
        <v>5000</v>
      </c>
      <c r="P471" s="79" t="s">
        <v>42</v>
      </c>
      <c r="Q471" s="79" t="str">
        <f>+VLOOKUP(F471,[3]Material!$C$2:$E$12,2,FALSE)</f>
        <v>Cal 14</v>
      </c>
      <c r="R471" s="81">
        <f>+IF(P471="ACERO A36",VLOOKUP(Q471,'[3]Velocidades Std 1500 w'!$B$2:$F$15,5,FALSE),IF(P471="INOXIDABLE",VLOOKUP(Q471,'[3]Velocidades Std 1500 w'!$B$17:$F$28,5,FALSE),IF(P471="ALUMINIO",VLOOKUP(Q471,'[3]Velocidades Std 1500 w'!$B$30:$F$38,5,FALSE))))</f>
        <v>2.0080321285140564E-6</v>
      </c>
      <c r="S471" s="82">
        <f t="shared" si="68"/>
        <v>1.0040160642570283E-2</v>
      </c>
      <c r="T471" s="83">
        <f t="shared" si="69"/>
        <v>17.397837108433738</v>
      </c>
      <c r="U471" s="307">
        <f t="shared" si="70"/>
        <v>2406.7008000000001</v>
      </c>
      <c r="V471" s="80">
        <f t="shared" si="75"/>
        <v>24.163662650602415</v>
      </c>
      <c r="W471" s="98">
        <v>30</v>
      </c>
      <c r="X471" s="84">
        <f>+IF(P471="ACERO A36",VLOOKUP(Q471,'[3]Tiempo Objeto'!$B$2:$C$12,2,FALSE),IF(P471="INOXIDABLE",VLOOKUP(Q471,'[3]Tiempo Objeto'!$B$14:$C$22,2,FALSE),IF(P471="ALUMINIO",VLOOKUP(Q471,'[3]Tiempo Objeto'!$B$24:$C$32,2,FALSE))))</f>
        <v>0.3133333333333333</v>
      </c>
      <c r="Y471" s="84">
        <f t="shared" si="71"/>
        <v>9.3999999999999986</v>
      </c>
      <c r="Z471" s="80">
        <f t="shared" si="72"/>
        <v>13.055555555555554</v>
      </c>
      <c r="AA471" s="100">
        <v>1</v>
      </c>
      <c r="AB471" s="86">
        <f>+AA471*Analisis!$J$6</f>
        <v>25</v>
      </c>
      <c r="AC471" s="100"/>
      <c r="AD471" s="85">
        <f t="shared" si="73"/>
        <v>0</v>
      </c>
      <c r="AE471" s="86">
        <f>+AC471*Analisis!$J$7</f>
        <v>0</v>
      </c>
      <c r="AF471" s="308">
        <f>+H471*0.0254*I471*0.0254*2*(1+[3]Analisis!$G$2)</f>
        <v>0.14940695925</v>
      </c>
      <c r="AG471" s="86">
        <f>+AF471*Analisis!$J$8</f>
        <v>15.918955777232147</v>
      </c>
      <c r="AH471" s="309">
        <f t="shared" si="64"/>
        <v>116.63855679589012</v>
      </c>
      <c r="AI471" s="86">
        <f>+AH471/(1-Analisis!G476)</f>
        <v>116.63855679589012</v>
      </c>
      <c r="AJ471" s="86">
        <f t="shared" si="74"/>
        <v>125.41780300633347</v>
      </c>
      <c r="AK471" s="86">
        <f t="shared" si="65"/>
        <v>0</v>
      </c>
      <c r="AL471" s="310" t="e">
        <f>+VLOOKUP(B471,#REF!,2,FALSE)</f>
        <v>#REF!</v>
      </c>
      <c r="AM471" s="311" t="e">
        <f t="shared" si="79"/>
        <v>#REF!</v>
      </c>
      <c r="AN471" s="312" t="e">
        <f t="shared" si="78"/>
        <v>#REF!</v>
      </c>
    </row>
    <row r="472" spans="1:40" s="73" customFormat="1" x14ac:dyDescent="0.25">
      <c r="A472" s="324"/>
      <c r="B472" s="118" t="s">
        <v>1230</v>
      </c>
      <c r="D472" s="74">
        <f>IFERROR(VLOOKUP(B472,'REQ. PINTADO'!B:C,2,0),0)</f>
        <v>0</v>
      </c>
      <c r="E472" s="305">
        <f t="shared" si="66"/>
        <v>782.50988454559877</v>
      </c>
      <c r="F472" s="103" t="s">
        <v>165</v>
      </c>
      <c r="G472" s="75" t="s">
        <v>147</v>
      </c>
      <c r="H472" s="90">
        <v>37.909999999999997</v>
      </c>
      <c r="I472" s="90">
        <v>24.79</v>
      </c>
      <c r="J472" s="76">
        <v>0.105</v>
      </c>
      <c r="K472" s="306">
        <v>16.38</v>
      </c>
      <c r="L472" s="78">
        <f t="shared" si="67"/>
        <v>52.46150643696582</v>
      </c>
      <c r="M472" s="58">
        <f>+VLOOKUP(F472,Material!$H$2:$M$17,6,FALSE)*H472*I472*(1+Material!$K$14)</f>
        <v>390.59976156249996</v>
      </c>
      <c r="N472" s="79" t="str">
        <f t="shared" si="80"/>
        <v>T5.0</v>
      </c>
      <c r="O472" s="80">
        <f>+VLOOKUP(N472,[3]Material!$A$3:$B$58,2,FALSE)</f>
        <v>5000</v>
      </c>
      <c r="P472" s="79" t="s">
        <v>42</v>
      </c>
      <c r="Q472" s="79" t="str">
        <f>+VLOOKUP(F472,[3]Material!$C$2:$E$12,2,FALSE)</f>
        <v>Cal 14</v>
      </c>
      <c r="R472" s="81">
        <f>+IF(P472="ACERO A36",VLOOKUP(Q472,'[3]Velocidades Std 1500 w'!$B$2:$F$15,5,FALSE),IF(P472="INOXIDABLE",VLOOKUP(Q472,'[3]Velocidades Std 1500 w'!$B$17:$F$28,5,FALSE),IF(P472="ALUMINIO",VLOOKUP(Q472,'[3]Velocidades Std 1500 w'!$B$30:$F$38,5,FALSE))))</f>
        <v>2.0080321285140564E-6</v>
      </c>
      <c r="S472" s="82">
        <f t="shared" si="68"/>
        <v>1.0040160642570283E-2</v>
      </c>
      <c r="T472" s="83">
        <f t="shared" si="69"/>
        <v>55.98772048192771</v>
      </c>
      <c r="U472" s="307">
        <f t="shared" si="70"/>
        <v>7744.9679999999989</v>
      </c>
      <c r="V472" s="80">
        <f t="shared" si="75"/>
        <v>77.760722891566274</v>
      </c>
      <c r="W472" s="98">
        <v>110</v>
      </c>
      <c r="X472" s="84">
        <f>+IF(P472="ACERO A36",VLOOKUP(Q472,'[3]Tiempo Objeto'!$B$2:$C$12,2,FALSE),IF(P472="INOXIDABLE",VLOOKUP(Q472,'[3]Tiempo Objeto'!$B$14:$C$22,2,FALSE),IF(P472="ALUMINIO",VLOOKUP(Q472,'[3]Tiempo Objeto'!$B$24:$C$32,2,FALSE))))</f>
        <v>0.3133333333333333</v>
      </c>
      <c r="Y472" s="84">
        <f t="shared" si="71"/>
        <v>34.466666666666661</v>
      </c>
      <c r="Z472" s="80">
        <f t="shared" si="72"/>
        <v>47.870370370370367</v>
      </c>
      <c r="AA472" s="100">
        <v>2</v>
      </c>
      <c r="AB472" s="86">
        <f>+AA472*Analisis!$J$6</f>
        <v>50</v>
      </c>
      <c r="AC472" s="100"/>
      <c r="AD472" s="85">
        <f t="shared" si="73"/>
        <v>0</v>
      </c>
      <c r="AE472" s="86">
        <f>+AC472*Analisis!$J$7</f>
        <v>0</v>
      </c>
      <c r="AF472" s="308">
        <f>+H472*0.0254*I472*0.0254*2*(1+[3]Analisis!$G$2)</f>
        <v>1.5157855168099996</v>
      </c>
      <c r="AG472" s="86">
        <f>+AF472*Analisis!$J$8</f>
        <v>161.50333780297024</v>
      </c>
      <c r="AH472" s="309">
        <f t="shared" si="64"/>
        <v>727.73419262740686</v>
      </c>
      <c r="AI472" s="86">
        <f>+AH472/(1-Analisis!G477)</f>
        <v>727.73419262740686</v>
      </c>
      <c r="AJ472" s="86">
        <f t="shared" si="74"/>
        <v>782.50988454559877</v>
      </c>
      <c r="AK472" s="86">
        <f t="shared" si="65"/>
        <v>0</v>
      </c>
      <c r="AL472" s="310" t="e">
        <f>+VLOOKUP(B472,#REF!,2,FALSE)</f>
        <v>#REF!</v>
      </c>
      <c r="AM472" s="311" t="e">
        <f t="shared" si="79"/>
        <v>#REF!</v>
      </c>
      <c r="AN472" s="312" t="e">
        <f t="shared" si="78"/>
        <v>#REF!</v>
      </c>
    </row>
    <row r="473" spans="1:40" s="73" customFormat="1" x14ac:dyDescent="0.25">
      <c r="A473" s="324"/>
      <c r="B473" s="118" t="s">
        <v>1231</v>
      </c>
      <c r="D473" s="74">
        <f>IFERROR(VLOOKUP(B473,'REQ. PINTADO'!B:C,2,0),0)</f>
        <v>0</v>
      </c>
      <c r="E473" s="305">
        <f t="shared" si="66"/>
        <v>905.12678906548331</v>
      </c>
      <c r="F473" s="103" t="s">
        <v>165</v>
      </c>
      <c r="G473" s="75" t="s">
        <v>147</v>
      </c>
      <c r="H473" s="90">
        <v>37.909999999999997</v>
      </c>
      <c r="I473" s="90">
        <v>29.79</v>
      </c>
      <c r="J473" s="76">
        <v>0.105</v>
      </c>
      <c r="K473" s="306">
        <v>16.38</v>
      </c>
      <c r="L473" s="78">
        <f t="shared" si="67"/>
        <v>63.042689663461552</v>
      </c>
      <c r="M473" s="58">
        <f>+VLOOKUP(F473,Material!$H$2:$M$17,6,FALSE)*H473*I473*(1+Material!$K$14)</f>
        <v>469.3814803125</v>
      </c>
      <c r="N473" s="79" t="str">
        <f t="shared" si="80"/>
        <v>T5.0</v>
      </c>
      <c r="O473" s="80">
        <f>+VLOOKUP(N473,[3]Material!$A$3:$B$58,2,FALSE)</f>
        <v>5000</v>
      </c>
      <c r="P473" s="79" t="s">
        <v>42</v>
      </c>
      <c r="Q473" s="79" t="str">
        <f>+VLOOKUP(F473,[3]Material!$C$2:$E$12,2,FALSE)</f>
        <v>Cal 14</v>
      </c>
      <c r="R473" s="81">
        <f>+IF(P473="ACERO A36",VLOOKUP(Q473,'[3]Velocidades Std 1500 w'!$B$2:$F$15,5,FALSE),IF(P473="INOXIDABLE",VLOOKUP(Q473,'[3]Velocidades Std 1500 w'!$B$17:$F$28,5,FALSE),IF(P473="ALUMINIO",VLOOKUP(Q473,'[3]Velocidades Std 1500 w'!$B$30:$F$38,5,FALSE))))</f>
        <v>2.0080321285140564E-6</v>
      </c>
      <c r="S473" s="82">
        <f t="shared" si="68"/>
        <v>1.0040160642570283E-2</v>
      </c>
      <c r="T473" s="83">
        <f t="shared" si="69"/>
        <v>57.915672289156625</v>
      </c>
      <c r="U473" s="307">
        <f t="shared" si="70"/>
        <v>8011.6679999999997</v>
      </c>
      <c r="V473" s="80">
        <f t="shared" si="75"/>
        <v>80.438433734939764</v>
      </c>
      <c r="W473" s="98">
        <v>110</v>
      </c>
      <c r="X473" s="84">
        <f>+IF(P473="ACERO A36",VLOOKUP(Q473,'[3]Tiempo Objeto'!$B$2:$C$12,2,FALSE),IF(P473="INOXIDABLE",VLOOKUP(Q473,'[3]Tiempo Objeto'!$B$14:$C$22,2,FALSE),IF(P473="ALUMINIO",VLOOKUP(Q473,'[3]Tiempo Objeto'!$B$24:$C$32,2,FALSE))))</f>
        <v>0.3133333333333333</v>
      </c>
      <c r="Y473" s="84">
        <f t="shared" si="71"/>
        <v>34.466666666666661</v>
      </c>
      <c r="Z473" s="80">
        <f t="shared" si="72"/>
        <v>47.870370370370367</v>
      </c>
      <c r="AA473" s="100">
        <v>2</v>
      </c>
      <c r="AB473" s="86">
        <f>+AA473*Analisis!$J$6</f>
        <v>50</v>
      </c>
      <c r="AC473" s="100"/>
      <c r="AD473" s="85">
        <f t="shared" si="73"/>
        <v>0</v>
      </c>
      <c r="AE473" s="86">
        <f>+AC473*Analisis!$J$7</f>
        <v>0</v>
      </c>
      <c r="AF473" s="308">
        <f>+H473*0.0254*I473*0.0254*2*(1+[3]Analisis!$G$2)</f>
        <v>1.8215107118099996</v>
      </c>
      <c r="AG473" s="86">
        <f>+AF473*Analisis!$J$8</f>
        <v>194.07762941308931</v>
      </c>
      <c r="AH473" s="309">
        <f t="shared" si="64"/>
        <v>841.76791383089937</v>
      </c>
      <c r="AI473" s="86">
        <f>+AH473/(1-Analisis!G478)</f>
        <v>841.76791383089937</v>
      </c>
      <c r="AJ473" s="86">
        <f t="shared" si="74"/>
        <v>905.12678906548331</v>
      </c>
      <c r="AK473" s="86">
        <f t="shared" si="65"/>
        <v>0</v>
      </c>
      <c r="AL473" s="310" t="e">
        <f>+VLOOKUP(B473,#REF!,2,FALSE)</f>
        <v>#REF!</v>
      </c>
      <c r="AM473" s="311" t="e">
        <f t="shared" si="79"/>
        <v>#REF!</v>
      </c>
      <c r="AN473" s="312" t="e">
        <f t="shared" si="78"/>
        <v>#REF!</v>
      </c>
    </row>
    <row r="474" spans="1:40" s="73" customFormat="1" x14ac:dyDescent="0.25">
      <c r="A474" s="324"/>
      <c r="B474" s="118" t="s">
        <v>1232</v>
      </c>
      <c r="D474" s="74">
        <f>IFERROR(VLOOKUP(B474,'REQ. PINTADO'!B:C,2,0),0)</f>
        <v>0</v>
      </c>
      <c r="E474" s="305">
        <f t="shared" si="66"/>
        <v>357.96215646414305</v>
      </c>
      <c r="F474" s="103" t="s">
        <v>165</v>
      </c>
      <c r="G474" s="75" t="s">
        <v>147</v>
      </c>
      <c r="H474" s="90">
        <v>4.82</v>
      </c>
      <c r="I474" s="90">
        <v>36</v>
      </c>
      <c r="J474" s="76">
        <v>0.105</v>
      </c>
      <c r="K474" s="306">
        <v>16.38</v>
      </c>
      <c r="L474" s="78">
        <f t="shared" si="67"/>
        <v>9.6863461538461557</v>
      </c>
      <c r="M474" s="58">
        <f>+VLOOKUP(F474,Material!$H$2:$M$17,6,FALSE)*H474*I474*(1+Material!$K$14)</f>
        <v>72.119250000000008</v>
      </c>
      <c r="N474" s="79" t="str">
        <f t="shared" si="80"/>
        <v>T5.0</v>
      </c>
      <c r="O474" s="80">
        <f>+VLOOKUP(N474,[3]Material!$A$3:$B$58,2,FALSE)</f>
        <v>5000</v>
      </c>
      <c r="P474" s="79" t="s">
        <v>42</v>
      </c>
      <c r="Q474" s="79" t="str">
        <f>+VLOOKUP(F474,[3]Material!$C$2:$E$12,2,FALSE)</f>
        <v>Cal 14</v>
      </c>
      <c r="R474" s="81">
        <f>+IF(P474="ACERO A36",VLOOKUP(Q474,'[3]Velocidades Std 1500 w'!$B$2:$F$15,5,FALSE),IF(P474="INOXIDABLE",VLOOKUP(Q474,'[3]Velocidades Std 1500 w'!$B$17:$F$28,5,FALSE),IF(P474="ALUMINIO",VLOOKUP(Q474,'[3]Velocidades Std 1500 w'!$B$30:$F$38,5,FALSE))))</f>
        <v>2.0080321285140564E-6</v>
      </c>
      <c r="S474" s="82">
        <f t="shared" si="68"/>
        <v>1.0040160642570283E-2</v>
      </c>
      <c r="T474" s="83">
        <f t="shared" si="69"/>
        <v>79.362208192771092</v>
      </c>
      <c r="U474" s="307">
        <f t="shared" si="70"/>
        <v>10978.4388</v>
      </c>
      <c r="V474" s="80">
        <f t="shared" si="75"/>
        <v>110.22528915662653</v>
      </c>
      <c r="W474" s="98">
        <v>220</v>
      </c>
      <c r="X474" s="84">
        <f>+IF(P474="ACERO A36",VLOOKUP(Q474,'[3]Tiempo Objeto'!$B$2:$C$12,2,FALSE),IF(P474="INOXIDABLE",VLOOKUP(Q474,'[3]Tiempo Objeto'!$B$14:$C$22,2,FALSE),IF(P474="ALUMINIO",VLOOKUP(Q474,'[3]Tiempo Objeto'!$B$24:$C$32,2,FALSE))))</f>
        <v>0.3133333333333333</v>
      </c>
      <c r="Y474" s="84">
        <f t="shared" si="71"/>
        <v>68.933333333333323</v>
      </c>
      <c r="Z474" s="80">
        <f t="shared" si="72"/>
        <v>95.740740740740733</v>
      </c>
      <c r="AA474" s="100">
        <v>1</v>
      </c>
      <c r="AB474" s="86">
        <f>+AA474*Analisis!$J$6</f>
        <v>25</v>
      </c>
      <c r="AC474" s="100"/>
      <c r="AD474" s="85">
        <f t="shared" si="73"/>
        <v>0</v>
      </c>
      <c r="AE474" s="86">
        <f>+AC474*Analisis!$J$7</f>
        <v>0</v>
      </c>
      <c r="AF474" s="308">
        <f>+H474*0.0254*I474*0.0254*2*(1+[3]Analisis!$G$2)</f>
        <v>0.27987040800000001</v>
      </c>
      <c r="AG474" s="86">
        <f>+AF474*Analisis!$J$8</f>
        <v>29.819525614285723</v>
      </c>
      <c r="AH474" s="309">
        <f t="shared" si="64"/>
        <v>332.90480551165302</v>
      </c>
      <c r="AI474" s="86">
        <f>+AH474/(1-Analisis!G479)</f>
        <v>332.90480551165302</v>
      </c>
      <c r="AJ474" s="86">
        <f t="shared" si="74"/>
        <v>357.96215646414305</v>
      </c>
      <c r="AK474" s="86">
        <f t="shared" si="65"/>
        <v>0</v>
      </c>
      <c r="AL474" s="310" t="e">
        <f>+VLOOKUP(B474,#REF!,2,FALSE)</f>
        <v>#REF!</v>
      </c>
      <c r="AM474" s="311" t="e">
        <f t="shared" si="79"/>
        <v>#REF!</v>
      </c>
      <c r="AN474" s="312" t="e">
        <f t="shared" si="78"/>
        <v>#REF!</v>
      </c>
    </row>
    <row r="475" spans="1:40" s="73" customFormat="1" x14ac:dyDescent="0.25">
      <c r="A475" s="324"/>
      <c r="B475" s="118" t="s">
        <v>1233</v>
      </c>
      <c r="D475" s="74">
        <f>IFERROR(VLOOKUP(B475,'REQ. PINTADO'!B:C,2,0),0)</f>
        <v>0</v>
      </c>
      <c r="E475" s="305">
        <f t="shared" si="66"/>
        <v>371.95226339324188</v>
      </c>
      <c r="F475" s="103" t="s">
        <v>165</v>
      </c>
      <c r="G475" s="75" t="s">
        <v>147</v>
      </c>
      <c r="H475" s="90">
        <v>5.42</v>
      </c>
      <c r="I475" s="90">
        <v>36</v>
      </c>
      <c r="J475" s="76">
        <v>0.105</v>
      </c>
      <c r="K475" s="306">
        <v>16.38</v>
      </c>
      <c r="L475" s="78">
        <f t="shared" si="67"/>
        <v>10.892115384615387</v>
      </c>
      <c r="M475" s="58">
        <f>+VLOOKUP(F475,Material!$H$2:$M$17,6,FALSE)*H475*I475*(1+Material!$K$14)</f>
        <v>81.09675</v>
      </c>
      <c r="N475" s="79" t="str">
        <f t="shared" si="80"/>
        <v>T5.0</v>
      </c>
      <c r="O475" s="80">
        <f>+VLOOKUP(N475,[3]Material!$A$3:$B$58,2,FALSE)</f>
        <v>5000</v>
      </c>
      <c r="P475" s="79" t="s">
        <v>42</v>
      </c>
      <c r="Q475" s="79" t="str">
        <f>+VLOOKUP(F475,[3]Material!$C$2:$E$12,2,FALSE)</f>
        <v>Cal 14</v>
      </c>
      <c r="R475" s="81">
        <f>+IF(P475="ACERO A36",VLOOKUP(Q475,'[3]Velocidades Std 1500 w'!$B$2:$F$15,5,FALSE),IF(P475="INOXIDABLE",VLOOKUP(Q475,'[3]Velocidades Std 1500 w'!$B$17:$F$28,5,FALSE),IF(P475="ALUMINIO",VLOOKUP(Q475,'[3]Velocidades Std 1500 w'!$B$30:$F$38,5,FALSE))))</f>
        <v>2.0080321285140564E-6</v>
      </c>
      <c r="S475" s="82">
        <f t="shared" si="68"/>
        <v>1.0040160642570283E-2</v>
      </c>
      <c r="T475" s="83">
        <f t="shared" si="69"/>
        <v>79.593562409638565</v>
      </c>
      <c r="U475" s="307">
        <f t="shared" si="70"/>
        <v>11010.442800000001</v>
      </c>
      <c r="V475" s="80">
        <f t="shared" si="75"/>
        <v>110.54661445783135</v>
      </c>
      <c r="W475" s="98">
        <v>220</v>
      </c>
      <c r="X475" s="84">
        <f>+IF(P475="ACERO A36",VLOOKUP(Q475,'[3]Tiempo Objeto'!$B$2:$C$12,2,FALSE),IF(P475="INOXIDABLE",VLOOKUP(Q475,'[3]Tiempo Objeto'!$B$14:$C$22,2,FALSE),IF(P475="ALUMINIO",VLOOKUP(Q475,'[3]Tiempo Objeto'!$B$24:$C$32,2,FALSE))))</f>
        <v>0.3133333333333333</v>
      </c>
      <c r="Y475" s="84">
        <f t="shared" si="71"/>
        <v>68.933333333333323</v>
      </c>
      <c r="Z475" s="80">
        <f t="shared" si="72"/>
        <v>95.740740740740733</v>
      </c>
      <c r="AA475" s="100">
        <v>1</v>
      </c>
      <c r="AB475" s="86">
        <f>+AA475*Analisis!$J$6</f>
        <v>25</v>
      </c>
      <c r="AC475" s="100"/>
      <c r="AD475" s="85">
        <f t="shared" si="73"/>
        <v>0</v>
      </c>
      <c r="AE475" s="86">
        <f>+AC475*Analisis!$J$7</f>
        <v>0</v>
      </c>
      <c r="AF475" s="308">
        <f>+H475*0.0254*I475*0.0254*2*(1+[3]Analisis!$G$2)</f>
        <v>0.31470904799999988</v>
      </c>
      <c r="AG475" s="86">
        <f>+AF475*Analisis!$J$8</f>
        <v>33.531499757142853</v>
      </c>
      <c r="AH475" s="309">
        <f t="shared" si="64"/>
        <v>345.91560495571491</v>
      </c>
      <c r="AI475" s="86">
        <f>+AH475/(1-Analisis!G480)</f>
        <v>345.91560495571491</v>
      </c>
      <c r="AJ475" s="86">
        <f t="shared" si="74"/>
        <v>371.95226339324188</v>
      </c>
      <c r="AK475" s="86">
        <f t="shared" si="65"/>
        <v>0</v>
      </c>
      <c r="AL475" s="310" t="e">
        <f>+VLOOKUP(B475,#REF!,2,FALSE)</f>
        <v>#REF!</v>
      </c>
      <c r="AM475" s="311" t="e">
        <f t="shared" si="79"/>
        <v>#REF!</v>
      </c>
      <c r="AN475" s="312" t="e">
        <f t="shared" si="78"/>
        <v>#REF!</v>
      </c>
    </row>
    <row r="476" spans="1:40" s="73" customFormat="1" x14ac:dyDescent="0.25">
      <c r="A476" s="324"/>
      <c r="B476" s="118" t="s">
        <v>1234</v>
      </c>
      <c r="D476" s="74">
        <f>IFERROR(VLOOKUP(B476,'REQ. PINTADO'!B:C,2,0),0)</f>
        <v>0</v>
      </c>
      <c r="E476" s="305">
        <f t="shared" si="66"/>
        <v>664.77098842192333</v>
      </c>
      <c r="F476" s="103" t="s">
        <v>165</v>
      </c>
      <c r="G476" s="75" t="s">
        <v>147</v>
      </c>
      <c r="H476" s="90">
        <v>38</v>
      </c>
      <c r="I476" s="90">
        <v>10.784000000000001</v>
      </c>
      <c r="J476" s="76">
        <v>0.105</v>
      </c>
      <c r="K476" s="306">
        <v>16.38</v>
      </c>
      <c r="L476" s="78">
        <f t="shared" si="67"/>
        <v>22.875675213675219</v>
      </c>
      <c r="M476" s="58">
        <f>+VLOOKUP(F476,Material!$H$2:$M$17,6,FALSE)*H476*I476*(1+Material!$K$14)</f>
        <v>170.31980000000001</v>
      </c>
      <c r="N476" s="79" t="str">
        <f t="shared" si="80"/>
        <v>T5.0</v>
      </c>
      <c r="O476" s="80">
        <f>+VLOOKUP(N476,[3]Material!$A$3:$B$58,2,FALSE)</f>
        <v>5000</v>
      </c>
      <c r="P476" s="79" t="s">
        <v>42</v>
      </c>
      <c r="Q476" s="79" t="str">
        <f>+VLOOKUP(F476,[3]Material!$C$2:$E$12,2,FALSE)</f>
        <v>Cal 14</v>
      </c>
      <c r="R476" s="81">
        <f>+IF(P476="ACERO A36",VLOOKUP(Q476,'[3]Velocidades Std 1500 w'!$B$2:$F$15,5,FALSE),IF(P476="INOXIDABLE",VLOOKUP(Q476,'[3]Velocidades Std 1500 w'!$B$17:$F$28,5,FALSE),IF(P476="ALUMINIO",VLOOKUP(Q476,'[3]Velocidades Std 1500 w'!$B$30:$F$38,5,FALSE))))</f>
        <v>2.0080321285140564E-6</v>
      </c>
      <c r="S476" s="82">
        <f t="shared" si="68"/>
        <v>1.0040160642570283E-2</v>
      </c>
      <c r="T476" s="83">
        <f t="shared" si="69"/>
        <v>131.59582091566264</v>
      </c>
      <c r="U476" s="307">
        <f t="shared" si="70"/>
        <v>18204.088559999997</v>
      </c>
      <c r="V476" s="80">
        <f t="shared" si="75"/>
        <v>182.77197349397591</v>
      </c>
      <c r="W476" s="98">
        <v>390</v>
      </c>
      <c r="X476" s="84">
        <f>+IF(P476="ACERO A36",VLOOKUP(Q476,'[3]Tiempo Objeto'!$B$2:$C$12,2,FALSE),IF(P476="INOXIDABLE",VLOOKUP(Q476,'[3]Tiempo Objeto'!$B$14:$C$22,2,FALSE),IF(P476="ALUMINIO",VLOOKUP(Q476,'[3]Tiempo Objeto'!$B$24:$C$32,2,FALSE))))</f>
        <v>0.3133333333333333</v>
      </c>
      <c r="Y476" s="84">
        <f t="shared" si="71"/>
        <v>122.19999999999999</v>
      </c>
      <c r="Z476" s="80">
        <f t="shared" si="72"/>
        <v>169.72222222222223</v>
      </c>
      <c r="AA476" s="100">
        <v>1</v>
      </c>
      <c r="AB476" s="86">
        <f>+AA476*Analisis!$J$6</f>
        <v>25</v>
      </c>
      <c r="AC476" s="100"/>
      <c r="AD476" s="85">
        <f t="shared" si="73"/>
        <v>0</v>
      </c>
      <c r="AE476" s="86">
        <f>+AC476*Analisis!$J$7</f>
        <v>0</v>
      </c>
      <c r="AF476" s="308">
        <f>+H476*0.0254*I476*0.0254*2*(1+[3]Analisis!$G$2)</f>
        <v>0.66095351680000003</v>
      </c>
      <c r="AG476" s="86">
        <f>+AF476*Analisis!$J$8</f>
        <v>70.423023516190497</v>
      </c>
      <c r="AH476" s="309">
        <f t="shared" si="64"/>
        <v>618.23701923238866</v>
      </c>
      <c r="AI476" s="86">
        <f>+AH476/(1-Analisis!G481)</f>
        <v>618.23701923238866</v>
      </c>
      <c r="AJ476" s="86">
        <f t="shared" si="74"/>
        <v>664.77098842192333</v>
      </c>
      <c r="AK476" s="86">
        <f t="shared" si="65"/>
        <v>0</v>
      </c>
      <c r="AL476" s="310" t="e">
        <f>+VLOOKUP(B476,#REF!,2,FALSE)</f>
        <v>#REF!</v>
      </c>
      <c r="AM476" s="311" t="e">
        <f t="shared" si="79"/>
        <v>#REF!</v>
      </c>
      <c r="AN476" s="312" t="e">
        <f t="shared" si="78"/>
        <v>#REF!</v>
      </c>
    </row>
    <row r="477" spans="1:40" s="73" customFormat="1" x14ac:dyDescent="0.25">
      <c r="A477" s="324"/>
      <c r="B477" s="118" t="s">
        <v>1235</v>
      </c>
      <c r="D477" s="74">
        <f>IFERROR(VLOOKUP(B477,'REQ. PINTADO'!B:C,2,0),0)</f>
        <v>0</v>
      </c>
      <c r="E477" s="305">
        <f t="shared" si="66"/>
        <v>699.79782099796489</v>
      </c>
      <c r="F477" s="103" t="s">
        <v>165</v>
      </c>
      <c r="G477" s="75" t="s">
        <v>147</v>
      </c>
      <c r="H477" s="90">
        <v>38</v>
      </c>
      <c r="I477" s="90">
        <v>12.209</v>
      </c>
      <c r="J477" s="76">
        <v>0.105</v>
      </c>
      <c r="K477" s="306">
        <v>16.38</v>
      </c>
      <c r="L477" s="78">
        <f t="shared" si="67"/>
        <v>25.898471688034192</v>
      </c>
      <c r="M477" s="58">
        <f>+VLOOKUP(F477,Material!$H$2:$M$17,6,FALSE)*H477*I477*(1+Material!$K$14)</f>
        <v>192.82589375000001</v>
      </c>
      <c r="N477" s="79" t="str">
        <f t="shared" si="80"/>
        <v>T5.0</v>
      </c>
      <c r="O477" s="80">
        <f>+VLOOKUP(N477,[3]Material!$A$3:$B$58,2,FALSE)</f>
        <v>5000</v>
      </c>
      <c r="P477" s="79" t="s">
        <v>42</v>
      </c>
      <c r="Q477" s="79" t="str">
        <f>+VLOOKUP(F477,[3]Material!$C$2:$E$12,2,FALSE)</f>
        <v>Cal 14</v>
      </c>
      <c r="R477" s="81">
        <f>+IF(P477="ACERO A36",VLOOKUP(Q477,'[3]Velocidades Std 1500 w'!$B$2:$F$15,5,FALSE),IF(P477="INOXIDABLE",VLOOKUP(Q477,'[3]Velocidades Std 1500 w'!$B$17:$F$28,5,FALSE),IF(P477="ALUMINIO",VLOOKUP(Q477,'[3]Velocidades Std 1500 w'!$B$30:$F$38,5,FALSE))))</f>
        <v>2.0080321285140564E-6</v>
      </c>
      <c r="S477" s="82">
        <f t="shared" si="68"/>
        <v>1.0040160642570283E-2</v>
      </c>
      <c r="T477" s="83">
        <f t="shared" si="69"/>
        <v>132.1452871807229</v>
      </c>
      <c r="U477" s="307">
        <f t="shared" si="70"/>
        <v>18280.09806</v>
      </c>
      <c r="V477" s="80">
        <f t="shared" si="75"/>
        <v>183.53512108433739</v>
      </c>
      <c r="W477" s="98">
        <v>390</v>
      </c>
      <c r="X477" s="84">
        <f>+IF(P477="ACERO A36",VLOOKUP(Q477,'[3]Tiempo Objeto'!$B$2:$C$12,2,FALSE),IF(P477="INOXIDABLE",VLOOKUP(Q477,'[3]Tiempo Objeto'!$B$14:$C$22,2,FALSE),IF(P477="ALUMINIO",VLOOKUP(Q477,'[3]Tiempo Objeto'!$B$24:$C$32,2,FALSE))))</f>
        <v>0.3133333333333333</v>
      </c>
      <c r="Y477" s="84">
        <f t="shared" si="71"/>
        <v>122.19999999999999</v>
      </c>
      <c r="Z477" s="80">
        <f t="shared" si="72"/>
        <v>169.72222222222223</v>
      </c>
      <c r="AA477" s="100">
        <v>1</v>
      </c>
      <c r="AB477" s="86">
        <f>+AA477*Analisis!$J$6</f>
        <v>25</v>
      </c>
      <c r="AC477" s="100"/>
      <c r="AD477" s="85">
        <f t="shared" si="73"/>
        <v>0</v>
      </c>
      <c r="AE477" s="86">
        <f>+AC477*Analisis!$J$7</f>
        <v>0</v>
      </c>
      <c r="AF477" s="308">
        <f>+H477*0.0254*I477*0.0254*2*(1+[3]Analisis!$G$2)</f>
        <v>0.74829205180000002</v>
      </c>
      <c r="AG477" s="86">
        <f>+AF477*Analisis!$J$8</f>
        <v>79.728736471547649</v>
      </c>
      <c r="AH477" s="309">
        <f t="shared" si="64"/>
        <v>650.81197352810727</v>
      </c>
      <c r="AI477" s="86">
        <f>+AH477/(1-Analisis!G482)</f>
        <v>650.81197352810727</v>
      </c>
      <c r="AJ477" s="86">
        <f t="shared" si="74"/>
        <v>699.79782099796489</v>
      </c>
      <c r="AK477" s="86">
        <f t="shared" si="65"/>
        <v>0</v>
      </c>
      <c r="AL477" s="310" t="e">
        <f>+VLOOKUP(B477,#REF!,2,FALSE)</f>
        <v>#REF!</v>
      </c>
      <c r="AM477" s="311" t="e">
        <f t="shared" si="79"/>
        <v>#REF!</v>
      </c>
      <c r="AN477" s="312" t="e">
        <f t="shared" si="78"/>
        <v>#REF!</v>
      </c>
    </row>
    <row r="478" spans="1:40" s="73" customFormat="1" x14ac:dyDescent="0.25">
      <c r="A478" s="324"/>
      <c r="B478" s="118" t="s">
        <v>1236</v>
      </c>
      <c r="D478" s="74">
        <f>IFERROR(VLOOKUP(B478,'REQ. PINTADO'!B:C,2,0),0)</f>
        <v>0</v>
      </c>
      <c r="E478" s="305">
        <f t="shared" si="66"/>
        <v>743.821018993537</v>
      </c>
      <c r="F478" s="103" t="s">
        <v>165</v>
      </c>
      <c r="G478" s="75" t="s">
        <v>147</v>
      </c>
      <c r="H478" s="90">
        <v>38</v>
      </c>
      <c r="I478" s="90">
        <v>14</v>
      </c>
      <c r="J478" s="76">
        <v>0.105</v>
      </c>
      <c r="K478" s="306">
        <v>16.38</v>
      </c>
      <c r="L478" s="78">
        <f t="shared" si="67"/>
        <v>29.697649572649578</v>
      </c>
      <c r="M478" s="58">
        <f>+VLOOKUP(F478,Material!$H$2:$M$17,6,FALSE)*H478*I478*(1+Material!$K$14)</f>
        <v>221.11250000000001</v>
      </c>
      <c r="N478" s="79" t="str">
        <f t="shared" si="80"/>
        <v>T5.0</v>
      </c>
      <c r="O478" s="80">
        <f>+VLOOKUP(N478,[3]Material!$A$3:$B$58,2,FALSE)</f>
        <v>5000</v>
      </c>
      <c r="P478" s="79" t="s">
        <v>42</v>
      </c>
      <c r="Q478" s="79" t="str">
        <f>+VLOOKUP(F478,[3]Material!$C$2:$E$12,2,FALSE)</f>
        <v>Cal 14</v>
      </c>
      <c r="R478" s="81">
        <f>+IF(P478="ACERO A36",VLOOKUP(Q478,'[3]Velocidades Std 1500 w'!$B$2:$F$15,5,FALSE),IF(P478="INOXIDABLE",VLOOKUP(Q478,'[3]Velocidades Std 1500 w'!$B$17:$F$28,5,FALSE),IF(P478="ALUMINIO",VLOOKUP(Q478,'[3]Velocidades Std 1500 w'!$B$30:$F$38,5,FALSE))))</f>
        <v>2.0080321285140564E-6</v>
      </c>
      <c r="S478" s="82">
        <f t="shared" si="68"/>
        <v>1.0040160642570283E-2</v>
      </c>
      <c r="T478" s="83">
        <f t="shared" si="69"/>
        <v>132.83587951807229</v>
      </c>
      <c r="U478" s="307">
        <f t="shared" si="70"/>
        <v>18375.63</v>
      </c>
      <c r="V478" s="80">
        <f t="shared" si="75"/>
        <v>184.49427710843378</v>
      </c>
      <c r="W478" s="98">
        <v>390</v>
      </c>
      <c r="X478" s="84">
        <f>+IF(P478="ACERO A36",VLOOKUP(Q478,'[3]Tiempo Objeto'!$B$2:$C$12,2,FALSE),IF(P478="INOXIDABLE",VLOOKUP(Q478,'[3]Tiempo Objeto'!$B$14:$C$22,2,FALSE),IF(P478="ALUMINIO",VLOOKUP(Q478,'[3]Tiempo Objeto'!$B$24:$C$32,2,FALSE))))</f>
        <v>0.3133333333333333</v>
      </c>
      <c r="Y478" s="84">
        <f t="shared" si="71"/>
        <v>122.19999999999999</v>
      </c>
      <c r="Z478" s="80">
        <f t="shared" si="72"/>
        <v>169.72222222222223</v>
      </c>
      <c r="AA478" s="100">
        <v>1</v>
      </c>
      <c r="AB478" s="86">
        <f>+AA478*Analisis!$J$6</f>
        <v>25</v>
      </c>
      <c r="AC478" s="100"/>
      <c r="AD478" s="85">
        <f t="shared" si="73"/>
        <v>0</v>
      </c>
      <c r="AE478" s="86">
        <f>+AC478*Analisis!$J$7</f>
        <v>0</v>
      </c>
      <c r="AF478" s="308">
        <f>+H478*0.0254*I478*0.0254*2*(1+[3]Analisis!$G$2)</f>
        <v>0.8580627999999999</v>
      </c>
      <c r="AG478" s="86">
        <f>+AF478*Analisis!$J$8</f>
        <v>91.424548333333348</v>
      </c>
      <c r="AH478" s="309">
        <f t="shared" si="64"/>
        <v>691.75354766398937</v>
      </c>
      <c r="AI478" s="86">
        <f>+AH478/(1-Analisis!G483)</f>
        <v>691.75354766398937</v>
      </c>
      <c r="AJ478" s="86">
        <f t="shared" si="74"/>
        <v>743.821018993537</v>
      </c>
      <c r="AK478" s="86">
        <f t="shared" si="65"/>
        <v>0</v>
      </c>
      <c r="AL478" s="310" t="e">
        <f>+VLOOKUP(B478,#REF!,2,FALSE)</f>
        <v>#REF!</v>
      </c>
      <c r="AM478" s="311" t="e">
        <f t="shared" si="79"/>
        <v>#REF!</v>
      </c>
      <c r="AN478" s="312" t="e">
        <f t="shared" si="78"/>
        <v>#REF!</v>
      </c>
    </row>
    <row r="479" spans="1:40" s="73" customFormat="1" x14ac:dyDescent="0.25">
      <c r="A479" s="324"/>
      <c r="B479" s="118" t="s">
        <v>1237</v>
      </c>
      <c r="D479" s="74">
        <f>IFERROR(VLOOKUP(B479,'REQ. PINTADO'!B:C,2,0),0)</f>
        <v>0</v>
      </c>
      <c r="E479" s="305">
        <f t="shared" si="66"/>
        <v>417.07244679737141</v>
      </c>
      <c r="F479" s="103" t="s">
        <v>166</v>
      </c>
      <c r="G479" s="75" t="s">
        <v>147</v>
      </c>
      <c r="H479" s="90">
        <v>38</v>
      </c>
      <c r="I479" s="90">
        <v>13.58</v>
      </c>
      <c r="J479" s="76">
        <v>0.105</v>
      </c>
      <c r="K479" s="306">
        <v>16.38</v>
      </c>
      <c r="L479" s="78">
        <f t="shared" si="67"/>
        <v>15.708956294667439</v>
      </c>
      <c r="M479" s="58">
        <f>+VLOOKUP(F479,Material!$H$2:$M$17,6,FALSE)*H479*I479*(1+Material!$K$14)</f>
        <v>116.96032004847847</v>
      </c>
      <c r="N479" s="79" t="str">
        <f t="shared" si="80"/>
        <v>T5.0</v>
      </c>
      <c r="O479" s="80">
        <f>+VLOOKUP(N479,[3]Material!$A$3:$B$58,2,FALSE)</f>
        <v>5000</v>
      </c>
      <c r="P479" s="79" t="s">
        <v>42</v>
      </c>
      <c r="Q479" s="79" t="str">
        <f>+VLOOKUP(F479,[3]Material!$C$2:$E$12,2,FALSE)</f>
        <v>Cal 16</v>
      </c>
      <c r="R479" s="81">
        <f>+IF(P479="ACERO A36",VLOOKUP(Q479,'[3]Velocidades Std 1500 w'!$B$2:$F$15,5,FALSE),IF(P479="INOXIDABLE",VLOOKUP(Q479,'[3]Velocidades Std 1500 w'!$B$17:$F$28,5,FALSE),IF(P479="ALUMINIO",VLOOKUP(Q479,'[3]Velocidades Std 1500 w'!$B$30:$F$38,5,FALSE))))</f>
        <v>9.1575091575091579E-7</v>
      </c>
      <c r="S479" s="82">
        <f t="shared" si="68"/>
        <v>4.578754578754579E-3</v>
      </c>
      <c r="T479" s="83">
        <f t="shared" si="69"/>
        <v>32.809375384615386</v>
      </c>
      <c r="U479" s="307">
        <f t="shared" si="70"/>
        <v>9952.1772000000001</v>
      </c>
      <c r="V479" s="80">
        <f t="shared" si="75"/>
        <v>45.568576923076925</v>
      </c>
      <c r="W479" s="98">
        <v>180</v>
      </c>
      <c r="X479" s="84">
        <f>+IF(P479="ACERO A36",VLOOKUP(Q479,'[3]Tiempo Objeto'!$B$2:$C$12,2,FALSE),IF(P479="INOXIDABLE",VLOOKUP(Q479,'[3]Tiempo Objeto'!$B$14:$C$22,2,FALSE),IF(P479="ALUMINIO",VLOOKUP(Q479,'[3]Tiempo Objeto'!$B$24:$C$32,2,FALSE))))</f>
        <v>0.24666666666666667</v>
      </c>
      <c r="Y479" s="84">
        <f t="shared" si="71"/>
        <v>44.4</v>
      </c>
      <c r="Z479" s="80">
        <f t="shared" si="72"/>
        <v>61.666666666666664</v>
      </c>
      <c r="AA479" s="100">
        <v>3</v>
      </c>
      <c r="AB479" s="86">
        <f>+AA479*Analisis!$J$6</f>
        <v>75</v>
      </c>
      <c r="AC479" s="100"/>
      <c r="AD479" s="85">
        <f t="shared" si="73"/>
        <v>0</v>
      </c>
      <c r="AE479" s="86">
        <f>+AC479*Analisis!$J$7</f>
        <v>0</v>
      </c>
      <c r="AF479" s="308">
        <f>+H479*0.0254*I479*0.0254*2*(1+[3]Analisis!$G$2)</f>
        <v>0.83232091599999991</v>
      </c>
      <c r="AG479" s="86">
        <f>+AF479*Analisis!$J$8</f>
        <v>88.681811883333353</v>
      </c>
      <c r="AH479" s="309">
        <f t="shared" si="64"/>
        <v>387.87737552155539</v>
      </c>
      <c r="AI479" s="86">
        <f>+AH479/(1-Analisis!G484)</f>
        <v>387.87737552155539</v>
      </c>
      <c r="AJ479" s="86">
        <f t="shared" si="74"/>
        <v>417.07244679737141</v>
      </c>
      <c r="AK479" s="86">
        <f t="shared" si="65"/>
        <v>0</v>
      </c>
      <c r="AL479" s="310" t="e">
        <f>+VLOOKUP(B479,#REF!,2,FALSE)</f>
        <v>#REF!</v>
      </c>
      <c r="AM479" s="311" t="e">
        <f t="shared" si="79"/>
        <v>#REF!</v>
      </c>
      <c r="AN479" s="312" t="e">
        <f t="shared" si="78"/>
        <v>#REF!</v>
      </c>
    </row>
    <row r="480" spans="1:40" s="73" customFormat="1" x14ac:dyDescent="0.25">
      <c r="A480" s="324"/>
      <c r="B480" s="118" t="s">
        <v>1238</v>
      </c>
      <c r="D480" s="74">
        <f>IFERROR(VLOOKUP(B480,'REQ. PINTADO'!B:C,2,0),0)</f>
        <v>0</v>
      </c>
      <c r="E480" s="305">
        <f t="shared" si="66"/>
        <v>514.29660453469023</v>
      </c>
      <c r="F480" s="103" t="s">
        <v>164</v>
      </c>
      <c r="G480" s="75" t="s">
        <v>147</v>
      </c>
      <c r="H480" s="90">
        <v>9.7799999999999994</v>
      </c>
      <c r="I480" s="90">
        <v>37.5</v>
      </c>
      <c r="J480" s="76">
        <v>0.105</v>
      </c>
      <c r="K480" s="306">
        <v>16.38</v>
      </c>
      <c r="L480" s="78">
        <f t="shared" si="67"/>
        <v>34.121594551282058</v>
      </c>
      <c r="M480" s="58">
        <f>+VLOOKUP(F480,Material!$H$2:$M$17,6,FALSE)*H480*I480*(1+Material!$K$14)</f>
        <v>254.05078125</v>
      </c>
      <c r="N480" s="79" t="str">
        <f t="shared" si="80"/>
        <v>T5.0</v>
      </c>
      <c r="O480" s="80">
        <f>+VLOOKUP(N480,[3]Material!$A$3:$B$58,2,FALSE)</f>
        <v>5000</v>
      </c>
      <c r="P480" s="79" t="s">
        <v>42</v>
      </c>
      <c r="Q480" s="79" t="str">
        <f>+VLOOKUP(F480,[3]Material!$C$2:$E$12,2,FALSE)</f>
        <v>Cal 10</v>
      </c>
      <c r="R480" s="81">
        <f>+IF(P480="ACERO A36",VLOOKUP(Q480,'[3]Velocidades Std 1500 w'!$B$2:$F$15,5,FALSE),IF(P480="INOXIDABLE",VLOOKUP(Q480,'[3]Velocidades Std 1500 w'!$B$17:$F$28,5,FALSE),IF(P480="ALUMINIO",VLOOKUP(Q480,'[3]Velocidades Std 1500 w'!$B$30:$F$38,5,FALSE))))</f>
        <v>6.1728395061728391E-6</v>
      </c>
      <c r="S480" s="82">
        <f t="shared" si="68"/>
        <v>3.0864197530864196E-2</v>
      </c>
      <c r="T480" s="83">
        <f t="shared" si="69"/>
        <v>69.377560000000003</v>
      </c>
      <c r="U480" s="307">
        <f t="shared" si="70"/>
        <v>3121.9902000000002</v>
      </c>
      <c r="V480" s="80">
        <f t="shared" si="75"/>
        <v>96.357722222222222</v>
      </c>
      <c r="W480" s="98">
        <v>15</v>
      </c>
      <c r="X480" s="84">
        <f>+IF(P480="ACERO A36",VLOOKUP(Q480,'[3]Tiempo Objeto'!$B$2:$C$12,2,FALSE),IF(P480="INOXIDABLE",VLOOKUP(Q480,'[3]Tiempo Objeto'!$B$14:$C$22,2,FALSE),IF(P480="ALUMINIO",VLOOKUP(Q480,'[3]Tiempo Objeto'!$B$24:$C$32,2,FALSE))))</f>
        <v>0.71333333333333337</v>
      </c>
      <c r="Y480" s="84">
        <f t="shared" si="71"/>
        <v>10.700000000000001</v>
      </c>
      <c r="Z480" s="80">
        <f t="shared" si="72"/>
        <v>14.861111111111112</v>
      </c>
      <c r="AA480" s="100">
        <v>2</v>
      </c>
      <c r="AB480" s="86">
        <f>+AA480*Analisis!$J$6</f>
        <v>50</v>
      </c>
      <c r="AC480" s="100"/>
      <c r="AD480" s="85">
        <f t="shared" si="73"/>
        <v>0</v>
      </c>
      <c r="AE480" s="86">
        <f>+AC480*Analisis!$J$7</f>
        <v>0</v>
      </c>
      <c r="AF480" s="308">
        <f>+H480*0.0254*I480*0.0254*2*(1+[3]Analisis!$G$2)</f>
        <v>0.59153107499999991</v>
      </c>
      <c r="AG480" s="86">
        <f>+AF480*Analisis!$J$8</f>
        <v>63.026227633928578</v>
      </c>
      <c r="AH480" s="309">
        <f t="shared" si="64"/>
        <v>478.29584221726191</v>
      </c>
      <c r="AI480" s="86">
        <f>+AH480/(1-Analisis!G485)</f>
        <v>478.29584221726191</v>
      </c>
      <c r="AJ480" s="86">
        <f t="shared" si="74"/>
        <v>514.29660453469023</v>
      </c>
      <c r="AK480" s="86">
        <f t="shared" si="65"/>
        <v>0</v>
      </c>
      <c r="AL480" s="310" t="e">
        <f>+VLOOKUP(B480,#REF!,2,FALSE)</f>
        <v>#REF!</v>
      </c>
      <c r="AM480" s="311" t="e">
        <f t="shared" si="79"/>
        <v>#REF!</v>
      </c>
      <c r="AN480" s="312" t="e">
        <f t="shared" si="78"/>
        <v>#REF!</v>
      </c>
    </row>
    <row r="481" spans="1:40" s="73" customFormat="1" x14ac:dyDescent="0.25">
      <c r="A481" s="324"/>
      <c r="B481" s="118" t="s">
        <v>1239</v>
      </c>
      <c r="D481" s="74">
        <f>IFERROR(VLOOKUP(B481,'REQ. PINTADO'!B:C,2,0),0)</f>
        <v>0</v>
      </c>
      <c r="E481" s="305">
        <f t="shared" si="66"/>
        <v>459.34941364780684</v>
      </c>
      <c r="F481" s="103" t="s">
        <v>164</v>
      </c>
      <c r="G481" s="75" t="s">
        <v>147</v>
      </c>
      <c r="H481" s="90">
        <v>8.2799999999999994</v>
      </c>
      <c r="I481" s="90">
        <v>37.5</v>
      </c>
      <c r="J481" s="76">
        <v>0.105</v>
      </c>
      <c r="K481" s="306">
        <v>16.38</v>
      </c>
      <c r="L481" s="78">
        <f t="shared" si="67"/>
        <v>28.888221153846157</v>
      </c>
      <c r="M481" s="58">
        <f>+VLOOKUP(F481,Material!$H$2:$M$17,6,FALSE)*H481*I481*(1+Material!$K$14)</f>
        <v>215.0859375</v>
      </c>
      <c r="N481" s="79" t="str">
        <f t="shared" si="80"/>
        <v>T5.0</v>
      </c>
      <c r="O481" s="80">
        <f>+VLOOKUP(N481,[3]Material!$A$3:$B$58,2,FALSE)</f>
        <v>5000</v>
      </c>
      <c r="P481" s="79" t="s">
        <v>42</v>
      </c>
      <c r="Q481" s="79" t="str">
        <f>+VLOOKUP(F481,[3]Material!$C$2:$E$12,2,FALSE)</f>
        <v>Cal 10</v>
      </c>
      <c r="R481" s="81">
        <f>+IF(P481="ACERO A36",VLOOKUP(Q481,'[3]Velocidades Std 1500 w'!$B$2:$F$15,5,FALSE),IF(P481="INOXIDABLE",VLOOKUP(Q481,'[3]Velocidades Std 1500 w'!$B$17:$F$28,5,FALSE),IF(P481="ALUMINIO",VLOOKUP(Q481,'[3]Velocidades Std 1500 w'!$B$30:$F$38,5,FALSE))))</f>
        <v>6.1728395061728391E-6</v>
      </c>
      <c r="S481" s="82">
        <f t="shared" si="68"/>
        <v>3.0864197530864196E-2</v>
      </c>
      <c r="T481" s="83">
        <f t="shared" si="69"/>
        <v>67.599559999999997</v>
      </c>
      <c r="U481" s="307">
        <f t="shared" si="70"/>
        <v>3041.9802</v>
      </c>
      <c r="V481" s="80">
        <f t="shared" si="75"/>
        <v>93.888277777777773</v>
      </c>
      <c r="W481" s="98">
        <v>15</v>
      </c>
      <c r="X481" s="84">
        <f>+IF(P481="ACERO A36",VLOOKUP(Q481,'[3]Tiempo Objeto'!$B$2:$C$12,2,FALSE),IF(P481="INOXIDABLE",VLOOKUP(Q481,'[3]Tiempo Objeto'!$B$14:$C$22,2,FALSE),IF(P481="ALUMINIO",VLOOKUP(Q481,'[3]Tiempo Objeto'!$B$24:$C$32,2,FALSE))))</f>
        <v>0.71333333333333337</v>
      </c>
      <c r="Y481" s="84">
        <f t="shared" si="71"/>
        <v>10.700000000000001</v>
      </c>
      <c r="Z481" s="80">
        <f t="shared" si="72"/>
        <v>14.861111111111112</v>
      </c>
      <c r="AA481" s="100">
        <v>2</v>
      </c>
      <c r="AB481" s="86">
        <f>+AA481*Analisis!$J$6</f>
        <v>50</v>
      </c>
      <c r="AC481" s="100"/>
      <c r="AD481" s="85">
        <f t="shared" si="73"/>
        <v>0</v>
      </c>
      <c r="AE481" s="86">
        <f>+AC481*Analisis!$J$7</f>
        <v>0</v>
      </c>
      <c r="AF481" s="308">
        <f>+H481*0.0254*I481*0.0254*2*(1+[3]Analisis!$G$2)</f>
        <v>0.50080544999999987</v>
      </c>
      <c r="AG481" s="86">
        <f>+AF481*Analisis!$J$8</f>
        <v>53.359628303571434</v>
      </c>
      <c r="AH481" s="309">
        <f t="shared" si="64"/>
        <v>427.19495469246033</v>
      </c>
      <c r="AI481" s="86">
        <f>+AH481/(1-Analisis!G486)</f>
        <v>427.19495469246033</v>
      </c>
      <c r="AJ481" s="86">
        <f t="shared" si="74"/>
        <v>459.34941364780684</v>
      </c>
      <c r="AK481" s="86">
        <f t="shared" si="65"/>
        <v>0</v>
      </c>
      <c r="AL481" s="310" t="e">
        <f>+VLOOKUP(B481,#REF!,2,FALSE)</f>
        <v>#REF!</v>
      </c>
      <c r="AM481" s="311" t="e">
        <f t="shared" si="79"/>
        <v>#REF!</v>
      </c>
      <c r="AN481" s="312" t="e">
        <f t="shared" si="78"/>
        <v>#REF!</v>
      </c>
    </row>
    <row r="482" spans="1:40" s="73" customFormat="1" x14ac:dyDescent="0.25">
      <c r="A482" s="324"/>
      <c r="B482" s="118" t="s">
        <v>1240</v>
      </c>
      <c r="D482" s="74">
        <f>IFERROR(VLOOKUP(B482,'REQ. PINTADO'!B:C,2,0),0)</f>
        <v>0</v>
      </c>
      <c r="E482" s="305">
        <f t="shared" si="66"/>
        <v>248.02970558989674</v>
      </c>
      <c r="F482" s="103" t="s">
        <v>165</v>
      </c>
      <c r="G482" s="75" t="s">
        <v>147</v>
      </c>
      <c r="H482" s="90">
        <v>6.56</v>
      </c>
      <c r="I482" s="90">
        <v>37.5</v>
      </c>
      <c r="J482" s="76">
        <v>0.105</v>
      </c>
      <c r="K482" s="306">
        <v>16.38</v>
      </c>
      <c r="L482" s="78">
        <f t="shared" si="67"/>
        <v>13.732371794871797</v>
      </c>
      <c r="M482" s="58">
        <f>+VLOOKUP(F482,Material!$H$2:$M$17,6,FALSE)*H482*I482*(1+Material!$K$14)</f>
        <v>102.24375000000001</v>
      </c>
      <c r="N482" s="79" t="str">
        <f t="shared" si="80"/>
        <v>T5.0</v>
      </c>
      <c r="O482" s="80">
        <f>+VLOOKUP(N482,[3]Material!$A$3:$B$58,2,FALSE)</f>
        <v>5000</v>
      </c>
      <c r="P482" s="79" t="s">
        <v>42</v>
      </c>
      <c r="Q482" s="79" t="str">
        <f>+VLOOKUP(F482,[3]Material!$C$2:$E$12,2,FALSE)</f>
        <v>Cal 14</v>
      </c>
      <c r="R482" s="81">
        <f>+IF(P482="ACERO A36",VLOOKUP(Q482,'[3]Velocidades Std 1500 w'!$B$2:$F$15,5,FALSE),IF(P482="INOXIDABLE",VLOOKUP(Q482,'[3]Velocidades Std 1500 w'!$B$17:$F$28,5,FALSE),IF(P482="ALUMINIO",VLOOKUP(Q482,'[3]Velocidades Std 1500 w'!$B$30:$F$38,5,FALSE))))</f>
        <v>2.0080321285140564E-6</v>
      </c>
      <c r="S482" s="82">
        <f t="shared" si="68"/>
        <v>1.0040160642570283E-2</v>
      </c>
      <c r="T482" s="83">
        <f t="shared" si="69"/>
        <v>21.327002891566266</v>
      </c>
      <c r="U482" s="307">
        <f t="shared" si="70"/>
        <v>2950.2354</v>
      </c>
      <c r="V482" s="80">
        <f t="shared" si="75"/>
        <v>29.620837349397597</v>
      </c>
      <c r="W482" s="98">
        <v>15</v>
      </c>
      <c r="X482" s="84">
        <f>+IF(P482="ACERO A36",VLOOKUP(Q482,'[3]Tiempo Objeto'!$B$2:$C$12,2,FALSE),IF(P482="INOXIDABLE",VLOOKUP(Q482,'[3]Tiempo Objeto'!$B$14:$C$22,2,FALSE),IF(P482="ALUMINIO",VLOOKUP(Q482,'[3]Tiempo Objeto'!$B$24:$C$32,2,FALSE))))</f>
        <v>0.3133333333333333</v>
      </c>
      <c r="Y482" s="84">
        <f t="shared" si="71"/>
        <v>4.6999999999999993</v>
      </c>
      <c r="Z482" s="80">
        <f t="shared" si="72"/>
        <v>6.5277777777777768</v>
      </c>
      <c r="AA482" s="100">
        <v>2</v>
      </c>
      <c r="AB482" s="86">
        <f>+AA482*Analisis!$J$6</f>
        <v>50</v>
      </c>
      <c r="AC482" s="100"/>
      <c r="AD482" s="85">
        <f t="shared" si="73"/>
        <v>0</v>
      </c>
      <c r="AE482" s="86">
        <f>+AC482*Analisis!$J$7</f>
        <v>0</v>
      </c>
      <c r="AF482" s="308">
        <f>+H482*0.0254*I482*0.0254*2*(1+[3]Analisis!$G$2)</f>
        <v>0.3967734</v>
      </c>
      <c r="AG482" s="86">
        <f>+AF482*Analisis!$J$8</f>
        <v>42.275261071428581</v>
      </c>
      <c r="AH482" s="309">
        <f t="shared" si="64"/>
        <v>230.66762619860395</v>
      </c>
      <c r="AI482" s="86">
        <f>+AH482/(1-Analisis!G487)</f>
        <v>230.66762619860395</v>
      </c>
      <c r="AJ482" s="86">
        <f t="shared" si="74"/>
        <v>248.02970558989674</v>
      </c>
      <c r="AK482" s="86">
        <f t="shared" si="65"/>
        <v>0</v>
      </c>
      <c r="AL482" s="310" t="e">
        <f>+VLOOKUP(B482,#REF!,2,FALSE)</f>
        <v>#REF!</v>
      </c>
      <c r="AM482" s="311" t="e">
        <f t="shared" si="79"/>
        <v>#REF!</v>
      </c>
      <c r="AN482" s="312" t="e">
        <f t="shared" si="78"/>
        <v>#REF!</v>
      </c>
    </row>
    <row r="483" spans="1:40" s="73" customFormat="1" x14ac:dyDescent="0.25">
      <c r="A483" s="324"/>
      <c r="B483" s="118" t="s">
        <v>1241</v>
      </c>
      <c r="D483" s="74">
        <f>IFERROR(VLOOKUP(B483,'REQ. PINTADO'!B:C,2,0),0)</f>
        <v>0</v>
      </c>
      <c r="E483" s="305">
        <f t="shared" si="66"/>
        <v>165.79626551956355</v>
      </c>
      <c r="F483" s="103" t="s">
        <v>165</v>
      </c>
      <c r="G483" s="75" t="s">
        <v>147</v>
      </c>
      <c r="H483" s="90">
        <v>5.5620000000000003</v>
      </c>
      <c r="I483" s="90">
        <v>38</v>
      </c>
      <c r="J483" s="76">
        <v>0.105</v>
      </c>
      <c r="K483" s="306">
        <v>16.38</v>
      </c>
      <c r="L483" s="78">
        <f t="shared" si="67"/>
        <v>11.798451923076927</v>
      </c>
      <c r="M483" s="58">
        <f>+VLOOKUP(F483,Material!$H$2:$M$17,6,FALSE)*H483*I483*(1+Material!$K$14)</f>
        <v>87.844837500000025</v>
      </c>
      <c r="N483" s="79" t="str">
        <f t="shared" si="80"/>
        <v>T5.0</v>
      </c>
      <c r="O483" s="80">
        <f>+VLOOKUP(N483,[3]Material!$A$3:$B$58,2,FALSE)</f>
        <v>5000</v>
      </c>
      <c r="P483" s="79" t="s">
        <v>42</v>
      </c>
      <c r="Q483" s="79" t="str">
        <f>+VLOOKUP(F483,[3]Material!$C$2:$E$12,2,FALSE)</f>
        <v>Cal 14</v>
      </c>
      <c r="R483" s="81">
        <f>+IF(P483="ACERO A36",VLOOKUP(Q483,'[3]Velocidades Std 1500 w'!$B$2:$F$15,5,FALSE),IF(P483="INOXIDABLE",VLOOKUP(Q483,'[3]Velocidades Std 1500 w'!$B$17:$F$28,5,FALSE),IF(P483="ALUMINIO",VLOOKUP(Q483,'[3]Velocidades Std 1500 w'!$B$30:$F$38,5,FALSE))))</f>
        <v>2.0080321285140564E-6</v>
      </c>
      <c r="S483" s="82">
        <f t="shared" si="68"/>
        <v>1.0040160642570283E-2</v>
      </c>
      <c r="T483" s="83">
        <f t="shared" si="69"/>
        <v>19.110629493975903</v>
      </c>
      <c r="U483" s="307">
        <f>(+I483*2+H483*2+W483*1.5)*25.4*1.05</f>
        <v>2643.6370799999995</v>
      </c>
      <c r="V483" s="80">
        <f t="shared" si="75"/>
        <v>26.542540963855423</v>
      </c>
      <c r="W483" s="98">
        <v>8</v>
      </c>
      <c r="X483" s="84">
        <f>+IF(P483="ACERO A36",VLOOKUP(Q483,'[3]Tiempo Objeto'!$B$2:$C$12,2,FALSE),IF(P483="INOXIDABLE",VLOOKUP(Q483,'[3]Tiempo Objeto'!$B$14:$C$22,2,FALSE),IF(P483="ALUMINIO",VLOOKUP(Q483,'[3]Tiempo Objeto'!$B$24:$C$32,2,FALSE))))</f>
        <v>0.3133333333333333</v>
      </c>
      <c r="Y483" s="84">
        <f t="shared" si="71"/>
        <v>2.5066666666666664</v>
      </c>
      <c r="Z483" s="80">
        <f t="shared" si="72"/>
        <v>3.481481481481481</v>
      </c>
      <c r="AA483" s="100">
        <v>0</v>
      </c>
      <c r="AB483" s="86">
        <f>+AA483*Analisis!$J$6</f>
        <v>0</v>
      </c>
      <c r="AC483" s="100"/>
      <c r="AD483" s="85">
        <f t="shared" si="73"/>
        <v>0</v>
      </c>
      <c r="AE483" s="86">
        <f>+AC483*Analisis!$J$7</f>
        <v>0</v>
      </c>
      <c r="AF483" s="308">
        <f>+H483*0.0254*I483*0.0254*2*(1+[3]Analisis!$G$2)</f>
        <v>0.34089609239999996</v>
      </c>
      <c r="AG483" s="86">
        <f>+AF483*Analisis!$J$8</f>
        <v>36.321666987857149</v>
      </c>
      <c r="AH483" s="309">
        <f t="shared" si="64"/>
        <v>154.19052693319409</v>
      </c>
      <c r="AI483" s="86">
        <f>+AH483/(1-Analisis!G488)</f>
        <v>154.19052693319409</v>
      </c>
      <c r="AJ483" s="86">
        <f t="shared" si="74"/>
        <v>165.79626551956355</v>
      </c>
      <c r="AK483" s="86">
        <f t="shared" si="65"/>
        <v>0</v>
      </c>
      <c r="AL483" s="310" t="e">
        <f>+VLOOKUP(B483,#REF!,2,FALSE)</f>
        <v>#REF!</v>
      </c>
      <c r="AM483" s="311" t="e">
        <f t="shared" si="79"/>
        <v>#REF!</v>
      </c>
      <c r="AN483" s="312" t="e">
        <f t="shared" si="78"/>
        <v>#REF!</v>
      </c>
    </row>
    <row r="484" spans="1:40" s="73" customFormat="1" x14ac:dyDescent="0.25">
      <c r="A484" s="324"/>
      <c r="B484" s="118" t="s">
        <v>1242</v>
      </c>
      <c r="D484" s="74">
        <f>IFERROR(VLOOKUP(B484,'REQ. PINTADO'!B:C,2,0),0)</f>
        <v>0</v>
      </c>
      <c r="E484" s="305">
        <f t="shared" si="66"/>
        <v>559.68515422538906</v>
      </c>
      <c r="F484" s="103" t="s">
        <v>165</v>
      </c>
      <c r="G484" s="75" t="s">
        <v>147</v>
      </c>
      <c r="H484" s="90">
        <v>6.25</v>
      </c>
      <c r="I484" s="90">
        <v>35.453000000000003</v>
      </c>
      <c r="J484" s="76">
        <v>0.105</v>
      </c>
      <c r="K484" s="306">
        <v>16.38</v>
      </c>
      <c r="L484" s="78">
        <f t="shared" si="67"/>
        <v>12.369252470619662</v>
      </c>
      <c r="M484" s="58">
        <f>+VLOOKUP(F484,Material!$H$2:$M$17,6,FALSE)*H484*I484*(1+Material!$K$14)</f>
        <v>92.09470703125001</v>
      </c>
      <c r="N484" s="79" t="str">
        <f t="shared" si="80"/>
        <v>T5.0</v>
      </c>
      <c r="O484" s="80">
        <f>+VLOOKUP(N484,[3]Material!$A$3:$B$58,2,FALSE)</f>
        <v>5000</v>
      </c>
      <c r="P484" s="79" t="s">
        <v>42</v>
      </c>
      <c r="Q484" s="79" t="str">
        <f>+VLOOKUP(F484,[3]Material!$C$2:$E$12,2,FALSE)</f>
        <v>Cal 14</v>
      </c>
      <c r="R484" s="81">
        <f>+IF(P484="ACERO A36",VLOOKUP(Q484,'[3]Velocidades Std 1500 w'!$B$2:$F$15,5,FALSE),IF(P484="INOXIDABLE",VLOOKUP(Q484,'[3]Velocidades Std 1500 w'!$B$17:$F$28,5,FALSE),IF(P484="ALUMINIO",VLOOKUP(Q484,'[3]Velocidades Std 1500 w'!$B$30:$F$38,5,FALSE))))</f>
        <v>2.0080321285140564E-6</v>
      </c>
      <c r="S484" s="82">
        <f t="shared" si="68"/>
        <v>1.0040160642570283E-2</v>
      </c>
      <c r="T484" s="83">
        <f t="shared" si="69"/>
        <v>125.97352785542165</v>
      </c>
      <c r="U484" s="307">
        <f t="shared" si="70"/>
        <v>17426.338019999996</v>
      </c>
      <c r="V484" s="80">
        <f t="shared" si="75"/>
        <v>174.96323313253009</v>
      </c>
      <c r="W484" s="98">
        <v>380</v>
      </c>
      <c r="X484" s="84">
        <f>+IF(P484="ACERO A36",VLOOKUP(Q484,'[3]Tiempo Objeto'!$B$2:$C$12,2,FALSE),IF(P484="INOXIDABLE",VLOOKUP(Q484,'[3]Tiempo Objeto'!$B$14:$C$22,2,FALSE),IF(P484="ALUMINIO",VLOOKUP(Q484,'[3]Tiempo Objeto'!$B$24:$C$32,2,FALSE))))</f>
        <v>0.3133333333333333</v>
      </c>
      <c r="Y484" s="84">
        <f t="shared" si="71"/>
        <v>119.06666666666665</v>
      </c>
      <c r="Z484" s="80">
        <f t="shared" si="72"/>
        <v>165.37037037037035</v>
      </c>
      <c r="AA484" s="100">
        <v>2</v>
      </c>
      <c r="AB484" s="86">
        <f>+AA484*Analisis!$J$6</f>
        <v>50</v>
      </c>
      <c r="AC484" s="100"/>
      <c r="AD484" s="85">
        <f t="shared" si="73"/>
        <v>0</v>
      </c>
      <c r="AE484" s="86">
        <f>+AC484*Analisis!$J$7</f>
        <v>0</v>
      </c>
      <c r="AF484" s="308">
        <f>+H484*0.0254*I484*0.0254*2*(1+[3]Analisis!$G$2)</f>
        <v>0.35738839812500001</v>
      </c>
      <c r="AG484" s="86">
        <f>+AF484*Analisis!$J$8</f>
        <v>38.078882895461319</v>
      </c>
      <c r="AH484" s="309">
        <f t="shared" si="64"/>
        <v>520.50719342961179</v>
      </c>
      <c r="AI484" s="86">
        <f>+AH484/(1-Analisis!G489)</f>
        <v>520.50719342961179</v>
      </c>
      <c r="AJ484" s="86">
        <f t="shared" si="74"/>
        <v>559.68515422538906</v>
      </c>
      <c r="AK484" s="86">
        <f t="shared" si="65"/>
        <v>0</v>
      </c>
      <c r="AL484" s="310" t="e">
        <f>+VLOOKUP(B484,#REF!,2,FALSE)</f>
        <v>#REF!</v>
      </c>
      <c r="AM484" s="311" t="e">
        <f t="shared" si="79"/>
        <v>#REF!</v>
      </c>
      <c r="AN484" s="312" t="e">
        <f t="shared" si="78"/>
        <v>#REF!</v>
      </c>
    </row>
    <row r="485" spans="1:40" s="73" customFormat="1" x14ac:dyDescent="0.25">
      <c r="A485" s="324"/>
      <c r="B485" s="118" t="s">
        <v>1243</v>
      </c>
      <c r="D485" s="74">
        <f>IFERROR(VLOOKUP(B485,'REQ. PINTADO'!B:C,2,0),0)</f>
        <v>0</v>
      </c>
      <c r="E485" s="305">
        <f t="shared" si="66"/>
        <v>650.00075856677893</v>
      </c>
      <c r="F485" s="103" t="s">
        <v>165</v>
      </c>
      <c r="G485" s="75" t="s">
        <v>147</v>
      </c>
      <c r="H485" s="90">
        <v>5.875</v>
      </c>
      <c r="I485" s="90">
        <v>35.441000000000003</v>
      </c>
      <c r="J485" s="76">
        <v>0.105</v>
      </c>
      <c r="K485" s="306">
        <v>16.38</v>
      </c>
      <c r="L485" s="78">
        <f t="shared" si="67"/>
        <v>11.62316182558761</v>
      </c>
      <c r="M485" s="58">
        <f>+VLOOKUP(F485,Material!$H$2:$M$17,6,FALSE)*H485*I485*(1+Material!$K$14)</f>
        <v>86.539723046875011</v>
      </c>
      <c r="N485" s="79" t="str">
        <f t="shared" si="80"/>
        <v>T5.0</v>
      </c>
      <c r="O485" s="80">
        <f>+VLOOKUP(N485,[3]Material!$A$3:$B$58,2,FALSE)</f>
        <v>5000</v>
      </c>
      <c r="P485" s="79" t="s">
        <v>42</v>
      </c>
      <c r="Q485" s="79" t="str">
        <f>+VLOOKUP(F485,[3]Material!$C$2:$E$12,2,FALSE)</f>
        <v>Cal 14</v>
      </c>
      <c r="R485" s="81">
        <f>+IF(P485="ACERO A36",VLOOKUP(Q485,'[3]Velocidades Std 1500 w'!$B$2:$F$15,5,FALSE),IF(P485="INOXIDABLE",VLOOKUP(Q485,'[3]Velocidades Std 1500 w'!$B$17:$F$28,5,FALSE),IF(P485="ALUMINIO",VLOOKUP(Q485,'[3]Velocidades Std 1500 w'!$B$30:$F$38,5,FALSE))))</f>
        <v>2.0080321285140564E-6</v>
      </c>
      <c r="S485" s="82">
        <f t="shared" si="68"/>
        <v>1.0040160642570283E-2</v>
      </c>
      <c r="T485" s="83">
        <f t="shared" si="69"/>
        <v>157.6355092048193</v>
      </c>
      <c r="U485" s="307">
        <f t="shared" si="70"/>
        <v>21806.245440000002</v>
      </c>
      <c r="V485" s="80">
        <f t="shared" si="75"/>
        <v>218.93820722891573</v>
      </c>
      <c r="W485" s="98">
        <v>490</v>
      </c>
      <c r="X485" s="84">
        <f>+IF(P485="ACERO A36",VLOOKUP(Q485,'[3]Tiempo Objeto'!$B$2:$C$12,2,FALSE),IF(P485="INOXIDABLE",VLOOKUP(Q485,'[3]Tiempo Objeto'!$B$14:$C$22,2,FALSE),IF(P485="ALUMINIO",VLOOKUP(Q485,'[3]Tiempo Objeto'!$B$24:$C$32,2,FALSE))))</f>
        <v>0.3133333333333333</v>
      </c>
      <c r="Y485" s="84">
        <f t="shared" si="71"/>
        <v>153.5333333333333</v>
      </c>
      <c r="Z485" s="80">
        <f t="shared" si="72"/>
        <v>213.2407407407407</v>
      </c>
      <c r="AA485" s="100">
        <v>2</v>
      </c>
      <c r="AB485" s="86">
        <f>+AA485*Analisis!$J$6</f>
        <v>50</v>
      </c>
      <c r="AC485" s="100"/>
      <c r="AD485" s="85">
        <f t="shared" si="73"/>
        <v>0</v>
      </c>
      <c r="AE485" s="86">
        <f>+AC485*Analisis!$J$7</f>
        <v>0</v>
      </c>
      <c r="AF485" s="308">
        <f>+H485*0.0254*I485*0.0254*2*(1+[3]Analisis!$G$2)</f>
        <v>0.33583138478750002</v>
      </c>
      <c r="AG485" s="86">
        <f>+AF485*Analisis!$J$8</f>
        <v>35.78203445057293</v>
      </c>
      <c r="AH485" s="309">
        <f t="shared" si="64"/>
        <v>604.50070546710435</v>
      </c>
      <c r="AI485" s="86">
        <f>+AH485/(1-Analisis!G490)</f>
        <v>604.50070546710435</v>
      </c>
      <c r="AJ485" s="86">
        <f t="shared" si="74"/>
        <v>650.00075856677893</v>
      </c>
      <c r="AK485" s="86">
        <f t="shared" si="65"/>
        <v>0</v>
      </c>
      <c r="AL485" s="310" t="e">
        <f>+VLOOKUP(B485,#REF!,2,FALSE)</f>
        <v>#REF!</v>
      </c>
      <c r="AM485" s="311" t="e">
        <f t="shared" si="79"/>
        <v>#REF!</v>
      </c>
      <c r="AN485" s="312" t="e">
        <f t="shared" si="78"/>
        <v>#REF!</v>
      </c>
    </row>
    <row r="486" spans="1:40" s="73" customFormat="1" x14ac:dyDescent="0.25">
      <c r="A486" s="324"/>
      <c r="B486" s="118" t="s">
        <v>1244</v>
      </c>
      <c r="D486" s="74">
        <f>IFERROR(VLOOKUP(B486,'REQ. PINTADO'!B:C,2,0),0)</f>
        <v>0</v>
      </c>
      <c r="E486" s="305">
        <f t="shared" si="66"/>
        <v>193.78561890871484</v>
      </c>
      <c r="F486" s="103" t="s">
        <v>165</v>
      </c>
      <c r="G486" s="75" t="s">
        <v>147</v>
      </c>
      <c r="H486" s="90">
        <v>5.298</v>
      </c>
      <c r="I486" s="90">
        <v>33.313000000000002</v>
      </c>
      <c r="J486" s="76">
        <v>0.105</v>
      </c>
      <c r="K486" s="306">
        <v>16.38</v>
      </c>
      <c r="L486" s="78">
        <f t="shared" si="67"/>
        <v>9.8522663637820536</v>
      </c>
      <c r="M486" s="58">
        <f>+VLOOKUP(F486,Material!$H$2:$M$17,6,FALSE)*H486*I486*(1+Material!$K$14)</f>
        <v>73.354601381250006</v>
      </c>
      <c r="N486" s="79" t="str">
        <f t="shared" si="80"/>
        <v>T5.0</v>
      </c>
      <c r="O486" s="80">
        <f>+VLOOKUP(N486,[3]Material!$A$3:$B$58,2,FALSE)</f>
        <v>5000</v>
      </c>
      <c r="P486" s="79" t="s">
        <v>42</v>
      </c>
      <c r="Q486" s="79" t="str">
        <f>+VLOOKUP(F486,[3]Material!$C$2:$E$12,2,FALSE)</f>
        <v>Cal 14</v>
      </c>
      <c r="R486" s="81">
        <f>+IF(P486="ACERO A36",VLOOKUP(Q486,'[3]Velocidades Std 1500 w'!$B$2:$F$15,5,FALSE),IF(P486="INOXIDABLE",VLOOKUP(Q486,'[3]Velocidades Std 1500 w'!$B$17:$F$28,5,FALSE),IF(P486="ALUMINIO",VLOOKUP(Q486,'[3]Velocidades Std 1500 w'!$B$30:$F$38,5,FALSE))))</f>
        <v>2.0080321285140564E-6</v>
      </c>
      <c r="S486" s="82">
        <f t="shared" si="68"/>
        <v>1.0040160642570283E-2</v>
      </c>
      <c r="T486" s="83">
        <f t="shared" si="69"/>
        <v>16.912378843373499</v>
      </c>
      <c r="U486" s="307">
        <f t="shared" si="70"/>
        <v>2339.5457400000005</v>
      </c>
      <c r="V486" s="80">
        <f t="shared" si="75"/>
        <v>23.489415060240972</v>
      </c>
      <c r="W486" s="98">
        <v>7</v>
      </c>
      <c r="X486" s="84">
        <f>+IF(P486="ACERO A36",VLOOKUP(Q486,'[3]Tiempo Objeto'!$B$2:$C$12,2,FALSE),IF(P486="INOXIDABLE",VLOOKUP(Q486,'[3]Tiempo Objeto'!$B$14:$C$22,2,FALSE),IF(P486="ALUMINIO",VLOOKUP(Q486,'[3]Tiempo Objeto'!$B$24:$C$32,2,FALSE))))</f>
        <v>0.3133333333333333</v>
      </c>
      <c r="Y486" s="84">
        <f t="shared" si="71"/>
        <v>2.1933333333333329</v>
      </c>
      <c r="Z486" s="80">
        <f t="shared" si="72"/>
        <v>3.0462962962962958</v>
      </c>
      <c r="AA486" s="100">
        <v>2</v>
      </c>
      <c r="AB486" s="86">
        <f>+AA486*Analisis!$J$6</f>
        <v>50</v>
      </c>
      <c r="AC486" s="100"/>
      <c r="AD486" s="85">
        <f t="shared" si="73"/>
        <v>0</v>
      </c>
      <c r="AE486" s="86">
        <f>+AC486*Analisis!$J$7</f>
        <v>0</v>
      </c>
      <c r="AF486" s="308">
        <f>+H486*0.0254*I486*0.0254*2*(1+[3]Analisis!$G$2)</f>
        <v>0.28466438873459998</v>
      </c>
      <c r="AG486" s="86">
        <f>+AF486*Analisis!$J$8</f>
        <v>30.330312847317508</v>
      </c>
      <c r="AH486" s="309">
        <f t="shared" si="64"/>
        <v>180.22062558510478</v>
      </c>
      <c r="AI486" s="86">
        <f>+AH486/(1-Analisis!G491)</f>
        <v>180.22062558510478</v>
      </c>
      <c r="AJ486" s="86">
        <f t="shared" si="74"/>
        <v>193.78561890871484</v>
      </c>
      <c r="AK486" s="86">
        <f t="shared" si="65"/>
        <v>0</v>
      </c>
      <c r="AL486" s="310" t="e">
        <f>+VLOOKUP(B486,#REF!,2,FALSE)</f>
        <v>#REF!</v>
      </c>
      <c r="AM486" s="311" t="e">
        <f t="shared" si="79"/>
        <v>#REF!</v>
      </c>
      <c r="AN486" s="312" t="e">
        <f t="shared" si="78"/>
        <v>#REF!</v>
      </c>
    </row>
    <row r="487" spans="1:40" s="73" customFormat="1" x14ac:dyDescent="0.25">
      <c r="A487" s="324"/>
      <c r="B487" s="118" t="s">
        <v>1245</v>
      </c>
      <c r="D487" s="74">
        <f>IFERROR(VLOOKUP(B487,'REQ. PINTADO'!B:C,2,0),0)</f>
        <v>0</v>
      </c>
      <c r="E487" s="305">
        <f t="shared" si="66"/>
        <v>390.91772600802062</v>
      </c>
      <c r="F487" s="103" t="s">
        <v>164</v>
      </c>
      <c r="G487" s="75" t="s">
        <v>147</v>
      </c>
      <c r="H487" s="90">
        <v>38.939</v>
      </c>
      <c r="I487" s="90">
        <v>7.1420000000000003</v>
      </c>
      <c r="J487" s="76">
        <v>0.105</v>
      </c>
      <c r="K487" s="306">
        <v>16.38</v>
      </c>
      <c r="L487" s="78">
        <f t="shared" si="67"/>
        <v>25.874015599180922</v>
      </c>
      <c r="M487" s="58">
        <f>+VLOOKUP(F487,Material!$H$2:$M$17,6,FALSE)*H487*I487*(1+Material!$K$14)</f>
        <v>192.64380705208336</v>
      </c>
      <c r="N487" s="79" t="str">
        <f t="shared" si="80"/>
        <v>T5.0</v>
      </c>
      <c r="O487" s="80">
        <f>+VLOOKUP(N487,[3]Material!$A$3:$B$58,2,FALSE)</f>
        <v>5000</v>
      </c>
      <c r="P487" s="79" t="s">
        <v>42</v>
      </c>
      <c r="Q487" s="79" t="str">
        <f>+VLOOKUP(F487,[3]Material!$C$2:$E$12,2,FALSE)</f>
        <v>Cal 10</v>
      </c>
      <c r="R487" s="81">
        <f>+IF(P487="ACERO A36",VLOOKUP(Q487,'[3]Velocidades Std 1500 w'!$B$2:$F$15,5,FALSE),IF(P487="INOXIDABLE",VLOOKUP(Q487,'[3]Velocidades Std 1500 w'!$B$17:$F$28,5,FALSE),IF(P487="ALUMINIO",VLOOKUP(Q487,'[3]Velocidades Std 1500 w'!$B$30:$F$38,5,FALSE))))</f>
        <v>6.1728395061728391E-6</v>
      </c>
      <c r="S487" s="82">
        <f t="shared" si="68"/>
        <v>3.0864197530864196E-2</v>
      </c>
      <c r="T487" s="83">
        <f t="shared" si="69"/>
        <v>63.511345333333338</v>
      </c>
      <c r="U487" s="307">
        <f t="shared" si="70"/>
        <v>2858.0105400000002</v>
      </c>
      <c r="V487" s="80">
        <f t="shared" si="75"/>
        <v>88.210201851851849</v>
      </c>
      <c r="W487" s="98">
        <v>10</v>
      </c>
      <c r="X487" s="84">
        <f>+IF(P487="ACERO A36",VLOOKUP(Q487,'[3]Tiempo Objeto'!$B$2:$C$12,2,FALSE),IF(P487="INOXIDABLE",VLOOKUP(Q487,'[3]Tiempo Objeto'!$B$14:$C$22,2,FALSE),IF(P487="ALUMINIO",VLOOKUP(Q487,'[3]Tiempo Objeto'!$B$24:$C$32,2,FALSE))))</f>
        <v>0.71333333333333337</v>
      </c>
      <c r="Y487" s="84">
        <f t="shared" si="71"/>
        <v>7.1333333333333337</v>
      </c>
      <c r="Z487" s="80">
        <f t="shared" si="72"/>
        <v>9.9074074074074083</v>
      </c>
      <c r="AA487" s="100">
        <v>1</v>
      </c>
      <c r="AB487" s="86">
        <f>+AA487*Analisis!$J$6</f>
        <v>25</v>
      </c>
      <c r="AC487" s="100"/>
      <c r="AD487" s="85">
        <f t="shared" si="73"/>
        <v>0</v>
      </c>
      <c r="AE487" s="86">
        <f>+AC487*Analisis!$J$7</f>
        <v>0</v>
      </c>
      <c r="AF487" s="308">
        <f>+H487*0.0254*I487*0.0254*2*(1+[3]Analisis!$G$2)</f>
        <v>0.44855126096019998</v>
      </c>
      <c r="AG487" s="86">
        <f>+AF487*Analisis!$J$8</f>
        <v>47.792068876116559</v>
      </c>
      <c r="AH487" s="309">
        <f t="shared" si="64"/>
        <v>363.55348518745916</v>
      </c>
      <c r="AI487" s="86">
        <f>+AH487/(1-Analisis!G492)</f>
        <v>363.55348518745916</v>
      </c>
      <c r="AJ487" s="86">
        <f t="shared" si="74"/>
        <v>390.91772600802062</v>
      </c>
      <c r="AK487" s="86">
        <f t="shared" si="65"/>
        <v>0</v>
      </c>
      <c r="AL487" s="310" t="e">
        <f>+VLOOKUP(B487,#REF!,2,FALSE)</f>
        <v>#REF!</v>
      </c>
      <c r="AM487" s="311" t="e">
        <f t="shared" si="79"/>
        <v>#REF!</v>
      </c>
      <c r="AN487" s="312" t="e">
        <f t="shared" si="78"/>
        <v>#REF!</v>
      </c>
    </row>
    <row r="488" spans="1:40" s="73" customFormat="1" x14ac:dyDescent="0.25">
      <c r="A488" s="324"/>
      <c r="B488" s="118" t="s">
        <v>1246</v>
      </c>
      <c r="D488" s="74">
        <f>IFERROR(VLOOKUP(B488,'REQ. PINTADO'!B:C,2,0),0)</f>
        <v>0</v>
      </c>
      <c r="E488" s="305">
        <f t="shared" si="66"/>
        <v>1168.48457963901</v>
      </c>
      <c r="F488" s="103" t="s">
        <v>163</v>
      </c>
      <c r="G488" s="75" t="s">
        <v>147</v>
      </c>
      <c r="H488" s="90">
        <v>37.94</v>
      </c>
      <c r="I488" s="90">
        <v>41.39</v>
      </c>
      <c r="J488" s="76">
        <v>0.105</v>
      </c>
      <c r="K488" s="306">
        <v>16.38</v>
      </c>
      <c r="L488" s="78">
        <f t="shared" si="67"/>
        <v>79.168970706392713</v>
      </c>
      <c r="M488" s="58">
        <f>+VLOOKUP(F488,Material!$H$2:$M$17,6,FALSE)*H488*I488*(1+Material!$K$14)</f>
        <v>589.4489728048693</v>
      </c>
      <c r="N488" s="79" t="str">
        <f t="shared" si="80"/>
        <v>T5.0</v>
      </c>
      <c r="O488" s="80">
        <f>+VLOOKUP(N488,[3]Material!$A$3:$B$58,2,FALSE)</f>
        <v>5000</v>
      </c>
      <c r="P488" s="79" t="s">
        <v>42</v>
      </c>
      <c r="Q488" s="79" t="str">
        <f>+VLOOKUP(F488,[3]Material!$C$2:$E$12,2,FALSE)</f>
        <v>Cal 12</v>
      </c>
      <c r="R488" s="81">
        <f>+IF(P488="ACERO A36",VLOOKUP(Q488,'[3]Velocidades Std 1500 w'!$B$2:$F$15,5,FALSE),IF(P488="INOXIDABLE",VLOOKUP(Q488,'[3]Velocidades Std 1500 w'!$B$17:$F$28,5,FALSE),IF(P488="ALUMINIO",VLOOKUP(Q488,'[3]Velocidades Std 1500 w'!$B$30:$F$38,5,FALSE))))</f>
        <v>4.3859649122807014E-6</v>
      </c>
      <c r="S488" s="82">
        <f t="shared" si="68"/>
        <v>2.1929824561403508E-2</v>
      </c>
      <c r="T488" s="83">
        <f t="shared" si="69"/>
        <v>79.44571894736842</v>
      </c>
      <c r="U488" s="307">
        <f t="shared" si="70"/>
        <v>5031.5622000000003</v>
      </c>
      <c r="V488" s="80">
        <f t="shared" si="75"/>
        <v>110.34127631578947</v>
      </c>
      <c r="W488" s="98">
        <v>20</v>
      </c>
      <c r="X488" s="84">
        <f>+IF(P488="ACERO A36",VLOOKUP(Q488,'[3]Tiempo Objeto'!$B$2:$C$12,2,FALSE),IF(P488="INOXIDABLE",VLOOKUP(Q488,'[3]Tiempo Objeto'!$B$14:$C$22,2,FALSE),IF(P488="ALUMINIO",VLOOKUP(Q488,'[3]Tiempo Objeto'!$B$24:$C$32,2,FALSE))))</f>
        <v>0.6133333333333334</v>
      </c>
      <c r="Y488" s="84">
        <f t="shared" si="71"/>
        <v>12.266666666666667</v>
      </c>
      <c r="Z488" s="80">
        <f t="shared" si="72"/>
        <v>17.037037037037038</v>
      </c>
      <c r="AA488" s="100">
        <v>4</v>
      </c>
      <c r="AB488" s="86">
        <f>+AA488*Analisis!$J$6</f>
        <v>100</v>
      </c>
      <c r="AC488" s="100"/>
      <c r="AD488" s="85">
        <f t="shared" si="73"/>
        <v>0</v>
      </c>
      <c r="AE488" s="86">
        <f>+AC488*Analisis!$J$7</f>
        <v>0</v>
      </c>
      <c r="AF488" s="308">
        <f>+H488*0.0254*I488*0.0254*2*(1+[3]Analisis!$G$2)</f>
        <v>2.5327959021399997</v>
      </c>
      <c r="AG488" s="86">
        <f>+AF488*Analisis!$J$8</f>
        <v>269.86337290658338</v>
      </c>
      <c r="AH488" s="309">
        <f t="shared" si="64"/>
        <v>1086.6906590642793</v>
      </c>
      <c r="AI488" s="86">
        <f>+AH488/(1-Analisis!G493)</f>
        <v>1086.6906590642793</v>
      </c>
      <c r="AJ488" s="86">
        <f t="shared" si="74"/>
        <v>1168.48457963901</v>
      </c>
      <c r="AK488" s="86">
        <f t="shared" si="65"/>
        <v>0</v>
      </c>
      <c r="AL488" s="310" t="e">
        <f>+VLOOKUP(B488,#REF!,2,FALSE)</f>
        <v>#REF!</v>
      </c>
      <c r="AM488" s="311" t="e">
        <f t="shared" si="79"/>
        <v>#REF!</v>
      </c>
      <c r="AN488" s="312" t="e">
        <f t="shared" si="78"/>
        <v>#REF!</v>
      </c>
    </row>
    <row r="489" spans="1:40" s="73" customFormat="1" x14ac:dyDescent="0.25">
      <c r="A489" s="324"/>
      <c r="B489" s="118" t="s">
        <v>1247</v>
      </c>
      <c r="D489" s="74">
        <f>IFERROR(VLOOKUP(B489,'REQ. PINTADO'!B:C,2,0),0)</f>
        <v>0</v>
      </c>
      <c r="E489" s="305">
        <f t="shared" si="66"/>
        <v>144.40727054172515</v>
      </c>
      <c r="F489" s="103" t="s">
        <v>165</v>
      </c>
      <c r="G489" s="75" t="s">
        <v>147</v>
      </c>
      <c r="H489" s="90">
        <v>3.1219999999999999</v>
      </c>
      <c r="I489" s="90">
        <v>32.75</v>
      </c>
      <c r="J489" s="76">
        <v>0.105</v>
      </c>
      <c r="K489" s="306">
        <v>16.38</v>
      </c>
      <c r="L489" s="78">
        <f t="shared" si="67"/>
        <v>5.7076147168803431</v>
      </c>
      <c r="M489" s="58">
        <f>+VLOOKUP(F489,Material!$H$2:$M$17,6,FALSE)*H489*I489*(1+Material!$K$14)</f>
        <v>42.495785937500003</v>
      </c>
      <c r="N489" s="79" t="str">
        <f t="shared" si="80"/>
        <v>T5.0</v>
      </c>
      <c r="O489" s="80">
        <f>+VLOOKUP(N489,[3]Material!$A$3:$B$58,2,FALSE)</f>
        <v>5000</v>
      </c>
      <c r="P489" s="79" t="s">
        <v>42</v>
      </c>
      <c r="Q489" s="79" t="str">
        <f>+VLOOKUP(F489,[3]Material!$C$2:$E$12,2,FALSE)</f>
        <v>Cal 14</v>
      </c>
      <c r="R489" s="81">
        <f>+IF(P489="ACERO A36",VLOOKUP(Q489,'[3]Velocidades Std 1500 w'!$B$2:$F$15,5,FALSE),IF(P489="INOXIDABLE",VLOOKUP(Q489,'[3]Velocidades Std 1500 w'!$B$17:$F$28,5,FALSE),IF(P489="ALUMINIO",VLOOKUP(Q489,'[3]Velocidades Std 1500 w'!$B$30:$F$38,5,FALSE))))</f>
        <v>2.0080321285140564E-6</v>
      </c>
      <c r="S489" s="82">
        <f t="shared" si="68"/>
        <v>1.0040160642570283E-2</v>
      </c>
      <c r="T489" s="83">
        <f t="shared" si="69"/>
        <v>15.567054072289157</v>
      </c>
      <c r="U489" s="307">
        <f t="shared" si="70"/>
        <v>2153.4424799999997</v>
      </c>
      <c r="V489" s="80">
        <f t="shared" si="75"/>
        <v>21.62090843373494</v>
      </c>
      <c r="W489" s="98">
        <v>6</v>
      </c>
      <c r="X489" s="84">
        <f>+IF(P489="ACERO A36",VLOOKUP(Q489,'[3]Tiempo Objeto'!$B$2:$C$12,2,FALSE),IF(P489="INOXIDABLE",VLOOKUP(Q489,'[3]Tiempo Objeto'!$B$14:$C$22,2,FALSE),IF(P489="ALUMINIO",VLOOKUP(Q489,'[3]Tiempo Objeto'!$B$24:$C$32,2,FALSE))))</f>
        <v>0.3133333333333333</v>
      </c>
      <c r="Y489" s="84">
        <f t="shared" si="71"/>
        <v>1.88</v>
      </c>
      <c r="Z489" s="80">
        <f t="shared" si="72"/>
        <v>2.6111111111111112</v>
      </c>
      <c r="AA489" s="100">
        <v>2</v>
      </c>
      <c r="AB489" s="86">
        <f>+AA489*Analisis!$J$6</f>
        <v>50</v>
      </c>
      <c r="AC489" s="100"/>
      <c r="AD489" s="85">
        <f t="shared" si="73"/>
        <v>0</v>
      </c>
      <c r="AE489" s="86">
        <f>+AC489*Analisis!$J$7</f>
        <v>0</v>
      </c>
      <c r="AF489" s="308">
        <f>+H489*0.0254*I489*0.0254*2*(1+[3]Analisis!$G$2)</f>
        <v>0.16491176694999998</v>
      </c>
      <c r="AG489" s="86">
        <f>+AF489*Analisis!$J$8</f>
        <v>17.570956121458337</v>
      </c>
      <c r="AH489" s="309">
        <f t="shared" si="64"/>
        <v>134.29876160380439</v>
      </c>
      <c r="AI489" s="86">
        <f>+AH489/(1-Analisis!G494)</f>
        <v>134.29876160380439</v>
      </c>
      <c r="AJ489" s="86">
        <f t="shared" si="74"/>
        <v>144.40727054172515</v>
      </c>
      <c r="AK489" s="86">
        <f t="shared" si="65"/>
        <v>0</v>
      </c>
      <c r="AL489" s="310" t="e">
        <f>+VLOOKUP(B489,#REF!,2,FALSE)</f>
        <v>#REF!</v>
      </c>
      <c r="AM489" s="311" t="e">
        <f t="shared" si="79"/>
        <v>#REF!</v>
      </c>
      <c r="AN489" s="312" t="e">
        <f t="shared" si="78"/>
        <v>#REF!</v>
      </c>
    </row>
    <row r="490" spans="1:40" s="73" customFormat="1" x14ac:dyDescent="0.25">
      <c r="A490" s="324"/>
      <c r="B490" s="118" t="s">
        <v>179</v>
      </c>
      <c r="D490" s="74">
        <f>IFERROR(VLOOKUP(B490,'REQ. PINTADO'!B:C,2,0),0)</f>
        <v>0</v>
      </c>
      <c r="E490" s="305">
        <f t="shared" si="66"/>
        <v>114.89813130793461</v>
      </c>
      <c r="F490" s="103" t="s">
        <v>165</v>
      </c>
      <c r="G490" s="75" t="s">
        <v>147</v>
      </c>
      <c r="H490" s="90">
        <v>5.8</v>
      </c>
      <c r="I490" s="90">
        <v>4.32</v>
      </c>
      <c r="J490" s="76">
        <v>0.105</v>
      </c>
      <c r="K490" s="306">
        <v>16.38</v>
      </c>
      <c r="L490" s="78">
        <f t="shared" si="67"/>
        <v>1.3986923076923079</v>
      </c>
      <c r="M490" s="58">
        <f>+VLOOKUP(F490,Material!$H$2:$M$17,6,FALSE)*H490*I490*(1+Material!$K$14)</f>
        <v>10.4139</v>
      </c>
      <c r="N490" s="79" t="str">
        <f t="shared" si="80"/>
        <v>T5.0</v>
      </c>
      <c r="O490" s="80">
        <f>+VLOOKUP(N490,[3]Material!$A$3:$B$58,2,FALSE)</f>
        <v>5000</v>
      </c>
      <c r="P490" s="79" t="s">
        <v>42</v>
      </c>
      <c r="Q490" s="79" t="str">
        <f>+VLOOKUP(F490,[3]Material!$C$2:$E$12,2,FALSE)</f>
        <v>Cal 14</v>
      </c>
      <c r="R490" s="81">
        <f>+IF(P490="ACERO A36",VLOOKUP(Q490,'[3]Velocidades Std 1500 w'!$B$2:$F$15,5,FALSE),IF(P490="INOXIDABLE",VLOOKUP(Q490,'[3]Velocidades Std 1500 w'!$B$17:$F$28,5,FALSE),IF(P490="ALUMINIO",VLOOKUP(Q490,'[3]Velocidades Std 1500 w'!$B$30:$F$38,5,FALSE))))</f>
        <v>2.0080321285140564E-6</v>
      </c>
      <c r="S490" s="82">
        <f t="shared" si="68"/>
        <v>1.0040160642570283E-2</v>
      </c>
      <c r="T490" s="83">
        <f t="shared" si="69"/>
        <v>7.9508732530120501</v>
      </c>
      <c r="U490" s="307">
        <f t="shared" si="70"/>
        <v>1099.8708000000001</v>
      </c>
      <c r="V490" s="80">
        <f t="shared" si="75"/>
        <v>11.042879518072292</v>
      </c>
      <c r="W490" s="98">
        <v>14</v>
      </c>
      <c r="X490" s="84">
        <f>+IF(P490="ACERO A36",VLOOKUP(Q490,'[3]Tiempo Objeto'!$B$2:$C$12,2,FALSE),IF(P490="INOXIDABLE",VLOOKUP(Q490,'[3]Tiempo Objeto'!$B$14:$C$22,2,FALSE),IF(P490="ALUMINIO",VLOOKUP(Q490,'[3]Tiempo Objeto'!$B$24:$C$32,2,FALSE))))</f>
        <v>0.3133333333333333</v>
      </c>
      <c r="Y490" s="84">
        <f t="shared" si="71"/>
        <v>4.3866666666666658</v>
      </c>
      <c r="Z490" s="80">
        <f t="shared" si="72"/>
        <v>6.0925925925925917</v>
      </c>
      <c r="AA490" s="100">
        <v>3</v>
      </c>
      <c r="AB490" s="86">
        <f>+AA490*Analisis!$J$6</f>
        <v>75</v>
      </c>
      <c r="AC490" s="100"/>
      <c r="AD490" s="85">
        <f t="shared" si="73"/>
        <v>0</v>
      </c>
      <c r="AE490" s="86">
        <f>+AC490*Analisis!$J$7</f>
        <v>0</v>
      </c>
      <c r="AF490" s="308">
        <f>+H490*0.0254*I490*0.0254*2*(1+[3]Analisis!$G$2)</f>
        <v>4.0412822399999992E-2</v>
      </c>
      <c r="AG490" s="86">
        <f>+AF490*Analisis!$J$8</f>
        <v>4.3058900057142866</v>
      </c>
      <c r="AH490" s="309">
        <f t="shared" si="64"/>
        <v>106.85526211637918</v>
      </c>
      <c r="AI490" s="86">
        <f>+AH490/(1-Analisis!G495)</f>
        <v>106.85526211637918</v>
      </c>
      <c r="AJ490" s="86">
        <f t="shared" si="74"/>
        <v>114.89813130793461</v>
      </c>
      <c r="AK490" s="86">
        <f t="shared" si="65"/>
        <v>0</v>
      </c>
      <c r="AL490" s="310" t="e">
        <f>+VLOOKUP(B490,#REF!,2,FALSE)</f>
        <v>#REF!</v>
      </c>
      <c r="AM490" s="311" t="e">
        <f t="shared" si="79"/>
        <v>#REF!</v>
      </c>
      <c r="AN490" s="312" t="e">
        <f t="shared" si="78"/>
        <v>#REF!</v>
      </c>
    </row>
    <row r="491" spans="1:40" s="73" customFormat="1" x14ac:dyDescent="0.25">
      <c r="A491" s="303"/>
      <c r="B491" s="304" t="s">
        <v>1248</v>
      </c>
      <c r="D491" s="74">
        <f>IFERROR(VLOOKUP(B491,'REQ. PINTADO'!B:C,2,0),0)</f>
        <v>0</v>
      </c>
      <c r="E491" s="305">
        <f t="shared" si="66"/>
        <v>717.24558254176213</v>
      </c>
      <c r="F491" s="103" t="s">
        <v>163</v>
      </c>
      <c r="G491" s="75" t="s">
        <v>147</v>
      </c>
      <c r="H491" s="90">
        <v>23.65</v>
      </c>
      <c r="I491" s="90">
        <v>33.020000000000003</v>
      </c>
      <c r="J491" s="76">
        <v>0.105</v>
      </c>
      <c r="K491" s="306">
        <v>16.38</v>
      </c>
      <c r="L491" s="78">
        <f t="shared" si="67"/>
        <v>39.370457334400996</v>
      </c>
      <c r="M491" s="58">
        <f>+VLOOKUP(F491,Material!$H$2:$M$17,6,FALSE)*H491*I491*(1+Material!$K$14)</f>
        <v>293.13095051704011</v>
      </c>
      <c r="N491" s="79" t="str">
        <f t="shared" si="80"/>
        <v>T5.0</v>
      </c>
      <c r="O491" s="80">
        <f>+VLOOKUP(N491,[3]Material!$A$3:$B$58,2,FALSE)</f>
        <v>5000</v>
      </c>
      <c r="P491" s="79" t="s">
        <v>42</v>
      </c>
      <c r="Q491" s="79" t="str">
        <f>+VLOOKUP(F491,[3]Material!$C$2:$E$12,2,FALSE)</f>
        <v>Cal 12</v>
      </c>
      <c r="R491" s="81">
        <f>+IF(P491="ACERO A36",VLOOKUP(Q491,'[3]Velocidades Std 1500 w'!$B$2:$F$15,5,FALSE),IF(P491="INOXIDABLE",VLOOKUP(Q491,'[3]Velocidades Std 1500 w'!$B$17:$F$28,5,FALSE),IF(P491="ALUMINIO",VLOOKUP(Q491,'[3]Velocidades Std 1500 w'!$B$30:$F$38,5,FALSE))))</f>
        <v>4.3859649122807014E-6</v>
      </c>
      <c r="S491" s="82">
        <f t="shared" si="68"/>
        <v>2.1929824561403508E-2</v>
      </c>
      <c r="T491" s="83">
        <f t="shared" si="69"/>
        <v>65.414491578947363</v>
      </c>
      <c r="U491" s="307">
        <f t="shared" si="70"/>
        <v>4142.9178000000002</v>
      </c>
      <c r="V491" s="80">
        <f t="shared" si="75"/>
        <v>90.853460526315786</v>
      </c>
      <c r="W491" s="98">
        <v>28</v>
      </c>
      <c r="X491" s="84">
        <f>+IF(P491="ACERO A36",VLOOKUP(Q491,'[3]Tiempo Objeto'!$B$2:$C$12,2,FALSE),IF(P491="INOXIDABLE",VLOOKUP(Q491,'[3]Tiempo Objeto'!$B$14:$C$22,2,FALSE),IF(P491="ALUMINIO",VLOOKUP(Q491,'[3]Tiempo Objeto'!$B$24:$C$32,2,FALSE))))</f>
        <v>0.6133333333333334</v>
      </c>
      <c r="Y491" s="84">
        <f t="shared" si="71"/>
        <v>17.173333333333336</v>
      </c>
      <c r="Z491" s="80">
        <f t="shared" si="72"/>
        <v>23.851851851851855</v>
      </c>
      <c r="AA491" s="100">
        <v>5</v>
      </c>
      <c r="AB491" s="86">
        <f>+AA491*Analisis!$J$6</f>
        <v>125</v>
      </c>
      <c r="AC491" s="100"/>
      <c r="AD491" s="85">
        <f t="shared" si="73"/>
        <v>0</v>
      </c>
      <c r="AE491" s="86">
        <f>+AC491*Analisis!$J$7</f>
        <v>0</v>
      </c>
      <c r="AF491" s="308">
        <f>+H491*0.0254*I491*0.0254*2*(1+[3]Analisis!$G$2)</f>
        <v>1.2595507067</v>
      </c>
      <c r="AG491" s="86">
        <f>+AF491*Analisis!$J$8</f>
        <v>134.20212886863101</v>
      </c>
      <c r="AH491" s="309">
        <f t="shared" si="64"/>
        <v>667.03839176383872</v>
      </c>
      <c r="AI491" s="86">
        <f>+AH491/(1-Analisis!G496)</f>
        <v>667.03839176383872</v>
      </c>
      <c r="AJ491" s="86">
        <f t="shared" si="74"/>
        <v>717.24558254176213</v>
      </c>
      <c r="AK491" s="86">
        <f t="shared" si="65"/>
        <v>0</v>
      </c>
      <c r="AL491" s="310" t="e">
        <f>+VLOOKUP(B491,#REF!,2,FALSE)</f>
        <v>#REF!</v>
      </c>
      <c r="AM491" s="311" t="e">
        <f t="shared" si="79"/>
        <v>#REF!</v>
      </c>
      <c r="AN491" s="312" t="e">
        <f t="shared" si="78"/>
        <v>#REF!</v>
      </c>
    </row>
    <row r="492" spans="1:40" s="73" customFormat="1" x14ac:dyDescent="0.25">
      <c r="A492" s="303"/>
      <c r="B492" s="304" t="s">
        <v>1249</v>
      </c>
      <c r="D492" s="74">
        <f>IFERROR(VLOOKUP(B492,'REQ. PINTADO'!B:C,2,0),0)</f>
        <v>0</v>
      </c>
      <c r="E492" s="305">
        <f t="shared" si="66"/>
        <v>717.24558254176213</v>
      </c>
      <c r="F492" s="103" t="s">
        <v>163</v>
      </c>
      <c r="G492" s="75" t="s">
        <v>147</v>
      </c>
      <c r="H492" s="90">
        <v>23.65</v>
      </c>
      <c r="I492" s="90">
        <v>33.020000000000003</v>
      </c>
      <c r="J492" s="76">
        <v>0.105</v>
      </c>
      <c r="K492" s="306">
        <v>16.38</v>
      </c>
      <c r="L492" s="78">
        <f t="shared" si="67"/>
        <v>39.370457334400996</v>
      </c>
      <c r="M492" s="58">
        <f>+VLOOKUP(F492,Material!$H$2:$M$17,6,FALSE)*H492*I492*(1+Material!$K$14)</f>
        <v>293.13095051704011</v>
      </c>
      <c r="N492" s="79" t="str">
        <f t="shared" si="80"/>
        <v>T5.0</v>
      </c>
      <c r="O492" s="80">
        <f>+VLOOKUP(N492,[3]Material!$A$3:$B$58,2,FALSE)</f>
        <v>5000</v>
      </c>
      <c r="P492" s="79" t="s">
        <v>42</v>
      </c>
      <c r="Q492" s="79" t="str">
        <f>+VLOOKUP(F492,[3]Material!$C$2:$E$12,2,FALSE)</f>
        <v>Cal 12</v>
      </c>
      <c r="R492" s="81">
        <f>+IF(P492="ACERO A36",VLOOKUP(Q492,'[3]Velocidades Std 1500 w'!$B$2:$F$15,5,FALSE),IF(P492="INOXIDABLE",VLOOKUP(Q492,'[3]Velocidades Std 1500 w'!$B$17:$F$28,5,FALSE),IF(P492="ALUMINIO",VLOOKUP(Q492,'[3]Velocidades Std 1500 w'!$B$30:$F$38,5,FALSE))))</f>
        <v>4.3859649122807014E-6</v>
      </c>
      <c r="S492" s="82">
        <f t="shared" si="68"/>
        <v>2.1929824561403508E-2</v>
      </c>
      <c r="T492" s="83">
        <f t="shared" si="69"/>
        <v>65.414491578947363</v>
      </c>
      <c r="U492" s="307">
        <f t="shared" si="70"/>
        <v>4142.9178000000002</v>
      </c>
      <c r="V492" s="80">
        <f t="shared" si="75"/>
        <v>90.853460526315786</v>
      </c>
      <c r="W492" s="98">
        <v>28</v>
      </c>
      <c r="X492" s="84">
        <f>+IF(P492="ACERO A36",VLOOKUP(Q492,'[3]Tiempo Objeto'!$B$2:$C$12,2,FALSE),IF(P492="INOXIDABLE",VLOOKUP(Q492,'[3]Tiempo Objeto'!$B$14:$C$22,2,FALSE),IF(P492="ALUMINIO",VLOOKUP(Q492,'[3]Tiempo Objeto'!$B$24:$C$32,2,FALSE))))</f>
        <v>0.6133333333333334</v>
      </c>
      <c r="Y492" s="84">
        <f t="shared" si="71"/>
        <v>17.173333333333336</v>
      </c>
      <c r="Z492" s="80">
        <f t="shared" si="72"/>
        <v>23.851851851851855</v>
      </c>
      <c r="AA492" s="100">
        <v>5</v>
      </c>
      <c r="AB492" s="86">
        <f>+AA492*Analisis!$J$6</f>
        <v>125</v>
      </c>
      <c r="AC492" s="100"/>
      <c r="AD492" s="85">
        <f t="shared" si="73"/>
        <v>0</v>
      </c>
      <c r="AE492" s="86">
        <f>+AC492*Analisis!$J$7</f>
        <v>0</v>
      </c>
      <c r="AF492" s="308">
        <f>+H492*0.0254*I492*0.0254*2*(1+[3]Analisis!$G$2)</f>
        <v>1.2595507067</v>
      </c>
      <c r="AG492" s="86">
        <f>+AF492*Analisis!$J$8</f>
        <v>134.20212886863101</v>
      </c>
      <c r="AH492" s="309">
        <f t="shared" si="64"/>
        <v>667.03839176383872</v>
      </c>
      <c r="AI492" s="86">
        <f>+AH492/(1-Analisis!G497)</f>
        <v>667.03839176383872</v>
      </c>
      <c r="AJ492" s="86">
        <f t="shared" si="74"/>
        <v>717.24558254176213</v>
      </c>
      <c r="AK492" s="86">
        <f t="shared" si="65"/>
        <v>0</v>
      </c>
      <c r="AL492" s="310" t="e">
        <f>+VLOOKUP(B492,#REF!,2,FALSE)</f>
        <v>#REF!</v>
      </c>
      <c r="AM492" s="311" t="e">
        <f t="shared" si="79"/>
        <v>#REF!</v>
      </c>
      <c r="AN492" s="312" t="e">
        <f t="shared" si="78"/>
        <v>#REF!</v>
      </c>
    </row>
    <row r="493" spans="1:40" s="73" customFormat="1" x14ac:dyDescent="0.25">
      <c r="A493" s="303"/>
      <c r="B493" s="304" t="s">
        <v>1250</v>
      </c>
      <c r="D493" s="74">
        <f>IFERROR(VLOOKUP(B493,'REQ. PINTADO'!B:C,2,0),0)</f>
        <v>0</v>
      </c>
      <c r="E493" s="305">
        <f t="shared" si="66"/>
        <v>717.24558254176213</v>
      </c>
      <c r="F493" s="103" t="s">
        <v>163</v>
      </c>
      <c r="G493" s="75" t="s">
        <v>147</v>
      </c>
      <c r="H493" s="90">
        <v>23.65</v>
      </c>
      <c r="I493" s="90">
        <v>33.020000000000003</v>
      </c>
      <c r="J493" s="76">
        <v>0.105</v>
      </c>
      <c r="K493" s="306">
        <v>16.38</v>
      </c>
      <c r="L493" s="78">
        <f t="shared" si="67"/>
        <v>39.370457334400996</v>
      </c>
      <c r="M493" s="58">
        <f>+VLOOKUP(F493,Material!$H$2:$M$17,6,FALSE)*H493*I493*(1+Material!$K$14)</f>
        <v>293.13095051704011</v>
      </c>
      <c r="N493" s="79" t="str">
        <f t="shared" si="80"/>
        <v>T5.0</v>
      </c>
      <c r="O493" s="80">
        <f>+VLOOKUP(N493,[3]Material!$A$3:$B$58,2,FALSE)</f>
        <v>5000</v>
      </c>
      <c r="P493" s="79" t="s">
        <v>42</v>
      </c>
      <c r="Q493" s="79" t="str">
        <f>+VLOOKUP(F493,[3]Material!$C$2:$E$12,2,FALSE)</f>
        <v>Cal 12</v>
      </c>
      <c r="R493" s="81">
        <f>+IF(P493="ACERO A36",VLOOKUP(Q493,'[3]Velocidades Std 1500 w'!$B$2:$F$15,5,FALSE),IF(P493="INOXIDABLE",VLOOKUP(Q493,'[3]Velocidades Std 1500 w'!$B$17:$F$28,5,FALSE),IF(P493="ALUMINIO",VLOOKUP(Q493,'[3]Velocidades Std 1500 w'!$B$30:$F$38,5,FALSE))))</f>
        <v>4.3859649122807014E-6</v>
      </c>
      <c r="S493" s="82">
        <f t="shared" si="68"/>
        <v>2.1929824561403508E-2</v>
      </c>
      <c r="T493" s="83">
        <f t="shared" si="69"/>
        <v>65.414491578947363</v>
      </c>
      <c r="U493" s="307">
        <f t="shared" si="70"/>
        <v>4142.9178000000002</v>
      </c>
      <c r="V493" s="80">
        <f t="shared" si="75"/>
        <v>90.853460526315786</v>
      </c>
      <c r="W493" s="98">
        <v>28</v>
      </c>
      <c r="X493" s="84">
        <f>+IF(P493="ACERO A36",VLOOKUP(Q493,'[3]Tiempo Objeto'!$B$2:$C$12,2,FALSE),IF(P493="INOXIDABLE",VLOOKUP(Q493,'[3]Tiempo Objeto'!$B$14:$C$22,2,FALSE),IF(P493="ALUMINIO",VLOOKUP(Q493,'[3]Tiempo Objeto'!$B$24:$C$32,2,FALSE))))</f>
        <v>0.6133333333333334</v>
      </c>
      <c r="Y493" s="84">
        <f t="shared" si="71"/>
        <v>17.173333333333336</v>
      </c>
      <c r="Z493" s="80">
        <f t="shared" si="72"/>
        <v>23.851851851851855</v>
      </c>
      <c r="AA493" s="100">
        <v>5</v>
      </c>
      <c r="AB493" s="86">
        <f>+AA493*Analisis!$J$6</f>
        <v>125</v>
      </c>
      <c r="AC493" s="100"/>
      <c r="AD493" s="85">
        <f t="shared" si="73"/>
        <v>0</v>
      </c>
      <c r="AE493" s="86">
        <f>+AC493*Analisis!$J$7</f>
        <v>0</v>
      </c>
      <c r="AF493" s="308">
        <f>+H493*0.0254*I493*0.0254*2*(1+[3]Analisis!$G$2)</f>
        <v>1.2595507067</v>
      </c>
      <c r="AG493" s="86">
        <f>+AF493*Analisis!$J$8</f>
        <v>134.20212886863101</v>
      </c>
      <c r="AH493" s="309">
        <f t="shared" si="64"/>
        <v>667.03839176383872</v>
      </c>
      <c r="AI493" s="86">
        <f>+AH493/(1-Analisis!G498)</f>
        <v>667.03839176383872</v>
      </c>
      <c r="AJ493" s="86">
        <f t="shared" si="74"/>
        <v>717.24558254176213</v>
      </c>
      <c r="AK493" s="86">
        <f t="shared" si="65"/>
        <v>0</v>
      </c>
      <c r="AL493" s="310" t="e">
        <f>+VLOOKUP(B493,#REF!,2,FALSE)</f>
        <v>#REF!</v>
      </c>
      <c r="AM493" s="311" t="e">
        <f t="shared" si="79"/>
        <v>#REF!</v>
      </c>
      <c r="AN493" s="312" t="e">
        <f t="shared" si="78"/>
        <v>#REF!</v>
      </c>
    </row>
    <row r="494" spans="1:40" s="73" customFormat="1" x14ac:dyDescent="0.25">
      <c r="A494" s="303"/>
      <c r="B494" s="304" t="s">
        <v>1251</v>
      </c>
      <c r="D494" s="74">
        <f>IFERROR(VLOOKUP(B494,'REQ. PINTADO'!B:C,2,0),0)</f>
        <v>0</v>
      </c>
      <c r="E494" s="305">
        <f t="shared" si="66"/>
        <v>717.24558254176213</v>
      </c>
      <c r="F494" s="103" t="s">
        <v>163</v>
      </c>
      <c r="G494" s="75" t="s">
        <v>147</v>
      </c>
      <c r="H494" s="90">
        <v>23.65</v>
      </c>
      <c r="I494" s="90">
        <v>33.020000000000003</v>
      </c>
      <c r="J494" s="76">
        <v>0.105</v>
      </c>
      <c r="K494" s="306">
        <v>16.38</v>
      </c>
      <c r="L494" s="78">
        <f t="shared" si="67"/>
        <v>39.370457334400996</v>
      </c>
      <c r="M494" s="58">
        <f>+VLOOKUP(F494,Material!$H$2:$M$17,6,FALSE)*H494*I494*(1+Material!$K$14)</f>
        <v>293.13095051704011</v>
      </c>
      <c r="N494" s="79" t="str">
        <f t="shared" si="80"/>
        <v>T5.0</v>
      </c>
      <c r="O494" s="80">
        <f>+VLOOKUP(N494,[3]Material!$A$3:$B$58,2,FALSE)</f>
        <v>5000</v>
      </c>
      <c r="P494" s="79" t="s">
        <v>42</v>
      </c>
      <c r="Q494" s="79" t="str">
        <f>+VLOOKUP(F494,[3]Material!$C$2:$E$12,2,FALSE)</f>
        <v>Cal 12</v>
      </c>
      <c r="R494" s="81">
        <f>+IF(P494="ACERO A36",VLOOKUP(Q494,'[3]Velocidades Std 1500 w'!$B$2:$F$15,5,FALSE),IF(P494="INOXIDABLE",VLOOKUP(Q494,'[3]Velocidades Std 1500 w'!$B$17:$F$28,5,FALSE),IF(P494="ALUMINIO",VLOOKUP(Q494,'[3]Velocidades Std 1500 w'!$B$30:$F$38,5,FALSE))))</f>
        <v>4.3859649122807014E-6</v>
      </c>
      <c r="S494" s="82">
        <f t="shared" si="68"/>
        <v>2.1929824561403508E-2</v>
      </c>
      <c r="T494" s="83">
        <f t="shared" si="69"/>
        <v>65.414491578947363</v>
      </c>
      <c r="U494" s="307">
        <f t="shared" si="70"/>
        <v>4142.9178000000002</v>
      </c>
      <c r="V494" s="80">
        <f t="shared" si="75"/>
        <v>90.853460526315786</v>
      </c>
      <c r="W494" s="98">
        <v>28</v>
      </c>
      <c r="X494" s="84">
        <f>+IF(P494="ACERO A36",VLOOKUP(Q494,'[3]Tiempo Objeto'!$B$2:$C$12,2,FALSE),IF(P494="INOXIDABLE",VLOOKUP(Q494,'[3]Tiempo Objeto'!$B$14:$C$22,2,FALSE),IF(P494="ALUMINIO",VLOOKUP(Q494,'[3]Tiempo Objeto'!$B$24:$C$32,2,FALSE))))</f>
        <v>0.6133333333333334</v>
      </c>
      <c r="Y494" s="84">
        <f t="shared" si="71"/>
        <v>17.173333333333336</v>
      </c>
      <c r="Z494" s="80">
        <f t="shared" si="72"/>
        <v>23.851851851851855</v>
      </c>
      <c r="AA494" s="100">
        <v>5</v>
      </c>
      <c r="AB494" s="86">
        <f>+AA494*Analisis!$J$6</f>
        <v>125</v>
      </c>
      <c r="AC494" s="100"/>
      <c r="AD494" s="85">
        <f t="shared" si="73"/>
        <v>0</v>
      </c>
      <c r="AE494" s="86">
        <f>+AC494*Analisis!$J$7</f>
        <v>0</v>
      </c>
      <c r="AF494" s="308">
        <f>+H494*0.0254*I494*0.0254*2*(1+[3]Analisis!$G$2)</f>
        <v>1.2595507067</v>
      </c>
      <c r="AG494" s="86">
        <f>+AF494*Analisis!$J$8</f>
        <v>134.20212886863101</v>
      </c>
      <c r="AH494" s="309">
        <f t="shared" si="64"/>
        <v>667.03839176383872</v>
      </c>
      <c r="AI494" s="86">
        <f>+AH494/(1-Analisis!G499)</f>
        <v>667.03839176383872</v>
      </c>
      <c r="AJ494" s="86">
        <f t="shared" si="74"/>
        <v>717.24558254176213</v>
      </c>
      <c r="AK494" s="86">
        <f t="shared" si="65"/>
        <v>0</v>
      </c>
      <c r="AL494" s="310" t="e">
        <f>+VLOOKUP(B494,#REF!,2,FALSE)</f>
        <v>#REF!</v>
      </c>
      <c r="AM494" s="311" t="e">
        <f t="shared" si="79"/>
        <v>#REF!</v>
      </c>
      <c r="AN494" s="312" t="e">
        <f t="shared" si="78"/>
        <v>#REF!</v>
      </c>
    </row>
    <row r="495" spans="1:40" s="73" customFormat="1" x14ac:dyDescent="0.25">
      <c r="A495" s="303"/>
      <c r="B495" s="304" t="s">
        <v>1252</v>
      </c>
      <c r="D495" s="74">
        <f>IFERROR(VLOOKUP(B495,'REQ. PINTADO'!B:C,2,0),0)</f>
        <v>0</v>
      </c>
      <c r="E495" s="305">
        <f t="shared" si="66"/>
        <v>717.24558254176213</v>
      </c>
      <c r="F495" s="103" t="s">
        <v>163</v>
      </c>
      <c r="G495" s="75" t="s">
        <v>147</v>
      </c>
      <c r="H495" s="90">
        <v>23.65</v>
      </c>
      <c r="I495" s="90">
        <v>33.020000000000003</v>
      </c>
      <c r="J495" s="76">
        <v>0.105</v>
      </c>
      <c r="K495" s="306">
        <v>16.38</v>
      </c>
      <c r="L495" s="78">
        <f t="shared" si="67"/>
        <v>39.370457334400996</v>
      </c>
      <c r="M495" s="58">
        <f>+VLOOKUP(F495,Material!$H$2:$M$17,6,FALSE)*H495*I495*(1+Material!$K$14)</f>
        <v>293.13095051704011</v>
      </c>
      <c r="N495" s="79" t="str">
        <f t="shared" si="80"/>
        <v>T5.0</v>
      </c>
      <c r="O495" s="80">
        <f>+VLOOKUP(N495,[3]Material!$A$3:$B$58,2,FALSE)</f>
        <v>5000</v>
      </c>
      <c r="P495" s="79" t="s">
        <v>42</v>
      </c>
      <c r="Q495" s="79" t="str">
        <f>+VLOOKUP(F495,[3]Material!$C$2:$E$12,2,FALSE)</f>
        <v>Cal 12</v>
      </c>
      <c r="R495" s="81">
        <f>+IF(P495="ACERO A36",VLOOKUP(Q495,'[3]Velocidades Std 1500 w'!$B$2:$F$15,5,FALSE),IF(P495="INOXIDABLE",VLOOKUP(Q495,'[3]Velocidades Std 1500 w'!$B$17:$F$28,5,FALSE),IF(P495="ALUMINIO",VLOOKUP(Q495,'[3]Velocidades Std 1500 w'!$B$30:$F$38,5,FALSE))))</f>
        <v>4.3859649122807014E-6</v>
      </c>
      <c r="S495" s="82">
        <f t="shared" si="68"/>
        <v>2.1929824561403508E-2</v>
      </c>
      <c r="T495" s="83">
        <f t="shared" si="69"/>
        <v>65.414491578947363</v>
      </c>
      <c r="U495" s="307">
        <f t="shared" si="70"/>
        <v>4142.9178000000002</v>
      </c>
      <c r="V495" s="80">
        <f t="shared" si="75"/>
        <v>90.853460526315786</v>
      </c>
      <c r="W495" s="98">
        <v>28</v>
      </c>
      <c r="X495" s="84">
        <f>+IF(P495="ACERO A36",VLOOKUP(Q495,'[3]Tiempo Objeto'!$B$2:$C$12,2,FALSE),IF(P495="INOXIDABLE",VLOOKUP(Q495,'[3]Tiempo Objeto'!$B$14:$C$22,2,FALSE),IF(P495="ALUMINIO",VLOOKUP(Q495,'[3]Tiempo Objeto'!$B$24:$C$32,2,FALSE))))</f>
        <v>0.6133333333333334</v>
      </c>
      <c r="Y495" s="84">
        <f t="shared" si="71"/>
        <v>17.173333333333336</v>
      </c>
      <c r="Z495" s="80">
        <f t="shared" si="72"/>
        <v>23.851851851851855</v>
      </c>
      <c r="AA495" s="100">
        <v>5</v>
      </c>
      <c r="AB495" s="86">
        <f>+AA495*Analisis!$J$6</f>
        <v>125</v>
      </c>
      <c r="AC495" s="100"/>
      <c r="AD495" s="85">
        <f t="shared" si="73"/>
        <v>0</v>
      </c>
      <c r="AE495" s="86">
        <f>+AC495*Analisis!$J$7</f>
        <v>0</v>
      </c>
      <c r="AF495" s="308">
        <f>+H495*0.0254*I495*0.0254*2*(1+[3]Analisis!$G$2)</f>
        <v>1.2595507067</v>
      </c>
      <c r="AG495" s="86">
        <f>+AF495*Analisis!$J$8</f>
        <v>134.20212886863101</v>
      </c>
      <c r="AH495" s="309">
        <f t="shared" si="64"/>
        <v>667.03839176383872</v>
      </c>
      <c r="AI495" s="86">
        <f>+AH495/(1-Analisis!G500)</f>
        <v>667.03839176383872</v>
      </c>
      <c r="AJ495" s="86">
        <f t="shared" si="74"/>
        <v>717.24558254176213</v>
      </c>
      <c r="AK495" s="86">
        <f t="shared" si="65"/>
        <v>0</v>
      </c>
      <c r="AL495" s="310" t="e">
        <f>+VLOOKUP(B495,#REF!,2,FALSE)</f>
        <v>#REF!</v>
      </c>
      <c r="AM495" s="311" t="e">
        <f t="shared" si="79"/>
        <v>#REF!</v>
      </c>
      <c r="AN495" s="312" t="e">
        <f t="shared" si="78"/>
        <v>#REF!</v>
      </c>
    </row>
    <row r="496" spans="1:40" s="73" customFormat="1" x14ac:dyDescent="0.25">
      <c r="A496" s="303"/>
      <c r="B496" s="304" t="s">
        <v>1253</v>
      </c>
      <c r="D496" s="74">
        <f>IFERROR(VLOOKUP(B496,'REQ. PINTADO'!B:C,2,0),0)</f>
        <v>0</v>
      </c>
      <c r="E496" s="305">
        <f t="shared" si="66"/>
        <v>717.24558254176213</v>
      </c>
      <c r="F496" s="103" t="s">
        <v>163</v>
      </c>
      <c r="G496" s="75" t="s">
        <v>147</v>
      </c>
      <c r="H496" s="90">
        <v>23.65</v>
      </c>
      <c r="I496" s="90">
        <v>33.020000000000003</v>
      </c>
      <c r="J496" s="76">
        <v>0.105</v>
      </c>
      <c r="K496" s="306">
        <v>16.38</v>
      </c>
      <c r="L496" s="78">
        <f t="shared" si="67"/>
        <v>39.370457334400996</v>
      </c>
      <c r="M496" s="58">
        <f>+VLOOKUP(F496,Material!$H$2:$M$17,6,FALSE)*H496*I496*(1+Material!$K$14)</f>
        <v>293.13095051704011</v>
      </c>
      <c r="N496" s="79" t="str">
        <f t="shared" si="80"/>
        <v>T5.0</v>
      </c>
      <c r="O496" s="80">
        <f>+VLOOKUP(N496,[3]Material!$A$3:$B$58,2,FALSE)</f>
        <v>5000</v>
      </c>
      <c r="P496" s="79" t="s">
        <v>42</v>
      </c>
      <c r="Q496" s="79" t="str">
        <f>+VLOOKUP(F496,[3]Material!$C$2:$E$12,2,FALSE)</f>
        <v>Cal 12</v>
      </c>
      <c r="R496" s="81">
        <f>+IF(P496="ACERO A36",VLOOKUP(Q496,'[3]Velocidades Std 1500 w'!$B$2:$F$15,5,FALSE),IF(P496="INOXIDABLE",VLOOKUP(Q496,'[3]Velocidades Std 1500 w'!$B$17:$F$28,5,FALSE),IF(P496="ALUMINIO",VLOOKUP(Q496,'[3]Velocidades Std 1500 w'!$B$30:$F$38,5,FALSE))))</f>
        <v>4.3859649122807014E-6</v>
      </c>
      <c r="S496" s="82">
        <f t="shared" si="68"/>
        <v>2.1929824561403508E-2</v>
      </c>
      <c r="T496" s="83">
        <f t="shared" si="69"/>
        <v>65.414491578947363</v>
      </c>
      <c r="U496" s="307">
        <f t="shared" si="70"/>
        <v>4142.9178000000002</v>
      </c>
      <c r="V496" s="80">
        <f t="shared" si="75"/>
        <v>90.853460526315786</v>
      </c>
      <c r="W496" s="98">
        <v>28</v>
      </c>
      <c r="X496" s="84">
        <f>+IF(P496="ACERO A36",VLOOKUP(Q496,'[3]Tiempo Objeto'!$B$2:$C$12,2,FALSE),IF(P496="INOXIDABLE",VLOOKUP(Q496,'[3]Tiempo Objeto'!$B$14:$C$22,2,FALSE),IF(P496="ALUMINIO",VLOOKUP(Q496,'[3]Tiempo Objeto'!$B$24:$C$32,2,FALSE))))</f>
        <v>0.6133333333333334</v>
      </c>
      <c r="Y496" s="84">
        <f t="shared" si="71"/>
        <v>17.173333333333336</v>
      </c>
      <c r="Z496" s="80">
        <f t="shared" si="72"/>
        <v>23.851851851851855</v>
      </c>
      <c r="AA496" s="100">
        <v>5</v>
      </c>
      <c r="AB496" s="86">
        <f>+AA496*Analisis!$J$6</f>
        <v>125</v>
      </c>
      <c r="AC496" s="100"/>
      <c r="AD496" s="85">
        <f t="shared" si="73"/>
        <v>0</v>
      </c>
      <c r="AE496" s="86">
        <f>+AC496*Analisis!$J$7</f>
        <v>0</v>
      </c>
      <c r="AF496" s="308">
        <f>+H496*0.0254*I496*0.0254*2*(1+[3]Analisis!$G$2)</f>
        <v>1.2595507067</v>
      </c>
      <c r="AG496" s="86">
        <f>+AF496*Analisis!$J$8</f>
        <v>134.20212886863101</v>
      </c>
      <c r="AH496" s="309">
        <f t="shared" si="64"/>
        <v>667.03839176383872</v>
      </c>
      <c r="AI496" s="86">
        <f>+AH496/(1-Analisis!G501)</f>
        <v>667.03839176383872</v>
      </c>
      <c r="AJ496" s="86">
        <f t="shared" si="74"/>
        <v>717.24558254176213</v>
      </c>
      <c r="AK496" s="86">
        <f t="shared" si="65"/>
        <v>0</v>
      </c>
      <c r="AL496" s="310" t="e">
        <f>+VLOOKUP(B496,#REF!,2,FALSE)</f>
        <v>#REF!</v>
      </c>
      <c r="AM496" s="311" t="e">
        <f t="shared" si="79"/>
        <v>#REF!</v>
      </c>
      <c r="AN496" s="312" t="e">
        <f t="shared" si="78"/>
        <v>#REF!</v>
      </c>
    </row>
    <row r="497" spans="1:40" s="73" customFormat="1" x14ac:dyDescent="0.25">
      <c r="A497" s="303"/>
      <c r="B497" s="304" t="s">
        <v>1254</v>
      </c>
      <c r="D497" s="74">
        <f>IFERROR(VLOOKUP(B497,'REQ. PINTADO'!B:C,2,0),0)</f>
        <v>0</v>
      </c>
      <c r="E497" s="305">
        <f t="shared" si="66"/>
        <v>1000.3785384888043</v>
      </c>
      <c r="F497" s="103" t="s">
        <v>165</v>
      </c>
      <c r="G497" s="75" t="s">
        <v>147</v>
      </c>
      <c r="H497" s="90">
        <v>30.85</v>
      </c>
      <c r="I497" s="90">
        <v>41.02</v>
      </c>
      <c r="J497" s="76">
        <v>0.105</v>
      </c>
      <c r="K497" s="306">
        <v>16.38</v>
      </c>
      <c r="L497" s="78">
        <f t="shared" si="67"/>
        <v>70.64172088675214</v>
      </c>
      <c r="M497" s="58">
        <f>+VLOOKUP(F497,Material!$H$2:$M$17,6,FALSE)*H497*I497*(1+Material!$K$14)</f>
        <v>525.95972187500001</v>
      </c>
      <c r="N497" s="79" t="str">
        <f t="shared" si="80"/>
        <v>T5.0</v>
      </c>
      <c r="O497" s="80">
        <f>+VLOOKUP(N497,[3]Material!$A$3:$B$58,2,FALSE)</f>
        <v>5000</v>
      </c>
      <c r="P497" s="79" t="s">
        <v>42</v>
      </c>
      <c r="Q497" s="79" t="str">
        <f>+VLOOKUP(F497,[3]Material!$C$2:$E$12,2,FALSE)</f>
        <v>Cal 14</v>
      </c>
      <c r="R497" s="81">
        <f>+IF(P497="ACERO A36",VLOOKUP(Q497,'[3]Velocidades Std 1500 w'!$B$2:$F$15,5,FALSE),IF(P497="INOXIDABLE",VLOOKUP(Q497,'[3]Velocidades Std 1500 w'!$B$17:$F$28,5,FALSE),IF(P497="ALUMINIO",VLOOKUP(Q497,'[3]Velocidades Std 1500 w'!$B$30:$F$38,5,FALSE))))</f>
        <v>2.0080321285140564E-6</v>
      </c>
      <c r="S497" s="82">
        <f t="shared" si="68"/>
        <v>1.0040160642570283E-2</v>
      </c>
      <c r="T497" s="83">
        <f t="shared" si="69"/>
        <v>35.809776867469886</v>
      </c>
      <c r="U497" s="307">
        <f t="shared" si="70"/>
        <v>4953.6858000000002</v>
      </c>
      <c r="V497" s="80">
        <f t="shared" si="75"/>
        <v>49.735801204819289</v>
      </c>
      <c r="W497" s="98">
        <v>28</v>
      </c>
      <c r="X497" s="84">
        <f>+IF(P497="ACERO A36",VLOOKUP(Q497,'[3]Tiempo Objeto'!$B$2:$C$12,2,FALSE),IF(P497="INOXIDABLE",VLOOKUP(Q497,'[3]Tiempo Objeto'!$B$14:$C$22,2,FALSE),IF(P497="ALUMINIO",VLOOKUP(Q497,'[3]Tiempo Objeto'!$B$24:$C$32,2,FALSE))))</f>
        <v>0.3133333333333333</v>
      </c>
      <c r="Y497" s="84">
        <f t="shared" si="71"/>
        <v>8.7733333333333317</v>
      </c>
      <c r="Z497" s="80">
        <f t="shared" si="72"/>
        <v>12.185185185185183</v>
      </c>
      <c r="AA497" s="100">
        <v>5</v>
      </c>
      <c r="AB497" s="86">
        <f>+AA497*Analisis!$J$6</f>
        <v>125</v>
      </c>
      <c r="AC497" s="100"/>
      <c r="AD497" s="85">
        <f t="shared" si="73"/>
        <v>0</v>
      </c>
      <c r="AE497" s="86">
        <f>+AC497*Analisis!$J$7</f>
        <v>0</v>
      </c>
      <c r="AF497" s="308">
        <f>+H497*0.0254*I497*0.0254*2*(1+[3]Analisis!$G$2)</f>
        <v>2.0410717243000005</v>
      </c>
      <c r="AG497" s="86">
        <f>+AF497*Analisis!$J$8</f>
        <v>217.47133252958346</v>
      </c>
      <c r="AH497" s="309">
        <f t="shared" si="64"/>
        <v>930.35204079458799</v>
      </c>
      <c r="AI497" s="86">
        <f>+AH497/(1-Analisis!G502)</f>
        <v>930.35204079458799</v>
      </c>
      <c r="AJ497" s="86">
        <f t="shared" si="74"/>
        <v>1000.3785384888043</v>
      </c>
      <c r="AK497" s="86">
        <f t="shared" si="65"/>
        <v>0</v>
      </c>
      <c r="AL497" s="310" t="e">
        <f>+VLOOKUP(B497,#REF!,2,FALSE)</f>
        <v>#REF!</v>
      </c>
      <c r="AM497" s="311" t="e">
        <f t="shared" si="79"/>
        <v>#REF!</v>
      </c>
      <c r="AN497" s="312" t="e">
        <f t="shared" si="78"/>
        <v>#REF!</v>
      </c>
    </row>
    <row r="498" spans="1:40" s="73" customFormat="1" x14ac:dyDescent="0.25">
      <c r="A498" s="313"/>
      <c r="B498" s="325" t="s">
        <v>1255</v>
      </c>
      <c r="D498" s="74">
        <f>IFERROR(VLOOKUP(B498,'REQ. PINTADO'!B:C,2,0),0)</f>
        <v>0</v>
      </c>
      <c r="E498" s="305">
        <f t="shared" si="66"/>
        <v>1702.1433845035331</v>
      </c>
      <c r="F498" s="103" t="s">
        <v>165</v>
      </c>
      <c r="G498" s="75" t="s">
        <v>147</v>
      </c>
      <c r="H498" s="90">
        <v>32.85</v>
      </c>
      <c r="I498" s="90">
        <v>35.909999999999997</v>
      </c>
      <c r="J498" s="76">
        <v>0.105</v>
      </c>
      <c r="K498" s="306">
        <v>16.38</v>
      </c>
      <c r="L498" s="78">
        <f t="shared" si="67"/>
        <v>65.850825721153868</v>
      </c>
      <c r="M498" s="58">
        <f>+VLOOKUP(F498,Material!$H$2:$M$17,6,FALSE)*H498*I498*(1+Material!$K$14)</f>
        <v>490.28932968750001</v>
      </c>
      <c r="N498" s="79" t="str">
        <f t="shared" si="80"/>
        <v>T5.0</v>
      </c>
      <c r="O498" s="80">
        <f>+VLOOKUP(N498,[3]Material!$A$3:$B$58,2,FALSE)</f>
        <v>5000</v>
      </c>
      <c r="P498" s="79" t="s">
        <v>42</v>
      </c>
      <c r="Q498" s="79" t="str">
        <f>+VLOOKUP(F498,[3]Material!$C$2:$E$12,2,FALSE)</f>
        <v>Cal 14</v>
      </c>
      <c r="R498" s="81">
        <f>+IF(P498="ACERO A36",VLOOKUP(Q498,'[3]Velocidades Std 1500 w'!$B$2:$F$15,5,FALSE),IF(P498="INOXIDABLE",VLOOKUP(Q498,'[3]Velocidades Std 1500 w'!$B$17:$F$28,5,FALSE),IF(P498="ALUMINIO",VLOOKUP(Q498,'[3]Velocidades Std 1500 w'!$B$30:$F$38,5,FALSE))))</f>
        <v>2.0080321285140564E-6</v>
      </c>
      <c r="S498" s="82">
        <f t="shared" si="68"/>
        <v>1.0040160642570283E-2</v>
      </c>
      <c r="T498" s="83">
        <f t="shared" si="69"/>
        <v>286.78668722891564</v>
      </c>
      <c r="U498" s="307">
        <f t="shared" si="70"/>
        <v>39672.158399999993</v>
      </c>
      <c r="V498" s="80">
        <f t="shared" si="75"/>
        <v>398.314843373494</v>
      </c>
      <c r="W498" s="98">
        <v>900</v>
      </c>
      <c r="X498" s="84">
        <f>+IF(P498="ACERO A36",VLOOKUP(Q498,'[3]Tiempo Objeto'!$B$2:$C$12,2,FALSE),IF(P498="INOXIDABLE",VLOOKUP(Q498,'[3]Tiempo Objeto'!$B$14:$C$22,2,FALSE),IF(P498="ALUMINIO",VLOOKUP(Q498,'[3]Tiempo Objeto'!$B$24:$C$32,2,FALSE))))</f>
        <v>0.3133333333333333</v>
      </c>
      <c r="Y498" s="84">
        <f t="shared" si="71"/>
        <v>281.99999999999994</v>
      </c>
      <c r="Z498" s="80">
        <f t="shared" si="72"/>
        <v>391.66666666666663</v>
      </c>
      <c r="AA498" s="100">
        <v>4</v>
      </c>
      <c r="AB498" s="86">
        <f>+AA498*Analisis!$J$6</f>
        <v>100</v>
      </c>
      <c r="AC498" s="100"/>
      <c r="AD498" s="85">
        <f t="shared" si="73"/>
        <v>0</v>
      </c>
      <c r="AE498" s="86">
        <f>+AC498*Analisis!$J$7</f>
        <v>0</v>
      </c>
      <c r="AF498" s="308">
        <f>+H498*0.0254*I498*0.0254*2*(1+[3]Analisis!$G$2)</f>
        <v>1.9026470011499996</v>
      </c>
      <c r="AG498" s="86">
        <f>+AF498*Analisis!$J$8</f>
        <v>202.72250786062503</v>
      </c>
      <c r="AH498" s="309">
        <f t="shared" si="64"/>
        <v>1582.9933475882856</v>
      </c>
      <c r="AI498" s="86">
        <f>+AH498/(1-Analisis!G503)</f>
        <v>1582.9933475882856</v>
      </c>
      <c r="AJ498" s="86">
        <f t="shared" si="74"/>
        <v>1702.1433845035331</v>
      </c>
      <c r="AK498" s="86">
        <f t="shared" si="65"/>
        <v>0</v>
      </c>
      <c r="AL498" s="310" t="e">
        <f>+VLOOKUP(B498,#REF!,2,FALSE)</f>
        <v>#REF!</v>
      </c>
      <c r="AM498" s="311" t="e">
        <f t="shared" si="79"/>
        <v>#REF!</v>
      </c>
      <c r="AN498" s="312" t="e">
        <f t="shared" si="78"/>
        <v>#REF!</v>
      </c>
    </row>
    <row r="499" spans="1:40" s="73" customFormat="1" x14ac:dyDescent="0.25">
      <c r="A499" s="313"/>
      <c r="B499" s="325" t="s">
        <v>1256</v>
      </c>
      <c r="D499" s="74">
        <f>IFERROR(VLOOKUP(B499,'REQ. PINTADO'!B:C,2,0),0)</f>
        <v>0</v>
      </c>
      <c r="E499" s="305">
        <f t="shared" si="66"/>
        <v>138.58811778484599</v>
      </c>
      <c r="F499" s="103" t="s">
        <v>165</v>
      </c>
      <c r="G499" s="75" t="s">
        <v>147</v>
      </c>
      <c r="H499" s="90">
        <v>3</v>
      </c>
      <c r="I499" s="90">
        <v>8.5939999999999994</v>
      </c>
      <c r="J499" s="76">
        <v>0.105</v>
      </c>
      <c r="K499" s="306">
        <v>16.38</v>
      </c>
      <c r="L499" s="78">
        <f t="shared" si="67"/>
        <v>1.4392195512820516</v>
      </c>
      <c r="M499" s="58">
        <f>+VLOOKUP(F499,Material!$H$2:$M$17,6,FALSE)*H499*I499*(1+Material!$K$14)</f>
        <v>10.71564375</v>
      </c>
      <c r="N499" s="79" t="str">
        <f t="shared" si="80"/>
        <v>T5.0</v>
      </c>
      <c r="O499" s="80">
        <f>+VLOOKUP(N499,[3]Material!$A$3:$B$58,2,FALSE)</f>
        <v>5000</v>
      </c>
      <c r="P499" s="79" t="s">
        <v>42</v>
      </c>
      <c r="Q499" s="79" t="str">
        <f>+VLOOKUP(F499,[3]Material!$C$2:$E$12,2,FALSE)</f>
        <v>Cal 14</v>
      </c>
      <c r="R499" s="81">
        <f>+IF(P499="ACERO A36",VLOOKUP(Q499,'[3]Velocidades Std 1500 w'!$B$2:$F$15,5,FALSE),IF(P499="INOXIDABLE",VLOOKUP(Q499,'[3]Velocidades Std 1500 w'!$B$17:$F$28,5,FALSE),IF(P499="ALUMINIO",VLOOKUP(Q499,'[3]Velocidades Std 1500 w'!$B$30:$F$38,5,FALSE))))</f>
        <v>2.0080321285140564E-6</v>
      </c>
      <c r="S499" s="82">
        <f t="shared" si="68"/>
        <v>1.0040160642570283E-2</v>
      </c>
      <c r="T499" s="83">
        <f t="shared" si="69"/>
        <v>7.0732695903614475</v>
      </c>
      <c r="U499" s="307">
        <f t="shared" si="70"/>
        <v>978.46896000000015</v>
      </c>
      <c r="V499" s="80">
        <f t="shared" si="75"/>
        <v>9.8239855421686784</v>
      </c>
      <c r="W499" s="98">
        <v>9</v>
      </c>
      <c r="X499" s="84">
        <f>+IF(P499="ACERO A36",VLOOKUP(Q499,'[3]Tiempo Objeto'!$B$2:$C$12,2,FALSE),IF(P499="INOXIDABLE",VLOOKUP(Q499,'[3]Tiempo Objeto'!$B$14:$C$22,2,FALSE),IF(P499="ALUMINIO",VLOOKUP(Q499,'[3]Tiempo Objeto'!$B$24:$C$32,2,FALSE))))</f>
        <v>0.3133333333333333</v>
      </c>
      <c r="Y499" s="84">
        <f t="shared" si="71"/>
        <v>2.82</v>
      </c>
      <c r="Z499" s="80">
        <f t="shared" si="72"/>
        <v>3.9166666666666665</v>
      </c>
      <c r="AA499" s="100">
        <v>4</v>
      </c>
      <c r="AB499" s="86">
        <f>+AA499*Analisis!$J$6</f>
        <v>100</v>
      </c>
      <c r="AC499" s="100"/>
      <c r="AD499" s="85">
        <f t="shared" si="73"/>
        <v>0</v>
      </c>
      <c r="AE499" s="86">
        <f>+AC499*Analisis!$J$7</f>
        <v>0</v>
      </c>
      <c r="AF499" s="308">
        <f>+H499*0.0254*I499*0.0254*2*(1+[3]Analisis!$G$2)</f>
        <v>4.1583787799999987E-2</v>
      </c>
      <c r="AG499" s="86">
        <f>+AF499*Analisis!$J$8</f>
        <v>4.4306535810714287</v>
      </c>
      <c r="AH499" s="309">
        <f t="shared" si="64"/>
        <v>128.88694953990677</v>
      </c>
      <c r="AI499" s="86">
        <f>+AH499/(1-Analisis!G504)</f>
        <v>128.88694953990677</v>
      </c>
      <c r="AJ499" s="86">
        <f t="shared" si="74"/>
        <v>138.58811778484599</v>
      </c>
      <c r="AK499" s="86">
        <f t="shared" si="65"/>
        <v>0</v>
      </c>
      <c r="AL499" s="310" t="e">
        <f>+VLOOKUP(B499,#REF!,2,FALSE)</f>
        <v>#REF!</v>
      </c>
      <c r="AM499" s="311" t="e">
        <f t="shared" si="79"/>
        <v>#REF!</v>
      </c>
      <c r="AN499" s="312" t="e">
        <f t="shared" si="78"/>
        <v>#REF!</v>
      </c>
    </row>
    <row r="500" spans="1:40" s="73" customFormat="1" x14ac:dyDescent="0.25">
      <c r="A500" s="303"/>
      <c r="B500" s="304" t="s">
        <v>1257</v>
      </c>
      <c r="D500" s="74">
        <f>IFERROR(VLOOKUP(B500,'REQ. PINTADO'!B:C,2,0),0)</f>
        <v>0</v>
      </c>
      <c r="E500" s="305">
        <f t="shared" si="66"/>
        <v>129.91695253155501</v>
      </c>
      <c r="F500" s="103" t="s">
        <v>165</v>
      </c>
      <c r="G500" s="75" t="s">
        <v>147</v>
      </c>
      <c r="H500" s="90">
        <v>5.37</v>
      </c>
      <c r="I500" s="90">
        <v>17.25</v>
      </c>
      <c r="J500" s="76">
        <v>0.105</v>
      </c>
      <c r="K500" s="306">
        <v>16.38</v>
      </c>
      <c r="L500" s="78">
        <f t="shared" si="67"/>
        <v>5.170991586538463</v>
      </c>
      <c r="M500" s="58">
        <f>+VLOOKUP(F500,Material!$H$2:$M$17,6,FALSE)*H500*I500*(1+Material!$K$14)</f>
        <v>38.500382812500007</v>
      </c>
      <c r="N500" s="79" t="str">
        <f t="shared" si="80"/>
        <v>T5.0</v>
      </c>
      <c r="O500" s="80">
        <f>+VLOOKUP(N500,[3]Material!$A$3:$B$58,2,FALSE)</f>
        <v>5000</v>
      </c>
      <c r="P500" s="79" t="s">
        <v>42</v>
      </c>
      <c r="Q500" s="79" t="str">
        <f>+VLOOKUP(F500,[3]Material!$C$2:$E$12,2,FALSE)</f>
        <v>Cal 14</v>
      </c>
      <c r="R500" s="81">
        <f>+IF(P500="ACERO A36",VLOOKUP(Q500,'[3]Velocidades Std 1500 w'!$B$2:$F$15,5,FALSE),IF(P500="INOXIDABLE",VLOOKUP(Q500,'[3]Velocidades Std 1500 w'!$B$17:$F$28,5,FALSE),IF(P500="ALUMINIO",VLOOKUP(Q500,'[3]Velocidades Std 1500 w'!$B$30:$F$38,5,FALSE))))</f>
        <v>2.0080321285140564E-6</v>
      </c>
      <c r="S500" s="82">
        <f t="shared" si="68"/>
        <v>1.0040160642570283E-2</v>
      </c>
      <c r="T500" s="83">
        <f t="shared" si="69"/>
        <v>18.843800963855426</v>
      </c>
      <c r="U500" s="307">
        <f t="shared" si="70"/>
        <v>2606.7258000000002</v>
      </c>
      <c r="V500" s="80">
        <f t="shared" si="75"/>
        <v>26.171945783132536</v>
      </c>
      <c r="W500" s="98">
        <v>35</v>
      </c>
      <c r="X500" s="84">
        <f>+IF(P500="ACERO A36",VLOOKUP(Q500,'[3]Tiempo Objeto'!$B$2:$C$12,2,FALSE),IF(P500="INOXIDABLE",VLOOKUP(Q500,'[3]Tiempo Objeto'!$B$14:$C$22,2,FALSE),IF(P500="ALUMINIO",VLOOKUP(Q500,'[3]Tiempo Objeto'!$B$24:$C$32,2,FALSE))))</f>
        <v>0.3133333333333333</v>
      </c>
      <c r="Y500" s="84">
        <f t="shared" si="71"/>
        <v>10.966666666666665</v>
      </c>
      <c r="Z500" s="80">
        <f t="shared" si="72"/>
        <v>15.231481481481481</v>
      </c>
      <c r="AA500" s="100">
        <v>1</v>
      </c>
      <c r="AB500" s="86">
        <f>+AA500*Analisis!$J$6</f>
        <v>25</v>
      </c>
      <c r="AC500" s="100"/>
      <c r="AD500" s="85">
        <f t="shared" si="73"/>
        <v>0</v>
      </c>
      <c r="AE500" s="86">
        <f>+AC500*Analisis!$J$7</f>
        <v>0</v>
      </c>
      <c r="AF500" s="308">
        <f>+H500*0.0254*I500*0.0254*2*(1+[3]Analisis!$G$2)</f>
        <v>0.14940695925</v>
      </c>
      <c r="AG500" s="86">
        <f>+AF500*Analisis!$J$8</f>
        <v>15.918955777232147</v>
      </c>
      <c r="AH500" s="309">
        <f t="shared" si="64"/>
        <v>120.82276585434616</v>
      </c>
      <c r="AI500" s="86">
        <f>+AH500/(1-Analisis!G505)</f>
        <v>120.82276585434616</v>
      </c>
      <c r="AJ500" s="86">
        <f t="shared" si="74"/>
        <v>129.91695253155501</v>
      </c>
      <c r="AK500" s="86">
        <f t="shared" si="65"/>
        <v>0</v>
      </c>
      <c r="AL500" s="310" t="e">
        <f>+VLOOKUP(B500,#REF!,2,FALSE)</f>
        <v>#REF!</v>
      </c>
      <c r="AM500" s="311" t="e">
        <f t="shared" si="79"/>
        <v>#REF!</v>
      </c>
      <c r="AN500" s="312" t="e">
        <f t="shared" si="78"/>
        <v>#REF!</v>
      </c>
    </row>
    <row r="501" spans="1:40" s="73" customFormat="1" x14ac:dyDescent="0.25">
      <c r="A501" s="326"/>
      <c r="B501" s="327" t="s">
        <v>1258</v>
      </c>
      <c r="D501" s="74">
        <f>IFERROR(VLOOKUP(B501,'REQ. PINTADO'!B:C,2,0),0)</f>
        <v>0</v>
      </c>
      <c r="E501" s="305">
        <f t="shared" si="66"/>
        <v>183.80430310206521</v>
      </c>
      <c r="F501" s="103" t="s">
        <v>146</v>
      </c>
      <c r="G501" s="75" t="s">
        <v>147</v>
      </c>
      <c r="H501" s="90">
        <v>20</v>
      </c>
      <c r="I501" s="90">
        <v>2</v>
      </c>
      <c r="J501" s="76">
        <v>0.105</v>
      </c>
      <c r="K501" s="306">
        <v>16.38</v>
      </c>
      <c r="L501" s="78">
        <f t="shared" si="67"/>
        <v>12.405033238366574</v>
      </c>
      <c r="M501" s="58">
        <f>+VLOOKUP(F501,Material!$H$2:$M$17,6,FALSE)*H501*I501*(1+Material!$K$14)</f>
        <v>92.361111111111114</v>
      </c>
      <c r="N501" s="79" t="str">
        <f t="shared" si="80"/>
        <v>T5.0</v>
      </c>
      <c r="O501" s="80">
        <f>+VLOOKUP(N501,[3]Material!$A$3:$B$58,2,FALSE)</f>
        <v>5000</v>
      </c>
      <c r="P501" s="79" t="s">
        <v>42</v>
      </c>
      <c r="Q501" s="79" t="str">
        <f>+VLOOKUP(F501,[3]Material!$C$2:$E$12,2,FALSE)</f>
        <v>1/4´´</v>
      </c>
      <c r="R501" s="81">
        <f>+IF(P501="ACERO A36",VLOOKUP(Q501,'[3]Velocidades Std 1500 w'!$B$2:$F$15,5,FALSE),IF(P501="INOXIDABLE",VLOOKUP(Q501,'[3]Velocidades Std 1500 w'!$B$17:$F$28,5,FALSE),IF(P501="ALUMINIO",VLOOKUP(Q501,'[3]Velocidades Std 1500 w'!$B$30:$F$38,5,FALSE))))</f>
        <v>1.0416666666666666E-5</v>
      </c>
      <c r="S501" s="82">
        <f t="shared" si="68"/>
        <v>5.2083333333333329E-2</v>
      </c>
      <c r="T501" s="83">
        <f t="shared" si="69"/>
        <v>48.506062499999999</v>
      </c>
      <c r="U501" s="307">
        <f t="shared" si="70"/>
        <v>1293.4949999999999</v>
      </c>
      <c r="V501" s="80">
        <f t="shared" si="75"/>
        <v>67.369531249999994</v>
      </c>
      <c r="W501" s="98">
        <v>3</v>
      </c>
      <c r="X501" s="84">
        <f>+IF(P501="ACERO A36",VLOOKUP(Q501,'[3]Tiempo Objeto'!$B$2:$C$12,2,FALSE),IF(P501="INOXIDABLE",VLOOKUP(Q501,'[3]Tiempo Objeto'!$B$14:$C$22,2,FALSE),IF(P501="ALUMINIO",VLOOKUP(Q501,'[3]Tiempo Objeto'!$B$24:$C$32,2,FALSE))))</f>
        <v>1.04</v>
      </c>
      <c r="Y501" s="84">
        <f t="shared" si="71"/>
        <v>3.12</v>
      </c>
      <c r="Z501" s="80">
        <f t="shared" si="72"/>
        <v>4.333333333333333</v>
      </c>
      <c r="AA501" s="100">
        <v>0</v>
      </c>
      <c r="AB501" s="86">
        <f>+AA501*Analisis!$J$6</f>
        <v>0</v>
      </c>
      <c r="AC501" s="100"/>
      <c r="AD501" s="85">
        <f t="shared" si="73"/>
        <v>0</v>
      </c>
      <c r="AE501" s="86">
        <f>+AC501*Analisis!$J$7</f>
        <v>0</v>
      </c>
      <c r="AF501" s="308">
        <f>+H501*0.0254*I501*0.0254*2*(1+[3]Analisis!$G$2)</f>
        <v>6.4516000000000004E-2</v>
      </c>
      <c r="AG501" s="86">
        <f>+AF501*Analisis!$J$8</f>
        <v>6.8740261904761928</v>
      </c>
      <c r="AH501" s="309">
        <f t="shared" si="64"/>
        <v>170.93800188492062</v>
      </c>
      <c r="AI501" s="86">
        <f>+AH501/(1-Analisis!G506)</f>
        <v>170.93800188492062</v>
      </c>
      <c r="AJ501" s="86">
        <f t="shared" si="74"/>
        <v>183.80430310206521</v>
      </c>
      <c r="AK501" s="86">
        <f t="shared" si="65"/>
        <v>0</v>
      </c>
      <c r="AL501" s="310" t="e">
        <f>+VLOOKUP(B501,#REF!,2,FALSE)</f>
        <v>#REF!</v>
      </c>
      <c r="AM501" s="311" t="e">
        <f t="shared" si="79"/>
        <v>#REF!</v>
      </c>
      <c r="AN501" s="312" t="e">
        <f t="shared" si="78"/>
        <v>#REF!</v>
      </c>
    </row>
    <row r="502" spans="1:40" s="73" customFormat="1" x14ac:dyDescent="0.25">
      <c r="A502" s="326"/>
      <c r="B502" s="327" t="s">
        <v>1259</v>
      </c>
      <c r="D502" s="74">
        <f>IFERROR(VLOOKUP(B502,'REQ. PINTADO'!B:C,2,0),0)</f>
        <v>0</v>
      </c>
      <c r="E502" s="305">
        <f t="shared" si="66"/>
        <v>379.85692448151866</v>
      </c>
      <c r="F502" s="103" t="s">
        <v>163</v>
      </c>
      <c r="G502" s="75" t="s">
        <v>147</v>
      </c>
      <c r="H502" s="90">
        <v>8.7200000000000006</v>
      </c>
      <c r="I502" s="90">
        <v>38</v>
      </c>
      <c r="J502" s="76">
        <v>0.105</v>
      </c>
      <c r="K502" s="306">
        <v>16.38</v>
      </c>
      <c r="L502" s="78">
        <f t="shared" si="67"/>
        <v>16.705609570120377</v>
      </c>
      <c r="M502" s="58">
        <f>+VLOOKUP(F502,Material!$H$2:$M$17,6,FALSE)*H502*I502*(1+Material!$K$14)</f>
        <v>124.38085670844171</v>
      </c>
      <c r="N502" s="79" t="str">
        <f t="shared" si="80"/>
        <v>T5.0</v>
      </c>
      <c r="O502" s="80">
        <f>+VLOOKUP(N502,[3]Material!$A$3:$B$58,2,FALSE)</f>
        <v>5000</v>
      </c>
      <c r="P502" s="79" t="s">
        <v>42</v>
      </c>
      <c r="Q502" s="79" t="str">
        <f>+VLOOKUP(F502,[3]Material!$C$2:$E$12,2,FALSE)</f>
        <v>Cal 12</v>
      </c>
      <c r="R502" s="81">
        <f>+IF(P502="ACERO A36",VLOOKUP(Q502,'[3]Velocidades Std 1500 w'!$B$2:$F$15,5,FALSE),IF(P502="INOXIDABLE",VLOOKUP(Q502,'[3]Velocidades Std 1500 w'!$B$17:$F$28,5,FALSE),IF(P502="ALUMINIO",VLOOKUP(Q502,'[3]Velocidades Std 1500 w'!$B$30:$F$38,5,FALSE))))</f>
        <v>4.3859649122807014E-6</v>
      </c>
      <c r="S502" s="82">
        <f t="shared" si="68"/>
        <v>2.1929824561403508E-2</v>
      </c>
      <c r="T502" s="83">
        <f t="shared" si="69"/>
        <v>45.664654736842095</v>
      </c>
      <c r="U502" s="307">
        <f t="shared" si="70"/>
        <v>2892.0947999999999</v>
      </c>
      <c r="V502" s="80">
        <f t="shared" si="75"/>
        <v>63.423131578947363</v>
      </c>
      <c r="W502" s="98">
        <v>10</v>
      </c>
      <c r="X502" s="84">
        <f>+IF(P502="ACERO A36",VLOOKUP(Q502,'[3]Tiempo Objeto'!$B$2:$C$12,2,FALSE),IF(P502="INOXIDABLE",VLOOKUP(Q502,'[3]Tiempo Objeto'!$B$14:$C$22,2,FALSE),IF(P502="ALUMINIO",VLOOKUP(Q502,'[3]Tiempo Objeto'!$B$24:$C$32,2,FALSE))))</f>
        <v>0.6133333333333334</v>
      </c>
      <c r="Y502" s="84">
        <f t="shared" si="71"/>
        <v>6.1333333333333337</v>
      </c>
      <c r="Z502" s="80">
        <f t="shared" si="72"/>
        <v>8.518518518518519</v>
      </c>
      <c r="AA502" s="100">
        <v>4</v>
      </c>
      <c r="AB502" s="86">
        <f>+AA502*Analisis!$J$6</f>
        <v>100</v>
      </c>
      <c r="AC502" s="100"/>
      <c r="AD502" s="85">
        <f t="shared" si="73"/>
        <v>0</v>
      </c>
      <c r="AE502" s="86">
        <f>+AC502*Analisis!$J$7</f>
        <v>0</v>
      </c>
      <c r="AF502" s="308">
        <f>+H502*0.0254*I502*0.0254*2*(1+[3]Analisis!$G$2)</f>
        <v>0.53445054400000003</v>
      </c>
      <c r="AG502" s="86">
        <f>+AF502*Analisis!$J$8</f>
        <v>56.944432961904781</v>
      </c>
      <c r="AH502" s="309">
        <f t="shared" si="64"/>
        <v>353.26693976781235</v>
      </c>
      <c r="AI502" s="86">
        <f>+AH502/(1-Analisis!G507)</f>
        <v>353.26693976781235</v>
      </c>
      <c r="AJ502" s="86">
        <f t="shared" si="74"/>
        <v>379.85692448151866</v>
      </c>
      <c r="AK502" s="86">
        <f t="shared" si="65"/>
        <v>0</v>
      </c>
      <c r="AL502" s="310" t="e">
        <f>+VLOOKUP(B502,#REF!,2,FALSE)</f>
        <v>#REF!</v>
      </c>
      <c r="AM502" s="311" t="e">
        <f t="shared" si="79"/>
        <v>#REF!</v>
      </c>
      <c r="AN502" s="312" t="e">
        <f t="shared" si="78"/>
        <v>#REF!</v>
      </c>
    </row>
    <row r="503" spans="1:40" s="73" customFormat="1" x14ac:dyDescent="0.25">
      <c r="A503" s="326"/>
      <c r="B503" s="327" t="s">
        <v>1260</v>
      </c>
      <c r="D503" s="74">
        <f>IFERROR(VLOOKUP(B503,'REQ. PINTADO'!B:C,2,0),0)</f>
        <v>0</v>
      </c>
      <c r="E503" s="305">
        <f t="shared" si="66"/>
        <v>1463.1720903698292</v>
      </c>
      <c r="F503" s="103" t="s">
        <v>163</v>
      </c>
      <c r="G503" s="75" t="s">
        <v>147</v>
      </c>
      <c r="H503" s="90">
        <v>19.34</v>
      </c>
      <c r="I503" s="90">
        <v>39.14</v>
      </c>
      <c r="J503" s="76">
        <v>0.105</v>
      </c>
      <c r="K503" s="306">
        <v>16.38</v>
      </c>
      <c r="L503" s="78">
        <f t="shared" si="67"/>
        <v>38.162738963155029</v>
      </c>
      <c r="M503" s="58">
        <f>+VLOOKUP(F503,Material!$H$2:$M$17,6,FALSE)*H503*I503*(1+Material!$K$14)</f>
        <v>284.13893828021787</v>
      </c>
      <c r="N503" s="79" t="str">
        <f t="shared" si="80"/>
        <v>T5.0</v>
      </c>
      <c r="O503" s="80">
        <f>+VLOOKUP(N503,[3]Material!$A$3:$B$58,2,FALSE)</f>
        <v>5000</v>
      </c>
      <c r="P503" s="79" t="s">
        <v>42</v>
      </c>
      <c r="Q503" s="79" t="str">
        <f>+VLOOKUP(F503,[3]Material!$C$2:$E$12,2,FALSE)</f>
        <v>Cal 12</v>
      </c>
      <c r="R503" s="81">
        <f>+IF(P503="ACERO A36",VLOOKUP(Q503,'[3]Velocidades Std 1500 w'!$B$2:$F$15,5,FALSE),IF(P503="INOXIDABLE",VLOOKUP(Q503,'[3]Velocidades Std 1500 w'!$B$17:$F$28,5,FALSE),IF(P503="ALUMINIO",VLOOKUP(Q503,'[3]Velocidades Std 1500 w'!$B$30:$F$38,5,FALSE))))</f>
        <v>4.3859649122807014E-6</v>
      </c>
      <c r="S503" s="82">
        <f t="shared" si="68"/>
        <v>2.1929824561403508E-2</v>
      </c>
      <c r="T503" s="83">
        <f t="shared" si="69"/>
        <v>333.49852421052628</v>
      </c>
      <c r="U503" s="307">
        <f t="shared" si="70"/>
        <v>21121.573199999999</v>
      </c>
      <c r="V503" s="80">
        <f t="shared" si="75"/>
        <v>463.19239473684206</v>
      </c>
      <c r="W503" s="98">
        <v>450</v>
      </c>
      <c r="X503" s="84">
        <f>+IF(P503="ACERO A36",VLOOKUP(Q503,'[3]Tiempo Objeto'!$B$2:$C$12,2,FALSE),IF(P503="INOXIDABLE",VLOOKUP(Q503,'[3]Tiempo Objeto'!$B$14:$C$22,2,FALSE),IF(P503="ALUMINIO",VLOOKUP(Q503,'[3]Tiempo Objeto'!$B$24:$C$32,2,FALSE))))</f>
        <v>0.6133333333333334</v>
      </c>
      <c r="Y503" s="84">
        <f t="shared" si="71"/>
        <v>276.00000000000006</v>
      </c>
      <c r="Z503" s="80">
        <f t="shared" si="72"/>
        <v>383.33333333333337</v>
      </c>
      <c r="AA503" s="100">
        <v>4</v>
      </c>
      <c r="AB503" s="86">
        <f>+AA503*Analisis!$J$6</f>
        <v>100</v>
      </c>
      <c r="AC503" s="100"/>
      <c r="AD503" s="85">
        <f t="shared" si="73"/>
        <v>0</v>
      </c>
      <c r="AE503" s="86">
        <f>+AC503*Analisis!$J$7</f>
        <v>0</v>
      </c>
      <c r="AF503" s="308">
        <f>+H503*0.0254*I503*0.0254*2*(1+[3]Analisis!$G$2)</f>
        <v>1.2209130420399998</v>
      </c>
      <c r="AG503" s="86">
        <f>+AF503*Analisis!$J$8</f>
        <v>130.08537769354763</v>
      </c>
      <c r="AH503" s="309">
        <f t="shared" si="64"/>
        <v>1360.750044043941</v>
      </c>
      <c r="AI503" s="86">
        <f>+AH503/(1-Analisis!G508)</f>
        <v>1360.750044043941</v>
      </c>
      <c r="AJ503" s="86">
        <f t="shared" si="74"/>
        <v>1463.1720903698292</v>
      </c>
      <c r="AK503" s="86">
        <f t="shared" si="65"/>
        <v>0</v>
      </c>
      <c r="AL503" s="310" t="e">
        <f>+VLOOKUP(B503,#REF!,2,FALSE)</f>
        <v>#REF!</v>
      </c>
      <c r="AM503" s="311" t="e">
        <f t="shared" si="79"/>
        <v>#REF!</v>
      </c>
      <c r="AN503" s="312" t="e">
        <f t="shared" si="78"/>
        <v>#REF!</v>
      </c>
    </row>
    <row r="504" spans="1:40" s="73" customFormat="1" x14ac:dyDescent="0.25">
      <c r="A504" s="326"/>
      <c r="B504" s="327" t="s">
        <v>1261</v>
      </c>
      <c r="D504" s="74">
        <f>IFERROR(VLOOKUP(B504,'REQ. PINTADO'!B:C,2,0),0)</f>
        <v>0</v>
      </c>
      <c r="E504" s="305">
        <f t="shared" si="66"/>
        <v>834.22630357985599</v>
      </c>
      <c r="F504" s="103" t="s">
        <v>163</v>
      </c>
      <c r="G504" s="75" t="s">
        <v>147</v>
      </c>
      <c r="H504" s="90">
        <v>23.33</v>
      </c>
      <c r="I504" s="90">
        <v>41.02</v>
      </c>
      <c r="J504" s="76">
        <v>0.105</v>
      </c>
      <c r="K504" s="306">
        <v>16.38</v>
      </c>
      <c r="L504" s="78">
        <f t="shared" si="67"/>
        <v>48.247258448613785</v>
      </c>
      <c r="M504" s="58">
        <f>+VLOOKUP(F504,Material!$H$2:$M$17,6,FALSE)*H504*I504*(1+Material!$K$14)</f>
        <v>359.22276972195164</v>
      </c>
      <c r="N504" s="79" t="str">
        <f t="shared" si="80"/>
        <v>T5.0</v>
      </c>
      <c r="O504" s="80">
        <f>+VLOOKUP(N504,[3]Material!$A$3:$B$58,2,FALSE)</f>
        <v>5000</v>
      </c>
      <c r="P504" s="79" t="s">
        <v>42</v>
      </c>
      <c r="Q504" s="79" t="str">
        <f>+VLOOKUP(F504,[3]Material!$C$2:$E$12,2,FALSE)</f>
        <v>Cal 12</v>
      </c>
      <c r="R504" s="81">
        <f>+IF(P504="ACERO A36",VLOOKUP(Q504,'[3]Velocidades Std 1500 w'!$B$2:$F$15,5,FALSE),IF(P504="INOXIDABLE",VLOOKUP(Q504,'[3]Velocidades Std 1500 w'!$B$17:$F$28,5,FALSE),IF(P504="ALUMINIO",VLOOKUP(Q504,'[3]Velocidades Std 1500 w'!$B$30:$F$38,5,FALSE))))</f>
        <v>4.3859649122807014E-6</v>
      </c>
      <c r="S504" s="82">
        <f t="shared" si="68"/>
        <v>2.1929824561403508E-2</v>
      </c>
      <c r="T504" s="83">
        <f t="shared" si="69"/>
        <v>73.145984210526308</v>
      </c>
      <c r="U504" s="307">
        <f t="shared" si="70"/>
        <v>4632.5789999999997</v>
      </c>
      <c r="V504" s="80">
        <f t="shared" si="75"/>
        <v>101.5916447368421</v>
      </c>
      <c r="W504" s="98">
        <v>30</v>
      </c>
      <c r="X504" s="84">
        <f>+IF(P504="ACERO A36",VLOOKUP(Q504,'[3]Tiempo Objeto'!$B$2:$C$12,2,FALSE),IF(P504="INOXIDABLE",VLOOKUP(Q504,'[3]Tiempo Objeto'!$B$14:$C$22,2,FALSE),IF(P504="ALUMINIO",VLOOKUP(Q504,'[3]Tiempo Objeto'!$B$24:$C$32,2,FALSE))))</f>
        <v>0.6133333333333334</v>
      </c>
      <c r="Y504" s="84">
        <f t="shared" si="71"/>
        <v>18.400000000000002</v>
      </c>
      <c r="Z504" s="80">
        <f t="shared" si="72"/>
        <v>25.555555555555561</v>
      </c>
      <c r="AA504" s="100">
        <v>5</v>
      </c>
      <c r="AB504" s="86">
        <f>+AA504*Analisis!$J$6</f>
        <v>125</v>
      </c>
      <c r="AC504" s="100"/>
      <c r="AD504" s="85">
        <f t="shared" si="73"/>
        <v>0</v>
      </c>
      <c r="AE504" s="86">
        <f>+AC504*Analisis!$J$7</f>
        <v>0</v>
      </c>
      <c r="AF504" s="308">
        <f>+H504*0.0254*I504*0.0254*2*(1+[3]Analisis!$G$2)</f>
        <v>1.54353981614</v>
      </c>
      <c r="AG504" s="86">
        <f>+AF504*Analisis!$J$8</f>
        <v>164.46049231491671</v>
      </c>
      <c r="AH504" s="309">
        <f t="shared" si="64"/>
        <v>775.83046232926597</v>
      </c>
      <c r="AI504" s="86">
        <f>+AH504/(1-Analisis!G509)</f>
        <v>775.83046232926597</v>
      </c>
      <c r="AJ504" s="86">
        <f t="shared" si="74"/>
        <v>834.22630357985599</v>
      </c>
      <c r="AK504" s="86">
        <f t="shared" si="65"/>
        <v>0</v>
      </c>
      <c r="AL504" s="310" t="e">
        <f>+VLOOKUP(B504,#REF!,2,FALSE)</f>
        <v>#REF!</v>
      </c>
      <c r="AM504" s="311" t="e">
        <f t="shared" si="79"/>
        <v>#REF!</v>
      </c>
      <c r="AN504" s="312" t="e">
        <f t="shared" si="78"/>
        <v>#REF!</v>
      </c>
    </row>
    <row r="505" spans="1:40" s="73" customFormat="1" x14ac:dyDescent="0.25">
      <c r="A505" s="326"/>
      <c r="B505" s="327" t="s">
        <v>1262</v>
      </c>
      <c r="D505" s="74">
        <f>IFERROR(VLOOKUP(B505,'REQ. PINTADO'!B:C,2,0),0)</f>
        <v>0</v>
      </c>
      <c r="E505" s="305">
        <f t="shared" si="66"/>
        <v>834.22630357985599</v>
      </c>
      <c r="F505" s="103" t="s">
        <v>163</v>
      </c>
      <c r="G505" s="75" t="s">
        <v>147</v>
      </c>
      <c r="H505" s="90">
        <v>23.33</v>
      </c>
      <c r="I505" s="90">
        <v>41.02</v>
      </c>
      <c r="J505" s="76">
        <v>0.105</v>
      </c>
      <c r="K505" s="306">
        <v>16.38</v>
      </c>
      <c r="L505" s="78">
        <f t="shared" si="67"/>
        <v>48.247258448613785</v>
      </c>
      <c r="M505" s="58">
        <f>+VLOOKUP(F505,Material!$H$2:$M$17,6,FALSE)*H505*I505*(1+Material!$K$14)</f>
        <v>359.22276972195164</v>
      </c>
      <c r="N505" s="79" t="str">
        <f t="shared" si="80"/>
        <v>T5.0</v>
      </c>
      <c r="O505" s="80">
        <f>+VLOOKUP(N505,[3]Material!$A$3:$B$58,2,FALSE)</f>
        <v>5000</v>
      </c>
      <c r="P505" s="79" t="s">
        <v>42</v>
      </c>
      <c r="Q505" s="79" t="str">
        <f>+VLOOKUP(F505,[3]Material!$C$2:$E$12,2,FALSE)</f>
        <v>Cal 12</v>
      </c>
      <c r="R505" s="81">
        <f>+IF(P505="ACERO A36",VLOOKUP(Q505,'[3]Velocidades Std 1500 w'!$B$2:$F$15,5,FALSE),IF(P505="INOXIDABLE",VLOOKUP(Q505,'[3]Velocidades Std 1500 w'!$B$17:$F$28,5,FALSE),IF(P505="ALUMINIO",VLOOKUP(Q505,'[3]Velocidades Std 1500 w'!$B$30:$F$38,5,FALSE))))</f>
        <v>4.3859649122807014E-6</v>
      </c>
      <c r="S505" s="82">
        <f t="shared" si="68"/>
        <v>2.1929824561403508E-2</v>
      </c>
      <c r="T505" s="83">
        <f t="shared" si="69"/>
        <v>73.145984210526308</v>
      </c>
      <c r="U505" s="307">
        <f t="shared" si="70"/>
        <v>4632.5789999999997</v>
      </c>
      <c r="V505" s="80">
        <f t="shared" si="75"/>
        <v>101.5916447368421</v>
      </c>
      <c r="W505" s="98">
        <v>30</v>
      </c>
      <c r="X505" s="84">
        <f>+IF(P505="ACERO A36",VLOOKUP(Q505,'[3]Tiempo Objeto'!$B$2:$C$12,2,FALSE),IF(P505="INOXIDABLE",VLOOKUP(Q505,'[3]Tiempo Objeto'!$B$14:$C$22,2,FALSE),IF(P505="ALUMINIO",VLOOKUP(Q505,'[3]Tiempo Objeto'!$B$24:$C$32,2,FALSE))))</f>
        <v>0.6133333333333334</v>
      </c>
      <c r="Y505" s="84">
        <f t="shared" si="71"/>
        <v>18.400000000000002</v>
      </c>
      <c r="Z505" s="80">
        <f t="shared" si="72"/>
        <v>25.555555555555561</v>
      </c>
      <c r="AA505" s="100">
        <v>5</v>
      </c>
      <c r="AB505" s="86">
        <f>+AA505*Analisis!$J$6</f>
        <v>125</v>
      </c>
      <c r="AC505" s="100"/>
      <c r="AD505" s="85">
        <f t="shared" si="73"/>
        <v>0</v>
      </c>
      <c r="AE505" s="86">
        <f>+AC505*Analisis!$J$7</f>
        <v>0</v>
      </c>
      <c r="AF505" s="308">
        <f>+H505*0.0254*I505*0.0254*2*(1+[3]Analisis!$G$2)</f>
        <v>1.54353981614</v>
      </c>
      <c r="AG505" s="86">
        <f>+AF505*Analisis!$J$8</f>
        <v>164.46049231491671</v>
      </c>
      <c r="AH505" s="309">
        <f t="shared" si="64"/>
        <v>775.83046232926597</v>
      </c>
      <c r="AI505" s="86">
        <f>+AH505/(1-Analisis!G510)</f>
        <v>775.83046232926597</v>
      </c>
      <c r="AJ505" s="86">
        <f t="shared" si="74"/>
        <v>834.22630357985599</v>
      </c>
      <c r="AK505" s="86">
        <f t="shared" si="65"/>
        <v>0</v>
      </c>
      <c r="AL505" s="310" t="e">
        <f>+VLOOKUP(B505,#REF!,2,FALSE)</f>
        <v>#REF!</v>
      </c>
      <c r="AM505" s="311" t="e">
        <f t="shared" si="79"/>
        <v>#REF!</v>
      </c>
      <c r="AN505" s="312" t="e">
        <f t="shared" si="78"/>
        <v>#REF!</v>
      </c>
    </row>
    <row r="506" spans="1:40" s="73" customFormat="1" x14ac:dyDescent="0.25">
      <c r="A506" s="326"/>
      <c r="B506" s="327" t="s">
        <v>1263</v>
      </c>
      <c r="D506" s="74">
        <f>IFERROR(VLOOKUP(B506,'REQ. PINTADO'!B:C,2,0),0)</f>
        <v>0</v>
      </c>
      <c r="E506" s="305">
        <f t="shared" si="66"/>
        <v>834.22630357985599</v>
      </c>
      <c r="F506" s="103" t="s">
        <v>163</v>
      </c>
      <c r="G506" s="75" t="s">
        <v>147</v>
      </c>
      <c r="H506" s="90">
        <v>23.33</v>
      </c>
      <c r="I506" s="90">
        <v>41.02</v>
      </c>
      <c r="J506" s="76">
        <v>0.105</v>
      </c>
      <c r="K506" s="306">
        <v>16.38</v>
      </c>
      <c r="L506" s="78">
        <f t="shared" si="67"/>
        <v>48.247258448613785</v>
      </c>
      <c r="M506" s="58">
        <f>+VLOOKUP(F506,Material!$H$2:$M$17,6,FALSE)*H506*I506*(1+Material!$K$14)</f>
        <v>359.22276972195164</v>
      </c>
      <c r="N506" s="79" t="str">
        <f t="shared" si="80"/>
        <v>T5.0</v>
      </c>
      <c r="O506" s="80">
        <f>+VLOOKUP(N506,[3]Material!$A$3:$B$58,2,FALSE)</f>
        <v>5000</v>
      </c>
      <c r="P506" s="79" t="s">
        <v>42</v>
      </c>
      <c r="Q506" s="79" t="str">
        <f>+VLOOKUP(F506,[3]Material!$C$2:$E$12,2,FALSE)</f>
        <v>Cal 12</v>
      </c>
      <c r="R506" s="81">
        <f>+IF(P506="ACERO A36",VLOOKUP(Q506,'[3]Velocidades Std 1500 w'!$B$2:$F$15,5,FALSE),IF(P506="INOXIDABLE",VLOOKUP(Q506,'[3]Velocidades Std 1500 w'!$B$17:$F$28,5,FALSE),IF(P506="ALUMINIO",VLOOKUP(Q506,'[3]Velocidades Std 1500 w'!$B$30:$F$38,5,FALSE))))</f>
        <v>4.3859649122807014E-6</v>
      </c>
      <c r="S506" s="82">
        <f t="shared" si="68"/>
        <v>2.1929824561403508E-2</v>
      </c>
      <c r="T506" s="83">
        <f t="shared" si="69"/>
        <v>73.145984210526308</v>
      </c>
      <c r="U506" s="307">
        <f t="shared" si="70"/>
        <v>4632.5789999999997</v>
      </c>
      <c r="V506" s="80">
        <f t="shared" si="75"/>
        <v>101.5916447368421</v>
      </c>
      <c r="W506" s="98">
        <v>30</v>
      </c>
      <c r="X506" s="84">
        <f>+IF(P506="ACERO A36",VLOOKUP(Q506,'[3]Tiempo Objeto'!$B$2:$C$12,2,FALSE),IF(P506="INOXIDABLE",VLOOKUP(Q506,'[3]Tiempo Objeto'!$B$14:$C$22,2,FALSE),IF(P506="ALUMINIO",VLOOKUP(Q506,'[3]Tiempo Objeto'!$B$24:$C$32,2,FALSE))))</f>
        <v>0.6133333333333334</v>
      </c>
      <c r="Y506" s="84">
        <f t="shared" si="71"/>
        <v>18.400000000000002</v>
      </c>
      <c r="Z506" s="80">
        <f t="shared" si="72"/>
        <v>25.555555555555561</v>
      </c>
      <c r="AA506" s="100">
        <v>5</v>
      </c>
      <c r="AB506" s="86">
        <f>+AA506*Analisis!$J$6</f>
        <v>125</v>
      </c>
      <c r="AC506" s="100"/>
      <c r="AD506" s="85">
        <f t="shared" si="73"/>
        <v>0</v>
      </c>
      <c r="AE506" s="86">
        <f>+AC506*Analisis!$J$7</f>
        <v>0</v>
      </c>
      <c r="AF506" s="308">
        <f>+H506*0.0254*I506*0.0254*2*(1+[3]Analisis!$G$2)</f>
        <v>1.54353981614</v>
      </c>
      <c r="AG506" s="86">
        <f>+AF506*Analisis!$J$8</f>
        <v>164.46049231491671</v>
      </c>
      <c r="AH506" s="309">
        <f t="shared" si="64"/>
        <v>775.83046232926597</v>
      </c>
      <c r="AI506" s="86">
        <f>+AH506/(1-Analisis!G511)</f>
        <v>775.83046232926597</v>
      </c>
      <c r="AJ506" s="86">
        <f t="shared" si="74"/>
        <v>834.22630357985599</v>
      </c>
      <c r="AK506" s="86">
        <f t="shared" si="65"/>
        <v>0</v>
      </c>
      <c r="AL506" s="310" t="e">
        <f>+VLOOKUP(B506,#REF!,2,FALSE)</f>
        <v>#REF!</v>
      </c>
      <c r="AM506" s="311" t="e">
        <f t="shared" si="79"/>
        <v>#REF!</v>
      </c>
      <c r="AN506" s="312" t="e">
        <f t="shared" si="78"/>
        <v>#REF!</v>
      </c>
    </row>
    <row r="507" spans="1:40" s="73" customFormat="1" x14ac:dyDescent="0.25">
      <c r="A507" s="326"/>
      <c r="B507" s="327" t="s">
        <v>1264</v>
      </c>
      <c r="D507" s="74">
        <f>IFERROR(VLOOKUP(B507,'REQ. PINTADO'!B:C,2,0),0)</f>
        <v>0</v>
      </c>
      <c r="E507" s="305">
        <f t="shared" si="66"/>
        <v>834.22630357985599</v>
      </c>
      <c r="F507" s="103" t="s">
        <v>163</v>
      </c>
      <c r="G507" s="75" t="s">
        <v>147</v>
      </c>
      <c r="H507" s="90">
        <v>23.33</v>
      </c>
      <c r="I507" s="90">
        <v>41.02</v>
      </c>
      <c r="J507" s="76">
        <v>0.105</v>
      </c>
      <c r="K507" s="306">
        <v>16.38</v>
      </c>
      <c r="L507" s="78">
        <f t="shared" si="67"/>
        <v>48.247258448613785</v>
      </c>
      <c r="M507" s="58">
        <f>+VLOOKUP(F507,Material!$H$2:$M$17,6,FALSE)*H507*I507*(1+Material!$K$14)</f>
        <v>359.22276972195164</v>
      </c>
      <c r="N507" s="79" t="str">
        <f t="shared" si="80"/>
        <v>T5.0</v>
      </c>
      <c r="O507" s="80">
        <f>+VLOOKUP(N507,[3]Material!$A$3:$B$58,2,FALSE)</f>
        <v>5000</v>
      </c>
      <c r="P507" s="79" t="s">
        <v>42</v>
      </c>
      <c r="Q507" s="79" t="str">
        <f>+VLOOKUP(F507,[3]Material!$C$2:$E$12,2,FALSE)</f>
        <v>Cal 12</v>
      </c>
      <c r="R507" s="81">
        <f>+IF(P507="ACERO A36",VLOOKUP(Q507,'[3]Velocidades Std 1500 w'!$B$2:$F$15,5,FALSE),IF(P507="INOXIDABLE",VLOOKUP(Q507,'[3]Velocidades Std 1500 w'!$B$17:$F$28,5,FALSE),IF(P507="ALUMINIO",VLOOKUP(Q507,'[3]Velocidades Std 1500 w'!$B$30:$F$38,5,FALSE))))</f>
        <v>4.3859649122807014E-6</v>
      </c>
      <c r="S507" s="82">
        <f t="shared" si="68"/>
        <v>2.1929824561403508E-2</v>
      </c>
      <c r="T507" s="83">
        <f t="shared" si="69"/>
        <v>73.145984210526308</v>
      </c>
      <c r="U507" s="307">
        <f t="shared" si="70"/>
        <v>4632.5789999999997</v>
      </c>
      <c r="V507" s="80">
        <f t="shared" si="75"/>
        <v>101.5916447368421</v>
      </c>
      <c r="W507" s="98">
        <v>30</v>
      </c>
      <c r="X507" s="84">
        <f>+IF(P507="ACERO A36",VLOOKUP(Q507,'[3]Tiempo Objeto'!$B$2:$C$12,2,FALSE),IF(P507="INOXIDABLE",VLOOKUP(Q507,'[3]Tiempo Objeto'!$B$14:$C$22,2,FALSE),IF(P507="ALUMINIO",VLOOKUP(Q507,'[3]Tiempo Objeto'!$B$24:$C$32,2,FALSE))))</f>
        <v>0.6133333333333334</v>
      </c>
      <c r="Y507" s="84">
        <f t="shared" si="71"/>
        <v>18.400000000000002</v>
      </c>
      <c r="Z507" s="80">
        <f t="shared" si="72"/>
        <v>25.555555555555561</v>
      </c>
      <c r="AA507" s="100">
        <v>5</v>
      </c>
      <c r="AB507" s="86">
        <f>+AA507*Analisis!$J$6</f>
        <v>125</v>
      </c>
      <c r="AC507" s="100"/>
      <c r="AD507" s="85">
        <f t="shared" si="73"/>
        <v>0</v>
      </c>
      <c r="AE507" s="86">
        <f>+AC507*Analisis!$J$7</f>
        <v>0</v>
      </c>
      <c r="AF507" s="308">
        <f>+H507*0.0254*I507*0.0254*2*(1+[3]Analisis!$G$2)</f>
        <v>1.54353981614</v>
      </c>
      <c r="AG507" s="86">
        <f>+AF507*Analisis!$J$8</f>
        <v>164.46049231491671</v>
      </c>
      <c r="AH507" s="309">
        <f t="shared" si="64"/>
        <v>775.83046232926597</v>
      </c>
      <c r="AI507" s="86">
        <f>+AH507/(1-Analisis!G512)</f>
        <v>775.83046232926597</v>
      </c>
      <c r="AJ507" s="86">
        <f t="shared" si="74"/>
        <v>834.22630357985599</v>
      </c>
      <c r="AK507" s="86">
        <f t="shared" si="65"/>
        <v>0</v>
      </c>
      <c r="AL507" s="310" t="e">
        <f>+VLOOKUP(B507,#REF!,2,FALSE)</f>
        <v>#REF!</v>
      </c>
      <c r="AM507" s="311" t="e">
        <f t="shared" si="79"/>
        <v>#REF!</v>
      </c>
      <c r="AN507" s="312" t="e">
        <f t="shared" si="78"/>
        <v>#REF!</v>
      </c>
    </row>
    <row r="508" spans="1:40" s="73" customFormat="1" x14ac:dyDescent="0.25">
      <c r="A508" s="326"/>
      <c r="B508" s="327" t="s">
        <v>1265</v>
      </c>
      <c r="D508" s="74">
        <f>IFERROR(VLOOKUP(B508,'REQ. PINTADO'!B:C,2,0),0)</f>
        <v>0</v>
      </c>
      <c r="E508" s="305">
        <f t="shared" si="66"/>
        <v>834.22630357985599</v>
      </c>
      <c r="F508" s="103" t="s">
        <v>163</v>
      </c>
      <c r="G508" s="75" t="s">
        <v>147</v>
      </c>
      <c r="H508" s="90">
        <v>23.33</v>
      </c>
      <c r="I508" s="90">
        <v>41.02</v>
      </c>
      <c r="J508" s="76">
        <v>0.105</v>
      </c>
      <c r="K508" s="306">
        <v>16.38</v>
      </c>
      <c r="L508" s="78">
        <f t="shared" si="67"/>
        <v>48.247258448613785</v>
      </c>
      <c r="M508" s="58">
        <f>+VLOOKUP(F508,Material!$H$2:$M$17,6,FALSE)*H508*I508*(1+Material!$K$14)</f>
        <v>359.22276972195164</v>
      </c>
      <c r="N508" s="79" t="str">
        <f t="shared" si="80"/>
        <v>T5.0</v>
      </c>
      <c r="O508" s="80">
        <f>+VLOOKUP(N508,[3]Material!$A$3:$B$58,2,FALSE)</f>
        <v>5000</v>
      </c>
      <c r="P508" s="79" t="s">
        <v>42</v>
      </c>
      <c r="Q508" s="79" t="str">
        <f>+VLOOKUP(F508,[3]Material!$C$2:$E$12,2,FALSE)</f>
        <v>Cal 12</v>
      </c>
      <c r="R508" s="81">
        <f>+IF(P508="ACERO A36",VLOOKUP(Q508,'[3]Velocidades Std 1500 w'!$B$2:$F$15,5,FALSE),IF(P508="INOXIDABLE",VLOOKUP(Q508,'[3]Velocidades Std 1500 w'!$B$17:$F$28,5,FALSE),IF(P508="ALUMINIO",VLOOKUP(Q508,'[3]Velocidades Std 1500 w'!$B$30:$F$38,5,FALSE))))</f>
        <v>4.3859649122807014E-6</v>
      </c>
      <c r="S508" s="82">
        <f t="shared" si="68"/>
        <v>2.1929824561403508E-2</v>
      </c>
      <c r="T508" s="83">
        <f t="shared" si="69"/>
        <v>73.145984210526308</v>
      </c>
      <c r="U508" s="307">
        <f t="shared" si="70"/>
        <v>4632.5789999999997</v>
      </c>
      <c r="V508" s="80">
        <f t="shared" si="75"/>
        <v>101.5916447368421</v>
      </c>
      <c r="W508" s="98">
        <v>30</v>
      </c>
      <c r="X508" s="84">
        <f>+IF(P508="ACERO A36",VLOOKUP(Q508,'[3]Tiempo Objeto'!$B$2:$C$12,2,FALSE),IF(P508="INOXIDABLE",VLOOKUP(Q508,'[3]Tiempo Objeto'!$B$14:$C$22,2,FALSE),IF(P508="ALUMINIO",VLOOKUP(Q508,'[3]Tiempo Objeto'!$B$24:$C$32,2,FALSE))))</f>
        <v>0.6133333333333334</v>
      </c>
      <c r="Y508" s="84">
        <f t="shared" si="71"/>
        <v>18.400000000000002</v>
      </c>
      <c r="Z508" s="80">
        <f t="shared" si="72"/>
        <v>25.555555555555561</v>
      </c>
      <c r="AA508" s="100">
        <v>5</v>
      </c>
      <c r="AB508" s="86">
        <f>+AA508*Analisis!$J$6</f>
        <v>125</v>
      </c>
      <c r="AC508" s="100"/>
      <c r="AD508" s="85">
        <f t="shared" si="73"/>
        <v>0</v>
      </c>
      <c r="AE508" s="86">
        <f>+AC508*Analisis!$J$7</f>
        <v>0</v>
      </c>
      <c r="AF508" s="308">
        <f>+H508*0.0254*I508*0.0254*2*(1+[3]Analisis!$G$2)</f>
        <v>1.54353981614</v>
      </c>
      <c r="AG508" s="86">
        <f>+AF508*Analisis!$J$8</f>
        <v>164.46049231491671</v>
      </c>
      <c r="AH508" s="309">
        <f t="shared" si="64"/>
        <v>775.83046232926597</v>
      </c>
      <c r="AI508" s="86">
        <f>+AH508/(1-Analisis!G513)</f>
        <v>775.83046232926597</v>
      </c>
      <c r="AJ508" s="86">
        <f t="shared" si="74"/>
        <v>834.22630357985599</v>
      </c>
      <c r="AK508" s="86">
        <f t="shared" si="65"/>
        <v>0</v>
      </c>
      <c r="AL508" s="310" t="e">
        <f>+VLOOKUP(B508,#REF!,2,FALSE)</f>
        <v>#REF!</v>
      </c>
      <c r="AM508" s="311" t="e">
        <f t="shared" si="79"/>
        <v>#REF!</v>
      </c>
      <c r="AN508" s="312" t="e">
        <f t="shared" si="78"/>
        <v>#REF!</v>
      </c>
    </row>
    <row r="509" spans="1:40" s="73" customFormat="1" x14ac:dyDescent="0.25">
      <c r="A509" s="326"/>
      <c r="B509" s="327" t="s">
        <v>1266</v>
      </c>
      <c r="D509" s="74">
        <f>IFERROR(VLOOKUP(B509,'REQ. PINTADO'!B:C,2,0),0)</f>
        <v>0</v>
      </c>
      <c r="E509" s="305">
        <f t="shared" si="66"/>
        <v>834.22630357985599</v>
      </c>
      <c r="F509" s="103" t="s">
        <v>163</v>
      </c>
      <c r="G509" s="75" t="s">
        <v>147</v>
      </c>
      <c r="H509" s="90">
        <v>23.33</v>
      </c>
      <c r="I509" s="90">
        <v>41.02</v>
      </c>
      <c r="J509" s="76">
        <v>0.105</v>
      </c>
      <c r="K509" s="306">
        <v>16.38</v>
      </c>
      <c r="L509" s="78">
        <f t="shared" si="67"/>
        <v>48.247258448613785</v>
      </c>
      <c r="M509" s="58">
        <f>+VLOOKUP(F509,Material!$H$2:$M$17,6,FALSE)*H509*I509*(1+Material!$K$14)</f>
        <v>359.22276972195164</v>
      </c>
      <c r="N509" s="79" t="str">
        <f t="shared" si="80"/>
        <v>T5.0</v>
      </c>
      <c r="O509" s="80">
        <f>+VLOOKUP(N509,[3]Material!$A$3:$B$58,2,FALSE)</f>
        <v>5000</v>
      </c>
      <c r="P509" s="79" t="s">
        <v>42</v>
      </c>
      <c r="Q509" s="79" t="str">
        <f>+VLOOKUP(F509,[3]Material!$C$2:$E$12,2,FALSE)</f>
        <v>Cal 12</v>
      </c>
      <c r="R509" s="81">
        <f>+IF(P509="ACERO A36",VLOOKUP(Q509,'[3]Velocidades Std 1500 w'!$B$2:$F$15,5,FALSE),IF(P509="INOXIDABLE",VLOOKUP(Q509,'[3]Velocidades Std 1500 w'!$B$17:$F$28,5,FALSE),IF(P509="ALUMINIO",VLOOKUP(Q509,'[3]Velocidades Std 1500 w'!$B$30:$F$38,5,FALSE))))</f>
        <v>4.3859649122807014E-6</v>
      </c>
      <c r="S509" s="82">
        <f t="shared" si="68"/>
        <v>2.1929824561403508E-2</v>
      </c>
      <c r="T509" s="83">
        <f t="shared" si="69"/>
        <v>73.145984210526308</v>
      </c>
      <c r="U509" s="307">
        <f t="shared" si="70"/>
        <v>4632.5789999999997</v>
      </c>
      <c r="V509" s="80">
        <f t="shared" si="75"/>
        <v>101.5916447368421</v>
      </c>
      <c r="W509" s="98">
        <v>30</v>
      </c>
      <c r="X509" s="84">
        <f>+IF(P509="ACERO A36",VLOOKUP(Q509,'[3]Tiempo Objeto'!$B$2:$C$12,2,FALSE),IF(P509="INOXIDABLE",VLOOKUP(Q509,'[3]Tiempo Objeto'!$B$14:$C$22,2,FALSE),IF(P509="ALUMINIO",VLOOKUP(Q509,'[3]Tiempo Objeto'!$B$24:$C$32,2,FALSE))))</f>
        <v>0.6133333333333334</v>
      </c>
      <c r="Y509" s="84">
        <f t="shared" si="71"/>
        <v>18.400000000000002</v>
      </c>
      <c r="Z509" s="80">
        <f t="shared" si="72"/>
        <v>25.555555555555561</v>
      </c>
      <c r="AA509" s="100">
        <v>5</v>
      </c>
      <c r="AB509" s="86">
        <f>+AA509*Analisis!$J$6</f>
        <v>125</v>
      </c>
      <c r="AC509" s="100"/>
      <c r="AD509" s="85">
        <f t="shared" si="73"/>
        <v>0</v>
      </c>
      <c r="AE509" s="86">
        <f>+AC509*Analisis!$J$7</f>
        <v>0</v>
      </c>
      <c r="AF509" s="308">
        <f>+H509*0.0254*I509*0.0254*2*(1+[3]Analisis!$G$2)</f>
        <v>1.54353981614</v>
      </c>
      <c r="AG509" s="86">
        <f>+AF509*Analisis!$J$8</f>
        <v>164.46049231491671</v>
      </c>
      <c r="AH509" s="309">
        <f t="shared" si="64"/>
        <v>775.83046232926597</v>
      </c>
      <c r="AI509" s="86">
        <f>+AH509/(1-Analisis!G514)</f>
        <v>775.83046232926597</v>
      </c>
      <c r="AJ509" s="86">
        <f t="shared" si="74"/>
        <v>834.22630357985599</v>
      </c>
      <c r="AK509" s="86">
        <f t="shared" si="65"/>
        <v>0</v>
      </c>
      <c r="AL509" s="310" t="e">
        <f>+VLOOKUP(B509,#REF!,2,FALSE)</f>
        <v>#REF!</v>
      </c>
      <c r="AM509" s="311" t="e">
        <f t="shared" si="79"/>
        <v>#REF!</v>
      </c>
      <c r="AN509" s="312" t="e">
        <f t="shared" si="78"/>
        <v>#REF!</v>
      </c>
    </row>
    <row r="510" spans="1:40" s="73" customFormat="1" x14ac:dyDescent="0.25">
      <c r="A510" s="326"/>
      <c r="B510" s="327" t="s">
        <v>1267</v>
      </c>
      <c r="D510" s="74">
        <f>IFERROR(VLOOKUP(B510,'REQ. PINTADO'!B:C,2,0),0)</f>
        <v>0</v>
      </c>
      <c r="E510" s="305">
        <f t="shared" si="66"/>
        <v>85.946096267715404</v>
      </c>
      <c r="F510" s="103" t="s">
        <v>163</v>
      </c>
      <c r="G510" s="75" t="s">
        <v>147</v>
      </c>
      <c r="H510" s="90">
        <v>4.0709999999999997</v>
      </c>
      <c r="I510" s="90">
        <v>5.8810000000000002</v>
      </c>
      <c r="J510" s="76">
        <v>0.105</v>
      </c>
      <c r="K510" s="306">
        <v>16.38</v>
      </c>
      <c r="L510" s="78">
        <f t="shared" si="67"/>
        <v>1.2070201699333807</v>
      </c>
      <c r="M510" s="58">
        <f>+VLOOKUP(F510,Material!$H$2:$M$17,6,FALSE)*H510*I510*(1+Material!$K$14)</f>
        <v>8.9868138106858062</v>
      </c>
      <c r="N510" s="79" t="str">
        <f t="shared" si="80"/>
        <v>T5.0</v>
      </c>
      <c r="O510" s="80">
        <f>+VLOOKUP(N510,[3]Material!$A$3:$B$58,2,FALSE)</f>
        <v>5000</v>
      </c>
      <c r="P510" s="79" t="s">
        <v>42</v>
      </c>
      <c r="Q510" s="79" t="str">
        <f>+VLOOKUP(F510,[3]Material!$C$2:$E$12,2,FALSE)</f>
        <v>Cal 12</v>
      </c>
      <c r="R510" s="81">
        <f>+IF(P510="ACERO A36",VLOOKUP(Q510,'[3]Velocidades Std 1500 w'!$B$2:$F$15,5,FALSE),IF(P510="INOXIDABLE",VLOOKUP(Q510,'[3]Velocidades Std 1500 w'!$B$17:$F$28,5,FALSE),IF(P510="ALUMINIO",VLOOKUP(Q510,'[3]Velocidades Std 1500 w'!$B$30:$F$38,5,FALSE))))</f>
        <v>4.3859649122807014E-6</v>
      </c>
      <c r="S510" s="82">
        <f t="shared" si="68"/>
        <v>2.1929824561403508E-2</v>
      </c>
      <c r="T510" s="83">
        <f t="shared" si="69"/>
        <v>10.276652842105264</v>
      </c>
      <c r="U510" s="307">
        <f t="shared" si="70"/>
        <v>650.85468000000003</v>
      </c>
      <c r="V510" s="80">
        <f t="shared" si="75"/>
        <v>14.273128947368422</v>
      </c>
      <c r="W510" s="98">
        <v>3</v>
      </c>
      <c r="X510" s="84">
        <f>+IF(P510="ACERO A36",VLOOKUP(Q510,'[3]Tiempo Objeto'!$B$2:$C$12,2,FALSE),IF(P510="INOXIDABLE",VLOOKUP(Q510,'[3]Tiempo Objeto'!$B$14:$C$22,2,FALSE),IF(P510="ALUMINIO",VLOOKUP(Q510,'[3]Tiempo Objeto'!$B$24:$C$32,2,FALSE))))</f>
        <v>0.6133333333333334</v>
      </c>
      <c r="Y510" s="84">
        <f t="shared" si="71"/>
        <v>1.8400000000000003</v>
      </c>
      <c r="Z510" s="80">
        <f t="shared" si="72"/>
        <v>2.5555555555555562</v>
      </c>
      <c r="AA510" s="100">
        <v>2</v>
      </c>
      <c r="AB510" s="86">
        <f>+AA510*Analisis!$J$6</f>
        <v>50</v>
      </c>
      <c r="AC510" s="100"/>
      <c r="AD510" s="85">
        <f t="shared" si="73"/>
        <v>0</v>
      </c>
      <c r="AE510" s="86">
        <f>+AC510*Analisis!$J$7</f>
        <v>0</v>
      </c>
      <c r="AF510" s="308">
        <f>+H510*0.0254*I510*0.0254*2*(1+[3]Analisis!$G$2)</f>
        <v>3.8615327607899999E-2</v>
      </c>
      <c r="AG510" s="86">
        <f>+AF510*Analisis!$J$8</f>
        <v>4.1143712153655372</v>
      </c>
      <c r="AH510" s="309">
        <f t="shared" si="64"/>
        <v>79.929869528975317</v>
      </c>
      <c r="AI510" s="86">
        <f>+AH510/(1-Analisis!G515)</f>
        <v>79.929869528975317</v>
      </c>
      <c r="AJ510" s="86">
        <f t="shared" si="74"/>
        <v>85.946096267715404</v>
      </c>
      <c r="AK510" s="86">
        <f t="shared" si="65"/>
        <v>0</v>
      </c>
      <c r="AL510" s="310" t="e">
        <f>+VLOOKUP(B510,#REF!,2,FALSE)</f>
        <v>#REF!</v>
      </c>
      <c r="AM510" s="311" t="e">
        <f t="shared" si="79"/>
        <v>#REF!</v>
      </c>
      <c r="AN510" s="312" t="e">
        <f t="shared" si="78"/>
        <v>#REF!</v>
      </c>
    </row>
    <row r="511" spans="1:40" s="73" customFormat="1" x14ac:dyDescent="0.25">
      <c r="A511" s="303"/>
      <c r="B511" s="304" t="s">
        <v>1268</v>
      </c>
      <c r="D511" s="74">
        <f>IFERROR(VLOOKUP(B511,'REQ. PINTADO'!B:C,2,0),0)</f>
        <v>0</v>
      </c>
      <c r="E511" s="305">
        <f t="shared" si="66"/>
        <v>0</v>
      </c>
      <c r="F511" s="103" t="s">
        <v>165</v>
      </c>
      <c r="G511" s="75" t="s">
        <v>147</v>
      </c>
      <c r="H511" s="90"/>
      <c r="I511" s="90"/>
      <c r="J511" s="76">
        <v>0.105</v>
      </c>
      <c r="K511" s="306">
        <v>16.38</v>
      </c>
      <c r="L511" s="78">
        <f t="shared" si="67"/>
        <v>0</v>
      </c>
      <c r="M511" s="58">
        <f>+VLOOKUP(F511,Material!$H$2:$M$17,6,FALSE)*H511*I511*(1+Material!$K$14)</f>
        <v>0</v>
      </c>
      <c r="N511" s="79" t="str">
        <f t="shared" si="80"/>
        <v>T5.0</v>
      </c>
      <c r="O511" s="80">
        <f>+VLOOKUP(N511,[3]Material!$A$3:$B$58,2,FALSE)</f>
        <v>5000</v>
      </c>
      <c r="P511" s="79" t="s">
        <v>42</v>
      </c>
      <c r="Q511" s="79" t="str">
        <f>+VLOOKUP(F511,[3]Material!$C$2:$E$12,2,FALSE)</f>
        <v>Cal 14</v>
      </c>
      <c r="R511" s="81">
        <f>+IF(P511="ACERO A36",VLOOKUP(Q511,'[3]Velocidades Std 1500 w'!$B$2:$F$15,5,FALSE),IF(P511="INOXIDABLE",VLOOKUP(Q511,'[3]Velocidades Std 1500 w'!$B$17:$F$28,5,FALSE),IF(P511="ALUMINIO",VLOOKUP(Q511,'[3]Velocidades Std 1500 w'!$B$30:$F$38,5,FALSE))))</f>
        <v>2.0080321285140564E-6</v>
      </c>
      <c r="S511" s="82">
        <f t="shared" si="68"/>
        <v>1.0040160642570283E-2</v>
      </c>
      <c r="T511" s="83">
        <f t="shared" si="69"/>
        <v>0</v>
      </c>
      <c r="U511" s="307">
        <f t="shared" si="70"/>
        <v>0</v>
      </c>
      <c r="V511" s="80">
        <f t="shared" si="75"/>
        <v>0</v>
      </c>
      <c r="W511" s="98"/>
      <c r="X511" s="84">
        <f>+IF(P511="ACERO A36",VLOOKUP(Q511,'[3]Tiempo Objeto'!$B$2:$C$12,2,FALSE),IF(P511="INOXIDABLE",VLOOKUP(Q511,'[3]Tiempo Objeto'!$B$14:$C$22,2,FALSE),IF(P511="ALUMINIO",VLOOKUP(Q511,'[3]Tiempo Objeto'!$B$24:$C$32,2,FALSE))))</f>
        <v>0.3133333333333333</v>
      </c>
      <c r="Y511" s="84">
        <f t="shared" si="71"/>
        <v>0</v>
      </c>
      <c r="Z511" s="80">
        <f t="shared" si="72"/>
        <v>0</v>
      </c>
      <c r="AA511" s="100"/>
      <c r="AB511" s="86">
        <f>+AA511*Analisis!$J$6</f>
        <v>0</v>
      </c>
      <c r="AC511" s="100"/>
      <c r="AD511" s="85">
        <f t="shared" si="73"/>
        <v>0</v>
      </c>
      <c r="AE511" s="86">
        <f>+AC511*Analisis!$J$7</f>
        <v>0</v>
      </c>
      <c r="AF511" s="308">
        <f>+H511*0.0254*I511*0.0254*2*(1+[3]Analisis!$G$2)</f>
        <v>0</v>
      </c>
      <c r="AG511" s="86">
        <f>+AF511*Analisis!$J$8</f>
        <v>0</v>
      </c>
      <c r="AH511" s="309">
        <f t="shared" si="64"/>
        <v>0</v>
      </c>
      <c r="AI511" s="86">
        <f>+AH511/(1-Analisis!G516)</f>
        <v>0</v>
      </c>
      <c r="AJ511" s="86">
        <f t="shared" si="74"/>
        <v>0</v>
      </c>
      <c r="AK511" s="86">
        <f t="shared" si="65"/>
        <v>0</v>
      </c>
      <c r="AL511" s="310" t="e">
        <f>+VLOOKUP(B511,#REF!,2,FALSE)</f>
        <v>#REF!</v>
      </c>
      <c r="AM511" s="311" t="e">
        <f t="shared" si="79"/>
        <v>#REF!</v>
      </c>
      <c r="AN511" s="312" t="e">
        <f t="shared" si="78"/>
        <v>#REF!</v>
      </c>
    </row>
    <row r="512" spans="1:40" s="73" customFormat="1" x14ac:dyDescent="0.25">
      <c r="A512" s="303"/>
      <c r="B512" s="304" t="s">
        <v>1269</v>
      </c>
      <c r="D512" s="74">
        <f>IFERROR(VLOOKUP(B512,'REQ. PINTADO'!B:C,2,0),0)</f>
        <v>0</v>
      </c>
      <c r="E512" s="305">
        <f t="shared" si="66"/>
        <v>0</v>
      </c>
      <c r="F512" s="103" t="s">
        <v>165</v>
      </c>
      <c r="G512" s="75" t="s">
        <v>147</v>
      </c>
      <c r="H512" s="90"/>
      <c r="I512" s="90"/>
      <c r="J512" s="76">
        <v>0.105</v>
      </c>
      <c r="K512" s="306">
        <v>16.38</v>
      </c>
      <c r="L512" s="78">
        <f t="shared" si="67"/>
        <v>0</v>
      </c>
      <c r="M512" s="58">
        <f>+VLOOKUP(F512,Material!$H$2:$M$17,6,FALSE)*H512*I512*(1+Material!$K$14)</f>
        <v>0</v>
      </c>
      <c r="N512" s="79" t="str">
        <f t="shared" si="80"/>
        <v>T5.0</v>
      </c>
      <c r="O512" s="80">
        <f>+VLOOKUP(N512,[3]Material!$A$3:$B$58,2,FALSE)</f>
        <v>5000</v>
      </c>
      <c r="P512" s="79" t="s">
        <v>42</v>
      </c>
      <c r="Q512" s="79" t="str">
        <f>+VLOOKUP(F512,[3]Material!$C$2:$E$12,2,FALSE)</f>
        <v>Cal 14</v>
      </c>
      <c r="R512" s="81">
        <f>+IF(P512="ACERO A36",VLOOKUP(Q512,'[3]Velocidades Std 1500 w'!$B$2:$F$15,5,FALSE),IF(P512="INOXIDABLE",VLOOKUP(Q512,'[3]Velocidades Std 1500 w'!$B$17:$F$28,5,FALSE),IF(P512="ALUMINIO",VLOOKUP(Q512,'[3]Velocidades Std 1500 w'!$B$30:$F$38,5,FALSE))))</f>
        <v>2.0080321285140564E-6</v>
      </c>
      <c r="S512" s="82">
        <f t="shared" si="68"/>
        <v>1.0040160642570283E-2</v>
      </c>
      <c r="T512" s="83">
        <f t="shared" si="69"/>
        <v>0</v>
      </c>
      <c r="U512" s="307">
        <f t="shared" si="70"/>
        <v>0</v>
      </c>
      <c r="V512" s="80">
        <f t="shared" si="75"/>
        <v>0</v>
      </c>
      <c r="W512" s="98"/>
      <c r="X512" s="84">
        <f>+IF(P512="ACERO A36",VLOOKUP(Q512,'[3]Tiempo Objeto'!$B$2:$C$12,2,FALSE),IF(P512="INOXIDABLE",VLOOKUP(Q512,'[3]Tiempo Objeto'!$B$14:$C$22,2,FALSE),IF(P512="ALUMINIO",VLOOKUP(Q512,'[3]Tiempo Objeto'!$B$24:$C$32,2,FALSE))))</f>
        <v>0.3133333333333333</v>
      </c>
      <c r="Y512" s="84">
        <f t="shared" si="71"/>
        <v>0</v>
      </c>
      <c r="Z512" s="80">
        <f t="shared" si="72"/>
        <v>0</v>
      </c>
      <c r="AA512" s="100"/>
      <c r="AB512" s="86">
        <f>+AA512*Analisis!$J$6</f>
        <v>0</v>
      </c>
      <c r="AC512" s="100"/>
      <c r="AD512" s="85">
        <f t="shared" si="73"/>
        <v>0</v>
      </c>
      <c r="AE512" s="86">
        <f>+AC512*Analisis!$J$7</f>
        <v>0</v>
      </c>
      <c r="AF512" s="308">
        <f>+H512*0.0254*I512*0.0254*2*(1+[3]Analisis!$G$2)</f>
        <v>0</v>
      </c>
      <c r="AG512" s="86">
        <f>+AF512*Analisis!$J$8</f>
        <v>0</v>
      </c>
      <c r="AH512" s="309">
        <f t="shared" si="64"/>
        <v>0</v>
      </c>
      <c r="AI512" s="86">
        <f>+AH512/(1-Analisis!G517)</f>
        <v>0</v>
      </c>
      <c r="AJ512" s="86">
        <f t="shared" si="74"/>
        <v>0</v>
      </c>
      <c r="AK512" s="86">
        <f t="shared" si="65"/>
        <v>0</v>
      </c>
      <c r="AL512" s="310" t="e">
        <f>+VLOOKUP(B512,#REF!,2,FALSE)</f>
        <v>#REF!</v>
      </c>
      <c r="AM512" s="311" t="e">
        <f t="shared" si="79"/>
        <v>#REF!</v>
      </c>
      <c r="AN512" s="312" t="e">
        <f t="shared" si="78"/>
        <v>#REF!</v>
      </c>
    </row>
    <row r="513" spans="1:40" s="73" customFormat="1" x14ac:dyDescent="0.25">
      <c r="A513" s="324"/>
      <c r="B513" s="118" t="s">
        <v>1270</v>
      </c>
      <c r="D513" s="74">
        <f>IFERROR(VLOOKUP(B513,'REQ. PINTADO'!B:C,2,0),0)</f>
        <v>0</v>
      </c>
      <c r="E513" s="305">
        <f t="shared" si="66"/>
        <v>386.34441698725612</v>
      </c>
      <c r="F513" s="103" t="s">
        <v>164</v>
      </c>
      <c r="G513" s="75" t="s">
        <v>147</v>
      </c>
      <c r="H513" s="90">
        <v>11.06</v>
      </c>
      <c r="I513" s="90">
        <v>22</v>
      </c>
      <c r="J513" s="76">
        <v>0.105</v>
      </c>
      <c r="K513" s="306">
        <v>16.38</v>
      </c>
      <c r="L513" s="78">
        <f t="shared" si="67"/>
        <v>22.637945156695164</v>
      </c>
      <c r="M513" s="58">
        <f>+VLOOKUP(F513,Material!$H$2:$M$17,6,FALSE)*H513*I513*(1+Material!$K$14)</f>
        <v>168.54979166666669</v>
      </c>
      <c r="N513" s="79" t="str">
        <f t="shared" si="80"/>
        <v>T5.0</v>
      </c>
      <c r="O513" s="80">
        <f>+VLOOKUP(N513,[3]Material!$A$3:$B$58,2,FALSE)</f>
        <v>5000</v>
      </c>
      <c r="P513" s="79" t="s">
        <v>42</v>
      </c>
      <c r="Q513" s="79" t="str">
        <f>+VLOOKUP(F513,[3]Material!$C$2:$E$12,2,FALSE)</f>
        <v>Cal 10</v>
      </c>
      <c r="R513" s="81">
        <f>+IF(P513="ACERO A36",VLOOKUP(Q513,'[3]Velocidades Std 1500 w'!$B$2:$F$15,5,FALSE),IF(P513="INOXIDABLE",VLOOKUP(Q513,'[3]Velocidades Std 1500 w'!$B$17:$F$28,5,FALSE),IF(P513="ALUMINIO",VLOOKUP(Q513,'[3]Velocidades Std 1500 w'!$B$30:$F$38,5,FALSE))))</f>
        <v>6.1728395061728391E-6</v>
      </c>
      <c r="S513" s="82">
        <f t="shared" si="68"/>
        <v>3.0864197530864196E-2</v>
      </c>
      <c r="T513" s="83">
        <f t="shared" si="69"/>
        <v>56.967119999999987</v>
      </c>
      <c r="U513" s="307">
        <f t="shared" si="70"/>
        <v>2563.5203999999999</v>
      </c>
      <c r="V513" s="80">
        <f t="shared" si="75"/>
        <v>79.120999999999995</v>
      </c>
      <c r="W513" s="98">
        <v>20</v>
      </c>
      <c r="X513" s="84">
        <f>+IF(P513="ACERO A36",VLOOKUP(Q513,'[3]Tiempo Objeto'!$B$2:$C$12,2,FALSE),IF(P513="INOXIDABLE",VLOOKUP(Q513,'[3]Tiempo Objeto'!$B$14:$C$22,2,FALSE),IF(P513="ALUMINIO",VLOOKUP(Q513,'[3]Tiempo Objeto'!$B$24:$C$32,2,FALSE))))</f>
        <v>0.71333333333333337</v>
      </c>
      <c r="Y513" s="84">
        <f t="shared" si="71"/>
        <v>14.266666666666667</v>
      </c>
      <c r="Z513" s="80">
        <f t="shared" si="72"/>
        <v>19.814814814814817</v>
      </c>
      <c r="AA513" s="100">
        <v>2</v>
      </c>
      <c r="AB513" s="86">
        <f>+AA513*Analisis!$J$6</f>
        <v>50</v>
      </c>
      <c r="AC513" s="100"/>
      <c r="AD513" s="85">
        <f t="shared" si="73"/>
        <v>0</v>
      </c>
      <c r="AE513" s="86">
        <f>+AC513*Analisis!$J$7</f>
        <v>0</v>
      </c>
      <c r="AF513" s="308">
        <f>+H513*0.0254*I513*0.0254*2*(1+[3]Analisis!$G$2)</f>
        <v>0.39245082799999997</v>
      </c>
      <c r="AG513" s="86">
        <f>+AF513*Analisis!$J$8</f>
        <v>41.814701316666678</v>
      </c>
      <c r="AH513" s="309">
        <f t="shared" si="64"/>
        <v>359.3003077981482</v>
      </c>
      <c r="AI513" s="86">
        <f>+AH513/(1-Analisis!G518)</f>
        <v>359.3003077981482</v>
      </c>
      <c r="AJ513" s="86">
        <f t="shared" si="74"/>
        <v>386.34441698725612</v>
      </c>
      <c r="AK513" s="86">
        <f t="shared" si="65"/>
        <v>0</v>
      </c>
      <c r="AL513" s="310" t="e">
        <f>+VLOOKUP(B513,#REF!,2,FALSE)</f>
        <v>#REF!</v>
      </c>
      <c r="AM513" s="311" t="e">
        <f t="shared" si="79"/>
        <v>#REF!</v>
      </c>
      <c r="AN513" s="312" t="e">
        <f t="shared" si="78"/>
        <v>#REF!</v>
      </c>
    </row>
    <row r="514" spans="1:40" s="73" customFormat="1" x14ac:dyDescent="0.25">
      <c r="A514" s="324"/>
      <c r="B514" s="118" t="s">
        <v>1271</v>
      </c>
      <c r="D514" s="74">
        <f>IFERROR(VLOOKUP(B514,'REQ. PINTADO'!B:C,2,0),0)</f>
        <v>0</v>
      </c>
      <c r="E514" s="305">
        <f t="shared" si="66"/>
        <v>506.86397295101557</v>
      </c>
      <c r="F514" s="103" t="s">
        <v>164</v>
      </c>
      <c r="G514" s="75" t="s">
        <v>147</v>
      </c>
      <c r="H514" s="90">
        <v>11.06</v>
      </c>
      <c r="I514" s="90">
        <v>32</v>
      </c>
      <c r="J514" s="76">
        <v>0.105</v>
      </c>
      <c r="K514" s="306">
        <v>16.38</v>
      </c>
      <c r="L514" s="78">
        <f t="shared" si="67"/>
        <v>32.927920227920239</v>
      </c>
      <c r="M514" s="58">
        <f>+VLOOKUP(F514,Material!$H$2:$M$17,6,FALSE)*H514*I514*(1+Material!$K$14)</f>
        <v>245.16333333333336</v>
      </c>
      <c r="N514" s="79" t="str">
        <f t="shared" si="80"/>
        <v>T5.0</v>
      </c>
      <c r="O514" s="80">
        <f>+VLOOKUP(N514,[3]Material!$A$3:$B$58,2,FALSE)</f>
        <v>5000</v>
      </c>
      <c r="P514" s="79" t="s">
        <v>42</v>
      </c>
      <c r="Q514" s="79" t="str">
        <f>+VLOOKUP(F514,[3]Material!$C$2:$E$12,2,FALSE)</f>
        <v>Cal 10</v>
      </c>
      <c r="R514" s="81">
        <f>+IF(P514="ACERO A36",VLOOKUP(Q514,'[3]Velocidades Std 1500 w'!$B$2:$F$15,5,FALSE),IF(P514="INOXIDABLE",VLOOKUP(Q514,'[3]Velocidades Std 1500 w'!$B$17:$F$28,5,FALSE),IF(P514="ALUMINIO",VLOOKUP(Q514,'[3]Velocidades Std 1500 w'!$B$30:$F$38,5,FALSE))))</f>
        <v>6.1728395061728391E-6</v>
      </c>
      <c r="S514" s="82">
        <f t="shared" si="68"/>
        <v>3.0864197530864196E-2</v>
      </c>
      <c r="T514" s="83">
        <f t="shared" si="69"/>
        <v>68.820453333333319</v>
      </c>
      <c r="U514" s="307">
        <f t="shared" si="70"/>
        <v>3096.9204</v>
      </c>
      <c r="V514" s="80">
        <f t="shared" si="75"/>
        <v>95.583962962962957</v>
      </c>
      <c r="W514" s="98">
        <v>20</v>
      </c>
      <c r="X514" s="84">
        <f>+IF(P514="ACERO A36",VLOOKUP(Q514,'[3]Tiempo Objeto'!$B$2:$C$12,2,FALSE),IF(P514="INOXIDABLE",VLOOKUP(Q514,'[3]Tiempo Objeto'!$B$14:$C$22,2,FALSE),IF(P514="ALUMINIO",VLOOKUP(Q514,'[3]Tiempo Objeto'!$B$24:$C$32,2,FALSE))))</f>
        <v>0.71333333333333337</v>
      </c>
      <c r="Y514" s="84">
        <f t="shared" si="71"/>
        <v>14.266666666666667</v>
      </c>
      <c r="Z514" s="80">
        <f t="shared" si="72"/>
        <v>19.814814814814817</v>
      </c>
      <c r="AA514" s="100">
        <v>2</v>
      </c>
      <c r="AB514" s="86">
        <f>+AA514*Analisis!$J$6</f>
        <v>50</v>
      </c>
      <c r="AC514" s="100"/>
      <c r="AD514" s="85">
        <f t="shared" si="73"/>
        <v>0</v>
      </c>
      <c r="AE514" s="86">
        <f>+AC514*Analisis!$J$7</f>
        <v>0</v>
      </c>
      <c r="AF514" s="308">
        <f>+H514*0.0254*I514*0.0254*2*(1+[3]Analisis!$G$2)</f>
        <v>0.57083756799999996</v>
      </c>
      <c r="AG514" s="86">
        <f>+AF514*Analisis!$J$8</f>
        <v>60.821383733333349</v>
      </c>
      <c r="AH514" s="309">
        <f t="shared" si="64"/>
        <v>471.38349484444444</v>
      </c>
      <c r="AI514" s="86">
        <f>+AH514/(1-Analisis!G519)</f>
        <v>471.38349484444444</v>
      </c>
      <c r="AJ514" s="86">
        <f t="shared" si="74"/>
        <v>506.86397295101557</v>
      </c>
      <c r="AK514" s="86">
        <f t="shared" si="65"/>
        <v>0</v>
      </c>
      <c r="AL514" s="310" t="e">
        <f>+VLOOKUP(B514,#REF!,2,FALSE)</f>
        <v>#REF!</v>
      </c>
      <c r="AM514" s="311" t="e">
        <f t="shared" si="79"/>
        <v>#REF!</v>
      </c>
      <c r="AN514" s="312" t="e">
        <f t="shared" si="78"/>
        <v>#REF!</v>
      </c>
    </row>
    <row r="515" spans="1:40" s="73" customFormat="1" x14ac:dyDescent="0.25">
      <c r="A515" s="324"/>
      <c r="B515" s="118" t="s">
        <v>1272</v>
      </c>
      <c r="D515" s="74">
        <f>IFERROR(VLOOKUP(B515,'REQ. PINTADO'!B:C,2,0),0)</f>
        <v>0</v>
      </c>
      <c r="E515" s="305">
        <f t="shared" si="66"/>
        <v>386.34441698725612</v>
      </c>
      <c r="F515" s="103" t="s">
        <v>164</v>
      </c>
      <c r="G515" s="75" t="s">
        <v>147</v>
      </c>
      <c r="H515" s="90">
        <v>11.06</v>
      </c>
      <c r="I515" s="90">
        <v>22</v>
      </c>
      <c r="J515" s="76">
        <v>0.105</v>
      </c>
      <c r="K515" s="306">
        <v>16.38</v>
      </c>
      <c r="L515" s="78">
        <f t="shared" si="67"/>
        <v>22.637945156695164</v>
      </c>
      <c r="M515" s="58">
        <f>+VLOOKUP(F515,Material!$H$2:$M$17,6,FALSE)*H515*I515*(1+Material!$K$14)</f>
        <v>168.54979166666669</v>
      </c>
      <c r="N515" s="79" t="str">
        <f t="shared" si="80"/>
        <v>T5.0</v>
      </c>
      <c r="O515" s="80">
        <f>+VLOOKUP(N515,[3]Material!$A$3:$B$58,2,FALSE)</f>
        <v>5000</v>
      </c>
      <c r="P515" s="79" t="s">
        <v>42</v>
      </c>
      <c r="Q515" s="79" t="str">
        <f>+VLOOKUP(F515,[3]Material!$C$2:$E$12,2,FALSE)</f>
        <v>Cal 10</v>
      </c>
      <c r="R515" s="81">
        <f>+IF(P515="ACERO A36",VLOOKUP(Q515,'[3]Velocidades Std 1500 w'!$B$2:$F$15,5,FALSE),IF(P515="INOXIDABLE",VLOOKUP(Q515,'[3]Velocidades Std 1500 w'!$B$17:$F$28,5,FALSE),IF(P515="ALUMINIO",VLOOKUP(Q515,'[3]Velocidades Std 1500 w'!$B$30:$F$38,5,FALSE))))</f>
        <v>6.1728395061728391E-6</v>
      </c>
      <c r="S515" s="82">
        <f t="shared" si="68"/>
        <v>3.0864197530864196E-2</v>
      </c>
      <c r="T515" s="83">
        <f t="shared" si="69"/>
        <v>56.967119999999987</v>
      </c>
      <c r="U515" s="307">
        <f t="shared" si="70"/>
        <v>2563.5203999999999</v>
      </c>
      <c r="V515" s="80">
        <f t="shared" si="75"/>
        <v>79.120999999999995</v>
      </c>
      <c r="W515" s="98">
        <v>20</v>
      </c>
      <c r="X515" s="84">
        <f>+IF(P515="ACERO A36",VLOOKUP(Q515,'[3]Tiempo Objeto'!$B$2:$C$12,2,FALSE),IF(P515="INOXIDABLE",VLOOKUP(Q515,'[3]Tiempo Objeto'!$B$14:$C$22,2,FALSE),IF(P515="ALUMINIO",VLOOKUP(Q515,'[3]Tiempo Objeto'!$B$24:$C$32,2,FALSE))))</f>
        <v>0.71333333333333337</v>
      </c>
      <c r="Y515" s="84">
        <f t="shared" si="71"/>
        <v>14.266666666666667</v>
      </c>
      <c r="Z515" s="80">
        <f t="shared" si="72"/>
        <v>19.814814814814817</v>
      </c>
      <c r="AA515" s="100">
        <v>2</v>
      </c>
      <c r="AB515" s="86">
        <f>+AA515*Analisis!$J$6</f>
        <v>50</v>
      </c>
      <c r="AC515" s="100"/>
      <c r="AD515" s="85">
        <f t="shared" si="73"/>
        <v>0</v>
      </c>
      <c r="AE515" s="86">
        <f>+AC515*Analisis!$J$7</f>
        <v>0</v>
      </c>
      <c r="AF515" s="308">
        <f>+H515*0.0254*I515*0.0254*2*(1+[3]Analisis!$G$2)</f>
        <v>0.39245082799999997</v>
      </c>
      <c r="AG515" s="86">
        <f>+AF515*Analisis!$J$8</f>
        <v>41.814701316666678</v>
      </c>
      <c r="AH515" s="309">
        <f t="shared" si="64"/>
        <v>359.3003077981482</v>
      </c>
      <c r="AI515" s="86">
        <f>+AH515/(1-Analisis!G520)</f>
        <v>359.3003077981482</v>
      </c>
      <c r="AJ515" s="86">
        <f t="shared" si="74"/>
        <v>386.34441698725612</v>
      </c>
      <c r="AK515" s="86">
        <f t="shared" si="65"/>
        <v>0</v>
      </c>
      <c r="AL515" s="310" t="e">
        <f>+VLOOKUP(B515,#REF!,2,FALSE)</f>
        <v>#REF!</v>
      </c>
      <c r="AM515" s="311" t="e">
        <f t="shared" si="79"/>
        <v>#REF!</v>
      </c>
      <c r="AN515" s="312" t="e">
        <f t="shared" si="78"/>
        <v>#REF!</v>
      </c>
    </row>
    <row r="516" spans="1:40" s="73" customFormat="1" x14ac:dyDescent="0.25">
      <c r="A516" s="324"/>
      <c r="B516" s="118" t="s">
        <v>1273</v>
      </c>
      <c r="D516" s="74">
        <f>IFERROR(VLOOKUP(B516,'REQ. PINTADO'!B:C,2,0),0)</f>
        <v>0</v>
      </c>
      <c r="E516" s="305">
        <f t="shared" si="66"/>
        <v>506.86397295101557</v>
      </c>
      <c r="F516" s="103" t="s">
        <v>164</v>
      </c>
      <c r="G516" s="75" t="s">
        <v>147</v>
      </c>
      <c r="H516" s="90">
        <v>11.06</v>
      </c>
      <c r="I516" s="90">
        <v>32</v>
      </c>
      <c r="J516" s="76">
        <v>0.105</v>
      </c>
      <c r="K516" s="306">
        <v>16.38</v>
      </c>
      <c r="L516" s="78">
        <f t="shared" si="67"/>
        <v>32.927920227920239</v>
      </c>
      <c r="M516" s="58">
        <f>+VLOOKUP(F516,Material!$H$2:$M$17,6,FALSE)*H516*I516*(1+Material!$K$14)</f>
        <v>245.16333333333336</v>
      </c>
      <c r="N516" s="79" t="str">
        <f t="shared" ref="N516:N579" si="81">+N515</f>
        <v>T5.0</v>
      </c>
      <c r="O516" s="80">
        <f>+VLOOKUP(N516,[3]Material!$A$3:$B$58,2,FALSE)</f>
        <v>5000</v>
      </c>
      <c r="P516" s="79" t="s">
        <v>42</v>
      </c>
      <c r="Q516" s="79" t="str">
        <f>+VLOOKUP(F516,[3]Material!$C$2:$E$12,2,FALSE)</f>
        <v>Cal 10</v>
      </c>
      <c r="R516" s="81">
        <f>+IF(P516="ACERO A36",VLOOKUP(Q516,'[3]Velocidades Std 1500 w'!$B$2:$F$15,5,FALSE),IF(P516="INOXIDABLE",VLOOKUP(Q516,'[3]Velocidades Std 1500 w'!$B$17:$F$28,5,FALSE),IF(P516="ALUMINIO",VLOOKUP(Q516,'[3]Velocidades Std 1500 w'!$B$30:$F$38,5,FALSE))))</f>
        <v>6.1728395061728391E-6</v>
      </c>
      <c r="S516" s="82">
        <f t="shared" si="68"/>
        <v>3.0864197530864196E-2</v>
      </c>
      <c r="T516" s="83">
        <f t="shared" si="69"/>
        <v>68.820453333333319</v>
      </c>
      <c r="U516" s="307">
        <f t="shared" si="70"/>
        <v>3096.9204</v>
      </c>
      <c r="V516" s="80">
        <f t="shared" si="75"/>
        <v>95.583962962962957</v>
      </c>
      <c r="W516" s="98">
        <v>20</v>
      </c>
      <c r="X516" s="84">
        <f>+IF(P516="ACERO A36",VLOOKUP(Q516,'[3]Tiempo Objeto'!$B$2:$C$12,2,FALSE),IF(P516="INOXIDABLE",VLOOKUP(Q516,'[3]Tiempo Objeto'!$B$14:$C$22,2,FALSE),IF(P516="ALUMINIO",VLOOKUP(Q516,'[3]Tiempo Objeto'!$B$24:$C$32,2,FALSE))))</f>
        <v>0.71333333333333337</v>
      </c>
      <c r="Y516" s="84">
        <f t="shared" si="71"/>
        <v>14.266666666666667</v>
      </c>
      <c r="Z516" s="80">
        <f t="shared" si="72"/>
        <v>19.814814814814817</v>
      </c>
      <c r="AA516" s="100">
        <v>2</v>
      </c>
      <c r="AB516" s="86">
        <f>+AA516*Analisis!$J$6</f>
        <v>50</v>
      </c>
      <c r="AC516" s="100"/>
      <c r="AD516" s="85">
        <f t="shared" si="73"/>
        <v>0</v>
      </c>
      <c r="AE516" s="86">
        <f>+AC516*Analisis!$J$7</f>
        <v>0</v>
      </c>
      <c r="AF516" s="308">
        <f>+H516*0.0254*I516*0.0254*2*(1+[3]Analisis!$G$2)</f>
        <v>0.57083756799999996</v>
      </c>
      <c r="AG516" s="86">
        <f>+AF516*Analisis!$J$8</f>
        <v>60.821383733333349</v>
      </c>
      <c r="AH516" s="309">
        <f t="shared" si="64"/>
        <v>471.38349484444444</v>
      </c>
      <c r="AI516" s="86">
        <f>+AH516/(1-Analisis!G521)</f>
        <v>471.38349484444444</v>
      </c>
      <c r="AJ516" s="86">
        <f t="shared" si="74"/>
        <v>506.86397295101557</v>
      </c>
      <c r="AK516" s="86">
        <f t="shared" si="65"/>
        <v>0</v>
      </c>
      <c r="AL516" s="310" t="e">
        <f>+VLOOKUP(B516,#REF!,2,FALSE)</f>
        <v>#REF!</v>
      </c>
      <c r="AM516" s="311" t="e">
        <f t="shared" si="79"/>
        <v>#REF!</v>
      </c>
      <c r="AN516" s="312" t="e">
        <f t="shared" si="78"/>
        <v>#REF!</v>
      </c>
    </row>
    <row r="517" spans="1:40" s="73" customFormat="1" x14ac:dyDescent="0.25">
      <c r="A517" s="324"/>
      <c r="B517" s="118" t="s">
        <v>1274</v>
      </c>
      <c r="D517" s="74">
        <f>IFERROR(VLOOKUP(B517,'REQ. PINTADO'!B:C,2,0),0)</f>
        <v>0</v>
      </c>
      <c r="E517" s="305">
        <f t="shared" si="66"/>
        <v>133.12714545229562</v>
      </c>
      <c r="F517" s="103" t="s">
        <v>164</v>
      </c>
      <c r="G517" s="75" t="s">
        <v>147</v>
      </c>
      <c r="H517" s="90">
        <v>6</v>
      </c>
      <c r="I517" s="90">
        <v>8.7799999999999994</v>
      </c>
      <c r="J517" s="76">
        <v>0.105</v>
      </c>
      <c r="K517" s="306">
        <v>16.38</v>
      </c>
      <c r="L517" s="78">
        <f t="shared" si="67"/>
        <v>4.9012286324786336</v>
      </c>
      <c r="M517" s="58">
        <f>+VLOOKUP(F517,Material!$H$2:$M$17,6,FALSE)*H517*I517*(1+Material!$K$14)</f>
        <v>36.491875</v>
      </c>
      <c r="N517" s="79" t="str">
        <f t="shared" si="81"/>
        <v>T5.0</v>
      </c>
      <c r="O517" s="80">
        <f>+VLOOKUP(N517,[3]Material!$A$3:$B$58,2,FALSE)</f>
        <v>5000</v>
      </c>
      <c r="P517" s="79" t="s">
        <v>42</v>
      </c>
      <c r="Q517" s="79" t="str">
        <f>+VLOOKUP(F517,[3]Material!$C$2:$E$12,2,FALSE)</f>
        <v>Cal 10</v>
      </c>
      <c r="R517" s="81">
        <f>+IF(P517="ACERO A36",VLOOKUP(Q517,'[3]Velocidades Std 1500 w'!$B$2:$F$15,5,FALSE),IF(P517="INOXIDABLE",VLOOKUP(Q517,'[3]Velocidades Std 1500 w'!$B$17:$F$28,5,FALSE),IF(P517="ALUMINIO",VLOOKUP(Q517,'[3]Velocidades Std 1500 w'!$B$30:$F$38,5,FALSE))))</f>
        <v>6.1728395061728391E-6</v>
      </c>
      <c r="S517" s="82">
        <f t="shared" si="68"/>
        <v>3.0864197530864196E-2</v>
      </c>
      <c r="T517" s="83">
        <f t="shared" si="69"/>
        <v>29.076226666666663</v>
      </c>
      <c r="U517" s="307">
        <f t="shared" si="70"/>
        <v>1308.4302</v>
      </c>
      <c r="V517" s="80">
        <f t="shared" si="75"/>
        <v>40.383648148148147</v>
      </c>
      <c r="W517" s="98">
        <v>13</v>
      </c>
      <c r="X517" s="84">
        <f>+IF(P517="ACERO A36",VLOOKUP(Q517,'[3]Tiempo Objeto'!$B$2:$C$12,2,FALSE),IF(P517="INOXIDABLE",VLOOKUP(Q517,'[3]Tiempo Objeto'!$B$14:$C$22,2,FALSE),IF(P517="ALUMINIO",VLOOKUP(Q517,'[3]Tiempo Objeto'!$B$24:$C$32,2,FALSE))))</f>
        <v>0.71333333333333337</v>
      </c>
      <c r="Y517" s="84">
        <f t="shared" si="71"/>
        <v>9.2733333333333334</v>
      </c>
      <c r="Z517" s="80">
        <f t="shared" si="72"/>
        <v>12.87962962962963</v>
      </c>
      <c r="AA517" s="100">
        <v>1</v>
      </c>
      <c r="AB517" s="86">
        <f>+AA517*Analisis!$J$6</f>
        <v>25</v>
      </c>
      <c r="AC517" s="100"/>
      <c r="AD517" s="85">
        <f t="shared" si="73"/>
        <v>0</v>
      </c>
      <c r="AE517" s="86">
        <f>+AC517*Analisis!$J$7</f>
        <v>0</v>
      </c>
      <c r="AF517" s="308">
        <f>+H517*0.0254*I517*0.0254*2*(1+[3]Analisis!$G$2)</f>
        <v>8.4967571999999977E-2</v>
      </c>
      <c r="AG517" s="86">
        <f>+AF517*Analisis!$J$8</f>
        <v>9.053092492857143</v>
      </c>
      <c r="AH517" s="309">
        <f t="shared" si="64"/>
        <v>123.80824527063491</v>
      </c>
      <c r="AI517" s="86">
        <f>+AH517/(1-Analisis!G522)</f>
        <v>123.80824527063491</v>
      </c>
      <c r="AJ517" s="86">
        <f t="shared" si="74"/>
        <v>133.12714545229562</v>
      </c>
      <c r="AK517" s="86">
        <f t="shared" si="65"/>
        <v>0</v>
      </c>
      <c r="AL517" s="310" t="e">
        <f>+VLOOKUP(B517,#REF!,2,FALSE)</f>
        <v>#REF!</v>
      </c>
      <c r="AM517" s="311" t="e">
        <f t="shared" si="79"/>
        <v>#REF!</v>
      </c>
      <c r="AN517" s="312" t="e">
        <f t="shared" si="78"/>
        <v>#REF!</v>
      </c>
    </row>
    <row r="518" spans="1:40" s="73" customFormat="1" x14ac:dyDescent="0.25">
      <c r="A518" s="324"/>
      <c r="B518" s="118" t="s">
        <v>1275</v>
      </c>
      <c r="D518" s="74">
        <f>IFERROR(VLOOKUP(B518,'REQ. PINTADO'!B:C,2,0),0)</f>
        <v>0</v>
      </c>
      <c r="E518" s="305">
        <f t="shared" si="66"/>
        <v>488.13832830487195</v>
      </c>
      <c r="F518" s="103" t="s">
        <v>163</v>
      </c>
      <c r="G518" s="75" t="s">
        <v>147</v>
      </c>
      <c r="H518" s="90">
        <v>11.29</v>
      </c>
      <c r="I518" s="90">
        <v>28.06</v>
      </c>
      <c r="J518" s="76">
        <v>0.105</v>
      </c>
      <c r="K518" s="306">
        <v>16.38</v>
      </c>
      <c r="L518" s="78">
        <f t="shared" si="67"/>
        <v>15.971431908586588</v>
      </c>
      <c r="M518" s="58">
        <f>+VLOOKUP(F518,Material!$H$2:$M$17,6,FALSE)*H518*I518*(1+Material!$K$14)</f>
        <v>118.91457030120375</v>
      </c>
      <c r="N518" s="79" t="str">
        <f t="shared" si="81"/>
        <v>T5.0</v>
      </c>
      <c r="O518" s="80">
        <f>+VLOOKUP(N518,[3]Material!$A$3:$B$58,2,FALSE)</f>
        <v>5000</v>
      </c>
      <c r="P518" s="79" t="s">
        <v>42</v>
      </c>
      <c r="Q518" s="79" t="str">
        <f>+VLOOKUP(F518,[3]Material!$C$2:$E$12,2,FALSE)</f>
        <v>Cal 12</v>
      </c>
      <c r="R518" s="81">
        <f>+IF(P518="ACERO A36",VLOOKUP(Q518,'[3]Velocidades Std 1500 w'!$B$2:$F$15,5,FALSE),IF(P518="INOXIDABLE",VLOOKUP(Q518,'[3]Velocidades Std 1500 w'!$B$17:$F$28,5,FALSE),IF(P518="ALUMINIO",VLOOKUP(Q518,'[3]Velocidades Std 1500 w'!$B$30:$F$38,5,FALSE))))</f>
        <v>4.3859649122807014E-6</v>
      </c>
      <c r="S518" s="82">
        <f t="shared" si="68"/>
        <v>2.1929824561403508E-2</v>
      </c>
      <c r="T518" s="83">
        <f t="shared" si="69"/>
        <v>45.774142105263145</v>
      </c>
      <c r="U518" s="307">
        <f t="shared" si="70"/>
        <v>2899.0289999999995</v>
      </c>
      <c r="V518" s="80">
        <f t="shared" si="75"/>
        <v>63.575197368421037</v>
      </c>
      <c r="W518" s="98">
        <v>20</v>
      </c>
      <c r="X518" s="84">
        <f>+IF(P518="ACERO A36",VLOOKUP(Q518,'[3]Tiempo Objeto'!$B$2:$C$12,2,FALSE),IF(P518="INOXIDABLE",VLOOKUP(Q518,'[3]Tiempo Objeto'!$B$14:$C$22,2,FALSE),IF(P518="ALUMINIO",VLOOKUP(Q518,'[3]Tiempo Objeto'!$B$24:$C$32,2,FALSE))))</f>
        <v>0.6133333333333334</v>
      </c>
      <c r="Y518" s="84">
        <f t="shared" si="71"/>
        <v>12.266666666666667</v>
      </c>
      <c r="Z518" s="80">
        <f t="shared" si="72"/>
        <v>17.037037037037038</v>
      </c>
      <c r="AA518" s="100">
        <v>8</v>
      </c>
      <c r="AB518" s="86">
        <f>+AA518*Analisis!$J$6</f>
        <v>200</v>
      </c>
      <c r="AC518" s="100"/>
      <c r="AD518" s="85">
        <f t="shared" si="73"/>
        <v>0</v>
      </c>
      <c r="AE518" s="86">
        <f>+AC518*Analisis!$J$7</f>
        <v>0</v>
      </c>
      <c r="AF518" s="308">
        <f>+H518*0.0254*I518*0.0254*2*(1+[3]Analisis!$G$2)</f>
        <v>0.51096252645999996</v>
      </c>
      <c r="AG518" s="86">
        <f>+AF518*Analisis!$J$8</f>
        <v>54.441840616869058</v>
      </c>
      <c r="AH518" s="309">
        <f t="shared" si="64"/>
        <v>453.96864532353089</v>
      </c>
      <c r="AI518" s="86">
        <f>+AH518/(1-Analisis!G523)</f>
        <v>453.96864532353089</v>
      </c>
      <c r="AJ518" s="86">
        <f t="shared" si="74"/>
        <v>488.13832830487195</v>
      </c>
      <c r="AK518" s="86">
        <f t="shared" si="65"/>
        <v>0</v>
      </c>
      <c r="AL518" s="310" t="e">
        <f>+VLOOKUP(B518,#REF!,2,FALSE)</f>
        <v>#REF!</v>
      </c>
      <c r="AM518" s="311" t="e">
        <f t="shared" si="79"/>
        <v>#REF!</v>
      </c>
      <c r="AN518" s="312" t="e">
        <f t="shared" si="78"/>
        <v>#REF!</v>
      </c>
    </row>
    <row r="519" spans="1:40" s="73" customFormat="1" x14ac:dyDescent="0.25">
      <c r="A519" s="324"/>
      <c r="B519" s="118" t="s">
        <v>1276</v>
      </c>
      <c r="D519" s="74">
        <f>IFERROR(VLOOKUP(B519,'REQ. PINTADO'!B:C,2,0),0)</f>
        <v>0</v>
      </c>
      <c r="E519" s="305">
        <f t="shared" si="66"/>
        <v>527.64262146843589</v>
      </c>
      <c r="F519" s="103" t="s">
        <v>163</v>
      </c>
      <c r="G519" s="75" t="s">
        <v>147</v>
      </c>
      <c r="H519" s="90">
        <v>11.29</v>
      </c>
      <c r="I519" s="90">
        <v>33.06</v>
      </c>
      <c r="J519" s="76">
        <v>0.105</v>
      </c>
      <c r="K519" s="306">
        <v>16.38</v>
      </c>
      <c r="L519" s="78">
        <f t="shared" si="67"/>
        <v>18.817374871627678</v>
      </c>
      <c r="M519" s="58">
        <f>+VLOOKUP(F519,Material!$H$2:$M$17,6,FALSE)*H519*I519*(1+Material!$K$14)</f>
        <v>140.10390927148242</v>
      </c>
      <c r="N519" s="79" t="str">
        <f t="shared" si="81"/>
        <v>T5.0</v>
      </c>
      <c r="O519" s="80">
        <f>+VLOOKUP(N519,[3]Material!$A$3:$B$58,2,FALSE)</f>
        <v>5000</v>
      </c>
      <c r="P519" s="79" t="s">
        <v>42</v>
      </c>
      <c r="Q519" s="79" t="str">
        <f>+VLOOKUP(F519,[3]Material!$C$2:$E$12,2,FALSE)</f>
        <v>Cal 12</v>
      </c>
      <c r="R519" s="81">
        <f>+IF(P519="ACERO A36",VLOOKUP(Q519,'[3]Velocidades Std 1500 w'!$B$2:$F$15,5,FALSE),IF(P519="INOXIDABLE",VLOOKUP(Q519,'[3]Velocidades Std 1500 w'!$B$17:$F$28,5,FALSE),IF(P519="ALUMINIO",VLOOKUP(Q519,'[3]Velocidades Std 1500 w'!$B$30:$F$38,5,FALSE))))</f>
        <v>4.3859649122807014E-6</v>
      </c>
      <c r="S519" s="82">
        <f t="shared" si="68"/>
        <v>2.1929824561403508E-2</v>
      </c>
      <c r="T519" s="83">
        <f t="shared" si="69"/>
        <v>49.985194736842104</v>
      </c>
      <c r="U519" s="307">
        <f t="shared" si="70"/>
        <v>3165.7290000000003</v>
      </c>
      <c r="V519" s="80">
        <f t="shared" si="75"/>
        <v>69.423881578947373</v>
      </c>
      <c r="W519" s="98">
        <v>20</v>
      </c>
      <c r="X519" s="84">
        <f>+IF(P519="ACERO A36",VLOOKUP(Q519,'[3]Tiempo Objeto'!$B$2:$C$12,2,FALSE),IF(P519="INOXIDABLE",VLOOKUP(Q519,'[3]Tiempo Objeto'!$B$14:$C$22,2,FALSE),IF(P519="ALUMINIO",VLOOKUP(Q519,'[3]Tiempo Objeto'!$B$24:$C$32,2,FALSE))))</f>
        <v>0.6133333333333334</v>
      </c>
      <c r="Y519" s="84">
        <f t="shared" si="71"/>
        <v>12.266666666666667</v>
      </c>
      <c r="Z519" s="80">
        <f t="shared" si="72"/>
        <v>17.037037037037038</v>
      </c>
      <c r="AA519" s="100">
        <v>8</v>
      </c>
      <c r="AB519" s="86">
        <f>+AA519*Analisis!$J$6</f>
        <v>200</v>
      </c>
      <c r="AC519" s="100"/>
      <c r="AD519" s="85">
        <f t="shared" si="73"/>
        <v>0</v>
      </c>
      <c r="AE519" s="86">
        <f>+AC519*Analisis!$J$7</f>
        <v>0</v>
      </c>
      <c r="AF519" s="308">
        <f>+H519*0.0254*I519*0.0254*2*(1+[3]Analisis!$G$2)</f>
        <v>0.60201073145999995</v>
      </c>
      <c r="AG519" s="86">
        <f>+AF519*Analisis!$J$8</f>
        <v>64.142810078178584</v>
      </c>
      <c r="AH519" s="309">
        <f t="shared" si="64"/>
        <v>490.70763796564535</v>
      </c>
      <c r="AI519" s="86">
        <f>+AH519/(1-Analisis!G524)</f>
        <v>490.70763796564535</v>
      </c>
      <c r="AJ519" s="86">
        <f t="shared" si="74"/>
        <v>527.64262146843589</v>
      </c>
      <c r="AK519" s="86">
        <f t="shared" si="65"/>
        <v>0</v>
      </c>
      <c r="AL519" s="310" t="e">
        <f>+VLOOKUP(B519,#REF!,2,FALSE)</f>
        <v>#REF!</v>
      </c>
      <c r="AM519" s="311" t="e">
        <f t="shared" si="79"/>
        <v>#REF!</v>
      </c>
      <c r="AN519" s="312" t="e">
        <f t="shared" si="78"/>
        <v>#REF!</v>
      </c>
    </row>
    <row r="520" spans="1:40" s="73" customFormat="1" x14ac:dyDescent="0.25">
      <c r="A520" s="324"/>
      <c r="B520" s="118" t="s">
        <v>1277</v>
      </c>
      <c r="D520" s="74">
        <f>IFERROR(VLOOKUP(B520,'REQ. PINTADO'!B:C,2,0),0)</f>
        <v>0</v>
      </c>
      <c r="E520" s="305">
        <f t="shared" si="66"/>
        <v>606.65120779556389</v>
      </c>
      <c r="F520" s="103" t="s">
        <v>163</v>
      </c>
      <c r="G520" s="75" t="s">
        <v>147</v>
      </c>
      <c r="H520" s="90">
        <v>11.29</v>
      </c>
      <c r="I520" s="90">
        <v>43.06</v>
      </c>
      <c r="J520" s="76">
        <v>0.105</v>
      </c>
      <c r="K520" s="306">
        <v>16.38</v>
      </c>
      <c r="L520" s="78">
        <f t="shared" si="67"/>
        <v>24.509260797709857</v>
      </c>
      <c r="M520" s="58">
        <f>+VLOOKUP(F520,Material!$H$2:$M$17,6,FALSE)*H520*I520*(1+Material!$K$14)</f>
        <v>182.48258721203973</v>
      </c>
      <c r="N520" s="79" t="str">
        <f t="shared" si="81"/>
        <v>T5.0</v>
      </c>
      <c r="O520" s="80">
        <f>+VLOOKUP(N520,[3]Material!$A$3:$B$58,2,FALSE)</f>
        <v>5000</v>
      </c>
      <c r="P520" s="79" t="s">
        <v>42</v>
      </c>
      <c r="Q520" s="79" t="str">
        <f>+VLOOKUP(F520,[3]Material!$C$2:$E$12,2,FALSE)</f>
        <v>Cal 12</v>
      </c>
      <c r="R520" s="81">
        <f>+IF(P520="ACERO A36",VLOOKUP(Q520,'[3]Velocidades Std 1500 w'!$B$2:$F$15,5,FALSE),IF(P520="INOXIDABLE",VLOOKUP(Q520,'[3]Velocidades Std 1500 w'!$B$17:$F$28,5,FALSE),IF(P520="ALUMINIO",VLOOKUP(Q520,'[3]Velocidades Std 1500 w'!$B$30:$F$38,5,FALSE))))</f>
        <v>4.3859649122807014E-6</v>
      </c>
      <c r="S520" s="82">
        <f t="shared" si="68"/>
        <v>2.1929824561403508E-2</v>
      </c>
      <c r="T520" s="83">
        <f t="shared" si="69"/>
        <v>58.407299999999999</v>
      </c>
      <c r="U520" s="307">
        <f t="shared" si="70"/>
        <v>3699.1289999999999</v>
      </c>
      <c r="V520" s="80">
        <f t="shared" si="75"/>
        <v>81.121249999999989</v>
      </c>
      <c r="W520" s="98">
        <v>20</v>
      </c>
      <c r="X520" s="84">
        <f>+IF(P520="ACERO A36",VLOOKUP(Q520,'[3]Tiempo Objeto'!$B$2:$C$12,2,FALSE),IF(P520="INOXIDABLE",VLOOKUP(Q520,'[3]Tiempo Objeto'!$B$14:$C$22,2,FALSE),IF(P520="ALUMINIO",VLOOKUP(Q520,'[3]Tiempo Objeto'!$B$24:$C$32,2,FALSE))))</f>
        <v>0.6133333333333334</v>
      </c>
      <c r="Y520" s="84">
        <f t="shared" si="71"/>
        <v>12.266666666666667</v>
      </c>
      <c r="Z520" s="80">
        <f t="shared" si="72"/>
        <v>17.037037037037038</v>
      </c>
      <c r="AA520" s="100">
        <v>8</v>
      </c>
      <c r="AB520" s="86">
        <f>+AA520*Analisis!$J$6</f>
        <v>200</v>
      </c>
      <c r="AC520" s="100"/>
      <c r="AD520" s="85">
        <f t="shared" si="73"/>
        <v>0</v>
      </c>
      <c r="AE520" s="86">
        <f>+AC520*Analisis!$J$7</f>
        <v>0</v>
      </c>
      <c r="AF520" s="308">
        <f>+H520*0.0254*I520*0.0254*2*(1+[3]Analisis!$G$2)</f>
        <v>0.78410714145999993</v>
      </c>
      <c r="AG520" s="86">
        <f>+AF520*Analisis!$J$8</f>
        <v>83.544749000797637</v>
      </c>
      <c r="AH520" s="309">
        <f t="shared" si="64"/>
        <v>564.18562324987442</v>
      </c>
      <c r="AI520" s="86">
        <f>+AH520/(1-Analisis!G525)</f>
        <v>564.18562324987442</v>
      </c>
      <c r="AJ520" s="86">
        <f t="shared" si="74"/>
        <v>606.65120779556389</v>
      </c>
      <c r="AK520" s="86">
        <f t="shared" si="65"/>
        <v>0</v>
      </c>
      <c r="AL520" s="310" t="e">
        <f>+VLOOKUP(B520,#REF!,2,FALSE)</f>
        <v>#REF!</v>
      </c>
      <c r="AM520" s="311" t="e">
        <f t="shared" si="79"/>
        <v>#REF!</v>
      </c>
      <c r="AN520" s="312" t="e">
        <f t="shared" si="78"/>
        <v>#REF!</v>
      </c>
    </row>
    <row r="521" spans="1:40" s="73" customFormat="1" x14ac:dyDescent="0.25">
      <c r="A521" s="324"/>
      <c r="B521" s="118" t="s">
        <v>1278</v>
      </c>
      <c r="D521" s="74">
        <f>IFERROR(VLOOKUP(B521,'REQ. PINTADO'!B:C,2,0),0)</f>
        <v>0</v>
      </c>
      <c r="E521" s="305">
        <f t="shared" si="66"/>
        <v>606.65120779556389</v>
      </c>
      <c r="F521" s="103" t="s">
        <v>163</v>
      </c>
      <c r="G521" s="75" t="s">
        <v>147</v>
      </c>
      <c r="H521" s="90">
        <v>11.29</v>
      </c>
      <c r="I521" s="90">
        <v>43.06</v>
      </c>
      <c r="J521" s="76">
        <v>0.105</v>
      </c>
      <c r="K521" s="306">
        <v>16.38</v>
      </c>
      <c r="L521" s="78">
        <f t="shared" si="67"/>
        <v>24.509260797709857</v>
      </c>
      <c r="M521" s="58">
        <f>+VLOOKUP(F521,Material!$H$2:$M$17,6,FALSE)*H521*I521*(1+Material!$K$14)</f>
        <v>182.48258721203973</v>
      </c>
      <c r="N521" s="79" t="str">
        <f t="shared" si="81"/>
        <v>T5.0</v>
      </c>
      <c r="O521" s="80">
        <f>+VLOOKUP(N521,[3]Material!$A$3:$B$58,2,FALSE)</f>
        <v>5000</v>
      </c>
      <c r="P521" s="79" t="s">
        <v>42</v>
      </c>
      <c r="Q521" s="79" t="str">
        <f>+VLOOKUP(F521,[3]Material!$C$2:$E$12,2,FALSE)</f>
        <v>Cal 12</v>
      </c>
      <c r="R521" s="81">
        <f>+IF(P521="ACERO A36",VLOOKUP(Q521,'[3]Velocidades Std 1500 w'!$B$2:$F$15,5,FALSE),IF(P521="INOXIDABLE",VLOOKUP(Q521,'[3]Velocidades Std 1500 w'!$B$17:$F$28,5,FALSE),IF(P521="ALUMINIO",VLOOKUP(Q521,'[3]Velocidades Std 1500 w'!$B$30:$F$38,5,FALSE))))</f>
        <v>4.3859649122807014E-6</v>
      </c>
      <c r="S521" s="82">
        <f t="shared" si="68"/>
        <v>2.1929824561403508E-2</v>
      </c>
      <c r="T521" s="83">
        <f t="shared" si="69"/>
        <v>58.407299999999999</v>
      </c>
      <c r="U521" s="307">
        <f t="shared" si="70"/>
        <v>3699.1289999999999</v>
      </c>
      <c r="V521" s="80">
        <f t="shared" si="75"/>
        <v>81.121249999999989</v>
      </c>
      <c r="W521" s="98">
        <v>20</v>
      </c>
      <c r="X521" s="84">
        <f>+IF(P521="ACERO A36",VLOOKUP(Q521,'[3]Tiempo Objeto'!$B$2:$C$12,2,FALSE),IF(P521="INOXIDABLE",VLOOKUP(Q521,'[3]Tiempo Objeto'!$B$14:$C$22,2,FALSE),IF(P521="ALUMINIO",VLOOKUP(Q521,'[3]Tiempo Objeto'!$B$24:$C$32,2,FALSE))))</f>
        <v>0.6133333333333334</v>
      </c>
      <c r="Y521" s="84">
        <f t="shared" si="71"/>
        <v>12.266666666666667</v>
      </c>
      <c r="Z521" s="80">
        <f t="shared" si="72"/>
        <v>17.037037037037038</v>
      </c>
      <c r="AA521" s="100">
        <v>8</v>
      </c>
      <c r="AB521" s="86">
        <f>+AA521*Analisis!$J$6</f>
        <v>200</v>
      </c>
      <c r="AC521" s="100"/>
      <c r="AD521" s="85">
        <f t="shared" si="73"/>
        <v>0</v>
      </c>
      <c r="AE521" s="86">
        <f>+AC521*Analisis!$J$7</f>
        <v>0</v>
      </c>
      <c r="AF521" s="308">
        <f>+H521*0.0254*I521*0.0254*2*(1+[3]Analisis!$G$2)</f>
        <v>0.78410714145999993</v>
      </c>
      <c r="AG521" s="86">
        <f>+AF521*Analisis!$J$8</f>
        <v>83.544749000797637</v>
      </c>
      <c r="AH521" s="309">
        <f t="shared" si="64"/>
        <v>564.18562324987442</v>
      </c>
      <c r="AI521" s="86">
        <f>+AH521/(1-Analisis!G526)</f>
        <v>564.18562324987442</v>
      </c>
      <c r="AJ521" s="86">
        <f t="shared" si="74"/>
        <v>606.65120779556389</v>
      </c>
      <c r="AK521" s="86">
        <f t="shared" si="65"/>
        <v>0</v>
      </c>
      <c r="AL521" s="310" t="e">
        <f>+VLOOKUP(B521,#REF!,2,FALSE)</f>
        <v>#REF!</v>
      </c>
      <c r="AM521" s="311" t="e">
        <f t="shared" si="79"/>
        <v>#REF!</v>
      </c>
      <c r="AN521" s="312" t="e">
        <f t="shared" si="78"/>
        <v>#REF!</v>
      </c>
    </row>
    <row r="522" spans="1:40" s="73" customFormat="1" x14ac:dyDescent="0.25">
      <c r="A522" s="324"/>
      <c r="B522" s="118" t="s">
        <v>1279</v>
      </c>
      <c r="D522" s="74">
        <f>IFERROR(VLOOKUP(B522,'REQ. PINTADO'!B:C,2,0),0)</f>
        <v>0</v>
      </c>
      <c r="E522" s="305">
        <f t="shared" si="66"/>
        <v>488.13832830487195</v>
      </c>
      <c r="F522" s="103" t="s">
        <v>163</v>
      </c>
      <c r="G522" s="75" t="s">
        <v>147</v>
      </c>
      <c r="H522" s="90">
        <v>11.29</v>
      </c>
      <c r="I522" s="90">
        <v>28.06</v>
      </c>
      <c r="J522" s="76">
        <v>0.105</v>
      </c>
      <c r="K522" s="306">
        <v>16.38</v>
      </c>
      <c r="L522" s="78">
        <f t="shared" si="67"/>
        <v>15.971431908586588</v>
      </c>
      <c r="M522" s="58">
        <f>+VLOOKUP(F522,Material!$H$2:$M$17,6,FALSE)*H522*I522*(1+Material!$K$14)</f>
        <v>118.91457030120375</v>
      </c>
      <c r="N522" s="79" t="str">
        <f t="shared" si="81"/>
        <v>T5.0</v>
      </c>
      <c r="O522" s="80">
        <f>+VLOOKUP(N522,[3]Material!$A$3:$B$58,2,FALSE)</f>
        <v>5000</v>
      </c>
      <c r="P522" s="79" t="s">
        <v>42</v>
      </c>
      <c r="Q522" s="79" t="str">
        <f>+VLOOKUP(F522,[3]Material!$C$2:$E$12,2,FALSE)</f>
        <v>Cal 12</v>
      </c>
      <c r="R522" s="81">
        <f>+IF(P522="ACERO A36",VLOOKUP(Q522,'[3]Velocidades Std 1500 w'!$B$2:$F$15,5,FALSE),IF(P522="INOXIDABLE",VLOOKUP(Q522,'[3]Velocidades Std 1500 w'!$B$17:$F$28,5,FALSE),IF(P522="ALUMINIO",VLOOKUP(Q522,'[3]Velocidades Std 1500 w'!$B$30:$F$38,5,FALSE))))</f>
        <v>4.3859649122807014E-6</v>
      </c>
      <c r="S522" s="82">
        <f t="shared" si="68"/>
        <v>2.1929824561403508E-2</v>
      </c>
      <c r="T522" s="83">
        <f t="shared" si="69"/>
        <v>45.774142105263145</v>
      </c>
      <c r="U522" s="307">
        <f t="shared" si="70"/>
        <v>2899.0289999999995</v>
      </c>
      <c r="V522" s="80">
        <f t="shared" si="75"/>
        <v>63.575197368421037</v>
      </c>
      <c r="W522" s="98">
        <v>20</v>
      </c>
      <c r="X522" s="84">
        <f>+IF(P522="ACERO A36",VLOOKUP(Q522,'[3]Tiempo Objeto'!$B$2:$C$12,2,FALSE),IF(P522="INOXIDABLE",VLOOKUP(Q522,'[3]Tiempo Objeto'!$B$14:$C$22,2,FALSE),IF(P522="ALUMINIO",VLOOKUP(Q522,'[3]Tiempo Objeto'!$B$24:$C$32,2,FALSE))))</f>
        <v>0.6133333333333334</v>
      </c>
      <c r="Y522" s="84">
        <f t="shared" si="71"/>
        <v>12.266666666666667</v>
      </c>
      <c r="Z522" s="80">
        <f t="shared" si="72"/>
        <v>17.037037037037038</v>
      </c>
      <c r="AA522" s="100">
        <v>8</v>
      </c>
      <c r="AB522" s="86">
        <f>+AA522*Analisis!$J$6</f>
        <v>200</v>
      </c>
      <c r="AC522" s="100"/>
      <c r="AD522" s="85">
        <f t="shared" si="73"/>
        <v>0</v>
      </c>
      <c r="AE522" s="86">
        <f>+AC522*Analisis!$J$7</f>
        <v>0</v>
      </c>
      <c r="AF522" s="308">
        <f>+H522*0.0254*I522*0.0254*2*(1+[3]Analisis!$G$2)</f>
        <v>0.51096252645999996</v>
      </c>
      <c r="AG522" s="86">
        <f>+AF522*Analisis!$J$8</f>
        <v>54.441840616869058</v>
      </c>
      <c r="AH522" s="309">
        <f t="shared" si="64"/>
        <v>453.96864532353089</v>
      </c>
      <c r="AI522" s="86">
        <f>+AH522/(1-Analisis!G527)</f>
        <v>453.96864532353089</v>
      </c>
      <c r="AJ522" s="86">
        <f t="shared" si="74"/>
        <v>488.13832830487195</v>
      </c>
      <c r="AK522" s="86">
        <f t="shared" si="65"/>
        <v>0</v>
      </c>
      <c r="AL522" s="310" t="e">
        <f>+VLOOKUP(B522,#REF!,2,FALSE)</f>
        <v>#REF!</v>
      </c>
      <c r="AM522" s="311" t="e">
        <f t="shared" si="79"/>
        <v>#REF!</v>
      </c>
      <c r="AN522" s="312" t="e">
        <f t="shared" si="78"/>
        <v>#REF!</v>
      </c>
    </row>
    <row r="523" spans="1:40" s="73" customFormat="1" x14ac:dyDescent="0.25">
      <c r="A523" s="324"/>
      <c r="B523" s="118" t="s">
        <v>1280</v>
      </c>
      <c r="D523" s="74">
        <f>IFERROR(VLOOKUP(B523,'REQ. PINTADO'!B:C,2,0),0)</f>
        <v>0</v>
      </c>
      <c r="E523" s="305">
        <f t="shared" si="66"/>
        <v>527.64262146843589</v>
      </c>
      <c r="F523" s="103" t="s">
        <v>163</v>
      </c>
      <c r="G523" s="75" t="s">
        <v>147</v>
      </c>
      <c r="H523" s="90">
        <v>11.29</v>
      </c>
      <c r="I523" s="90">
        <v>33.06</v>
      </c>
      <c r="J523" s="76">
        <v>0.105</v>
      </c>
      <c r="K523" s="306">
        <v>16.38</v>
      </c>
      <c r="L523" s="78">
        <f t="shared" si="67"/>
        <v>18.817374871627678</v>
      </c>
      <c r="M523" s="58">
        <f>+VLOOKUP(F523,Material!$H$2:$M$17,6,FALSE)*H523*I523*(1+Material!$K$14)</f>
        <v>140.10390927148242</v>
      </c>
      <c r="N523" s="79" t="str">
        <f t="shared" si="81"/>
        <v>T5.0</v>
      </c>
      <c r="O523" s="80">
        <f>+VLOOKUP(N523,[3]Material!$A$3:$B$58,2,FALSE)</f>
        <v>5000</v>
      </c>
      <c r="P523" s="79" t="s">
        <v>42</v>
      </c>
      <c r="Q523" s="79" t="str">
        <f>+VLOOKUP(F523,[3]Material!$C$2:$E$12,2,FALSE)</f>
        <v>Cal 12</v>
      </c>
      <c r="R523" s="81">
        <f>+IF(P523="ACERO A36",VLOOKUP(Q523,'[3]Velocidades Std 1500 w'!$B$2:$F$15,5,FALSE),IF(P523="INOXIDABLE",VLOOKUP(Q523,'[3]Velocidades Std 1500 w'!$B$17:$F$28,5,FALSE),IF(P523="ALUMINIO",VLOOKUP(Q523,'[3]Velocidades Std 1500 w'!$B$30:$F$38,5,FALSE))))</f>
        <v>4.3859649122807014E-6</v>
      </c>
      <c r="S523" s="82">
        <f t="shared" si="68"/>
        <v>2.1929824561403508E-2</v>
      </c>
      <c r="T523" s="83">
        <f t="shared" si="69"/>
        <v>49.985194736842104</v>
      </c>
      <c r="U523" s="307">
        <f t="shared" si="70"/>
        <v>3165.7290000000003</v>
      </c>
      <c r="V523" s="80">
        <f t="shared" si="75"/>
        <v>69.423881578947373</v>
      </c>
      <c r="W523" s="98">
        <v>20</v>
      </c>
      <c r="X523" s="84">
        <f>+IF(P523="ACERO A36",VLOOKUP(Q523,'[3]Tiempo Objeto'!$B$2:$C$12,2,FALSE),IF(P523="INOXIDABLE",VLOOKUP(Q523,'[3]Tiempo Objeto'!$B$14:$C$22,2,FALSE),IF(P523="ALUMINIO",VLOOKUP(Q523,'[3]Tiempo Objeto'!$B$24:$C$32,2,FALSE))))</f>
        <v>0.6133333333333334</v>
      </c>
      <c r="Y523" s="84">
        <f t="shared" si="71"/>
        <v>12.266666666666667</v>
      </c>
      <c r="Z523" s="80">
        <f t="shared" si="72"/>
        <v>17.037037037037038</v>
      </c>
      <c r="AA523" s="100">
        <v>8</v>
      </c>
      <c r="AB523" s="86">
        <f>+AA523*Analisis!$J$6</f>
        <v>200</v>
      </c>
      <c r="AC523" s="100"/>
      <c r="AD523" s="85">
        <f t="shared" si="73"/>
        <v>0</v>
      </c>
      <c r="AE523" s="86">
        <f>+AC523*Analisis!$J$7</f>
        <v>0</v>
      </c>
      <c r="AF523" s="308">
        <f>+H523*0.0254*I523*0.0254*2*(1+[3]Analisis!$G$2)</f>
        <v>0.60201073145999995</v>
      </c>
      <c r="AG523" s="86">
        <f>+AF523*Analisis!$J$8</f>
        <v>64.142810078178584</v>
      </c>
      <c r="AH523" s="309">
        <f t="shared" si="64"/>
        <v>490.70763796564535</v>
      </c>
      <c r="AI523" s="86">
        <f>+AH523/(1-Analisis!G528)</f>
        <v>490.70763796564535</v>
      </c>
      <c r="AJ523" s="86">
        <f t="shared" si="74"/>
        <v>527.64262146843589</v>
      </c>
      <c r="AK523" s="86">
        <f t="shared" si="65"/>
        <v>0</v>
      </c>
      <c r="AL523" s="310" t="e">
        <f>+VLOOKUP(B523,#REF!,2,FALSE)</f>
        <v>#REF!</v>
      </c>
      <c r="AM523" s="311" t="e">
        <f t="shared" si="79"/>
        <v>#REF!</v>
      </c>
      <c r="AN523" s="312" t="e">
        <f t="shared" si="78"/>
        <v>#REF!</v>
      </c>
    </row>
    <row r="524" spans="1:40" s="73" customFormat="1" x14ac:dyDescent="0.25">
      <c r="A524" s="324"/>
      <c r="B524" s="118" t="s">
        <v>1281</v>
      </c>
      <c r="D524" s="74">
        <f>IFERROR(VLOOKUP(B524,'REQ. PINTADO'!B:C,2,0),0)</f>
        <v>0</v>
      </c>
      <c r="E524" s="305">
        <f t="shared" si="66"/>
        <v>606.65120779556389</v>
      </c>
      <c r="F524" s="103" t="s">
        <v>163</v>
      </c>
      <c r="G524" s="75" t="s">
        <v>147</v>
      </c>
      <c r="H524" s="90">
        <v>11.29</v>
      </c>
      <c r="I524" s="90">
        <v>43.06</v>
      </c>
      <c r="J524" s="76">
        <v>0.105</v>
      </c>
      <c r="K524" s="306">
        <v>16.38</v>
      </c>
      <c r="L524" s="78">
        <f t="shared" si="67"/>
        <v>24.509260797709857</v>
      </c>
      <c r="M524" s="58">
        <f>+VLOOKUP(F524,Material!$H$2:$M$17,6,FALSE)*H524*I524*(1+Material!$K$14)</f>
        <v>182.48258721203973</v>
      </c>
      <c r="N524" s="79" t="str">
        <f t="shared" si="81"/>
        <v>T5.0</v>
      </c>
      <c r="O524" s="80">
        <f>+VLOOKUP(N524,[3]Material!$A$3:$B$58,2,FALSE)</f>
        <v>5000</v>
      </c>
      <c r="P524" s="79" t="s">
        <v>42</v>
      </c>
      <c r="Q524" s="79" t="str">
        <f>+VLOOKUP(F524,[3]Material!$C$2:$E$12,2,FALSE)</f>
        <v>Cal 12</v>
      </c>
      <c r="R524" s="81">
        <f>+IF(P524="ACERO A36",VLOOKUP(Q524,'[3]Velocidades Std 1500 w'!$B$2:$F$15,5,FALSE),IF(P524="INOXIDABLE",VLOOKUP(Q524,'[3]Velocidades Std 1500 w'!$B$17:$F$28,5,FALSE),IF(P524="ALUMINIO",VLOOKUP(Q524,'[3]Velocidades Std 1500 w'!$B$30:$F$38,5,FALSE))))</f>
        <v>4.3859649122807014E-6</v>
      </c>
      <c r="S524" s="82">
        <f t="shared" si="68"/>
        <v>2.1929824561403508E-2</v>
      </c>
      <c r="T524" s="83">
        <f t="shared" si="69"/>
        <v>58.407299999999999</v>
      </c>
      <c r="U524" s="307">
        <f t="shared" si="70"/>
        <v>3699.1289999999999</v>
      </c>
      <c r="V524" s="80">
        <f t="shared" si="75"/>
        <v>81.121249999999989</v>
      </c>
      <c r="W524" s="98">
        <v>20</v>
      </c>
      <c r="X524" s="84">
        <f>+IF(P524="ACERO A36",VLOOKUP(Q524,'[3]Tiempo Objeto'!$B$2:$C$12,2,FALSE),IF(P524="INOXIDABLE",VLOOKUP(Q524,'[3]Tiempo Objeto'!$B$14:$C$22,2,FALSE),IF(P524="ALUMINIO",VLOOKUP(Q524,'[3]Tiempo Objeto'!$B$24:$C$32,2,FALSE))))</f>
        <v>0.6133333333333334</v>
      </c>
      <c r="Y524" s="84">
        <f t="shared" si="71"/>
        <v>12.266666666666667</v>
      </c>
      <c r="Z524" s="80">
        <f t="shared" si="72"/>
        <v>17.037037037037038</v>
      </c>
      <c r="AA524" s="100">
        <v>8</v>
      </c>
      <c r="AB524" s="86">
        <f>+AA524*Analisis!$J$6</f>
        <v>200</v>
      </c>
      <c r="AC524" s="100"/>
      <c r="AD524" s="85">
        <f t="shared" si="73"/>
        <v>0</v>
      </c>
      <c r="AE524" s="86">
        <f>+AC524*Analisis!$J$7</f>
        <v>0</v>
      </c>
      <c r="AF524" s="308">
        <f>+H524*0.0254*I524*0.0254*2*(1+[3]Analisis!$G$2)</f>
        <v>0.78410714145999993</v>
      </c>
      <c r="AG524" s="86">
        <f>+AF524*Analisis!$J$8</f>
        <v>83.544749000797637</v>
      </c>
      <c r="AH524" s="309">
        <f t="shared" si="64"/>
        <v>564.18562324987442</v>
      </c>
      <c r="AI524" s="86">
        <f>+AH524/(1-Analisis!G529)</f>
        <v>564.18562324987442</v>
      </c>
      <c r="AJ524" s="86">
        <f t="shared" si="74"/>
        <v>606.65120779556389</v>
      </c>
      <c r="AK524" s="86">
        <f t="shared" si="65"/>
        <v>0</v>
      </c>
      <c r="AL524" s="310" t="e">
        <f>+VLOOKUP(B524,#REF!,2,FALSE)</f>
        <v>#REF!</v>
      </c>
      <c r="AM524" s="311" t="e">
        <f t="shared" si="79"/>
        <v>#REF!</v>
      </c>
      <c r="AN524" s="312" t="e">
        <f t="shared" si="78"/>
        <v>#REF!</v>
      </c>
    </row>
    <row r="525" spans="1:40" s="73" customFormat="1" x14ac:dyDescent="0.25">
      <c r="A525" s="324"/>
      <c r="B525" s="118" t="s">
        <v>1282</v>
      </c>
      <c r="D525" s="74">
        <f>IFERROR(VLOOKUP(B525,'REQ. PINTADO'!B:C,2,0),0)</f>
        <v>0</v>
      </c>
      <c r="E525" s="305">
        <f t="shared" si="66"/>
        <v>606.65120779556389</v>
      </c>
      <c r="F525" s="103" t="s">
        <v>163</v>
      </c>
      <c r="G525" s="75" t="s">
        <v>147</v>
      </c>
      <c r="H525" s="90">
        <v>11.29</v>
      </c>
      <c r="I525" s="90">
        <v>43.06</v>
      </c>
      <c r="J525" s="76">
        <v>0.105</v>
      </c>
      <c r="K525" s="306">
        <v>16.38</v>
      </c>
      <c r="L525" s="78">
        <f t="shared" si="67"/>
        <v>24.509260797709857</v>
      </c>
      <c r="M525" s="58">
        <f>+VLOOKUP(F525,Material!$H$2:$M$17,6,FALSE)*H525*I525*(1+Material!$K$14)</f>
        <v>182.48258721203973</v>
      </c>
      <c r="N525" s="79" t="str">
        <f t="shared" si="81"/>
        <v>T5.0</v>
      </c>
      <c r="O525" s="80">
        <f>+VLOOKUP(N525,[3]Material!$A$3:$B$58,2,FALSE)</f>
        <v>5000</v>
      </c>
      <c r="P525" s="79" t="s">
        <v>42</v>
      </c>
      <c r="Q525" s="79" t="str">
        <f>+VLOOKUP(F525,[3]Material!$C$2:$E$12,2,FALSE)</f>
        <v>Cal 12</v>
      </c>
      <c r="R525" s="81">
        <f>+IF(P525="ACERO A36",VLOOKUP(Q525,'[3]Velocidades Std 1500 w'!$B$2:$F$15,5,FALSE),IF(P525="INOXIDABLE",VLOOKUP(Q525,'[3]Velocidades Std 1500 w'!$B$17:$F$28,5,FALSE),IF(P525="ALUMINIO",VLOOKUP(Q525,'[3]Velocidades Std 1500 w'!$B$30:$F$38,5,FALSE))))</f>
        <v>4.3859649122807014E-6</v>
      </c>
      <c r="S525" s="82">
        <f t="shared" si="68"/>
        <v>2.1929824561403508E-2</v>
      </c>
      <c r="T525" s="83">
        <f t="shared" si="69"/>
        <v>58.407299999999999</v>
      </c>
      <c r="U525" s="307">
        <f t="shared" si="70"/>
        <v>3699.1289999999999</v>
      </c>
      <c r="V525" s="80">
        <f t="shared" si="75"/>
        <v>81.121249999999989</v>
      </c>
      <c r="W525" s="98">
        <v>20</v>
      </c>
      <c r="X525" s="84">
        <f>+IF(P525="ACERO A36",VLOOKUP(Q525,'[3]Tiempo Objeto'!$B$2:$C$12,2,FALSE),IF(P525="INOXIDABLE",VLOOKUP(Q525,'[3]Tiempo Objeto'!$B$14:$C$22,2,FALSE),IF(P525="ALUMINIO",VLOOKUP(Q525,'[3]Tiempo Objeto'!$B$24:$C$32,2,FALSE))))</f>
        <v>0.6133333333333334</v>
      </c>
      <c r="Y525" s="84">
        <f t="shared" si="71"/>
        <v>12.266666666666667</v>
      </c>
      <c r="Z525" s="80">
        <f t="shared" si="72"/>
        <v>17.037037037037038</v>
      </c>
      <c r="AA525" s="100">
        <v>8</v>
      </c>
      <c r="AB525" s="86">
        <f>+AA525*Analisis!$J$6</f>
        <v>200</v>
      </c>
      <c r="AC525" s="100"/>
      <c r="AD525" s="85">
        <f t="shared" si="73"/>
        <v>0</v>
      </c>
      <c r="AE525" s="86">
        <f>+AC525*Analisis!$J$7</f>
        <v>0</v>
      </c>
      <c r="AF525" s="308">
        <f>+H525*0.0254*I525*0.0254*2*(1+[3]Analisis!$G$2)</f>
        <v>0.78410714145999993</v>
      </c>
      <c r="AG525" s="86">
        <f>+AF525*Analisis!$J$8</f>
        <v>83.544749000797637</v>
      </c>
      <c r="AH525" s="309">
        <f t="shared" si="64"/>
        <v>564.18562324987442</v>
      </c>
      <c r="AI525" s="86">
        <f>+AH525/(1-Analisis!G530)</f>
        <v>564.18562324987442</v>
      </c>
      <c r="AJ525" s="86">
        <f t="shared" si="74"/>
        <v>606.65120779556389</v>
      </c>
      <c r="AK525" s="86">
        <f t="shared" si="65"/>
        <v>0</v>
      </c>
      <c r="AL525" s="310" t="e">
        <f>+VLOOKUP(B525,#REF!,2,FALSE)</f>
        <v>#REF!</v>
      </c>
      <c r="AM525" s="311" t="e">
        <f t="shared" si="79"/>
        <v>#REF!</v>
      </c>
      <c r="AN525" s="312" t="e">
        <f t="shared" si="78"/>
        <v>#REF!</v>
      </c>
    </row>
    <row r="526" spans="1:40" s="73" customFormat="1" x14ac:dyDescent="0.25">
      <c r="A526" s="324"/>
      <c r="B526" s="118" t="s">
        <v>1283</v>
      </c>
      <c r="D526" s="74">
        <f>IFERROR(VLOOKUP(B526,'REQ. PINTADO'!B:C,2,0),0)</f>
        <v>0</v>
      </c>
      <c r="E526" s="305">
        <f t="shared" si="66"/>
        <v>244.96034534484096</v>
      </c>
      <c r="F526" s="103" t="s">
        <v>165</v>
      </c>
      <c r="G526" s="75" t="s">
        <v>147</v>
      </c>
      <c r="H526" s="90">
        <v>10.58</v>
      </c>
      <c r="I526" s="90">
        <v>23.64</v>
      </c>
      <c r="J526" s="76">
        <v>0.105</v>
      </c>
      <c r="K526" s="306">
        <v>16.38</v>
      </c>
      <c r="L526" s="78">
        <f t="shared" si="67"/>
        <v>13.961869871794876</v>
      </c>
      <c r="M526" s="58">
        <f>+VLOOKUP(F526,Material!$H$2:$M$17,6,FALSE)*H526*I526*(1+Material!$K$14)</f>
        <v>103.95246750000001</v>
      </c>
      <c r="N526" s="79" t="str">
        <f t="shared" si="81"/>
        <v>T5.0</v>
      </c>
      <c r="O526" s="80">
        <f>+VLOOKUP(N526,[3]Material!$A$3:$B$58,2,FALSE)</f>
        <v>5000</v>
      </c>
      <c r="P526" s="79" t="s">
        <v>42</v>
      </c>
      <c r="Q526" s="79" t="str">
        <f>+VLOOKUP(F526,[3]Material!$C$2:$E$12,2,FALSE)</f>
        <v>Cal 14</v>
      </c>
      <c r="R526" s="81">
        <f>+IF(P526="ACERO A36",VLOOKUP(Q526,'[3]Velocidades Std 1500 w'!$B$2:$F$15,5,FALSE),IF(P526="INOXIDABLE",VLOOKUP(Q526,'[3]Velocidades Std 1500 w'!$B$17:$F$28,5,FALSE),IF(P526="ALUMINIO",VLOOKUP(Q526,'[3]Velocidades Std 1500 w'!$B$30:$F$38,5,FALSE))))</f>
        <v>2.0080321285140564E-6</v>
      </c>
      <c r="S526" s="82">
        <f t="shared" si="68"/>
        <v>1.0040160642570283E-2</v>
      </c>
      <c r="T526" s="83">
        <f t="shared" si="69"/>
        <v>17.532793734939759</v>
      </c>
      <c r="U526" s="307">
        <f t="shared" si="70"/>
        <v>2425.3697999999999</v>
      </c>
      <c r="V526" s="80">
        <f t="shared" si="75"/>
        <v>24.351102409638557</v>
      </c>
      <c r="W526" s="98">
        <v>15</v>
      </c>
      <c r="X526" s="84">
        <f>+IF(P526="ACERO A36",VLOOKUP(Q526,'[3]Tiempo Objeto'!$B$2:$C$12,2,FALSE),IF(P526="INOXIDABLE",VLOOKUP(Q526,'[3]Tiempo Objeto'!$B$14:$C$22,2,FALSE),IF(P526="ALUMINIO",VLOOKUP(Q526,'[3]Tiempo Objeto'!$B$24:$C$32,2,FALSE))))</f>
        <v>0.3133333333333333</v>
      </c>
      <c r="Y526" s="84">
        <f t="shared" si="71"/>
        <v>4.6999999999999993</v>
      </c>
      <c r="Z526" s="80">
        <f t="shared" si="72"/>
        <v>6.5277777777777768</v>
      </c>
      <c r="AA526" s="100">
        <v>2</v>
      </c>
      <c r="AB526" s="86">
        <f>+AA526*Analisis!$J$6</f>
        <v>50</v>
      </c>
      <c r="AC526" s="100"/>
      <c r="AD526" s="85">
        <f t="shared" si="73"/>
        <v>0</v>
      </c>
      <c r="AE526" s="86">
        <f>+AC526*Analisis!$J$7</f>
        <v>0</v>
      </c>
      <c r="AF526" s="308">
        <f>+H526*0.0254*I526*0.0254*2*(1+[3]Analisis!$G$2)</f>
        <v>0.40340435448</v>
      </c>
      <c r="AG526" s="86">
        <f>+AF526*Analisis!$J$8</f>
        <v>42.981773483285728</v>
      </c>
      <c r="AH526" s="309">
        <f t="shared" si="64"/>
        <v>227.81312117070209</v>
      </c>
      <c r="AI526" s="86">
        <f>+AH526/(1-Analisis!G531)</f>
        <v>227.81312117070209</v>
      </c>
      <c r="AJ526" s="86">
        <f t="shared" si="74"/>
        <v>244.96034534484096</v>
      </c>
      <c r="AK526" s="86">
        <f t="shared" si="65"/>
        <v>0</v>
      </c>
      <c r="AL526" s="310" t="e">
        <f>+VLOOKUP(B526,#REF!,2,FALSE)</f>
        <v>#REF!</v>
      </c>
      <c r="AM526" s="311" t="e">
        <f t="shared" si="79"/>
        <v>#REF!</v>
      </c>
      <c r="AN526" s="312" t="e">
        <f t="shared" si="78"/>
        <v>#REF!</v>
      </c>
    </row>
    <row r="527" spans="1:40" s="73" customFormat="1" x14ac:dyDescent="0.25">
      <c r="A527" s="324"/>
      <c r="B527" s="118" t="s">
        <v>1284</v>
      </c>
      <c r="D527" s="74">
        <f>IFERROR(VLOOKUP(B527,'REQ. PINTADO'!B:C,2,0),0)</f>
        <v>0</v>
      </c>
      <c r="E527" s="305">
        <f t="shared" si="66"/>
        <v>317.55211519490177</v>
      </c>
      <c r="F527" s="103" t="s">
        <v>165</v>
      </c>
      <c r="G527" s="75" t="s">
        <v>147</v>
      </c>
      <c r="H527" s="90">
        <v>10.58</v>
      </c>
      <c r="I527" s="90">
        <v>33.64</v>
      </c>
      <c r="J527" s="76">
        <v>0.105</v>
      </c>
      <c r="K527" s="306">
        <v>16.38</v>
      </c>
      <c r="L527" s="78">
        <f t="shared" si="67"/>
        <v>19.867906196581202</v>
      </c>
      <c r="M527" s="58">
        <f>+VLOOKUP(F527,Material!$H$2:$M$17,6,FALSE)*H527*I527*(1+Material!$K$14)</f>
        <v>147.92559250000002</v>
      </c>
      <c r="N527" s="79" t="str">
        <f t="shared" si="81"/>
        <v>T5.0</v>
      </c>
      <c r="O527" s="80">
        <f>+VLOOKUP(N527,[3]Material!$A$3:$B$58,2,FALSE)</f>
        <v>5000</v>
      </c>
      <c r="P527" s="79" t="s">
        <v>42</v>
      </c>
      <c r="Q527" s="79" t="str">
        <f>+VLOOKUP(F527,[3]Material!$C$2:$E$12,2,FALSE)</f>
        <v>Cal 14</v>
      </c>
      <c r="R527" s="81">
        <f>+IF(P527="ACERO A36",VLOOKUP(Q527,'[3]Velocidades Std 1500 w'!$B$2:$F$15,5,FALSE),IF(P527="INOXIDABLE",VLOOKUP(Q527,'[3]Velocidades Std 1500 w'!$B$17:$F$28,5,FALSE),IF(P527="ALUMINIO",VLOOKUP(Q527,'[3]Velocidades Std 1500 w'!$B$30:$F$38,5,FALSE))))</f>
        <v>2.0080321285140564E-6</v>
      </c>
      <c r="S527" s="82">
        <f t="shared" si="68"/>
        <v>1.0040160642570283E-2</v>
      </c>
      <c r="T527" s="83">
        <f t="shared" si="69"/>
        <v>21.388697349397592</v>
      </c>
      <c r="U527" s="307">
        <f t="shared" si="70"/>
        <v>2958.7698</v>
      </c>
      <c r="V527" s="80">
        <f t="shared" si="75"/>
        <v>29.706524096385547</v>
      </c>
      <c r="W527" s="98">
        <v>15</v>
      </c>
      <c r="X527" s="84">
        <f>+IF(P527="ACERO A36",VLOOKUP(Q527,'[3]Tiempo Objeto'!$B$2:$C$12,2,FALSE),IF(P527="INOXIDABLE",VLOOKUP(Q527,'[3]Tiempo Objeto'!$B$14:$C$22,2,FALSE),IF(P527="ALUMINIO",VLOOKUP(Q527,'[3]Tiempo Objeto'!$B$24:$C$32,2,FALSE))))</f>
        <v>0.3133333333333333</v>
      </c>
      <c r="Y527" s="84">
        <f t="shared" si="71"/>
        <v>4.6999999999999993</v>
      </c>
      <c r="Z527" s="80">
        <f t="shared" si="72"/>
        <v>6.5277777777777768</v>
      </c>
      <c r="AA527" s="100">
        <v>2</v>
      </c>
      <c r="AB527" s="86">
        <f>+AA527*Analisis!$J$6</f>
        <v>50</v>
      </c>
      <c r="AC527" s="100"/>
      <c r="AD527" s="85">
        <f t="shared" si="73"/>
        <v>0</v>
      </c>
      <c r="AE527" s="86">
        <f>+AC527*Analisis!$J$7</f>
        <v>0</v>
      </c>
      <c r="AF527" s="308">
        <f>+H527*0.0254*I527*0.0254*2*(1+[3]Analisis!$G$2)</f>
        <v>0.57404917447999992</v>
      </c>
      <c r="AG527" s="86">
        <f>+AF527*Analisis!$J$8</f>
        <v>61.163572757095245</v>
      </c>
      <c r="AH527" s="309">
        <f t="shared" si="64"/>
        <v>295.32346713125861</v>
      </c>
      <c r="AI527" s="86">
        <f>+AH527/(1-Analisis!G532)</f>
        <v>295.32346713125861</v>
      </c>
      <c r="AJ527" s="86">
        <f t="shared" si="74"/>
        <v>317.55211519490177</v>
      </c>
      <c r="AK527" s="86">
        <f t="shared" si="65"/>
        <v>0</v>
      </c>
      <c r="AL527" s="310" t="e">
        <f>+VLOOKUP(B527,#REF!,2,FALSE)</f>
        <v>#REF!</v>
      </c>
      <c r="AM527" s="311" t="e">
        <f t="shared" si="79"/>
        <v>#REF!</v>
      </c>
      <c r="AN527" s="312" t="e">
        <f t="shared" si="78"/>
        <v>#REF!</v>
      </c>
    </row>
    <row r="528" spans="1:40" s="73" customFormat="1" x14ac:dyDescent="0.25">
      <c r="A528" s="324"/>
      <c r="B528" s="118" t="s">
        <v>1285</v>
      </c>
      <c r="D528" s="74">
        <f>IFERROR(VLOOKUP(B528,'REQ. PINTADO'!B:C,2,0),0)</f>
        <v>0</v>
      </c>
      <c r="E528" s="305">
        <f t="shared" si="66"/>
        <v>257.80292532495662</v>
      </c>
      <c r="F528" s="103" t="s">
        <v>166</v>
      </c>
      <c r="G528" s="75" t="s">
        <v>147</v>
      </c>
      <c r="H528" s="90">
        <v>13.08</v>
      </c>
      <c r="I528" s="90">
        <v>19</v>
      </c>
      <c r="J528" s="76">
        <v>0.105</v>
      </c>
      <c r="K528" s="306">
        <v>16.38</v>
      </c>
      <c r="L528" s="78">
        <f t="shared" si="67"/>
        <v>7.5652852847662047</v>
      </c>
      <c r="M528" s="58">
        <f>+VLOOKUP(F528,Material!$H$2:$M$17,6,FALSE)*H528*I528*(1+Material!$K$14)</f>
        <v>56.326987711122918</v>
      </c>
      <c r="N528" s="79" t="str">
        <f t="shared" si="81"/>
        <v>T5.0</v>
      </c>
      <c r="O528" s="80">
        <f>+VLOOKUP(N528,[3]Material!$A$3:$B$58,2,FALSE)</f>
        <v>5000</v>
      </c>
      <c r="P528" s="79" t="s">
        <v>42</v>
      </c>
      <c r="Q528" s="79" t="str">
        <f>+VLOOKUP(F528,[3]Material!$C$2:$E$12,2,FALSE)</f>
        <v>Cal 16</v>
      </c>
      <c r="R528" s="81">
        <f>+IF(P528="ACERO A36",VLOOKUP(Q528,'[3]Velocidades Std 1500 w'!$B$2:$F$15,5,FALSE),IF(P528="INOXIDABLE",VLOOKUP(Q528,'[3]Velocidades Std 1500 w'!$B$17:$F$28,5,FALSE),IF(P528="ALUMINIO",VLOOKUP(Q528,'[3]Velocidades Std 1500 w'!$B$30:$F$38,5,FALSE))))</f>
        <v>9.1575091575091579E-7</v>
      </c>
      <c r="S528" s="82">
        <f t="shared" si="68"/>
        <v>4.578754578754579E-3</v>
      </c>
      <c r="T528" s="83">
        <f t="shared" si="69"/>
        <v>7.6194138461538445</v>
      </c>
      <c r="U528" s="307">
        <f t="shared" si="70"/>
        <v>2311.2221999999997</v>
      </c>
      <c r="V528" s="80">
        <f t="shared" si="75"/>
        <v>10.582519230769229</v>
      </c>
      <c r="W528" s="98">
        <v>15</v>
      </c>
      <c r="X528" s="84">
        <f>+IF(P528="ACERO A36",VLOOKUP(Q528,'[3]Tiempo Objeto'!$B$2:$C$12,2,FALSE),IF(P528="INOXIDABLE",VLOOKUP(Q528,'[3]Tiempo Objeto'!$B$14:$C$22,2,FALSE),IF(P528="ALUMINIO",VLOOKUP(Q528,'[3]Tiempo Objeto'!$B$24:$C$32,2,FALSE))))</f>
        <v>0.24666666666666667</v>
      </c>
      <c r="Y528" s="84">
        <f t="shared" si="71"/>
        <v>3.7</v>
      </c>
      <c r="Z528" s="80">
        <f t="shared" si="72"/>
        <v>5.1388888888888893</v>
      </c>
      <c r="AA528" s="100">
        <v>5</v>
      </c>
      <c r="AB528" s="86">
        <f>+AA528*Analisis!$J$6</f>
        <v>125</v>
      </c>
      <c r="AC528" s="100"/>
      <c r="AD528" s="85">
        <f t="shared" si="73"/>
        <v>0</v>
      </c>
      <c r="AE528" s="86">
        <f>+AC528*Analisis!$J$7</f>
        <v>0</v>
      </c>
      <c r="AF528" s="308">
        <f>+H528*0.0254*I528*0.0254*2*(1+[3]Analisis!$G$2)</f>
        <v>0.40083790799999997</v>
      </c>
      <c r="AG528" s="86">
        <f>+AF528*Analisis!$J$8</f>
        <v>42.708324721428582</v>
      </c>
      <c r="AH528" s="309">
        <f t="shared" si="64"/>
        <v>239.75672055220963</v>
      </c>
      <c r="AI528" s="86">
        <f>+AH528/(1-Analisis!G533)</f>
        <v>239.75672055220963</v>
      </c>
      <c r="AJ528" s="86">
        <f t="shared" si="74"/>
        <v>257.80292532495662</v>
      </c>
      <c r="AK528" s="86">
        <f t="shared" si="65"/>
        <v>0</v>
      </c>
      <c r="AL528" s="310" t="e">
        <f>+VLOOKUP(B528,#REF!,2,FALSE)</f>
        <v>#REF!</v>
      </c>
      <c r="AM528" s="311" t="e">
        <f t="shared" si="79"/>
        <v>#REF!</v>
      </c>
      <c r="AN528" s="312" t="e">
        <f t="shared" si="78"/>
        <v>#REF!</v>
      </c>
    </row>
    <row r="529" spans="1:40" s="73" customFormat="1" x14ac:dyDescent="0.25">
      <c r="A529" s="324"/>
      <c r="B529" s="118" t="s">
        <v>1286</v>
      </c>
      <c r="D529" s="74">
        <f>IFERROR(VLOOKUP(B529,'REQ. PINTADO'!B:C,2,0),0)</f>
        <v>0</v>
      </c>
      <c r="E529" s="305">
        <f t="shared" si="66"/>
        <v>316.4762117131491</v>
      </c>
      <c r="F529" s="103" t="s">
        <v>166</v>
      </c>
      <c r="G529" s="75" t="s">
        <v>147</v>
      </c>
      <c r="H529" s="90">
        <v>13.08</v>
      </c>
      <c r="I529" s="90">
        <v>29</v>
      </c>
      <c r="J529" s="76">
        <v>0.105</v>
      </c>
      <c r="K529" s="306">
        <v>16.38</v>
      </c>
      <c r="L529" s="78">
        <f t="shared" si="67"/>
        <v>11.547014382011577</v>
      </c>
      <c r="M529" s="58">
        <f>+VLOOKUP(F529,Material!$H$2:$M$17,6,FALSE)*H529*I529*(1+Material!$K$14)</f>
        <v>85.972770716977095</v>
      </c>
      <c r="N529" s="79" t="str">
        <f t="shared" si="81"/>
        <v>T5.0</v>
      </c>
      <c r="O529" s="80">
        <f>+VLOOKUP(N529,[3]Material!$A$3:$B$58,2,FALSE)</f>
        <v>5000</v>
      </c>
      <c r="P529" s="79" t="s">
        <v>42</v>
      </c>
      <c r="Q529" s="79" t="str">
        <f>+VLOOKUP(F529,[3]Material!$C$2:$E$12,2,FALSE)</f>
        <v>Cal 16</v>
      </c>
      <c r="R529" s="81">
        <f>+IF(P529="ACERO A36",VLOOKUP(Q529,'[3]Velocidades Std 1500 w'!$B$2:$F$15,5,FALSE),IF(P529="INOXIDABLE",VLOOKUP(Q529,'[3]Velocidades Std 1500 w'!$B$17:$F$28,5,FALSE),IF(P529="ALUMINIO",VLOOKUP(Q529,'[3]Velocidades Std 1500 w'!$B$30:$F$38,5,FALSE))))</f>
        <v>9.1575091575091579E-7</v>
      </c>
      <c r="S529" s="82">
        <f t="shared" si="68"/>
        <v>4.578754578754579E-3</v>
      </c>
      <c r="T529" s="83">
        <f t="shared" si="69"/>
        <v>9.3778753846153844</v>
      </c>
      <c r="U529" s="307">
        <f t="shared" si="70"/>
        <v>2844.6221999999998</v>
      </c>
      <c r="V529" s="80">
        <f t="shared" si="75"/>
        <v>13.024826923076922</v>
      </c>
      <c r="W529" s="98">
        <v>15</v>
      </c>
      <c r="X529" s="84">
        <f>+IF(P529="ACERO A36",VLOOKUP(Q529,'[3]Tiempo Objeto'!$B$2:$C$12,2,FALSE),IF(P529="INOXIDABLE",VLOOKUP(Q529,'[3]Tiempo Objeto'!$B$14:$C$22,2,FALSE),IF(P529="ALUMINIO",VLOOKUP(Q529,'[3]Tiempo Objeto'!$B$24:$C$32,2,FALSE))))</f>
        <v>0.24666666666666667</v>
      </c>
      <c r="Y529" s="84">
        <f t="shared" si="71"/>
        <v>3.7</v>
      </c>
      <c r="Z529" s="80">
        <f t="shared" si="72"/>
        <v>5.1388888888888893</v>
      </c>
      <c r="AA529" s="100">
        <v>5</v>
      </c>
      <c r="AB529" s="86">
        <f>+AA529*Analisis!$J$6</f>
        <v>125</v>
      </c>
      <c r="AC529" s="100"/>
      <c r="AD529" s="85">
        <f t="shared" si="73"/>
        <v>0</v>
      </c>
      <c r="AE529" s="86">
        <f>+AC529*Analisis!$J$7</f>
        <v>0</v>
      </c>
      <c r="AF529" s="308">
        <f>+H529*0.0254*I529*0.0254*2*(1+[3]Analisis!$G$2)</f>
        <v>0.61180522799999992</v>
      </c>
      <c r="AG529" s="86">
        <f>+AF529*Analisis!$J$8</f>
        <v>65.186390364285728</v>
      </c>
      <c r="AH529" s="309">
        <f t="shared" si="64"/>
        <v>294.32287689322862</v>
      </c>
      <c r="AI529" s="86">
        <f>+AH529/(1-Analisis!G534)</f>
        <v>294.32287689322862</v>
      </c>
      <c r="AJ529" s="86">
        <f t="shared" si="74"/>
        <v>316.4762117131491</v>
      </c>
      <c r="AK529" s="86">
        <f t="shared" si="65"/>
        <v>0</v>
      </c>
      <c r="AL529" s="310" t="e">
        <f>+VLOOKUP(B529,#REF!,2,FALSE)</f>
        <v>#REF!</v>
      </c>
      <c r="AM529" s="311" t="e">
        <f t="shared" si="79"/>
        <v>#REF!</v>
      </c>
      <c r="AN529" s="312" t="e">
        <f t="shared" si="78"/>
        <v>#REF!</v>
      </c>
    </row>
    <row r="530" spans="1:40" s="73" customFormat="1" x14ac:dyDescent="0.25">
      <c r="A530" s="324"/>
      <c r="B530" s="118" t="s">
        <v>1287</v>
      </c>
      <c r="D530" s="74">
        <f>IFERROR(VLOOKUP(B530,'REQ. PINTADO'!B:C,2,0),0)</f>
        <v>0</v>
      </c>
      <c r="E530" s="305">
        <f t="shared" si="66"/>
        <v>257.80292532495662</v>
      </c>
      <c r="F530" s="103" t="s">
        <v>166</v>
      </c>
      <c r="G530" s="75" t="s">
        <v>147</v>
      </c>
      <c r="H530" s="90">
        <v>13.08</v>
      </c>
      <c r="I530" s="90">
        <v>19</v>
      </c>
      <c r="J530" s="76">
        <v>0.105</v>
      </c>
      <c r="K530" s="306">
        <v>16.38</v>
      </c>
      <c r="L530" s="78">
        <f t="shared" si="67"/>
        <v>7.5652852847662047</v>
      </c>
      <c r="M530" s="58">
        <f>+VLOOKUP(F530,Material!$H$2:$M$17,6,FALSE)*H530*I530*(1+Material!$K$14)</f>
        <v>56.326987711122918</v>
      </c>
      <c r="N530" s="79" t="str">
        <f t="shared" si="81"/>
        <v>T5.0</v>
      </c>
      <c r="O530" s="80">
        <f>+VLOOKUP(N530,[3]Material!$A$3:$B$58,2,FALSE)</f>
        <v>5000</v>
      </c>
      <c r="P530" s="79" t="s">
        <v>42</v>
      </c>
      <c r="Q530" s="79" t="str">
        <f>+VLOOKUP(F530,[3]Material!$C$2:$E$12,2,FALSE)</f>
        <v>Cal 16</v>
      </c>
      <c r="R530" s="81">
        <f>+IF(P530="ACERO A36",VLOOKUP(Q530,'[3]Velocidades Std 1500 w'!$B$2:$F$15,5,FALSE),IF(P530="INOXIDABLE",VLOOKUP(Q530,'[3]Velocidades Std 1500 w'!$B$17:$F$28,5,FALSE),IF(P530="ALUMINIO",VLOOKUP(Q530,'[3]Velocidades Std 1500 w'!$B$30:$F$38,5,FALSE))))</f>
        <v>9.1575091575091579E-7</v>
      </c>
      <c r="S530" s="82">
        <f t="shared" si="68"/>
        <v>4.578754578754579E-3</v>
      </c>
      <c r="T530" s="83">
        <f t="shared" si="69"/>
        <v>7.6194138461538445</v>
      </c>
      <c r="U530" s="307">
        <f t="shared" si="70"/>
        <v>2311.2221999999997</v>
      </c>
      <c r="V530" s="80">
        <f t="shared" si="75"/>
        <v>10.582519230769229</v>
      </c>
      <c r="W530" s="98">
        <v>15</v>
      </c>
      <c r="X530" s="84">
        <f>+IF(P530="ACERO A36",VLOOKUP(Q530,'[3]Tiempo Objeto'!$B$2:$C$12,2,FALSE),IF(P530="INOXIDABLE",VLOOKUP(Q530,'[3]Tiempo Objeto'!$B$14:$C$22,2,FALSE),IF(P530="ALUMINIO",VLOOKUP(Q530,'[3]Tiempo Objeto'!$B$24:$C$32,2,FALSE))))</f>
        <v>0.24666666666666667</v>
      </c>
      <c r="Y530" s="84">
        <f t="shared" si="71"/>
        <v>3.7</v>
      </c>
      <c r="Z530" s="80">
        <f t="shared" si="72"/>
        <v>5.1388888888888893</v>
      </c>
      <c r="AA530" s="100">
        <v>5</v>
      </c>
      <c r="AB530" s="86">
        <f>+AA530*Analisis!$J$6</f>
        <v>125</v>
      </c>
      <c r="AC530" s="100"/>
      <c r="AD530" s="85">
        <f t="shared" si="73"/>
        <v>0</v>
      </c>
      <c r="AE530" s="86">
        <f>+AC530*Analisis!$J$7</f>
        <v>0</v>
      </c>
      <c r="AF530" s="308">
        <f>+H530*0.0254*I530*0.0254*2*(1+[3]Analisis!$G$2)</f>
        <v>0.40083790799999997</v>
      </c>
      <c r="AG530" s="86">
        <f>+AF530*Analisis!$J$8</f>
        <v>42.708324721428582</v>
      </c>
      <c r="AH530" s="309">
        <f t="shared" si="64"/>
        <v>239.75672055220963</v>
      </c>
      <c r="AI530" s="86">
        <f>+AH530/(1-Analisis!G535)</f>
        <v>239.75672055220963</v>
      </c>
      <c r="AJ530" s="86">
        <f t="shared" si="74"/>
        <v>257.80292532495662</v>
      </c>
      <c r="AK530" s="86">
        <f t="shared" si="65"/>
        <v>0</v>
      </c>
      <c r="AL530" s="310" t="e">
        <f>+VLOOKUP(B530,#REF!,2,FALSE)</f>
        <v>#REF!</v>
      </c>
      <c r="AM530" s="311" t="e">
        <f t="shared" si="79"/>
        <v>#REF!</v>
      </c>
      <c r="AN530" s="312" t="e">
        <f t="shared" si="78"/>
        <v>#REF!</v>
      </c>
    </row>
    <row r="531" spans="1:40" s="73" customFormat="1" x14ac:dyDescent="0.25">
      <c r="A531" s="324"/>
      <c r="B531" s="118" t="s">
        <v>1288</v>
      </c>
      <c r="D531" s="74">
        <f>IFERROR(VLOOKUP(B531,'REQ. PINTADO'!B:C,2,0),0)</f>
        <v>0</v>
      </c>
      <c r="E531" s="305">
        <f t="shared" si="66"/>
        <v>316.4762117131491</v>
      </c>
      <c r="F531" s="103" t="s">
        <v>166</v>
      </c>
      <c r="G531" s="75" t="s">
        <v>147</v>
      </c>
      <c r="H531" s="90">
        <v>13.08</v>
      </c>
      <c r="I531" s="90">
        <v>29</v>
      </c>
      <c r="J531" s="76">
        <v>0.105</v>
      </c>
      <c r="K531" s="306">
        <v>16.38</v>
      </c>
      <c r="L531" s="78">
        <f t="shared" si="67"/>
        <v>11.547014382011577</v>
      </c>
      <c r="M531" s="58">
        <f>+VLOOKUP(F531,Material!$H$2:$M$17,6,FALSE)*H531*I531*(1+Material!$K$14)</f>
        <v>85.972770716977095</v>
      </c>
      <c r="N531" s="79" t="str">
        <f t="shared" si="81"/>
        <v>T5.0</v>
      </c>
      <c r="O531" s="80">
        <f>+VLOOKUP(N531,[3]Material!$A$3:$B$58,2,FALSE)</f>
        <v>5000</v>
      </c>
      <c r="P531" s="79" t="s">
        <v>42</v>
      </c>
      <c r="Q531" s="79" t="str">
        <f>+VLOOKUP(F531,[3]Material!$C$2:$E$12,2,FALSE)</f>
        <v>Cal 16</v>
      </c>
      <c r="R531" s="81">
        <f>+IF(P531="ACERO A36",VLOOKUP(Q531,'[3]Velocidades Std 1500 w'!$B$2:$F$15,5,FALSE),IF(P531="INOXIDABLE",VLOOKUP(Q531,'[3]Velocidades Std 1500 w'!$B$17:$F$28,5,FALSE),IF(P531="ALUMINIO",VLOOKUP(Q531,'[3]Velocidades Std 1500 w'!$B$30:$F$38,5,FALSE))))</f>
        <v>9.1575091575091579E-7</v>
      </c>
      <c r="S531" s="82">
        <f t="shared" si="68"/>
        <v>4.578754578754579E-3</v>
      </c>
      <c r="T531" s="83">
        <f t="shared" si="69"/>
        <v>9.3778753846153844</v>
      </c>
      <c r="U531" s="307">
        <f t="shared" si="70"/>
        <v>2844.6221999999998</v>
      </c>
      <c r="V531" s="80">
        <f t="shared" si="75"/>
        <v>13.024826923076922</v>
      </c>
      <c r="W531" s="98">
        <v>15</v>
      </c>
      <c r="X531" s="84">
        <f>+IF(P531="ACERO A36",VLOOKUP(Q531,'[3]Tiempo Objeto'!$B$2:$C$12,2,FALSE),IF(P531="INOXIDABLE",VLOOKUP(Q531,'[3]Tiempo Objeto'!$B$14:$C$22,2,FALSE),IF(P531="ALUMINIO",VLOOKUP(Q531,'[3]Tiempo Objeto'!$B$24:$C$32,2,FALSE))))</f>
        <v>0.24666666666666667</v>
      </c>
      <c r="Y531" s="84">
        <f t="shared" si="71"/>
        <v>3.7</v>
      </c>
      <c r="Z531" s="80">
        <f t="shared" si="72"/>
        <v>5.1388888888888893</v>
      </c>
      <c r="AA531" s="100">
        <v>5</v>
      </c>
      <c r="AB531" s="86">
        <f>+AA531*Analisis!$J$6</f>
        <v>125</v>
      </c>
      <c r="AC531" s="100"/>
      <c r="AD531" s="85">
        <f t="shared" si="73"/>
        <v>0</v>
      </c>
      <c r="AE531" s="86">
        <f>+AC531*Analisis!$J$7</f>
        <v>0</v>
      </c>
      <c r="AF531" s="308">
        <f>+H531*0.0254*I531*0.0254*2*(1+[3]Analisis!$G$2)</f>
        <v>0.61180522799999992</v>
      </c>
      <c r="AG531" s="86">
        <f>+AF531*Analisis!$J$8</f>
        <v>65.186390364285728</v>
      </c>
      <c r="AH531" s="309">
        <f t="shared" si="64"/>
        <v>294.32287689322862</v>
      </c>
      <c r="AI531" s="86">
        <f>+AH531/(1-Analisis!G536)</f>
        <v>294.32287689322862</v>
      </c>
      <c r="AJ531" s="86">
        <f t="shared" si="74"/>
        <v>316.4762117131491</v>
      </c>
      <c r="AK531" s="86">
        <f t="shared" si="65"/>
        <v>0</v>
      </c>
      <c r="AL531" s="310" t="e">
        <f>+VLOOKUP(B531,#REF!,2,FALSE)</f>
        <v>#REF!</v>
      </c>
      <c r="AM531" s="311" t="e">
        <f t="shared" si="79"/>
        <v>#REF!</v>
      </c>
      <c r="AN531" s="312" t="e">
        <f t="shared" si="78"/>
        <v>#REF!</v>
      </c>
    </row>
    <row r="532" spans="1:40" s="73" customFormat="1" x14ac:dyDescent="0.25">
      <c r="A532" s="324"/>
      <c r="B532" s="118" t="s">
        <v>1289</v>
      </c>
      <c r="D532" s="74">
        <f>IFERROR(VLOOKUP(B532,'REQ. PINTADO'!B:C,2,0),0)</f>
        <v>0</v>
      </c>
      <c r="E532" s="305">
        <f t="shared" si="66"/>
        <v>348.30782126971968</v>
      </c>
      <c r="F532" s="103" t="s">
        <v>166</v>
      </c>
      <c r="G532" s="75" t="s">
        <v>147</v>
      </c>
      <c r="H532" s="90">
        <v>19.829999999999998</v>
      </c>
      <c r="I532" s="90">
        <v>10.1</v>
      </c>
      <c r="J532" s="76">
        <v>0.105</v>
      </c>
      <c r="K532" s="306">
        <v>16.38</v>
      </c>
      <c r="L532" s="78">
        <f t="shared" si="67"/>
        <v>6.096885694064178</v>
      </c>
      <c r="M532" s="58">
        <f>+VLOOKUP(F532,Material!$H$2:$M$17,6,FALSE)*H532*I532*(1+Material!$K$14)</f>
        <v>45.39408530398692</v>
      </c>
      <c r="N532" s="79" t="str">
        <f t="shared" si="81"/>
        <v>T5.0</v>
      </c>
      <c r="O532" s="80">
        <f>+VLOOKUP(N532,[3]Material!$A$3:$B$58,2,FALSE)</f>
        <v>5000</v>
      </c>
      <c r="P532" s="79" t="s">
        <v>42</v>
      </c>
      <c r="Q532" s="79" t="str">
        <f>+VLOOKUP(F532,[3]Material!$C$2:$E$12,2,FALSE)</f>
        <v>Cal 16</v>
      </c>
      <c r="R532" s="81">
        <f>+IF(P532="ACERO A36",VLOOKUP(Q532,'[3]Velocidades Std 1500 w'!$B$2:$F$15,5,FALSE),IF(P532="INOXIDABLE",VLOOKUP(Q532,'[3]Velocidades Std 1500 w'!$B$17:$F$28,5,FALSE),IF(P532="ALUMINIO",VLOOKUP(Q532,'[3]Velocidades Std 1500 w'!$B$30:$F$38,5,FALSE))))</f>
        <v>9.1575091575091579E-7</v>
      </c>
      <c r="S532" s="82">
        <f t="shared" si="68"/>
        <v>4.578754578754579E-3</v>
      </c>
      <c r="T532" s="83">
        <f t="shared" si="69"/>
        <v>14.494998461538461</v>
      </c>
      <c r="U532" s="307">
        <f t="shared" si="70"/>
        <v>4396.8162000000002</v>
      </c>
      <c r="V532" s="80">
        <f t="shared" si="75"/>
        <v>20.131942307692309</v>
      </c>
      <c r="W532" s="98">
        <v>70</v>
      </c>
      <c r="X532" s="84">
        <f>+IF(P532="ACERO A36",VLOOKUP(Q532,'[3]Tiempo Objeto'!$B$2:$C$12,2,FALSE),IF(P532="INOXIDABLE",VLOOKUP(Q532,'[3]Tiempo Objeto'!$B$14:$C$22,2,FALSE),IF(P532="ALUMINIO",VLOOKUP(Q532,'[3]Tiempo Objeto'!$B$24:$C$32,2,FALSE))))</f>
        <v>0.24666666666666667</v>
      </c>
      <c r="Y532" s="84">
        <f t="shared" si="71"/>
        <v>17.266666666666666</v>
      </c>
      <c r="Z532" s="80">
        <f t="shared" si="72"/>
        <v>23.981481481481481</v>
      </c>
      <c r="AA532" s="100">
        <v>8</v>
      </c>
      <c r="AB532" s="86">
        <f>+AA532*Analisis!$J$6</f>
        <v>200</v>
      </c>
      <c r="AC532" s="100"/>
      <c r="AD532" s="85">
        <f t="shared" si="73"/>
        <v>0</v>
      </c>
      <c r="AE532" s="86">
        <f>+AC532*Analisis!$J$7</f>
        <v>0</v>
      </c>
      <c r="AF532" s="308">
        <f>+H532*0.0254*I532*0.0254*2*(1+[3]Analisis!$G$2)</f>
        <v>0.32303645069999992</v>
      </c>
      <c r="AG532" s="86">
        <f>+AF532*Analisis!$J$8</f>
        <v>34.418764687678575</v>
      </c>
      <c r="AH532" s="309">
        <f t="shared" si="64"/>
        <v>323.92627378083927</v>
      </c>
      <c r="AI532" s="86">
        <f>+AH532/(1-Analisis!G537)</f>
        <v>323.92627378083927</v>
      </c>
      <c r="AJ532" s="86">
        <f t="shared" si="74"/>
        <v>348.30782126971968</v>
      </c>
      <c r="AK532" s="86">
        <f t="shared" si="65"/>
        <v>0</v>
      </c>
      <c r="AL532" s="310" t="e">
        <f>+VLOOKUP(B532,#REF!,2,FALSE)</f>
        <v>#REF!</v>
      </c>
      <c r="AM532" s="311" t="e">
        <f t="shared" si="79"/>
        <v>#REF!</v>
      </c>
      <c r="AN532" s="312" t="e">
        <f t="shared" si="78"/>
        <v>#REF!</v>
      </c>
    </row>
    <row r="533" spans="1:40" s="73" customFormat="1" x14ac:dyDescent="0.25">
      <c r="A533" s="324"/>
      <c r="B533" s="118" t="s">
        <v>1290</v>
      </c>
      <c r="D533" s="74">
        <f>IFERROR(VLOOKUP(B533,'REQ. PINTADO'!B:C,2,0),0)</f>
        <v>0</v>
      </c>
      <c r="E533" s="305">
        <f t="shared" si="66"/>
        <v>394.21195595514348</v>
      </c>
      <c r="F533" s="103" t="s">
        <v>166</v>
      </c>
      <c r="G533" s="75" t="s">
        <v>147</v>
      </c>
      <c r="H533" s="90">
        <v>29.83</v>
      </c>
      <c r="I533" s="90">
        <v>10.1</v>
      </c>
      <c r="J533" s="76">
        <v>0.105</v>
      </c>
      <c r="K533" s="306">
        <v>16.38</v>
      </c>
      <c r="L533" s="78">
        <f t="shared" si="67"/>
        <v>9.1714624434661847</v>
      </c>
      <c r="M533" s="58">
        <f>+VLOOKUP(F533,Material!$H$2:$M$17,6,FALSE)*H533*I533*(1+Material!$K$14)</f>
        <v>68.285706738170944</v>
      </c>
      <c r="N533" s="79" t="str">
        <f t="shared" si="81"/>
        <v>T5.0</v>
      </c>
      <c r="O533" s="80">
        <f>+VLOOKUP(N533,[3]Material!$A$3:$B$58,2,FALSE)</f>
        <v>5000</v>
      </c>
      <c r="P533" s="79" t="s">
        <v>42</v>
      </c>
      <c r="Q533" s="79" t="str">
        <f>+VLOOKUP(F533,[3]Material!$C$2:$E$12,2,FALSE)</f>
        <v>Cal 16</v>
      </c>
      <c r="R533" s="81">
        <f>+IF(P533="ACERO A36",VLOOKUP(Q533,'[3]Velocidades Std 1500 w'!$B$2:$F$15,5,FALSE),IF(P533="INOXIDABLE",VLOOKUP(Q533,'[3]Velocidades Std 1500 w'!$B$17:$F$28,5,FALSE),IF(P533="ALUMINIO",VLOOKUP(Q533,'[3]Velocidades Std 1500 w'!$B$30:$F$38,5,FALSE))))</f>
        <v>9.1575091575091579E-7</v>
      </c>
      <c r="S533" s="82">
        <f t="shared" si="68"/>
        <v>4.578754578754579E-3</v>
      </c>
      <c r="T533" s="83">
        <f t="shared" si="69"/>
        <v>16.253460000000004</v>
      </c>
      <c r="U533" s="307">
        <f t="shared" si="70"/>
        <v>4930.2162000000008</v>
      </c>
      <c r="V533" s="80">
        <f t="shared" si="75"/>
        <v>22.574250000000003</v>
      </c>
      <c r="W533" s="98">
        <v>70</v>
      </c>
      <c r="X533" s="84">
        <f>+IF(P533="ACERO A36",VLOOKUP(Q533,'[3]Tiempo Objeto'!$B$2:$C$12,2,FALSE),IF(P533="INOXIDABLE",VLOOKUP(Q533,'[3]Tiempo Objeto'!$B$14:$C$22,2,FALSE),IF(P533="ALUMINIO",VLOOKUP(Q533,'[3]Tiempo Objeto'!$B$24:$C$32,2,FALSE))))</f>
        <v>0.24666666666666667</v>
      </c>
      <c r="Y533" s="84">
        <f t="shared" si="71"/>
        <v>17.266666666666666</v>
      </c>
      <c r="Z533" s="80">
        <f t="shared" si="72"/>
        <v>23.981481481481481</v>
      </c>
      <c r="AA533" s="100">
        <v>8</v>
      </c>
      <c r="AB533" s="86">
        <f>+AA533*Analisis!$J$6</f>
        <v>200</v>
      </c>
      <c r="AC533" s="100"/>
      <c r="AD533" s="85">
        <f t="shared" si="73"/>
        <v>0</v>
      </c>
      <c r="AE533" s="86">
        <f>+AC533*Analisis!$J$7</f>
        <v>0</v>
      </c>
      <c r="AF533" s="308">
        <f>+H533*0.0254*I533*0.0254*2*(1+[3]Analisis!$G$2)</f>
        <v>0.48593935069999994</v>
      </c>
      <c r="AG533" s="86">
        <f>+AF533*Analisis!$J$8</f>
        <v>51.77568081863096</v>
      </c>
      <c r="AH533" s="309">
        <f t="shared" si="64"/>
        <v>366.61711903828342</v>
      </c>
      <c r="AI533" s="86">
        <f>+AH533/(1-Analisis!G538)</f>
        <v>366.61711903828342</v>
      </c>
      <c r="AJ533" s="86">
        <f t="shared" si="74"/>
        <v>394.21195595514348</v>
      </c>
      <c r="AK533" s="86">
        <f t="shared" si="65"/>
        <v>0</v>
      </c>
      <c r="AL533" s="310" t="e">
        <f>+VLOOKUP(B533,#REF!,2,FALSE)</f>
        <v>#REF!</v>
      </c>
      <c r="AM533" s="311" t="e">
        <f t="shared" si="79"/>
        <v>#REF!</v>
      </c>
      <c r="AN533" s="312" t="e">
        <f t="shared" si="78"/>
        <v>#REF!</v>
      </c>
    </row>
    <row r="534" spans="1:40" s="73" customFormat="1" x14ac:dyDescent="0.25">
      <c r="A534" s="324"/>
      <c r="B534" s="118" t="s">
        <v>1291</v>
      </c>
      <c r="D534" s="74">
        <f>IFERROR(VLOOKUP(B534,'REQ. PINTADO'!B:C,2,0),0)</f>
        <v>0</v>
      </c>
      <c r="E534" s="305">
        <f t="shared" si="66"/>
        <v>246.03647141100387</v>
      </c>
      <c r="F534" s="103" t="s">
        <v>163</v>
      </c>
      <c r="G534" s="75" t="s">
        <v>147</v>
      </c>
      <c r="H534" s="90">
        <v>9</v>
      </c>
      <c r="I534" s="90">
        <v>23.64</v>
      </c>
      <c r="J534" s="76">
        <v>0.105</v>
      </c>
      <c r="K534" s="306">
        <v>16.38</v>
      </c>
      <c r="L534" s="78">
        <f t="shared" si="67"/>
        <v>10.726356506937504</v>
      </c>
      <c r="M534" s="58">
        <f>+VLOOKUP(F534,Material!$H$2:$M$17,6,FALSE)*H534*I534*(1+Material!$K$14)</f>
        <v>79.862599810743774</v>
      </c>
      <c r="N534" s="79" t="str">
        <f t="shared" si="81"/>
        <v>T5.0</v>
      </c>
      <c r="O534" s="80">
        <f>+VLOOKUP(N534,[3]Material!$A$3:$B$58,2,FALSE)</f>
        <v>5000</v>
      </c>
      <c r="P534" s="79" t="s">
        <v>42</v>
      </c>
      <c r="Q534" s="79" t="str">
        <f>+VLOOKUP(F534,[3]Material!$C$2:$E$12,2,FALSE)</f>
        <v>Cal 12</v>
      </c>
      <c r="R534" s="81">
        <f>+IF(P534="ACERO A36",VLOOKUP(Q534,'[3]Velocidades Std 1500 w'!$B$2:$F$15,5,FALSE),IF(P534="INOXIDABLE",VLOOKUP(Q534,'[3]Velocidades Std 1500 w'!$B$17:$F$28,5,FALSE),IF(P534="ALUMINIO",VLOOKUP(Q534,'[3]Velocidades Std 1500 w'!$B$30:$F$38,5,FALSE))))</f>
        <v>4.3859649122807014E-6</v>
      </c>
      <c r="S534" s="82">
        <f t="shared" si="68"/>
        <v>2.1929824561403508E-2</v>
      </c>
      <c r="T534" s="83">
        <f t="shared" si="69"/>
        <v>36.332962105263157</v>
      </c>
      <c r="U534" s="307">
        <f t="shared" si="70"/>
        <v>2301.0875999999998</v>
      </c>
      <c r="V534" s="80">
        <f t="shared" si="75"/>
        <v>50.462447368421046</v>
      </c>
      <c r="W534" s="98">
        <v>14</v>
      </c>
      <c r="X534" s="84">
        <f>+IF(P534="ACERO A36",VLOOKUP(Q534,'[3]Tiempo Objeto'!$B$2:$C$12,2,FALSE),IF(P534="INOXIDABLE",VLOOKUP(Q534,'[3]Tiempo Objeto'!$B$14:$C$22,2,FALSE),IF(P534="ALUMINIO",VLOOKUP(Q534,'[3]Tiempo Objeto'!$B$24:$C$32,2,FALSE))))</f>
        <v>0.6133333333333334</v>
      </c>
      <c r="Y534" s="84">
        <f t="shared" si="71"/>
        <v>8.5866666666666678</v>
      </c>
      <c r="Z534" s="80">
        <f t="shared" si="72"/>
        <v>11.925925925925927</v>
      </c>
      <c r="AA534" s="100">
        <v>2</v>
      </c>
      <c r="AB534" s="86">
        <f>+AA534*Analisis!$J$6</f>
        <v>50</v>
      </c>
      <c r="AC534" s="100"/>
      <c r="AD534" s="85">
        <f t="shared" si="73"/>
        <v>0</v>
      </c>
      <c r="AE534" s="86">
        <f>+AC534*Analisis!$J$7</f>
        <v>0</v>
      </c>
      <c r="AF534" s="308">
        <f>+H534*0.0254*I534*0.0254*2*(1+[3]Analisis!$G$2)</f>
        <v>0.34316060400000004</v>
      </c>
      <c r="AG534" s="86">
        <f>+AF534*Analisis!$J$8</f>
        <v>36.562945307142869</v>
      </c>
      <c r="AH534" s="309">
        <f t="shared" si="64"/>
        <v>228.81391841223359</v>
      </c>
      <c r="AI534" s="86">
        <f>+AH534/(1-Analisis!G539)</f>
        <v>228.81391841223359</v>
      </c>
      <c r="AJ534" s="86">
        <f t="shared" si="74"/>
        <v>246.03647141100387</v>
      </c>
      <c r="AK534" s="86">
        <f t="shared" si="65"/>
        <v>0</v>
      </c>
      <c r="AL534" s="310" t="e">
        <f>+VLOOKUP(B534,#REF!,2,FALSE)</f>
        <v>#REF!</v>
      </c>
      <c r="AM534" s="311" t="e">
        <f t="shared" si="79"/>
        <v>#REF!</v>
      </c>
      <c r="AN534" s="312" t="e">
        <f t="shared" si="78"/>
        <v>#REF!</v>
      </c>
    </row>
    <row r="535" spans="1:40" s="73" customFormat="1" x14ac:dyDescent="0.25">
      <c r="A535" s="324"/>
      <c r="B535" s="118" t="s">
        <v>1292</v>
      </c>
      <c r="D535" s="74">
        <f>IFERROR(VLOOKUP(B535,'REQ. PINTADO'!B:C,2,0),0)</f>
        <v>0</v>
      </c>
      <c r="E535" s="305">
        <f t="shared" si="66"/>
        <v>311.5706144095916</v>
      </c>
      <c r="F535" s="103" t="s">
        <v>163</v>
      </c>
      <c r="G535" s="75" t="s">
        <v>147</v>
      </c>
      <c r="H535" s="90">
        <v>9</v>
      </c>
      <c r="I535" s="90">
        <v>33.64</v>
      </c>
      <c r="J535" s="76">
        <v>0.105</v>
      </c>
      <c r="K535" s="306">
        <v>16.38</v>
      </c>
      <c r="L535" s="78">
        <f t="shared" si="67"/>
        <v>15.26373235589584</v>
      </c>
      <c r="M535" s="58">
        <f>+VLOOKUP(F535,Material!$H$2:$M$17,6,FALSE)*H535*I535*(1+Material!$K$14)</f>
        <v>113.64542544980628</v>
      </c>
      <c r="N535" s="79" t="str">
        <f t="shared" si="81"/>
        <v>T5.0</v>
      </c>
      <c r="O535" s="80">
        <f>+VLOOKUP(N535,[3]Material!$A$3:$B$58,2,FALSE)</f>
        <v>5000</v>
      </c>
      <c r="P535" s="79" t="s">
        <v>42</v>
      </c>
      <c r="Q535" s="79" t="str">
        <f>+VLOOKUP(F535,[3]Material!$C$2:$E$12,2,FALSE)</f>
        <v>Cal 12</v>
      </c>
      <c r="R535" s="81">
        <f>+IF(P535="ACERO A36",VLOOKUP(Q535,'[3]Velocidades Std 1500 w'!$B$2:$F$15,5,FALSE),IF(P535="INOXIDABLE",VLOOKUP(Q535,'[3]Velocidades Std 1500 w'!$B$17:$F$28,5,FALSE),IF(P535="ALUMINIO",VLOOKUP(Q535,'[3]Velocidades Std 1500 w'!$B$30:$F$38,5,FALSE))))</f>
        <v>4.3859649122807014E-6</v>
      </c>
      <c r="S535" s="82">
        <f t="shared" si="68"/>
        <v>2.1929824561403508E-2</v>
      </c>
      <c r="T535" s="83">
        <f t="shared" si="69"/>
        <v>44.755067368421052</v>
      </c>
      <c r="U535" s="307">
        <f t="shared" si="70"/>
        <v>2834.4875999999999</v>
      </c>
      <c r="V535" s="80">
        <f t="shared" si="75"/>
        <v>62.159815789473676</v>
      </c>
      <c r="W535" s="98">
        <v>14</v>
      </c>
      <c r="X535" s="84">
        <f>+IF(P535="ACERO A36",VLOOKUP(Q535,'[3]Tiempo Objeto'!$B$2:$C$12,2,FALSE),IF(P535="INOXIDABLE",VLOOKUP(Q535,'[3]Tiempo Objeto'!$B$14:$C$22,2,FALSE),IF(P535="ALUMINIO",VLOOKUP(Q535,'[3]Tiempo Objeto'!$B$24:$C$32,2,FALSE))))</f>
        <v>0.6133333333333334</v>
      </c>
      <c r="Y535" s="84">
        <f t="shared" si="71"/>
        <v>8.5866666666666678</v>
      </c>
      <c r="Z535" s="80">
        <f t="shared" si="72"/>
        <v>11.925925925925927</v>
      </c>
      <c r="AA535" s="100">
        <v>2</v>
      </c>
      <c r="AB535" s="86">
        <f>+AA535*Analisis!$J$6</f>
        <v>50</v>
      </c>
      <c r="AC535" s="100"/>
      <c r="AD535" s="85">
        <f t="shared" si="73"/>
        <v>0</v>
      </c>
      <c r="AE535" s="86">
        <f>+AC535*Analisis!$J$7</f>
        <v>0</v>
      </c>
      <c r="AF535" s="308">
        <f>+H535*0.0254*I535*0.0254*2*(1+[3]Analisis!$G$2)</f>
        <v>0.48832160399999996</v>
      </c>
      <c r="AG535" s="86">
        <f>+AF535*Analisis!$J$8</f>
        <v>52.029504235714299</v>
      </c>
      <c r="AH535" s="309">
        <f t="shared" si="64"/>
        <v>289.76067140092016</v>
      </c>
      <c r="AI535" s="86">
        <f>+AH535/(1-Analisis!G540)</f>
        <v>289.76067140092016</v>
      </c>
      <c r="AJ535" s="86">
        <f t="shared" si="74"/>
        <v>311.5706144095916</v>
      </c>
      <c r="AK535" s="86">
        <f t="shared" si="65"/>
        <v>0</v>
      </c>
      <c r="AL535" s="310" t="e">
        <f>+VLOOKUP(B535,#REF!,2,FALSE)</f>
        <v>#REF!</v>
      </c>
      <c r="AM535" s="311" t="e">
        <f t="shared" si="79"/>
        <v>#REF!</v>
      </c>
      <c r="AN535" s="312" t="e">
        <f t="shared" si="78"/>
        <v>#REF!</v>
      </c>
    </row>
    <row r="536" spans="1:40" s="73" customFormat="1" x14ac:dyDescent="0.25">
      <c r="A536" s="324"/>
      <c r="B536" s="118" t="s">
        <v>1293</v>
      </c>
      <c r="D536" s="74">
        <f>IFERROR(VLOOKUP(B536,'REQ. PINTADO'!B:C,2,0),0)</f>
        <v>0</v>
      </c>
      <c r="E536" s="305">
        <f t="shared" si="66"/>
        <v>285.24355080823005</v>
      </c>
      <c r="F536" s="103" t="s">
        <v>163</v>
      </c>
      <c r="G536" s="75" t="s">
        <v>147</v>
      </c>
      <c r="H536" s="90">
        <v>14.41</v>
      </c>
      <c r="I536" s="90">
        <v>22</v>
      </c>
      <c r="J536" s="76">
        <v>0.105</v>
      </c>
      <c r="K536" s="306">
        <v>16.38</v>
      </c>
      <c r="L536" s="78">
        <f t="shared" si="67"/>
        <v>15.982654351519681</v>
      </c>
      <c r="M536" s="58">
        <f>+VLOOKUP(F536,Material!$H$2:$M$17,6,FALSE)*H536*I536*(1+Material!$K$14)</f>
        <v>118.99812648995106</v>
      </c>
      <c r="N536" s="79" t="str">
        <f t="shared" si="81"/>
        <v>T5.0</v>
      </c>
      <c r="O536" s="80">
        <f>+VLOOKUP(N536,[3]Material!$A$3:$B$58,2,FALSE)</f>
        <v>5000</v>
      </c>
      <c r="P536" s="79" t="s">
        <v>42</v>
      </c>
      <c r="Q536" s="79" t="str">
        <f>+VLOOKUP(F536,[3]Material!$C$2:$E$12,2,FALSE)</f>
        <v>Cal 12</v>
      </c>
      <c r="R536" s="81">
        <f>+IF(P536="ACERO A36",VLOOKUP(Q536,'[3]Velocidades Std 1500 w'!$B$2:$F$15,5,FALSE),IF(P536="INOXIDABLE",VLOOKUP(Q536,'[3]Velocidades Std 1500 w'!$B$17:$F$28,5,FALSE),IF(P536="ALUMINIO",VLOOKUP(Q536,'[3]Velocidades Std 1500 w'!$B$30:$F$38,5,FALSE))))</f>
        <v>4.3859649122807014E-6</v>
      </c>
      <c r="S536" s="82">
        <f t="shared" si="68"/>
        <v>2.1929824561403508E-2</v>
      </c>
      <c r="T536" s="83">
        <f t="shared" si="69"/>
        <v>39.508095789473678</v>
      </c>
      <c r="U536" s="307">
        <f t="shared" si="70"/>
        <v>2502.1794</v>
      </c>
      <c r="V536" s="80">
        <f t="shared" si="75"/>
        <v>54.872355263157893</v>
      </c>
      <c r="W536" s="98">
        <v>14</v>
      </c>
      <c r="X536" s="84">
        <f>+IF(P536="ACERO A36",VLOOKUP(Q536,'[3]Tiempo Objeto'!$B$2:$C$12,2,FALSE),IF(P536="INOXIDABLE",VLOOKUP(Q536,'[3]Tiempo Objeto'!$B$14:$C$22,2,FALSE),IF(P536="ALUMINIO",VLOOKUP(Q536,'[3]Tiempo Objeto'!$B$24:$C$32,2,FALSE))))</f>
        <v>0.6133333333333334</v>
      </c>
      <c r="Y536" s="84">
        <f t="shared" si="71"/>
        <v>8.5866666666666678</v>
      </c>
      <c r="Z536" s="80">
        <f t="shared" si="72"/>
        <v>11.925925925925927</v>
      </c>
      <c r="AA536" s="100">
        <v>1</v>
      </c>
      <c r="AB536" s="86">
        <f>+AA536*Analisis!$J$6</f>
        <v>25</v>
      </c>
      <c r="AC536" s="100"/>
      <c r="AD536" s="85">
        <f t="shared" si="73"/>
        <v>0</v>
      </c>
      <c r="AE536" s="86">
        <f>+AC536*Analisis!$J$7</f>
        <v>0</v>
      </c>
      <c r="AF536" s="308">
        <f>+H536*0.0254*I536*0.0254*2*(1+[3]Analisis!$G$2)</f>
        <v>0.5113215579999999</v>
      </c>
      <c r="AG536" s="86">
        <f>+AF536*Analisis!$J$8</f>
        <v>54.480094572619052</v>
      </c>
      <c r="AH536" s="309">
        <f t="shared" si="64"/>
        <v>265.27650225165394</v>
      </c>
      <c r="AI536" s="86">
        <f>+AH536/(1-Analisis!G541)</f>
        <v>265.27650225165394</v>
      </c>
      <c r="AJ536" s="86">
        <f t="shared" si="74"/>
        <v>285.24355080823005</v>
      </c>
      <c r="AK536" s="86">
        <f t="shared" si="65"/>
        <v>0</v>
      </c>
      <c r="AL536" s="310" t="e">
        <f>+VLOOKUP(B536,#REF!,2,FALSE)</f>
        <v>#REF!</v>
      </c>
      <c r="AM536" s="311" t="e">
        <f t="shared" si="79"/>
        <v>#REF!</v>
      </c>
      <c r="AN536" s="312" t="e">
        <f t="shared" si="78"/>
        <v>#REF!</v>
      </c>
    </row>
    <row r="537" spans="1:40" s="73" customFormat="1" x14ac:dyDescent="0.25">
      <c r="A537" s="324"/>
      <c r="B537" s="118" t="s">
        <v>1294</v>
      </c>
      <c r="D537" s="74">
        <f>IFERROR(VLOOKUP(B537,'REQ. PINTADO'!B:C,2,0),0)</f>
        <v>0</v>
      </c>
      <c r="E537" s="305">
        <f t="shared" si="66"/>
        <v>382.61033066594558</v>
      </c>
      <c r="F537" s="103" t="s">
        <v>163</v>
      </c>
      <c r="G537" s="75" t="s">
        <v>147</v>
      </c>
      <c r="H537" s="90">
        <v>14.41</v>
      </c>
      <c r="I537" s="90">
        <v>32</v>
      </c>
      <c r="J537" s="76">
        <v>0.105</v>
      </c>
      <c r="K537" s="306">
        <v>16.38</v>
      </c>
      <c r="L537" s="78">
        <f t="shared" si="67"/>
        <v>23.247497238574084</v>
      </c>
      <c r="M537" s="58">
        <f>+VLOOKUP(F537,Material!$H$2:$M$17,6,FALSE)*H537*I537*(1+Material!$K$14)</f>
        <v>173.08818398538338</v>
      </c>
      <c r="N537" s="79" t="str">
        <f t="shared" si="81"/>
        <v>T5.0</v>
      </c>
      <c r="O537" s="80">
        <f>+VLOOKUP(N537,[3]Material!$A$3:$B$58,2,FALSE)</f>
        <v>5000</v>
      </c>
      <c r="P537" s="79" t="s">
        <v>42</v>
      </c>
      <c r="Q537" s="79" t="str">
        <f>+VLOOKUP(F537,[3]Material!$C$2:$E$12,2,FALSE)</f>
        <v>Cal 12</v>
      </c>
      <c r="R537" s="81">
        <f>+IF(P537="ACERO A36",VLOOKUP(Q537,'[3]Velocidades Std 1500 w'!$B$2:$F$15,5,FALSE),IF(P537="INOXIDABLE",VLOOKUP(Q537,'[3]Velocidades Std 1500 w'!$B$17:$F$28,5,FALSE),IF(P537="ALUMINIO",VLOOKUP(Q537,'[3]Velocidades Std 1500 w'!$B$30:$F$38,5,FALSE))))</f>
        <v>4.3859649122807014E-6</v>
      </c>
      <c r="S537" s="82">
        <f t="shared" si="68"/>
        <v>2.1929824561403508E-2</v>
      </c>
      <c r="T537" s="83">
        <f t="shared" si="69"/>
        <v>47.930201052631574</v>
      </c>
      <c r="U537" s="307">
        <f t="shared" si="70"/>
        <v>3035.5794000000001</v>
      </c>
      <c r="V537" s="80">
        <f t="shared" si="75"/>
        <v>66.56972368421053</v>
      </c>
      <c r="W537" s="98">
        <v>14</v>
      </c>
      <c r="X537" s="84">
        <f>+IF(P537="ACERO A36",VLOOKUP(Q537,'[3]Tiempo Objeto'!$B$2:$C$12,2,FALSE),IF(P537="INOXIDABLE",VLOOKUP(Q537,'[3]Tiempo Objeto'!$B$14:$C$22,2,FALSE),IF(P537="ALUMINIO",VLOOKUP(Q537,'[3]Tiempo Objeto'!$B$24:$C$32,2,FALSE))))</f>
        <v>0.6133333333333334</v>
      </c>
      <c r="Y537" s="84">
        <f t="shared" si="71"/>
        <v>8.5866666666666678</v>
      </c>
      <c r="Z537" s="80">
        <f t="shared" si="72"/>
        <v>11.925925925925927</v>
      </c>
      <c r="AA537" s="100">
        <v>1</v>
      </c>
      <c r="AB537" s="86">
        <f>+AA537*Analisis!$J$6</f>
        <v>25</v>
      </c>
      <c r="AC537" s="100"/>
      <c r="AD537" s="85">
        <f t="shared" si="73"/>
        <v>0</v>
      </c>
      <c r="AE537" s="86">
        <f>+AC537*Analisis!$J$7</f>
        <v>0</v>
      </c>
      <c r="AF537" s="308">
        <f>+H537*0.0254*I537*0.0254*2*(1+[3]Analisis!$G$2)</f>
        <v>0.74374044799999994</v>
      </c>
      <c r="AG537" s="86">
        <f>+AF537*Analisis!$J$8</f>
        <v>79.243773923809542</v>
      </c>
      <c r="AH537" s="309">
        <f t="shared" si="64"/>
        <v>355.82760751932938</v>
      </c>
      <c r="AI537" s="86">
        <f>+AH537/(1-Analisis!G542)</f>
        <v>355.82760751932938</v>
      </c>
      <c r="AJ537" s="86">
        <f t="shared" si="74"/>
        <v>382.61033066594558</v>
      </c>
      <c r="AK537" s="86">
        <f t="shared" si="65"/>
        <v>0</v>
      </c>
      <c r="AL537" s="310" t="e">
        <f>+VLOOKUP(B537,#REF!,2,FALSE)</f>
        <v>#REF!</v>
      </c>
      <c r="AM537" s="311" t="e">
        <f t="shared" si="79"/>
        <v>#REF!</v>
      </c>
      <c r="AN537" s="312" t="e">
        <f t="shared" si="78"/>
        <v>#REF!</v>
      </c>
    </row>
    <row r="538" spans="1:40" s="73" customFormat="1" x14ac:dyDescent="0.25">
      <c r="A538" s="324"/>
      <c r="B538" s="118" t="s">
        <v>1295</v>
      </c>
      <c r="D538" s="74">
        <f>IFERROR(VLOOKUP(B538,'REQ. PINTADO'!B:C,2,0),0)</f>
        <v>0</v>
      </c>
      <c r="E538" s="305">
        <f t="shared" si="66"/>
        <v>218.30622933995562</v>
      </c>
      <c r="F538" s="103" t="s">
        <v>163</v>
      </c>
      <c r="G538" s="75" t="s">
        <v>147</v>
      </c>
      <c r="H538" s="90">
        <v>5.28</v>
      </c>
      <c r="I538" s="90">
        <v>21.73</v>
      </c>
      <c r="J538" s="76">
        <v>0.105</v>
      </c>
      <c r="K538" s="306">
        <v>16.38</v>
      </c>
      <c r="L538" s="78">
        <f t="shared" si="67"/>
        <v>5.7843677289413913</v>
      </c>
      <c r="M538" s="58">
        <f>+VLOOKUP(F538,Material!$H$2:$M$17,6,FALSE)*H538*I538*(1+Material!$K$14)</f>
        <v>43.067247000027258</v>
      </c>
      <c r="N538" s="79" t="str">
        <f t="shared" si="81"/>
        <v>T5.0</v>
      </c>
      <c r="O538" s="80">
        <f>+VLOOKUP(N538,[3]Material!$A$3:$B$58,2,FALSE)</f>
        <v>5000</v>
      </c>
      <c r="P538" s="79" t="s">
        <v>42</v>
      </c>
      <c r="Q538" s="79" t="str">
        <f>+VLOOKUP(F538,[3]Material!$C$2:$E$12,2,FALSE)</f>
        <v>Cal 12</v>
      </c>
      <c r="R538" s="81">
        <f>+IF(P538="ACERO A36",VLOOKUP(Q538,'[3]Velocidades Std 1500 w'!$B$2:$F$15,5,FALSE),IF(P538="INOXIDABLE",VLOOKUP(Q538,'[3]Velocidades Std 1500 w'!$B$17:$F$28,5,FALSE),IF(P538="ALUMINIO",VLOOKUP(Q538,'[3]Velocidades Std 1500 w'!$B$30:$F$38,5,FALSE))))</f>
        <v>4.3859649122807014E-6</v>
      </c>
      <c r="S538" s="82">
        <f t="shared" si="68"/>
        <v>2.1929824561403508E-2</v>
      </c>
      <c r="T538" s="83">
        <f t="shared" si="69"/>
        <v>25.906395789473681</v>
      </c>
      <c r="U538" s="307">
        <f t="shared" si="70"/>
        <v>1640.7384</v>
      </c>
      <c r="V538" s="80">
        <f t="shared" si="75"/>
        <v>35.981105263157893</v>
      </c>
      <c r="W538" s="98">
        <v>5</v>
      </c>
      <c r="X538" s="84">
        <f>+IF(P538="ACERO A36",VLOOKUP(Q538,'[3]Tiempo Objeto'!$B$2:$C$12,2,FALSE),IF(P538="INOXIDABLE",VLOOKUP(Q538,'[3]Tiempo Objeto'!$B$14:$C$22,2,FALSE),IF(P538="ALUMINIO",VLOOKUP(Q538,'[3]Tiempo Objeto'!$B$24:$C$32,2,FALSE))))</f>
        <v>0.6133333333333334</v>
      </c>
      <c r="Y538" s="84">
        <f t="shared" si="71"/>
        <v>3.0666666666666669</v>
      </c>
      <c r="Z538" s="80">
        <f t="shared" si="72"/>
        <v>4.2592592592592595</v>
      </c>
      <c r="AA538" s="100">
        <v>4</v>
      </c>
      <c r="AB538" s="86">
        <f>+AA538*Analisis!$J$6</f>
        <v>100</v>
      </c>
      <c r="AC538" s="100"/>
      <c r="AD538" s="85">
        <f t="shared" si="73"/>
        <v>0</v>
      </c>
      <c r="AE538" s="86">
        <f>+AC538*Analisis!$J$7</f>
        <v>0</v>
      </c>
      <c r="AF538" s="308">
        <f>+H538*0.0254*I538*0.0254*2*(1+[3]Analisis!$G$2)</f>
        <v>0.18505511376</v>
      </c>
      <c r="AG538" s="86">
        <f>+AF538*Analisis!$J$8</f>
        <v>19.71718176371429</v>
      </c>
      <c r="AH538" s="309">
        <f t="shared" si="64"/>
        <v>203.02479328615871</v>
      </c>
      <c r="AI538" s="86">
        <f>+AH538/(1-Analisis!G543)</f>
        <v>203.02479328615871</v>
      </c>
      <c r="AJ538" s="86">
        <f t="shared" si="74"/>
        <v>218.30622933995562</v>
      </c>
      <c r="AK538" s="86">
        <f t="shared" si="65"/>
        <v>0</v>
      </c>
      <c r="AL538" s="310" t="e">
        <f>+VLOOKUP(B538,#REF!,2,FALSE)</f>
        <v>#REF!</v>
      </c>
      <c r="AM538" s="311" t="e">
        <f t="shared" si="79"/>
        <v>#REF!</v>
      </c>
      <c r="AN538" s="312" t="e">
        <f t="shared" si="78"/>
        <v>#REF!</v>
      </c>
    </row>
    <row r="539" spans="1:40" s="73" customFormat="1" x14ac:dyDescent="0.25">
      <c r="A539" s="324"/>
      <c r="B539" s="118" t="s">
        <v>1296</v>
      </c>
      <c r="D539" s="74">
        <f>IFERROR(VLOOKUP(B539,'REQ. PINTADO'!B:C,2,0),0)</f>
        <v>0</v>
      </c>
      <c r="E539" s="305">
        <f t="shared" si="66"/>
        <v>261.95175697515049</v>
      </c>
      <c r="F539" s="103" t="s">
        <v>163</v>
      </c>
      <c r="G539" s="75" t="s">
        <v>147</v>
      </c>
      <c r="H539" s="90">
        <v>5.28</v>
      </c>
      <c r="I539" s="90">
        <v>31.73</v>
      </c>
      <c r="J539" s="76">
        <v>0.105</v>
      </c>
      <c r="K539" s="306">
        <v>16.38</v>
      </c>
      <c r="L539" s="78">
        <f t="shared" si="67"/>
        <v>8.4462948936636142</v>
      </c>
      <c r="M539" s="58">
        <f>+VLOOKUP(F539,Material!$H$2:$M$17,6,FALSE)*H539*I539*(1+Material!$K$14)</f>
        <v>62.886504708277265</v>
      </c>
      <c r="N539" s="79" t="str">
        <f t="shared" si="81"/>
        <v>T5.0</v>
      </c>
      <c r="O539" s="80">
        <f>+VLOOKUP(N539,[3]Material!$A$3:$B$58,2,FALSE)</f>
        <v>5000</v>
      </c>
      <c r="P539" s="79" t="s">
        <v>42</v>
      </c>
      <c r="Q539" s="79" t="str">
        <f>+VLOOKUP(F539,[3]Material!$C$2:$E$12,2,FALSE)</f>
        <v>Cal 12</v>
      </c>
      <c r="R539" s="81">
        <f>+IF(P539="ACERO A36",VLOOKUP(Q539,'[3]Velocidades Std 1500 w'!$B$2:$F$15,5,FALSE),IF(P539="INOXIDABLE",VLOOKUP(Q539,'[3]Velocidades Std 1500 w'!$B$17:$F$28,5,FALSE),IF(P539="ALUMINIO",VLOOKUP(Q539,'[3]Velocidades Std 1500 w'!$B$30:$F$38,5,FALSE))))</f>
        <v>4.3859649122807014E-6</v>
      </c>
      <c r="S539" s="82">
        <f t="shared" si="68"/>
        <v>2.1929824561403508E-2</v>
      </c>
      <c r="T539" s="83">
        <f t="shared" si="69"/>
        <v>34.328501052631573</v>
      </c>
      <c r="U539" s="307">
        <f t="shared" si="70"/>
        <v>2174.1383999999998</v>
      </c>
      <c r="V539" s="80">
        <f t="shared" si="75"/>
        <v>47.678473684210523</v>
      </c>
      <c r="W539" s="98">
        <v>5</v>
      </c>
      <c r="X539" s="84">
        <f>+IF(P539="ACERO A36",VLOOKUP(Q539,'[3]Tiempo Objeto'!$B$2:$C$12,2,FALSE),IF(P539="INOXIDABLE",VLOOKUP(Q539,'[3]Tiempo Objeto'!$B$14:$C$22,2,FALSE),IF(P539="ALUMINIO",VLOOKUP(Q539,'[3]Tiempo Objeto'!$B$24:$C$32,2,FALSE))))</f>
        <v>0.6133333333333334</v>
      </c>
      <c r="Y539" s="84">
        <f t="shared" si="71"/>
        <v>3.0666666666666669</v>
      </c>
      <c r="Z539" s="80">
        <f t="shared" si="72"/>
        <v>4.2592592592592595</v>
      </c>
      <c r="AA539" s="100">
        <v>4</v>
      </c>
      <c r="AB539" s="86">
        <f>+AA539*Analisis!$J$6</f>
        <v>100</v>
      </c>
      <c r="AC539" s="100"/>
      <c r="AD539" s="85">
        <f t="shared" si="73"/>
        <v>0</v>
      </c>
      <c r="AE539" s="86">
        <f>+AC539*Analisis!$J$7</f>
        <v>0</v>
      </c>
      <c r="AF539" s="308">
        <f>+H539*0.0254*I539*0.0254*2*(1+[3]Analisis!$G$2)</f>
        <v>0.27021623375999998</v>
      </c>
      <c r="AG539" s="86">
        <f>+AF539*Analisis!$J$8</f>
        <v>28.790896335142865</v>
      </c>
      <c r="AH539" s="309">
        <f t="shared" si="64"/>
        <v>243.61513398688993</v>
      </c>
      <c r="AI539" s="86">
        <f>+AH539/(1-Analisis!G544)</f>
        <v>243.61513398688993</v>
      </c>
      <c r="AJ539" s="86">
        <f t="shared" si="74"/>
        <v>261.95175697515049</v>
      </c>
      <c r="AK539" s="86">
        <f t="shared" si="65"/>
        <v>0</v>
      </c>
      <c r="AL539" s="310" t="e">
        <f>+VLOOKUP(B539,#REF!,2,FALSE)</f>
        <v>#REF!</v>
      </c>
      <c r="AM539" s="311" t="e">
        <f t="shared" si="79"/>
        <v>#REF!</v>
      </c>
      <c r="AN539" s="312" t="e">
        <f t="shared" si="78"/>
        <v>#REF!</v>
      </c>
    </row>
    <row r="540" spans="1:40" s="73" customFormat="1" x14ac:dyDescent="0.25">
      <c r="A540" s="324"/>
      <c r="B540" s="118" t="s">
        <v>1297</v>
      </c>
      <c r="D540" s="74">
        <f>IFERROR(VLOOKUP(B540,'REQ. PINTADO'!B:C,2,0),0)</f>
        <v>0</v>
      </c>
      <c r="E540" s="305">
        <f t="shared" si="66"/>
        <v>117.26193246998209</v>
      </c>
      <c r="F540" s="103" t="s">
        <v>164</v>
      </c>
      <c r="G540" s="75" t="s">
        <v>147</v>
      </c>
      <c r="H540" s="90">
        <v>11.06</v>
      </c>
      <c r="I540" s="90">
        <v>2.85</v>
      </c>
      <c r="J540" s="76">
        <v>0.105</v>
      </c>
      <c r="K540" s="306">
        <v>16.38</v>
      </c>
      <c r="L540" s="78">
        <f t="shared" si="67"/>
        <v>2.9326428952991459</v>
      </c>
      <c r="M540" s="58">
        <f>+VLOOKUP(F540,Material!$H$2:$M$17,6,FALSE)*H540*I540*(1+Material!$K$14)</f>
        <v>21.834859375000001</v>
      </c>
      <c r="N540" s="79" t="str">
        <f t="shared" si="81"/>
        <v>T5.0</v>
      </c>
      <c r="O540" s="80">
        <f>+VLOOKUP(N540,[3]Material!$A$3:$B$58,2,FALSE)</f>
        <v>5000</v>
      </c>
      <c r="P540" s="79" t="s">
        <v>42</v>
      </c>
      <c r="Q540" s="79" t="str">
        <f>+VLOOKUP(F540,[3]Material!$C$2:$E$12,2,FALSE)</f>
        <v>Cal 10</v>
      </c>
      <c r="R540" s="81">
        <f>+IF(P540="ACERO A36",VLOOKUP(Q540,'[3]Velocidades Std 1500 w'!$B$2:$F$15,5,FALSE),IF(P540="INOXIDABLE",VLOOKUP(Q540,'[3]Velocidades Std 1500 w'!$B$17:$F$28,5,FALSE),IF(P540="ALUMINIO",VLOOKUP(Q540,'[3]Velocidades Std 1500 w'!$B$30:$F$38,5,FALSE))))</f>
        <v>6.1728395061728391E-6</v>
      </c>
      <c r="S540" s="82">
        <f t="shared" si="68"/>
        <v>3.0864197530864196E-2</v>
      </c>
      <c r="T540" s="83">
        <f t="shared" si="69"/>
        <v>20.043986666666665</v>
      </c>
      <c r="U540" s="307">
        <f t="shared" si="70"/>
        <v>901.97939999999994</v>
      </c>
      <c r="V540" s="80">
        <f t="shared" si="75"/>
        <v>27.838870370370365</v>
      </c>
      <c r="W540" s="98">
        <v>4</v>
      </c>
      <c r="X540" s="84">
        <f>+IF(P540="ACERO A36",VLOOKUP(Q540,'[3]Tiempo Objeto'!$B$2:$C$12,2,FALSE),IF(P540="INOXIDABLE",VLOOKUP(Q540,'[3]Tiempo Objeto'!$B$14:$C$22,2,FALSE),IF(P540="ALUMINIO",VLOOKUP(Q540,'[3]Tiempo Objeto'!$B$24:$C$32,2,FALSE))))</f>
        <v>0.71333333333333337</v>
      </c>
      <c r="Y540" s="84">
        <f t="shared" si="71"/>
        <v>2.8533333333333335</v>
      </c>
      <c r="Z540" s="80">
        <f t="shared" si="72"/>
        <v>3.9629629629629632</v>
      </c>
      <c r="AA540" s="100">
        <v>2</v>
      </c>
      <c r="AB540" s="86">
        <f>+AA540*Analisis!$J$6</f>
        <v>50</v>
      </c>
      <c r="AC540" s="100"/>
      <c r="AD540" s="85">
        <f t="shared" si="73"/>
        <v>0</v>
      </c>
      <c r="AE540" s="86">
        <f>+AC540*Analisis!$J$7</f>
        <v>0</v>
      </c>
      <c r="AF540" s="308">
        <f>+H540*0.0254*I540*0.0254*2*(1+[3]Analisis!$G$2)</f>
        <v>5.0840220900000004E-2</v>
      </c>
      <c r="AG540" s="86">
        <f>+AF540*Analisis!$J$8</f>
        <v>5.416904488750002</v>
      </c>
      <c r="AH540" s="309">
        <f t="shared" si="64"/>
        <v>109.05359719708333</v>
      </c>
      <c r="AI540" s="86">
        <f>+AH540/(1-Analisis!G545)</f>
        <v>109.05359719708333</v>
      </c>
      <c r="AJ540" s="86">
        <f t="shared" si="74"/>
        <v>117.26193246998209</v>
      </c>
      <c r="AK540" s="86">
        <f t="shared" si="65"/>
        <v>0</v>
      </c>
      <c r="AL540" s="310" t="e">
        <f>+VLOOKUP(B540,#REF!,2,FALSE)</f>
        <v>#REF!</v>
      </c>
      <c r="AM540" s="311" t="e">
        <f t="shared" si="79"/>
        <v>#REF!</v>
      </c>
      <c r="AN540" s="312" t="e">
        <f t="shared" si="78"/>
        <v>#REF!</v>
      </c>
    </row>
    <row r="541" spans="1:40" s="73" customFormat="1" x14ac:dyDescent="0.25">
      <c r="A541" s="324"/>
      <c r="B541" s="118" t="s">
        <v>1298</v>
      </c>
      <c r="D541" s="74">
        <f>IFERROR(VLOOKUP(B541,'REQ. PINTADO'!B:C,2,0),0)</f>
        <v>0</v>
      </c>
      <c r="E541" s="305">
        <f t="shared" si="66"/>
        <v>113.94718294387907</v>
      </c>
      <c r="F541" s="103" t="s">
        <v>164</v>
      </c>
      <c r="G541" s="75" t="s">
        <v>147</v>
      </c>
      <c r="H541" s="90">
        <v>10.31</v>
      </c>
      <c r="I541" s="90">
        <v>2.85</v>
      </c>
      <c r="J541" s="76">
        <v>0.105</v>
      </c>
      <c r="K541" s="306">
        <v>16.38</v>
      </c>
      <c r="L541" s="78">
        <f t="shared" si="67"/>
        <v>2.733774706196582</v>
      </c>
      <c r="M541" s="58">
        <f>+VLOOKUP(F541,Material!$H$2:$M$17,6,FALSE)*H541*I541*(1+Material!$K$14)</f>
        <v>20.354195312500003</v>
      </c>
      <c r="N541" s="79" t="str">
        <f t="shared" si="81"/>
        <v>T5.0</v>
      </c>
      <c r="O541" s="80">
        <f>+VLOOKUP(N541,[3]Material!$A$3:$B$58,2,FALSE)</f>
        <v>5000</v>
      </c>
      <c r="P541" s="79" t="s">
        <v>42</v>
      </c>
      <c r="Q541" s="79" t="str">
        <f>+VLOOKUP(F541,[3]Material!$C$2:$E$12,2,FALSE)</f>
        <v>Cal 10</v>
      </c>
      <c r="R541" s="81">
        <f>+IF(P541="ACERO A36",VLOOKUP(Q541,'[3]Velocidades Std 1500 w'!$B$2:$F$15,5,FALSE),IF(P541="INOXIDABLE",VLOOKUP(Q541,'[3]Velocidades Std 1500 w'!$B$17:$F$28,5,FALSE),IF(P541="ALUMINIO",VLOOKUP(Q541,'[3]Velocidades Std 1500 w'!$B$30:$F$38,5,FALSE))))</f>
        <v>6.1728395061728391E-6</v>
      </c>
      <c r="S541" s="82">
        <f t="shared" si="68"/>
        <v>3.0864197530864196E-2</v>
      </c>
      <c r="T541" s="83">
        <f t="shared" si="69"/>
        <v>19.154986666666666</v>
      </c>
      <c r="U541" s="307">
        <f t="shared" si="70"/>
        <v>861.97440000000006</v>
      </c>
      <c r="V541" s="80">
        <f t="shared" si="75"/>
        <v>26.604148148148148</v>
      </c>
      <c r="W541" s="98">
        <v>4</v>
      </c>
      <c r="X541" s="84">
        <f>+IF(P541="ACERO A36",VLOOKUP(Q541,'[3]Tiempo Objeto'!$B$2:$C$12,2,FALSE),IF(P541="INOXIDABLE",VLOOKUP(Q541,'[3]Tiempo Objeto'!$B$14:$C$22,2,FALSE),IF(P541="ALUMINIO",VLOOKUP(Q541,'[3]Tiempo Objeto'!$B$24:$C$32,2,FALSE))))</f>
        <v>0.71333333333333337</v>
      </c>
      <c r="Y541" s="84">
        <f t="shared" si="71"/>
        <v>2.8533333333333335</v>
      </c>
      <c r="Z541" s="80">
        <f t="shared" si="72"/>
        <v>3.9629629629629632</v>
      </c>
      <c r="AA541" s="100">
        <v>2</v>
      </c>
      <c r="AB541" s="86">
        <f>+AA541*Analisis!$J$6</f>
        <v>50</v>
      </c>
      <c r="AC541" s="100"/>
      <c r="AD541" s="85">
        <f t="shared" si="73"/>
        <v>0</v>
      </c>
      <c r="AE541" s="86">
        <f>+AC541*Analisis!$J$7</f>
        <v>0</v>
      </c>
      <c r="AF541" s="308">
        <f>+H541*0.0254*I541*0.0254*2*(1+[3]Analisis!$G$2)</f>
        <v>4.7392647149999995E-2</v>
      </c>
      <c r="AG541" s="86">
        <f>+AF541*Analisis!$J$8</f>
        <v>5.0495737141964296</v>
      </c>
      <c r="AH541" s="309">
        <f t="shared" si="64"/>
        <v>105.97088013780753</v>
      </c>
      <c r="AI541" s="86">
        <f>+AH541/(1-Analisis!G546)</f>
        <v>105.97088013780753</v>
      </c>
      <c r="AJ541" s="86">
        <f t="shared" si="74"/>
        <v>113.94718294387907</v>
      </c>
      <c r="AK541" s="86">
        <f t="shared" si="65"/>
        <v>0</v>
      </c>
      <c r="AL541" s="310" t="e">
        <f>+VLOOKUP(B541,#REF!,2,FALSE)</f>
        <v>#REF!</v>
      </c>
      <c r="AM541" s="311" t="e">
        <f t="shared" si="79"/>
        <v>#REF!</v>
      </c>
      <c r="AN541" s="312" t="e">
        <f t="shared" si="78"/>
        <v>#REF!</v>
      </c>
    </row>
    <row r="542" spans="1:40" s="73" customFormat="1" x14ac:dyDescent="0.25">
      <c r="A542" s="324"/>
      <c r="B542" s="118" t="s">
        <v>1299</v>
      </c>
      <c r="D542" s="74">
        <f>IFERROR(VLOOKUP(B542,'REQ. PINTADO'!B:C,2,0),0)</f>
        <v>0</v>
      </c>
      <c r="E542" s="305">
        <f t="shared" si="66"/>
        <v>514.13272627763911</v>
      </c>
      <c r="F542" s="103" t="s">
        <v>165</v>
      </c>
      <c r="G542" s="75" t="s">
        <v>147</v>
      </c>
      <c r="H542" s="90">
        <v>6.9</v>
      </c>
      <c r="I542" s="90">
        <v>83.76</v>
      </c>
      <c r="J542" s="76">
        <v>0.105</v>
      </c>
      <c r="K542" s="306">
        <v>16.38</v>
      </c>
      <c r="L542" s="78">
        <f t="shared" si="67"/>
        <v>32.262365384615393</v>
      </c>
      <c r="M542" s="58">
        <f>+VLOOKUP(F542,Material!$H$2:$M$17,6,FALSE)*H542*I542*(1+Material!$K$14)</f>
        <v>240.20797500000003</v>
      </c>
      <c r="N542" s="79" t="str">
        <f t="shared" si="81"/>
        <v>T5.0</v>
      </c>
      <c r="O542" s="80">
        <f>+VLOOKUP(N542,[3]Material!$A$3:$B$58,2,FALSE)</f>
        <v>5000</v>
      </c>
      <c r="P542" s="79" t="s">
        <v>42</v>
      </c>
      <c r="Q542" s="79" t="str">
        <f>+VLOOKUP(F542,[3]Material!$C$2:$E$12,2,FALSE)</f>
        <v>Cal 14</v>
      </c>
      <c r="R542" s="81">
        <f>+IF(P542="ACERO A36",VLOOKUP(Q542,'[3]Velocidades Std 1500 w'!$B$2:$F$15,5,FALSE),IF(P542="INOXIDABLE",VLOOKUP(Q542,'[3]Velocidades Std 1500 w'!$B$17:$F$28,5,FALSE),IF(P542="ALUMINIO",VLOOKUP(Q542,'[3]Velocidades Std 1500 w'!$B$30:$F$38,5,FALSE))))</f>
        <v>2.0080321285140564E-6</v>
      </c>
      <c r="S542" s="82">
        <f t="shared" si="68"/>
        <v>1.0040160642570283E-2</v>
      </c>
      <c r="T542" s="83">
        <f t="shared" si="69"/>
        <v>40.16309204819278</v>
      </c>
      <c r="U542" s="307">
        <f t="shared" si="70"/>
        <v>5555.894400000001</v>
      </c>
      <c r="V542" s="80">
        <f t="shared" si="75"/>
        <v>55.782072289156645</v>
      </c>
      <c r="W542" s="98">
        <v>18</v>
      </c>
      <c r="X542" s="84">
        <f>+IF(P542="ACERO A36",VLOOKUP(Q542,'[3]Tiempo Objeto'!$B$2:$C$12,2,FALSE),IF(P542="INOXIDABLE",VLOOKUP(Q542,'[3]Tiempo Objeto'!$B$14:$C$22,2,FALSE),IF(P542="ALUMINIO",VLOOKUP(Q542,'[3]Tiempo Objeto'!$B$24:$C$32,2,FALSE))))</f>
        <v>0.3133333333333333</v>
      </c>
      <c r="Y542" s="84">
        <f t="shared" si="71"/>
        <v>5.64</v>
      </c>
      <c r="Z542" s="80">
        <f t="shared" si="72"/>
        <v>7.833333333333333</v>
      </c>
      <c r="AA542" s="100">
        <v>3</v>
      </c>
      <c r="AB542" s="86">
        <f>+AA542*Analisis!$J$6</f>
        <v>75</v>
      </c>
      <c r="AC542" s="100"/>
      <c r="AD542" s="85">
        <f t="shared" si="73"/>
        <v>0</v>
      </c>
      <c r="AE542" s="86">
        <f>+AC542*Analisis!$J$7</f>
        <v>0</v>
      </c>
      <c r="AF542" s="308">
        <f>+H542*0.0254*I542*0.0254*2*(1+[3]Analisis!$G$2)</f>
        <v>0.93216587760000014</v>
      </c>
      <c r="AG542" s="86">
        <f>+AF542*Analisis!$J$8</f>
        <v>99.320054815714329</v>
      </c>
      <c r="AH542" s="309">
        <f t="shared" si="64"/>
        <v>478.14343543820434</v>
      </c>
      <c r="AI542" s="86">
        <f>+AH542/(1-Analisis!G547)</f>
        <v>478.14343543820434</v>
      </c>
      <c r="AJ542" s="86">
        <f t="shared" si="74"/>
        <v>514.13272627763911</v>
      </c>
      <c r="AK542" s="86">
        <f t="shared" si="65"/>
        <v>0</v>
      </c>
      <c r="AL542" s="310" t="e">
        <f>+VLOOKUP(B542,#REF!,2,FALSE)</f>
        <v>#REF!</v>
      </c>
      <c r="AM542" s="311" t="e">
        <f t="shared" si="79"/>
        <v>#REF!</v>
      </c>
      <c r="AN542" s="312" t="e">
        <f t="shared" si="78"/>
        <v>#REF!</v>
      </c>
    </row>
    <row r="543" spans="1:40" s="73" customFormat="1" x14ac:dyDescent="0.25">
      <c r="A543" s="324"/>
      <c r="B543" s="118" t="s">
        <v>1300</v>
      </c>
      <c r="D543" s="74">
        <f>IFERROR(VLOOKUP(B543,'REQ. PINTADO'!B:C,2,0),0)</f>
        <v>0</v>
      </c>
      <c r="E543" s="305">
        <f t="shared" si="66"/>
        <v>538.80543695791778</v>
      </c>
      <c r="F543" s="103" t="s">
        <v>165</v>
      </c>
      <c r="G543" s="75" t="s">
        <v>147</v>
      </c>
      <c r="H543" s="90">
        <v>6.9</v>
      </c>
      <c r="I543" s="90">
        <v>88.76</v>
      </c>
      <c r="J543" s="76">
        <v>0.105</v>
      </c>
      <c r="K543" s="306">
        <v>16.38</v>
      </c>
      <c r="L543" s="78">
        <f t="shared" si="67"/>
        <v>34.188246794871802</v>
      </c>
      <c r="M543" s="58">
        <f>+VLOOKUP(F543,Material!$H$2:$M$17,6,FALSE)*H543*I543*(1+Material!$K$14)</f>
        <v>254.54703750000004</v>
      </c>
      <c r="N543" s="79" t="str">
        <f t="shared" si="81"/>
        <v>T5.0</v>
      </c>
      <c r="O543" s="80">
        <f>+VLOOKUP(N543,[3]Material!$A$3:$B$58,2,FALSE)</f>
        <v>5000</v>
      </c>
      <c r="P543" s="79" t="s">
        <v>42</v>
      </c>
      <c r="Q543" s="79" t="str">
        <f>+VLOOKUP(F543,[3]Material!$C$2:$E$12,2,FALSE)</f>
        <v>Cal 14</v>
      </c>
      <c r="R543" s="81">
        <f>+IF(P543="ACERO A36",VLOOKUP(Q543,'[3]Velocidades Std 1500 w'!$B$2:$F$15,5,FALSE),IF(P543="INOXIDABLE",VLOOKUP(Q543,'[3]Velocidades Std 1500 w'!$B$17:$F$28,5,FALSE),IF(P543="ALUMINIO",VLOOKUP(Q543,'[3]Velocidades Std 1500 w'!$B$30:$F$38,5,FALSE))))</f>
        <v>2.0080321285140564E-6</v>
      </c>
      <c r="S543" s="82">
        <f t="shared" si="68"/>
        <v>1.0040160642570283E-2</v>
      </c>
      <c r="T543" s="83">
        <f t="shared" si="69"/>
        <v>42.091043855421702</v>
      </c>
      <c r="U543" s="307">
        <f t="shared" si="70"/>
        <v>5822.5944000000009</v>
      </c>
      <c r="V543" s="80">
        <f t="shared" si="75"/>
        <v>58.459783132530141</v>
      </c>
      <c r="W543" s="98">
        <v>18</v>
      </c>
      <c r="X543" s="84">
        <f>+IF(P543="ACERO A36",VLOOKUP(Q543,'[3]Tiempo Objeto'!$B$2:$C$12,2,FALSE),IF(P543="INOXIDABLE",VLOOKUP(Q543,'[3]Tiempo Objeto'!$B$14:$C$22,2,FALSE),IF(P543="ALUMINIO",VLOOKUP(Q543,'[3]Tiempo Objeto'!$B$24:$C$32,2,FALSE))))</f>
        <v>0.3133333333333333</v>
      </c>
      <c r="Y543" s="84">
        <f t="shared" si="71"/>
        <v>5.64</v>
      </c>
      <c r="Z543" s="80">
        <f t="shared" si="72"/>
        <v>7.833333333333333</v>
      </c>
      <c r="AA543" s="100">
        <v>3</v>
      </c>
      <c r="AB543" s="86">
        <f>+AA543*Analisis!$J$6</f>
        <v>75</v>
      </c>
      <c r="AC543" s="100"/>
      <c r="AD543" s="85">
        <f t="shared" si="73"/>
        <v>0</v>
      </c>
      <c r="AE543" s="86">
        <f>+AC543*Analisis!$J$7</f>
        <v>0</v>
      </c>
      <c r="AF543" s="308">
        <f>+H543*0.0254*I543*0.0254*2*(1+[3]Analisis!$G$2)</f>
        <v>0.9878109276</v>
      </c>
      <c r="AG543" s="86">
        <f>+AF543*Analisis!$J$8</f>
        <v>105.24890240500004</v>
      </c>
      <c r="AH543" s="309">
        <f t="shared" si="64"/>
        <v>501.08905637086355</v>
      </c>
      <c r="AI543" s="86">
        <f>+AH543/(1-Analisis!G548)</f>
        <v>501.08905637086355</v>
      </c>
      <c r="AJ543" s="86">
        <f t="shared" si="74"/>
        <v>538.80543695791778</v>
      </c>
      <c r="AK543" s="86">
        <f t="shared" si="65"/>
        <v>0</v>
      </c>
      <c r="AL543" s="310" t="e">
        <f>+VLOOKUP(B543,#REF!,2,FALSE)</f>
        <v>#REF!</v>
      </c>
      <c r="AM543" s="311" t="e">
        <f t="shared" si="79"/>
        <v>#REF!</v>
      </c>
      <c r="AN543" s="312" t="e">
        <f t="shared" si="78"/>
        <v>#REF!</v>
      </c>
    </row>
    <row r="544" spans="1:40" s="73" customFormat="1" x14ac:dyDescent="0.25">
      <c r="A544" s="324"/>
      <c r="B544" s="118" t="s">
        <v>1301</v>
      </c>
      <c r="D544" s="74">
        <f>IFERROR(VLOOKUP(B544,'REQ. PINTADO'!B:C,2,0),0)</f>
        <v>0</v>
      </c>
      <c r="E544" s="305">
        <f t="shared" si="66"/>
        <v>588.15085831847523</v>
      </c>
      <c r="F544" s="103" t="s">
        <v>165</v>
      </c>
      <c r="G544" s="75" t="s">
        <v>147</v>
      </c>
      <c r="H544" s="90">
        <v>6.9</v>
      </c>
      <c r="I544" s="90">
        <v>98.76</v>
      </c>
      <c r="J544" s="76">
        <v>0.105</v>
      </c>
      <c r="K544" s="306">
        <v>16.38</v>
      </c>
      <c r="L544" s="78">
        <f t="shared" si="67"/>
        <v>38.040009615384626</v>
      </c>
      <c r="M544" s="58">
        <f>+VLOOKUP(F544,Material!$H$2:$M$17,6,FALSE)*H544*I544*(1+Material!$K$14)</f>
        <v>283.22516250000001</v>
      </c>
      <c r="N544" s="79" t="str">
        <f t="shared" si="81"/>
        <v>T5.0</v>
      </c>
      <c r="O544" s="80">
        <f>+VLOOKUP(N544,[3]Material!$A$3:$B$58,2,FALSE)</f>
        <v>5000</v>
      </c>
      <c r="P544" s="79" t="s">
        <v>42</v>
      </c>
      <c r="Q544" s="79" t="str">
        <f>+VLOOKUP(F544,[3]Material!$C$2:$E$12,2,FALSE)</f>
        <v>Cal 14</v>
      </c>
      <c r="R544" s="81">
        <f>+IF(P544="ACERO A36",VLOOKUP(Q544,'[3]Velocidades Std 1500 w'!$B$2:$F$15,5,FALSE),IF(P544="INOXIDABLE",VLOOKUP(Q544,'[3]Velocidades Std 1500 w'!$B$17:$F$28,5,FALSE),IF(P544="ALUMINIO",VLOOKUP(Q544,'[3]Velocidades Std 1500 w'!$B$30:$F$38,5,FALSE))))</f>
        <v>2.0080321285140564E-6</v>
      </c>
      <c r="S544" s="82">
        <f t="shared" si="68"/>
        <v>1.0040160642570283E-2</v>
      </c>
      <c r="T544" s="83">
        <f t="shared" si="69"/>
        <v>45.946947469879525</v>
      </c>
      <c r="U544" s="307">
        <f t="shared" si="70"/>
        <v>6355.9944000000005</v>
      </c>
      <c r="V544" s="80">
        <f t="shared" si="75"/>
        <v>63.815204819277128</v>
      </c>
      <c r="W544" s="98">
        <v>18</v>
      </c>
      <c r="X544" s="84">
        <f>+IF(P544="ACERO A36",VLOOKUP(Q544,'[3]Tiempo Objeto'!$B$2:$C$12,2,FALSE),IF(P544="INOXIDABLE",VLOOKUP(Q544,'[3]Tiempo Objeto'!$B$14:$C$22,2,FALSE),IF(P544="ALUMINIO",VLOOKUP(Q544,'[3]Tiempo Objeto'!$B$24:$C$32,2,FALSE))))</f>
        <v>0.3133333333333333</v>
      </c>
      <c r="Y544" s="84">
        <f t="shared" si="71"/>
        <v>5.64</v>
      </c>
      <c r="Z544" s="80">
        <f t="shared" si="72"/>
        <v>7.833333333333333</v>
      </c>
      <c r="AA544" s="100">
        <v>3</v>
      </c>
      <c r="AB544" s="86">
        <f>+AA544*Analisis!$J$6</f>
        <v>75</v>
      </c>
      <c r="AC544" s="100"/>
      <c r="AD544" s="85">
        <f t="shared" si="73"/>
        <v>0</v>
      </c>
      <c r="AE544" s="86">
        <f>+AC544*Analisis!$J$7</f>
        <v>0</v>
      </c>
      <c r="AF544" s="308">
        <f>+H544*0.0254*I544*0.0254*2*(1+[3]Analisis!$G$2)</f>
        <v>1.0991010275999999</v>
      </c>
      <c r="AG544" s="86">
        <f>+AF544*Analisis!$J$8</f>
        <v>117.10659758357146</v>
      </c>
      <c r="AH544" s="309">
        <f t="shared" si="64"/>
        <v>546.98029823618197</v>
      </c>
      <c r="AI544" s="86">
        <f>+AH544/(1-Analisis!G549)</f>
        <v>546.98029823618197</v>
      </c>
      <c r="AJ544" s="86">
        <f t="shared" si="74"/>
        <v>588.15085831847523</v>
      </c>
      <c r="AK544" s="86">
        <f t="shared" si="65"/>
        <v>0</v>
      </c>
      <c r="AL544" s="310" t="e">
        <f>+VLOOKUP(B544,#REF!,2,FALSE)</f>
        <v>#REF!</v>
      </c>
      <c r="AM544" s="311" t="e">
        <f t="shared" si="79"/>
        <v>#REF!</v>
      </c>
      <c r="AN544" s="312" t="e">
        <f t="shared" si="78"/>
        <v>#REF!</v>
      </c>
    </row>
    <row r="545" spans="1:40" s="73" customFormat="1" x14ac:dyDescent="0.25">
      <c r="A545" s="324"/>
      <c r="B545" s="118" t="s">
        <v>1302</v>
      </c>
      <c r="D545" s="74">
        <f>IFERROR(VLOOKUP(B545,'REQ. PINTADO'!B:C,2,0),0)</f>
        <v>0</v>
      </c>
      <c r="E545" s="305">
        <f t="shared" si="66"/>
        <v>588.15085831847523</v>
      </c>
      <c r="F545" s="103" t="s">
        <v>165</v>
      </c>
      <c r="G545" s="75" t="s">
        <v>147</v>
      </c>
      <c r="H545" s="90">
        <v>6.9</v>
      </c>
      <c r="I545" s="90">
        <v>98.76</v>
      </c>
      <c r="J545" s="76">
        <v>0.105</v>
      </c>
      <c r="K545" s="306">
        <v>16.38</v>
      </c>
      <c r="L545" s="78">
        <f t="shared" si="67"/>
        <v>38.040009615384626</v>
      </c>
      <c r="M545" s="58">
        <f>+VLOOKUP(F545,Material!$H$2:$M$17,6,FALSE)*H545*I545*(1+Material!$K$14)</f>
        <v>283.22516250000001</v>
      </c>
      <c r="N545" s="79" t="str">
        <f t="shared" si="81"/>
        <v>T5.0</v>
      </c>
      <c r="O545" s="80">
        <f>+VLOOKUP(N545,[3]Material!$A$3:$B$58,2,FALSE)</f>
        <v>5000</v>
      </c>
      <c r="P545" s="79" t="s">
        <v>42</v>
      </c>
      <c r="Q545" s="79" t="str">
        <f>+VLOOKUP(F545,[3]Material!$C$2:$E$12,2,FALSE)</f>
        <v>Cal 14</v>
      </c>
      <c r="R545" s="81">
        <f>+IF(P545="ACERO A36",VLOOKUP(Q545,'[3]Velocidades Std 1500 w'!$B$2:$F$15,5,FALSE),IF(P545="INOXIDABLE",VLOOKUP(Q545,'[3]Velocidades Std 1500 w'!$B$17:$F$28,5,FALSE),IF(P545="ALUMINIO",VLOOKUP(Q545,'[3]Velocidades Std 1500 w'!$B$30:$F$38,5,FALSE))))</f>
        <v>2.0080321285140564E-6</v>
      </c>
      <c r="S545" s="82">
        <f t="shared" si="68"/>
        <v>1.0040160642570283E-2</v>
      </c>
      <c r="T545" s="83">
        <f t="shared" si="69"/>
        <v>45.946947469879525</v>
      </c>
      <c r="U545" s="307">
        <f t="shared" si="70"/>
        <v>6355.9944000000005</v>
      </c>
      <c r="V545" s="80">
        <f t="shared" si="75"/>
        <v>63.815204819277128</v>
      </c>
      <c r="W545" s="98">
        <v>18</v>
      </c>
      <c r="X545" s="84">
        <f>+IF(P545="ACERO A36",VLOOKUP(Q545,'[3]Tiempo Objeto'!$B$2:$C$12,2,FALSE),IF(P545="INOXIDABLE",VLOOKUP(Q545,'[3]Tiempo Objeto'!$B$14:$C$22,2,FALSE),IF(P545="ALUMINIO",VLOOKUP(Q545,'[3]Tiempo Objeto'!$B$24:$C$32,2,FALSE))))</f>
        <v>0.3133333333333333</v>
      </c>
      <c r="Y545" s="84">
        <f t="shared" si="71"/>
        <v>5.64</v>
      </c>
      <c r="Z545" s="80">
        <f t="shared" si="72"/>
        <v>7.833333333333333</v>
      </c>
      <c r="AA545" s="100">
        <v>3</v>
      </c>
      <c r="AB545" s="86">
        <f>+AA545*Analisis!$J$6</f>
        <v>75</v>
      </c>
      <c r="AC545" s="100"/>
      <c r="AD545" s="85">
        <f t="shared" si="73"/>
        <v>0</v>
      </c>
      <c r="AE545" s="86">
        <f>+AC545*Analisis!$J$7</f>
        <v>0</v>
      </c>
      <c r="AF545" s="308">
        <f>+H545*0.0254*I545*0.0254*2*(1+[3]Analisis!$G$2)</f>
        <v>1.0991010275999999</v>
      </c>
      <c r="AG545" s="86">
        <f>+AF545*Analisis!$J$8</f>
        <v>117.10659758357146</v>
      </c>
      <c r="AH545" s="309">
        <f t="shared" si="64"/>
        <v>546.98029823618197</v>
      </c>
      <c r="AI545" s="86">
        <f>+AH545/(1-Analisis!G550)</f>
        <v>546.98029823618197</v>
      </c>
      <c r="AJ545" s="86">
        <f t="shared" si="74"/>
        <v>588.15085831847523</v>
      </c>
      <c r="AK545" s="86">
        <f t="shared" si="65"/>
        <v>0</v>
      </c>
      <c r="AL545" s="310" t="e">
        <f>+VLOOKUP(B545,#REF!,2,FALSE)</f>
        <v>#REF!</v>
      </c>
      <c r="AM545" s="311" t="e">
        <f t="shared" si="79"/>
        <v>#REF!</v>
      </c>
      <c r="AN545" s="312" t="e">
        <f t="shared" si="78"/>
        <v>#REF!</v>
      </c>
    </row>
    <row r="546" spans="1:40" s="73" customFormat="1" x14ac:dyDescent="0.25">
      <c r="A546" s="324"/>
      <c r="B546" s="118" t="s">
        <v>1303</v>
      </c>
      <c r="D546" s="74">
        <f>IFERROR(VLOOKUP(B546,'REQ. PINTADO'!B:C,2,0),0)</f>
        <v>0</v>
      </c>
      <c r="E546" s="305">
        <f t="shared" si="66"/>
        <v>514.13272627763911</v>
      </c>
      <c r="F546" s="103" t="s">
        <v>165</v>
      </c>
      <c r="G546" s="75" t="s">
        <v>147</v>
      </c>
      <c r="H546" s="90">
        <v>6.9</v>
      </c>
      <c r="I546" s="90">
        <v>83.76</v>
      </c>
      <c r="J546" s="76">
        <v>0.105</v>
      </c>
      <c r="K546" s="306">
        <v>16.38</v>
      </c>
      <c r="L546" s="78">
        <f t="shared" si="67"/>
        <v>32.262365384615393</v>
      </c>
      <c r="M546" s="58">
        <f>+VLOOKUP(F546,Material!$H$2:$M$17,6,FALSE)*H546*I546*(1+Material!$K$14)</f>
        <v>240.20797500000003</v>
      </c>
      <c r="N546" s="79" t="str">
        <f t="shared" si="81"/>
        <v>T5.0</v>
      </c>
      <c r="O546" s="80">
        <f>+VLOOKUP(N546,[3]Material!$A$3:$B$58,2,FALSE)</f>
        <v>5000</v>
      </c>
      <c r="P546" s="79" t="s">
        <v>42</v>
      </c>
      <c r="Q546" s="79" t="str">
        <f>+VLOOKUP(F546,[3]Material!$C$2:$E$12,2,FALSE)</f>
        <v>Cal 14</v>
      </c>
      <c r="R546" s="81">
        <f>+IF(P546="ACERO A36",VLOOKUP(Q546,'[3]Velocidades Std 1500 w'!$B$2:$F$15,5,FALSE),IF(P546="INOXIDABLE",VLOOKUP(Q546,'[3]Velocidades Std 1500 w'!$B$17:$F$28,5,FALSE),IF(P546="ALUMINIO",VLOOKUP(Q546,'[3]Velocidades Std 1500 w'!$B$30:$F$38,5,FALSE))))</f>
        <v>2.0080321285140564E-6</v>
      </c>
      <c r="S546" s="82">
        <f t="shared" si="68"/>
        <v>1.0040160642570283E-2</v>
      </c>
      <c r="T546" s="83">
        <f t="shared" si="69"/>
        <v>40.16309204819278</v>
      </c>
      <c r="U546" s="307">
        <f t="shared" si="70"/>
        <v>5555.894400000001</v>
      </c>
      <c r="V546" s="80">
        <f t="shared" si="75"/>
        <v>55.782072289156645</v>
      </c>
      <c r="W546" s="98">
        <v>18</v>
      </c>
      <c r="X546" s="84">
        <f>+IF(P546="ACERO A36",VLOOKUP(Q546,'[3]Tiempo Objeto'!$B$2:$C$12,2,FALSE),IF(P546="INOXIDABLE",VLOOKUP(Q546,'[3]Tiempo Objeto'!$B$14:$C$22,2,FALSE),IF(P546="ALUMINIO",VLOOKUP(Q546,'[3]Tiempo Objeto'!$B$24:$C$32,2,FALSE))))</f>
        <v>0.3133333333333333</v>
      </c>
      <c r="Y546" s="84">
        <f t="shared" si="71"/>
        <v>5.64</v>
      </c>
      <c r="Z546" s="80">
        <f t="shared" si="72"/>
        <v>7.833333333333333</v>
      </c>
      <c r="AA546" s="100">
        <v>3</v>
      </c>
      <c r="AB546" s="86">
        <f>+AA546*Analisis!$J$6</f>
        <v>75</v>
      </c>
      <c r="AC546" s="100"/>
      <c r="AD546" s="85">
        <f t="shared" si="73"/>
        <v>0</v>
      </c>
      <c r="AE546" s="86">
        <f>+AC546*Analisis!$J$7</f>
        <v>0</v>
      </c>
      <c r="AF546" s="308">
        <f>+H546*0.0254*I546*0.0254*2*(1+[3]Analisis!$G$2)</f>
        <v>0.93216587760000014</v>
      </c>
      <c r="AG546" s="86">
        <f>+AF546*Analisis!$J$8</f>
        <v>99.320054815714329</v>
      </c>
      <c r="AH546" s="309">
        <f t="shared" si="64"/>
        <v>478.14343543820434</v>
      </c>
      <c r="AI546" s="86">
        <f>+AH546/(1-Analisis!G551)</f>
        <v>478.14343543820434</v>
      </c>
      <c r="AJ546" s="86">
        <f t="shared" si="74"/>
        <v>514.13272627763911</v>
      </c>
      <c r="AK546" s="86">
        <f t="shared" si="65"/>
        <v>0</v>
      </c>
      <c r="AL546" s="310" t="e">
        <f>+VLOOKUP(B546,#REF!,2,FALSE)</f>
        <v>#REF!</v>
      </c>
      <c r="AM546" s="311" t="e">
        <f t="shared" si="79"/>
        <v>#REF!</v>
      </c>
      <c r="AN546" s="312" t="e">
        <f t="shared" si="78"/>
        <v>#REF!</v>
      </c>
    </row>
    <row r="547" spans="1:40" s="73" customFormat="1" x14ac:dyDescent="0.25">
      <c r="A547" s="324"/>
      <c r="B547" s="118" t="s">
        <v>1304</v>
      </c>
      <c r="D547" s="74">
        <f>IFERROR(VLOOKUP(B547,'REQ. PINTADO'!B:C,2,0),0)</f>
        <v>0</v>
      </c>
      <c r="E547" s="305">
        <f t="shared" si="66"/>
        <v>538.80543695791778</v>
      </c>
      <c r="F547" s="103" t="s">
        <v>165</v>
      </c>
      <c r="G547" s="75" t="s">
        <v>147</v>
      </c>
      <c r="H547" s="90">
        <v>6.9</v>
      </c>
      <c r="I547" s="90">
        <v>88.76</v>
      </c>
      <c r="J547" s="76">
        <v>0.105</v>
      </c>
      <c r="K547" s="306">
        <v>16.38</v>
      </c>
      <c r="L547" s="78">
        <f t="shared" si="67"/>
        <v>34.188246794871802</v>
      </c>
      <c r="M547" s="58">
        <f>+VLOOKUP(F547,Material!$H$2:$M$17,6,FALSE)*H547*I547*(1+Material!$K$14)</f>
        <v>254.54703750000004</v>
      </c>
      <c r="N547" s="79" t="str">
        <f t="shared" si="81"/>
        <v>T5.0</v>
      </c>
      <c r="O547" s="80">
        <f>+VLOOKUP(N547,[3]Material!$A$3:$B$58,2,FALSE)</f>
        <v>5000</v>
      </c>
      <c r="P547" s="79" t="s">
        <v>42</v>
      </c>
      <c r="Q547" s="79" t="str">
        <f>+VLOOKUP(F547,[3]Material!$C$2:$E$12,2,FALSE)</f>
        <v>Cal 14</v>
      </c>
      <c r="R547" s="81">
        <f>+IF(P547="ACERO A36",VLOOKUP(Q547,'[3]Velocidades Std 1500 w'!$B$2:$F$15,5,FALSE),IF(P547="INOXIDABLE",VLOOKUP(Q547,'[3]Velocidades Std 1500 w'!$B$17:$F$28,5,FALSE),IF(P547="ALUMINIO",VLOOKUP(Q547,'[3]Velocidades Std 1500 w'!$B$30:$F$38,5,FALSE))))</f>
        <v>2.0080321285140564E-6</v>
      </c>
      <c r="S547" s="82">
        <f t="shared" si="68"/>
        <v>1.0040160642570283E-2</v>
      </c>
      <c r="T547" s="83">
        <f t="shared" si="69"/>
        <v>42.091043855421702</v>
      </c>
      <c r="U547" s="307">
        <f t="shared" si="70"/>
        <v>5822.5944000000009</v>
      </c>
      <c r="V547" s="80">
        <f t="shared" si="75"/>
        <v>58.459783132530141</v>
      </c>
      <c r="W547" s="98">
        <v>18</v>
      </c>
      <c r="X547" s="84">
        <f>+IF(P547="ACERO A36",VLOOKUP(Q547,'[3]Tiempo Objeto'!$B$2:$C$12,2,FALSE),IF(P547="INOXIDABLE",VLOOKUP(Q547,'[3]Tiempo Objeto'!$B$14:$C$22,2,FALSE),IF(P547="ALUMINIO",VLOOKUP(Q547,'[3]Tiempo Objeto'!$B$24:$C$32,2,FALSE))))</f>
        <v>0.3133333333333333</v>
      </c>
      <c r="Y547" s="84">
        <f t="shared" si="71"/>
        <v>5.64</v>
      </c>
      <c r="Z547" s="80">
        <f t="shared" si="72"/>
        <v>7.833333333333333</v>
      </c>
      <c r="AA547" s="100">
        <v>3</v>
      </c>
      <c r="AB547" s="86">
        <f>+AA547*Analisis!$J$6</f>
        <v>75</v>
      </c>
      <c r="AC547" s="100"/>
      <c r="AD547" s="85">
        <f t="shared" si="73"/>
        <v>0</v>
      </c>
      <c r="AE547" s="86">
        <f>+AC547*Analisis!$J$7</f>
        <v>0</v>
      </c>
      <c r="AF547" s="308">
        <f>+H547*0.0254*I547*0.0254*2*(1+[3]Analisis!$G$2)</f>
        <v>0.9878109276</v>
      </c>
      <c r="AG547" s="86">
        <f>+AF547*Analisis!$J$8</f>
        <v>105.24890240500004</v>
      </c>
      <c r="AH547" s="309">
        <f t="shared" si="64"/>
        <v>501.08905637086355</v>
      </c>
      <c r="AI547" s="86">
        <f>+AH547/(1-Analisis!G552)</f>
        <v>501.08905637086355</v>
      </c>
      <c r="AJ547" s="86">
        <f t="shared" si="74"/>
        <v>538.80543695791778</v>
      </c>
      <c r="AK547" s="86">
        <f t="shared" si="65"/>
        <v>0</v>
      </c>
      <c r="AL547" s="310" t="e">
        <f>+VLOOKUP(B547,#REF!,2,FALSE)</f>
        <v>#REF!</v>
      </c>
      <c r="AM547" s="311" t="e">
        <f t="shared" si="79"/>
        <v>#REF!</v>
      </c>
      <c r="AN547" s="312" t="e">
        <f t="shared" si="78"/>
        <v>#REF!</v>
      </c>
    </row>
    <row r="548" spans="1:40" s="73" customFormat="1" x14ac:dyDescent="0.25">
      <c r="A548" s="324"/>
      <c r="B548" s="118" t="s">
        <v>1305</v>
      </c>
      <c r="D548" s="74">
        <f>IFERROR(VLOOKUP(B548,'REQ. PINTADO'!B:C,2,0),0)</f>
        <v>0</v>
      </c>
      <c r="E548" s="305">
        <f t="shared" si="66"/>
        <v>588.15085831847523</v>
      </c>
      <c r="F548" s="103" t="s">
        <v>165</v>
      </c>
      <c r="G548" s="75" t="s">
        <v>147</v>
      </c>
      <c r="H548" s="90">
        <v>6.9</v>
      </c>
      <c r="I548" s="90">
        <v>98.76</v>
      </c>
      <c r="J548" s="76">
        <v>0.105</v>
      </c>
      <c r="K548" s="306">
        <v>16.38</v>
      </c>
      <c r="L548" s="78">
        <f t="shared" si="67"/>
        <v>38.040009615384626</v>
      </c>
      <c r="M548" s="58">
        <f>+VLOOKUP(F548,Material!$H$2:$M$17,6,FALSE)*H548*I548*(1+Material!$K$14)</f>
        <v>283.22516250000001</v>
      </c>
      <c r="N548" s="79" t="str">
        <f t="shared" si="81"/>
        <v>T5.0</v>
      </c>
      <c r="O548" s="80">
        <f>+VLOOKUP(N548,[3]Material!$A$3:$B$58,2,FALSE)</f>
        <v>5000</v>
      </c>
      <c r="P548" s="79" t="s">
        <v>42</v>
      </c>
      <c r="Q548" s="79" t="str">
        <f>+VLOOKUP(F548,[3]Material!$C$2:$E$12,2,FALSE)</f>
        <v>Cal 14</v>
      </c>
      <c r="R548" s="81">
        <f>+IF(P548="ACERO A36",VLOOKUP(Q548,'[3]Velocidades Std 1500 w'!$B$2:$F$15,5,FALSE),IF(P548="INOXIDABLE",VLOOKUP(Q548,'[3]Velocidades Std 1500 w'!$B$17:$F$28,5,FALSE),IF(P548="ALUMINIO",VLOOKUP(Q548,'[3]Velocidades Std 1500 w'!$B$30:$F$38,5,FALSE))))</f>
        <v>2.0080321285140564E-6</v>
      </c>
      <c r="S548" s="82">
        <f t="shared" si="68"/>
        <v>1.0040160642570283E-2</v>
      </c>
      <c r="T548" s="83">
        <f t="shared" si="69"/>
        <v>45.946947469879525</v>
      </c>
      <c r="U548" s="307">
        <f t="shared" si="70"/>
        <v>6355.9944000000005</v>
      </c>
      <c r="V548" s="80">
        <f t="shared" si="75"/>
        <v>63.815204819277128</v>
      </c>
      <c r="W548" s="98">
        <v>18</v>
      </c>
      <c r="X548" s="84">
        <f>+IF(P548="ACERO A36",VLOOKUP(Q548,'[3]Tiempo Objeto'!$B$2:$C$12,2,FALSE),IF(P548="INOXIDABLE",VLOOKUP(Q548,'[3]Tiempo Objeto'!$B$14:$C$22,2,FALSE),IF(P548="ALUMINIO",VLOOKUP(Q548,'[3]Tiempo Objeto'!$B$24:$C$32,2,FALSE))))</f>
        <v>0.3133333333333333</v>
      </c>
      <c r="Y548" s="84">
        <f t="shared" si="71"/>
        <v>5.64</v>
      </c>
      <c r="Z548" s="80">
        <f t="shared" si="72"/>
        <v>7.833333333333333</v>
      </c>
      <c r="AA548" s="100">
        <v>3</v>
      </c>
      <c r="AB548" s="86">
        <f>+AA548*Analisis!$J$6</f>
        <v>75</v>
      </c>
      <c r="AC548" s="100"/>
      <c r="AD548" s="85">
        <f t="shared" si="73"/>
        <v>0</v>
      </c>
      <c r="AE548" s="86">
        <f>+AC548*Analisis!$J$7</f>
        <v>0</v>
      </c>
      <c r="AF548" s="308">
        <f>+H548*0.0254*I548*0.0254*2*(1+[3]Analisis!$G$2)</f>
        <v>1.0991010275999999</v>
      </c>
      <c r="AG548" s="86">
        <f>+AF548*Analisis!$J$8</f>
        <v>117.10659758357146</v>
      </c>
      <c r="AH548" s="309">
        <f t="shared" si="64"/>
        <v>546.98029823618197</v>
      </c>
      <c r="AI548" s="86">
        <f>+AH548/(1-Analisis!G553)</f>
        <v>546.98029823618197</v>
      </c>
      <c r="AJ548" s="86">
        <f t="shared" si="74"/>
        <v>588.15085831847523</v>
      </c>
      <c r="AK548" s="86">
        <f t="shared" si="65"/>
        <v>0</v>
      </c>
      <c r="AL548" s="310" t="e">
        <f>+VLOOKUP(B548,#REF!,2,FALSE)</f>
        <v>#REF!</v>
      </c>
      <c r="AM548" s="311" t="e">
        <f t="shared" si="79"/>
        <v>#REF!</v>
      </c>
      <c r="AN548" s="312" t="e">
        <f t="shared" si="78"/>
        <v>#REF!</v>
      </c>
    </row>
    <row r="549" spans="1:40" s="73" customFormat="1" x14ac:dyDescent="0.25">
      <c r="A549" s="324"/>
      <c r="B549" s="118" t="s">
        <v>1306</v>
      </c>
      <c r="D549" s="74">
        <f>IFERROR(VLOOKUP(B549,'REQ. PINTADO'!B:C,2,0),0)</f>
        <v>0</v>
      </c>
      <c r="E549" s="305">
        <f t="shared" si="66"/>
        <v>588.15085831847523</v>
      </c>
      <c r="F549" s="103" t="s">
        <v>165</v>
      </c>
      <c r="G549" s="75" t="s">
        <v>147</v>
      </c>
      <c r="H549" s="90">
        <v>6.9</v>
      </c>
      <c r="I549" s="90">
        <v>98.76</v>
      </c>
      <c r="J549" s="76">
        <v>0.105</v>
      </c>
      <c r="K549" s="306">
        <v>16.38</v>
      </c>
      <c r="L549" s="78">
        <f t="shared" si="67"/>
        <v>38.040009615384626</v>
      </c>
      <c r="M549" s="58">
        <f>+VLOOKUP(F549,Material!$H$2:$M$17,6,FALSE)*H549*I549*(1+Material!$K$14)</f>
        <v>283.22516250000001</v>
      </c>
      <c r="N549" s="79" t="str">
        <f t="shared" si="81"/>
        <v>T5.0</v>
      </c>
      <c r="O549" s="80">
        <f>+VLOOKUP(N549,[3]Material!$A$3:$B$58,2,FALSE)</f>
        <v>5000</v>
      </c>
      <c r="P549" s="79" t="s">
        <v>42</v>
      </c>
      <c r="Q549" s="79" t="str">
        <f>+VLOOKUP(F549,[3]Material!$C$2:$E$12,2,FALSE)</f>
        <v>Cal 14</v>
      </c>
      <c r="R549" s="81">
        <f>+IF(P549="ACERO A36",VLOOKUP(Q549,'[3]Velocidades Std 1500 w'!$B$2:$F$15,5,FALSE),IF(P549="INOXIDABLE",VLOOKUP(Q549,'[3]Velocidades Std 1500 w'!$B$17:$F$28,5,FALSE),IF(P549="ALUMINIO",VLOOKUP(Q549,'[3]Velocidades Std 1500 w'!$B$30:$F$38,5,FALSE))))</f>
        <v>2.0080321285140564E-6</v>
      </c>
      <c r="S549" s="82">
        <f t="shared" si="68"/>
        <v>1.0040160642570283E-2</v>
      </c>
      <c r="T549" s="83">
        <f t="shared" si="69"/>
        <v>45.946947469879525</v>
      </c>
      <c r="U549" s="307">
        <f t="shared" si="70"/>
        <v>6355.9944000000005</v>
      </c>
      <c r="V549" s="80">
        <f t="shared" si="75"/>
        <v>63.815204819277128</v>
      </c>
      <c r="W549" s="98">
        <v>18</v>
      </c>
      <c r="X549" s="84">
        <f>+IF(P549="ACERO A36",VLOOKUP(Q549,'[3]Tiempo Objeto'!$B$2:$C$12,2,FALSE),IF(P549="INOXIDABLE",VLOOKUP(Q549,'[3]Tiempo Objeto'!$B$14:$C$22,2,FALSE),IF(P549="ALUMINIO",VLOOKUP(Q549,'[3]Tiempo Objeto'!$B$24:$C$32,2,FALSE))))</f>
        <v>0.3133333333333333</v>
      </c>
      <c r="Y549" s="84">
        <f t="shared" si="71"/>
        <v>5.64</v>
      </c>
      <c r="Z549" s="80">
        <f t="shared" si="72"/>
        <v>7.833333333333333</v>
      </c>
      <c r="AA549" s="100">
        <v>3</v>
      </c>
      <c r="AB549" s="86">
        <f>+AA549*Analisis!$J$6</f>
        <v>75</v>
      </c>
      <c r="AC549" s="100"/>
      <c r="AD549" s="85">
        <f t="shared" si="73"/>
        <v>0</v>
      </c>
      <c r="AE549" s="86">
        <f>+AC549*Analisis!$J$7</f>
        <v>0</v>
      </c>
      <c r="AF549" s="308">
        <f>+H549*0.0254*I549*0.0254*2*(1+[3]Analisis!$G$2)</f>
        <v>1.0991010275999999</v>
      </c>
      <c r="AG549" s="86">
        <f>+AF549*Analisis!$J$8</f>
        <v>117.10659758357146</v>
      </c>
      <c r="AH549" s="309">
        <f t="shared" si="64"/>
        <v>546.98029823618197</v>
      </c>
      <c r="AI549" s="86">
        <f>+AH549/(1-Analisis!G554)</f>
        <v>546.98029823618197</v>
      </c>
      <c r="AJ549" s="86">
        <f t="shared" si="74"/>
        <v>588.15085831847523</v>
      </c>
      <c r="AK549" s="86">
        <f t="shared" si="65"/>
        <v>0</v>
      </c>
      <c r="AL549" s="310" t="e">
        <f>+VLOOKUP(B549,#REF!,2,FALSE)</f>
        <v>#REF!</v>
      </c>
      <c r="AM549" s="311" t="e">
        <f t="shared" si="79"/>
        <v>#REF!</v>
      </c>
      <c r="AN549" s="312" t="e">
        <f t="shared" si="78"/>
        <v>#REF!</v>
      </c>
    </row>
    <row r="550" spans="1:40" s="73" customFormat="1" x14ac:dyDescent="0.25">
      <c r="A550" s="324"/>
      <c r="B550" s="118" t="s">
        <v>1307</v>
      </c>
      <c r="D550" s="74">
        <f>IFERROR(VLOOKUP(B550,'REQ. PINTADO'!B:C,2,0),0)</f>
        <v>0</v>
      </c>
      <c r="E550" s="305">
        <f t="shared" si="66"/>
        <v>99.573130266528153</v>
      </c>
      <c r="F550" s="103" t="s">
        <v>165</v>
      </c>
      <c r="G550" s="75" t="s">
        <v>147</v>
      </c>
      <c r="H550" s="90">
        <v>10.37</v>
      </c>
      <c r="I550" s="90">
        <v>4.58</v>
      </c>
      <c r="J550" s="76">
        <v>0.105</v>
      </c>
      <c r="K550" s="306">
        <v>16.38</v>
      </c>
      <c r="L550" s="78">
        <f t="shared" si="67"/>
        <v>2.6512744123931626</v>
      </c>
      <c r="M550" s="58">
        <f>+VLOOKUP(F550,Material!$H$2:$M$17,6,FALSE)*H550*I550*(1+Material!$K$14)</f>
        <v>19.739943125</v>
      </c>
      <c r="N550" s="79" t="str">
        <f t="shared" si="81"/>
        <v>T5.0</v>
      </c>
      <c r="O550" s="80">
        <f>+VLOOKUP(N550,[3]Material!$A$3:$B$58,2,FALSE)</f>
        <v>5000</v>
      </c>
      <c r="P550" s="79" t="s">
        <v>42</v>
      </c>
      <c r="Q550" s="79" t="str">
        <f>+VLOOKUP(F550,[3]Material!$C$2:$E$12,2,FALSE)</f>
        <v>Cal 14</v>
      </c>
      <c r="R550" s="81">
        <f>+IF(P550="ACERO A36",VLOOKUP(Q550,'[3]Velocidades Std 1500 w'!$B$2:$F$15,5,FALSE),IF(P550="INOXIDABLE",VLOOKUP(Q550,'[3]Velocidades Std 1500 w'!$B$17:$F$28,5,FALSE),IF(P550="ALUMINIO",VLOOKUP(Q550,'[3]Velocidades Std 1500 w'!$B$30:$F$38,5,FALSE))))</f>
        <v>2.0080321285140564E-6</v>
      </c>
      <c r="S550" s="82">
        <f t="shared" si="68"/>
        <v>1.0040160642570283E-2</v>
      </c>
      <c r="T550" s="83">
        <f t="shared" si="69"/>
        <v>8.0781180722891577</v>
      </c>
      <c r="U550" s="307">
        <f t="shared" si="70"/>
        <v>1117.473</v>
      </c>
      <c r="V550" s="80">
        <f t="shared" si="75"/>
        <v>11.21960843373494</v>
      </c>
      <c r="W550" s="98">
        <v>8</v>
      </c>
      <c r="X550" s="84">
        <f>+IF(P550="ACERO A36",VLOOKUP(Q550,'[3]Tiempo Objeto'!$B$2:$C$12,2,FALSE),IF(P550="INOXIDABLE",VLOOKUP(Q550,'[3]Tiempo Objeto'!$B$14:$C$22,2,FALSE),IF(P550="ALUMINIO",VLOOKUP(Q550,'[3]Tiempo Objeto'!$B$24:$C$32,2,FALSE))))</f>
        <v>0.3133333333333333</v>
      </c>
      <c r="Y550" s="84">
        <f t="shared" si="71"/>
        <v>2.5066666666666664</v>
      </c>
      <c r="Z550" s="80">
        <f t="shared" si="72"/>
        <v>3.481481481481481</v>
      </c>
      <c r="AA550" s="100">
        <v>2</v>
      </c>
      <c r="AB550" s="86">
        <f>+AA550*Analisis!$J$6</f>
        <v>50</v>
      </c>
      <c r="AC550" s="100"/>
      <c r="AD550" s="85">
        <f t="shared" si="73"/>
        <v>0</v>
      </c>
      <c r="AE550" s="86">
        <f>+AC550*Analisis!$J$7</f>
        <v>0</v>
      </c>
      <c r="AF550" s="308">
        <f>+H550*0.0254*I550*0.0254*2*(1+[3]Analisis!$G$2)</f>
        <v>7.6604040339999985E-2</v>
      </c>
      <c r="AG550" s="86">
        <f>+AF550*Analisis!$J$8</f>
        <v>8.1619781076547628</v>
      </c>
      <c r="AH550" s="309">
        <f t="shared" si="64"/>
        <v>92.603011147871172</v>
      </c>
      <c r="AI550" s="86">
        <f>+AH550/(1-Analisis!G555)</f>
        <v>92.603011147871172</v>
      </c>
      <c r="AJ550" s="86">
        <f t="shared" si="74"/>
        <v>99.573130266528153</v>
      </c>
      <c r="AK550" s="86">
        <f t="shared" si="65"/>
        <v>0</v>
      </c>
      <c r="AL550" s="310" t="e">
        <f>+VLOOKUP(B550,#REF!,2,FALSE)</f>
        <v>#REF!</v>
      </c>
      <c r="AM550" s="311" t="e">
        <f t="shared" si="79"/>
        <v>#REF!</v>
      </c>
      <c r="AN550" s="312" t="e">
        <f t="shared" si="78"/>
        <v>#REF!</v>
      </c>
    </row>
    <row r="551" spans="1:40" s="73" customFormat="1" x14ac:dyDescent="0.25">
      <c r="A551" s="324"/>
      <c r="B551" s="118" t="s">
        <v>1308</v>
      </c>
      <c r="D551" s="74">
        <f>IFERROR(VLOOKUP(B551,'REQ. PINTADO'!B:C,2,0),0)</f>
        <v>0</v>
      </c>
      <c r="E551" s="305">
        <f t="shared" si="66"/>
        <v>94.369613060908449</v>
      </c>
      <c r="F551" s="103" t="s">
        <v>165</v>
      </c>
      <c r="G551" s="75" t="s">
        <v>147</v>
      </c>
      <c r="H551" s="90">
        <v>4.58</v>
      </c>
      <c r="I551" s="90">
        <v>8.8699999999999992</v>
      </c>
      <c r="J551" s="76">
        <v>0.105</v>
      </c>
      <c r="K551" s="306">
        <v>16.38</v>
      </c>
      <c r="L551" s="78">
        <f t="shared" si="67"/>
        <v>2.2677728098290602</v>
      </c>
      <c r="M551" s="58">
        <f>+VLOOKUP(F551,Material!$H$2:$M$17,6,FALSE)*H551*I551*(1+Material!$K$14)</f>
        <v>16.884599374999997</v>
      </c>
      <c r="N551" s="79" t="str">
        <f t="shared" si="81"/>
        <v>T5.0</v>
      </c>
      <c r="O551" s="80">
        <f>+VLOOKUP(N551,[3]Material!$A$3:$B$58,2,FALSE)</f>
        <v>5000</v>
      </c>
      <c r="P551" s="79" t="s">
        <v>42</v>
      </c>
      <c r="Q551" s="79" t="str">
        <f>+VLOOKUP(F551,[3]Material!$C$2:$E$12,2,FALSE)</f>
        <v>Cal 14</v>
      </c>
      <c r="R551" s="81">
        <f>+IF(P551="ACERO A36",VLOOKUP(Q551,'[3]Velocidades Std 1500 w'!$B$2:$F$15,5,FALSE),IF(P551="INOXIDABLE",VLOOKUP(Q551,'[3]Velocidades Std 1500 w'!$B$17:$F$28,5,FALSE),IF(P551="ALUMINIO",VLOOKUP(Q551,'[3]Velocidades Std 1500 w'!$B$30:$F$38,5,FALSE))))</f>
        <v>2.0080321285140564E-6</v>
      </c>
      <c r="S551" s="82">
        <f t="shared" si="68"/>
        <v>1.0040160642570283E-2</v>
      </c>
      <c r="T551" s="83">
        <f t="shared" si="69"/>
        <v>7.4997325301204816</v>
      </c>
      <c r="U551" s="307">
        <f t="shared" si="70"/>
        <v>1037.463</v>
      </c>
      <c r="V551" s="80">
        <f t="shared" si="75"/>
        <v>10.416295180722893</v>
      </c>
      <c r="W551" s="98">
        <v>8</v>
      </c>
      <c r="X551" s="84">
        <f>+IF(P551="ACERO A36",VLOOKUP(Q551,'[3]Tiempo Objeto'!$B$2:$C$12,2,FALSE),IF(P551="INOXIDABLE",VLOOKUP(Q551,'[3]Tiempo Objeto'!$B$14:$C$22,2,FALSE),IF(P551="ALUMINIO",VLOOKUP(Q551,'[3]Tiempo Objeto'!$B$24:$C$32,2,FALSE))))</f>
        <v>0.3133333333333333</v>
      </c>
      <c r="Y551" s="84">
        <f t="shared" si="71"/>
        <v>2.5066666666666664</v>
      </c>
      <c r="Z551" s="80">
        <f t="shared" si="72"/>
        <v>3.481481481481481</v>
      </c>
      <c r="AA551" s="100">
        <v>2</v>
      </c>
      <c r="AB551" s="86">
        <f>+AA551*Analisis!$J$6</f>
        <v>50</v>
      </c>
      <c r="AC551" s="100"/>
      <c r="AD551" s="85">
        <f t="shared" si="73"/>
        <v>0</v>
      </c>
      <c r="AE551" s="86">
        <f>+AC551*Analisis!$J$7</f>
        <v>0</v>
      </c>
      <c r="AF551" s="308">
        <f>+H551*0.0254*I551*0.0254*2*(1+[3]Analisis!$G$2)</f>
        <v>6.5523417340000001E-2</v>
      </c>
      <c r="AG551" s="86">
        <f>+AF551*Analisis!$J$8</f>
        <v>6.9813641094404781</v>
      </c>
      <c r="AH551" s="309">
        <f t="shared" si="64"/>
        <v>87.763740146644849</v>
      </c>
      <c r="AI551" s="86">
        <f>+AH551/(1-Analisis!G556)</f>
        <v>87.763740146644849</v>
      </c>
      <c r="AJ551" s="86">
        <f t="shared" si="74"/>
        <v>94.369613060908449</v>
      </c>
      <c r="AK551" s="86">
        <f t="shared" si="65"/>
        <v>0</v>
      </c>
      <c r="AL551" s="310" t="e">
        <f>+VLOOKUP(B551,#REF!,2,FALSE)</f>
        <v>#REF!</v>
      </c>
      <c r="AM551" s="311" t="e">
        <f t="shared" si="79"/>
        <v>#REF!</v>
      </c>
      <c r="AN551" s="312" t="e">
        <f t="shared" si="78"/>
        <v>#REF!</v>
      </c>
    </row>
    <row r="552" spans="1:40" s="73" customFormat="1" x14ac:dyDescent="0.25">
      <c r="A552" s="324"/>
      <c r="B552" s="118" t="s">
        <v>1309</v>
      </c>
      <c r="D552" s="74">
        <f>IFERROR(VLOOKUP(B552,'REQ. PINTADO'!B:C,2,0),0)</f>
        <v>0</v>
      </c>
      <c r="E552" s="305">
        <f t="shared" si="66"/>
        <v>80.874232581073585</v>
      </c>
      <c r="F552" s="103" t="s">
        <v>165</v>
      </c>
      <c r="G552" s="75" t="s">
        <v>147</v>
      </c>
      <c r="H552" s="90">
        <v>2.42</v>
      </c>
      <c r="I552" s="90">
        <v>22</v>
      </c>
      <c r="J552" s="76">
        <v>0.105</v>
      </c>
      <c r="K552" s="306">
        <v>16.38</v>
      </c>
      <c r="L552" s="78">
        <f t="shared" si="67"/>
        <v>2.9719978632478634</v>
      </c>
      <c r="M552" s="58">
        <f>+VLOOKUP(F552,Material!$H$2:$M$17,6,FALSE)*H552*I552*(1+Material!$K$14)</f>
        <v>22.127875</v>
      </c>
      <c r="N552" s="79" t="str">
        <f t="shared" si="81"/>
        <v>T5.0</v>
      </c>
      <c r="O552" s="80">
        <f>+VLOOKUP(N552,[3]Material!$A$3:$B$58,2,FALSE)</f>
        <v>5000</v>
      </c>
      <c r="P552" s="79" t="s">
        <v>42</v>
      </c>
      <c r="Q552" s="79" t="str">
        <f>+VLOOKUP(F552,[3]Material!$C$2:$E$12,2,FALSE)</f>
        <v>Cal 14</v>
      </c>
      <c r="R552" s="81">
        <f>+IF(P552="ACERO A36",VLOOKUP(Q552,'[3]Velocidades Std 1500 w'!$B$2:$F$15,5,FALSE),IF(P552="INOXIDABLE",VLOOKUP(Q552,'[3]Velocidades Std 1500 w'!$B$17:$F$28,5,FALSE),IF(P552="ALUMINIO",VLOOKUP(Q552,'[3]Velocidades Std 1500 w'!$B$30:$F$38,5,FALSE))))</f>
        <v>2.0080321285140564E-6</v>
      </c>
      <c r="S552" s="82">
        <f t="shared" si="68"/>
        <v>1.0040160642570283E-2</v>
      </c>
      <c r="T552" s="83">
        <f t="shared" si="69"/>
        <v>11.44046602409639</v>
      </c>
      <c r="U552" s="307">
        <f t="shared" si="70"/>
        <v>1582.5978000000002</v>
      </c>
      <c r="V552" s="80">
        <f t="shared" si="75"/>
        <v>15.889536144578319</v>
      </c>
      <c r="W552" s="98">
        <v>7</v>
      </c>
      <c r="X552" s="84">
        <f>+IF(P552="ACERO A36",VLOOKUP(Q552,'[3]Tiempo Objeto'!$B$2:$C$12,2,FALSE),IF(P552="INOXIDABLE",VLOOKUP(Q552,'[3]Tiempo Objeto'!$B$14:$C$22,2,FALSE),IF(P552="ALUMINIO",VLOOKUP(Q552,'[3]Tiempo Objeto'!$B$24:$C$32,2,FALSE))))</f>
        <v>0.3133333333333333</v>
      </c>
      <c r="Y552" s="84">
        <f t="shared" si="71"/>
        <v>2.1933333333333329</v>
      </c>
      <c r="Z552" s="80">
        <f t="shared" si="72"/>
        <v>3.0462962962962958</v>
      </c>
      <c r="AA552" s="100">
        <v>1</v>
      </c>
      <c r="AB552" s="86">
        <f>+AA552*Analisis!$J$6</f>
        <v>25</v>
      </c>
      <c r="AC552" s="100"/>
      <c r="AD552" s="85">
        <f t="shared" si="73"/>
        <v>0</v>
      </c>
      <c r="AE552" s="86">
        <f>+AC552*Analisis!$J$7</f>
        <v>0</v>
      </c>
      <c r="AF552" s="308">
        <f>+H552*0.0254*I552*0.0254*2*(1+[3]Analisis!$G$2)</f>
        <v>8.5870795999999985E-2</v>
      </c>
      <c r="AG552" s="86">
        <f>+AF552*Analisis!$J$8</f>
        <v>9.1493288595238109</v>
      </c>
      <c r="AH552" s="309">
        <f t="shared" si="64"/>
        <v>75.213036300398429</v>
      </c>
      <c r="AI552" s="86">
        <f>+AH552/(1-Analisis!G557)</f>
        <v>75.213036300398429</v>
      </c>
      <c r="AJ552" s="86">
        <f t="shared" si="74"/>
        <v>80.874232581073585</v>
      </c>
      <c r="AK552" s="86">
        <f t="shared" si="65"/>
        <v>0</v>
      </c>
      <c r="AL552" s="310" t="e">
        <f>+VLOOKUP(B552,#REF!,2,FALSE)</f>
        <v>#REF!</v>
      </c>
      <c r="AM552" s="311" t="e">
        <f t="shared" si="79"/>
        <v>#REF!</v>
      </c>
      <c r="AN552" s="312" t="e">
        <f t="shared" si="78"/>
        <v>#REF!</v>
      </c>
    </row>
    <row r="553" spans="1:40" s="73" customFormat="1" x14ac:dyDescent="0.25">
      <c r="A553" s="324"/>
      <c r="B553" s="118" t="s">
        <v>1310</v>
      </c>
      <c r="D553" s="74">
        <f>IFERROR(VLOOKUP(B553,'REQ. PINTADO'!B:C,2,0),0)</f>
        <v>0</v>
      </c>
      <c r="E553" s="305">
        <f t="shared" si="66"/>
        <v>101.91975143267044</v>
      </c>
      <c r="F553" s="103" t="s">
        <v>165</v>
      </c>
      <c r="G553" s="75" t="s">
        <v>147</v>
      </c>
      <c r="H553" s="90">
        <v>2.42</v>
      </c>
      <c r="I553" s="90">
        <v>32</v>
      </c>
      <c r="J553" s="76">
        <v>0.105</v>
      </c>
      <c r="K553" s="306">
        <v>16.38</v>
      </c>
      <c r="L553" s="78">
        <f t="shared" si="67"/>
        <v>4.3229059829059837</v>
      </c>
      <c r="M553" s="58">
        <f>+VLOOKUP(F553,Material!$H$2:$M$17,6,FALSE)*H553*I553*(1+Material!$K$14)</f>
        <v>32.186</v>
      </c>
      <c r="N553" s="79" t="str">
        <f t="shared" si="81"/>
        <v>T5.0</v>
      </c>
      <c r="O553" s="80">
        <f>+VLOOKUP(N553,[3]Material!$A$3:$B$58,2,FALSE)</f>
        <v>5000</v>
      </c>
      <c r="P553" s="79" t="s">
        <v>42</v>
      </c>
      <c r="Q553" s="79" t="str">
        <f>+VLOOKUP(F553,[3]Material!$C$2:$E$12,2,FALSE)</f>
        <v>Cal 14</v>
      </c>
      <c r="R553" s="81">
        <f>+IF(P553="ACERO A36",VLOOKUP(Q553,'[3]Velocidades Std 1500 w'!$B$2:$F$15,5,FALSE),IF(P553="INOXIDABLE",VLOOKUP(Q553,'[3]Velocidades Std 1500 w'!$B$17:$F$28,5,FALSE),IF(P553="ALUMINIO",VLOOKUP(Q553,'[3]Velocidades Std 1500 w'!$B$30:$F$38,5,FALSE))))</f>
        <v>2.0080321285140564E-6</v>
      </c>
      <c r="S553" s="82">
        <f t="shared" si="68"/>
        <v>1.0040160642570283E-2</v>
      </c>
      <c r="T553" s="83">
        <f t="shared" si="69"/>
        <v>15.296369638554218</v>
      </c>
      <c r="U553" s="307">
        <f t="shared" si="70"/>
        <v>2115.9978000000001</v>
      </c>
      <c r="V553" s="80">
        <f t="shared" si="75"/>
        <v>21.244957831325305</v>
      </c>
      <c r="W553" s="98">
        <v>7</v>
      </c>
      <c r="X553" s="84">
        <f>+IF(P553="ACERO A36",VLOOKUP(Q553,'[3]Tiempo Objeto'!$B$2:$C$12,2,FALSE),IF(P553="INOXIDABLE",VLOOKUP(Q553,'[3]Tiempo Objeto'!$B$14:$C$22,2,FALSE),IF(P553="ALUMINIO",VLOOKUP(Q553,'[3]Tiempo Objeto'!$B$24:$C$32,2,FALSE))))</f>
        <v>0.3133333333333333</v>
      </c>
      <c r="Y553" s="84">
        <f t="shared" si="71"/>
        <v>2.1933333333333329</v>
      </c>
      <c r="Z553" s="80">
        <f t="shared" si="72"/>
        <v>3.0462962962962958</v>
      </c>
      <c r="AA553" s="100">
        <v>1</v>
      </c>
      <c r="AB553" s="86">
        <f>+AA553*Analisis!$J$6</f>
        <v>25</v>
      </c>
      <c r="AC553" s="100"/>
      <c r="AD553" s="85">
        <f t="shared" si="73"/>
        <v>0</v>
      </c>
      <c r="AE553" s="86">
        <f>+AC553*Analisis!$J$7</f>
        <v>0</v>
      </c>
      <c r="AF553" s="308">
        <f>+H553*0.0254*I553*0.0254*2*(1+[3]Analisis!$G$2)</f>
        <v>0.12490297599999999</v>
      </c>
      <c r="AG553" s="86">
        <f>+AF553*Analisis!$J$8</f>
        <v>13.308114704761907</v>
      </c>
      <c r="AH553" s="309">
        <f t="shared" si="64"/>
        <v>94.785368832383497</v>
      </c>
      <c r="AI553" s="86">
        <f>+AH553/(1-Analisis!G558)</f>
        <v>94.785368832383497</v>
      </c>
      <c r="AJ553" s="86">
        <f t="shared" si="74"/>
        <v>101.91975143267044</v>
      </c>
      <c r="AK553" s="86">
        <f t="shared" si="65"/>
        <v>0</v>
      </c>
      <c r="AL553" s="310" t="e">
        <f>+VLOOKUP(B553,#REF!,2,FALSE)</f>
        <v>#REF!</v>
      </c>
      <c r="AM553" s="311" t="e">
        <f t="shared" si="79"/>
        <v>#REF!</v>
      </c>
      <c r="AN553" s="312" t="e">
        <f t="shared" si="78"/>
        <v>#REF!</v>
      </c>
    </row>
    <row r="554" spans="1:40" s="73" customFormat="1" x14ac:dyDescent="0.25">
      <c r="A554" s="324"/>
      <c r="B554" s="118" t="s">
        <v>1311</v>
      </c>
      <c r="D554" s="74">
        <f>IFERROR(VLOOKUP(B554,'REQ. PINTADO'!B:C,2,0),0)</f>
        <v>0</v>
      </c>
      <c r="E554" s="305">
        <f t="shared" si="66"/>
        <v>284.59270144363802</v>
      </c>
      <c r="F554" s="103" t="s">
        <v>163</v>
      </c>
      <c r="G554" s="75" t="s">
        <v>147</v>
      </c>
      <c r="H554" s="90">
        <v>3.79</v>
      </c>
      <c r="I554" s="90">
        <v>13.24</v>
      </c>
      <c r="J554" s="76">
        <v>0.105</v>
      </c>
      <c r="K554" s="306">
        <v>16.38</v>
      </c>
      <c r="L554" s="78">
        <f t="shared" si="67"/>
        <v>2.5298189461154408</v>
      </c>
      <c r="M554" s="58">
        <f>+VLOOKUP(F554,Material!$H$2:$M$17,6,FALSE)*H554*I554*(1+Material!$K$14)</f>
        <v>18.835651971532233</v>
      </c>
      <c r="N554" s="79" t="str">
        <f t="shared" si="81"/>
        <v>T5.0</v>
      </c>
      <c r="O554" s="80">
        <f>+VLOOKUP(N554,[3]Material!$A$3:$B$58,2,FALSE)</f>
        <v>5000</v>
      </c>
      <c r="P554" s="79" t="s">
        <v>42</v>
      </c>
      <c r="Q554" s="79" t="str">
        <f>+VLOOKUP(F554,[3]Material!$C$2:$E$12,2,FALSE)</f>
        <v>Cal 12</v>
      </c>
      <c r="R554" s="81">
        <f>+IF(P554="ACERO A36",VLOOKUP(Q554,'[3]Velocidades Std 1500 w'!$B$2:$F$15,5,FALSE),IF(P554="INOXIDABLE",VLOOKUP(Q554,'[3]Velocidades Std 1500 w'!$B$17:$F$28,5,FALSE),IF(P554="ALUMINIO",VLOOKUP(Q554,'[3]Velocidades Std 1500 w'!$B$30:$F$38,5,FALSE))))</f>
        <v>4.3859649122807014E-6</v>
      </c>
      <c r="S554" s="82">
        <f t="shared" si="68"/>
        <v>2.1929824561403508E-2</v>
      </c>
      <c r="T554" s="83">
        <f t="shared" si="69"/>
        <v>20.659424210526314</v>
      </c>
      <c r="U554" s="307">
        <f t="shared" si="70"/>
        <v>1308.4302</v>
      </c>
      <c r="V554" s="80">
        <f t="shared" si="75"/>
        <v>28.693644736842103</v>
      </c>
      <c r="W554" s="98">
        <v>10</v>
      </c>
      <c r="X554" s="84">
        <f>+IF(P554="ACERO A36",VLOOKUP(Q554,'[3]Tiempo Objeto'!$B$2:$C$12,2,FALSE),IF(P554="INOXIDABLE",VLOOKUP(Q554,'[3]Tiempo Objeto'!$B$14:$C$22,2,FALSE),IF(P554="ALUMINIO",VLOOKUP(Q554,'[3]Tiempo Objeto'!$B$24:$C$32,2,FALSE))))</f>
        <v>0.6133333333333334</v>
      </c>
      <c r="Y554" s="84">
        <f t="shared" si="71"/>
        <v>6.1333333333333337</v>
      </c>
      <c r="Z554" s="80">
        <f t="shared" si="72"/>
        <v>8.518518518518519</v>
      </c>
      <c r="AA554" s="100">
        <v>8</v>
      </c>
      <c r="AB554" s="86">
        <f>+AA554*Analisis!$J$6</f>
        <v>200</v>
      </c>
      <c r="AC554" s="100"/>
      <c r="AD554" s="85">
        <f t="shared" si="73"/>
        <v>0</v>
      </c>
      <c r="AE554" s="86">
        <f>+AC554*Analisis!$J$7</f>
        <v>0</v>
      </c>
      <c r="AF554" s="308">
        <f>+H554*0.0254*I554*0.0254*2*(1+[3]Analisis!$G$2)</f>
        <v>8.0934676839999997E-2</v>
      </c>
      <c r="AG554" s="86">
        <f>+AF554*Analisis!$J$8</f>
        <v>8.6233971156904783</v>
      </c>
      <c r="AH554" s="309">
        <f t="shared" si="64"/>
        <v>264.67121234258332</v>
      </c>
      <c r="AI554" s="86">
        <f>+AH554/(1-Analisis!G559)</f>
        <v>264.67121234258332</v>
      </c>
      <c r="AJ554" s="86">
        <f t="shared" si="74"/>
        <v>284.59270144363802</v>
      </c>
      <c r="AK554" s="86">
        <f t="shared" si="65"/>
        <v>0</v>
      </c>
      <c r="AL554" s="310" t="e">
        <f>+VLOOKUP(B554,#REF!,2,FALSE)</f>
        <v>#REF!</v>
      </c>
      <c r="AM554" s="311" t="e">
        <f t="shared" si="79"/>
        <v>#REF!</v>
      </c>
      <c r="AN554" s="312" t="e">
        <f t="shared" si="78"/>
        <v>#REF!</v>
      </c>
    </row>
    <row r="555" spans="1:40" s="73" customFormat="1" x14ac:dyDescent="0.25">
      <c r="A555" s="324"/>
      <c r="B555" s="118" t="s">
        <v>1312</v>
      </c>
      <c r="D555" s="74">
        <f>IFERROR(VLOOKUP(B555,'REQ. PINTADO'!B:C,2,0),0)</f>
        <v>0</v>
      </c>
      <c r="E555" s="305">
        <f t="shared" si="66"/>
        <v>284.59270144363802</v>
      </c>
      <c r="F555" s="103" t="s">
        <v>163</v>
      </c>
      <c r="G555" s="75" t="s">
        <v>147</v>
      </c>
      <c r="H555" s="90">
        <v>3.79</v>
      </c>
      <c r="I555" s="90">
        <v>13.24</v>
      </c>
      <c r="J555" s="76">
        <v>0.105</v>
      </c>
      <c r="K555" s="306">
        <v>16.38</v>
      </c>
      <c r="L555" s="78">
        <f t="shared" si="67"/>
        <v>2.5298189461154408</v>
      </c>
      <c r="M555" s="58">
        <f>+VLOOKUP(F555,Material!$H$2:$M$17,6,FALSE)*H555*I555*(1+Material!$K$14)</f>
        <v>18.835651971532233</v>
      </c>
      <c r="N555" s="79" t="str">
        <f t="shared" si="81"/>
        <v>T5.0</v>
      </c>
      <c r="O555" s="80">
        <f>+VLOOKUP(N555,[3]Material!$A$3:$B$58,2,FALSE)</f>
        <v>5000</v>
      </c>
      <c r="P555" s="79" t="s">
        <v>42</v>
      </c>
      <c r="Q555" s="79" t="str">
        <f>+VLOOKUP(F555,[3]Material!$C$2:$E$12,2,FALSE)</f>
        <v>Cal 12</v>
      </c>
      <c r="R555" s="81">
        <f>+IF(P555="ACERO A36",VLOOKUP(Q555,'[3]Velocidades Std 1500 w'!$B$2:$F$15,5,FALSE),IF(P555="INOXIDABLE",VLOOKUP(Q555,'[3]Velocidades Std 1500 w'!$B$17:$F$28,5,FALSE),IF(P555="ALUMINIO",VLOOKUP(Q555,'[3]Velocidades Std 1500 w'!$B$30:$F$38,5,FALSE))))</f>
        <v>4.3859649122807014E-6</v>
      </c>
      <c r="S555" s="82">
        <f t="shared" si="68"/>
        <v>2.1929824561403508E-2</v>
      </c>
      <c r="T555" s="83">
        <f t="shared" si="69"/>
        <v>20.659424210526314</v>
      </c>
      <c r="U555" s="307">
        <f t="shared" si="70"/>
        <v>1308.4302</v>
      </c>
      <c r="V555" s="80">
        <f t="shared" si="75"/>
        <v>28.693644736842103</v>
      </c>
      <c r="W555" s="98">
        <v>10</v>
      </c>
      <c r="X555" s="84">
        <f>+IF(P555="ACERO A36",VLOOKUP(Q555,'[3]Tiempo Objeto'!$B$2:$C$12,2,FALSE),IF(P555="INOXIDABLE",VLOOKUP(Q555,'[3]Tiempo Objeto'!$B$14:$C$22,2,FALSE),IF(P555="ALUMINIO",VLOOKUP(Q555,'[3]Tiempo Objeto'!$B$24:$C$32,2,FALSE))))</f>
        <v>0.6133333333333334</v>
      </c>
      <c r="Y555" s="84">
        <f t="shared" si="71"/>
        <v>6.1333333333333337</v>
      </c>
      <c r="Z555" s="80">
        <f t="shared" si="72"/>
        <v>8.518518518518519</v>
      </c>
      <c r="AA555" s="100">
        <v>8</v>
      </c>
      <c r="AB555" s="86">
        <f>+AA555*Analisis!$J$6</f>
        <v>200</v>
      </c>
      <c r="AC555" s="100"/>
      <c r="AD555" s="85">
        <f t="shared" si="73"/>
        <v>0</v>
      </c>
      <c r="AE555" s="86">
        <f>+AC555*Analisis!$J$7</f>
        <v>0</v>
      </c>
      <c r="AF555" s="308">
        <f>+H555*0.0254*I555*0.0254*2*(1+[3]Analisis!$G$2)</f>
        <v>8.0934676839999997E-2</v>
      </c>
      <c r="AG555" s="86">
        <f>+AF555*Analisis!$J$8</f>
        <v>8.6233971156904783</v>
      </c>
      <c r="AH555" s="309">
        <f t="shared" si="64"/>
        <v>264.67121234258332</v>
      </c>
      <c r="AI555" s="86">
        <f>+AH555/(1-Analisis!G560)</f>
        <v>264.67121234258332</v>
      </c>
      <c r="AJ555" s="86">
        <f t="shared" si="74"/>
        <v>284.59270144363802</v>
      </c>
      <c r="AK555" s="86">
        <f t="shared" si="65"/>
        <v>0</v>
      </c>
      <c r="AL555" s="310" t="e">
        <f>+VLOOKUP(B555,#REF!,2,FALSE)</f>
        <v>#REF!</v>
      </c>
      <c r="AM555" s="311" t="e">
        <f t="shared" si="79"/>
        <v>#REF!</v>
      </c>
      <c r="AN555" s="312" t="e">
        <f t="shared" si="78"/>
        <v>#REF!</v>
      </c>
    </row>
    <row r="556" spans="1:40" s="73" customFormat="1" x14ac:dyDescent="0.25">
      <c r="A556" s="324"/>
      <c r="B556" s="118" t="s">
        <v>1313</v>
      </c>
      <c r="D556" s="74">
        <f>IFERROR(VLOOKUP(B556,'REQ. PINTADO'!B:C,2,0),0)</f>
        <v>0</v>
      </c>
      <c r="E556" s="305">
        <f t="shared" si="66"/>
        <v>43.245360397267518</v>
      </c>
      <c r="F556" s="103" t="s">
        <v>165</v>
      </c>
      <c r="G556" s="75" t="s">
        <v>147</v>
      </c>
      <c r="H556" s="90">
        <v>6</v>
      </c>
      <c r="I556" s="90">
        <v>1.72</v>
      </c>
      <c r="J556" s="76">
        <v>0.105</v>
      </c>
      <c r="K556" s="306">
        <v>16.38</v>
      </c>
      <c r="L556" s="78">
        <f t="shared" si="67"/>
        <v>0.57608974358974363</v>
      </c>
      <c r="M556" s="58">
        <f>+VLOOKUP(F556,Material!$H$2:$M$17,6,FALSE)*H556*I556*(1+Material!$K$14)</f>
        <v>4.28925</v>
      </c>
      <c r="N556" s="79" t="str">
        <f t="shared" si="81"/>
        <v>T5.0</v>
      </c>
      <c r="O556" s="80">
        <f>+VLOOKUP(N556,[3]Material!$A$3:$B$58,2,FALSE)</f>
        <v>5000</v>
      </c>
      <c r="P556" s="79" t="s">
        <v>42</v>
      </c>
      <c r="Q556" s="79" t="str">
        <f>+VLOOKUP(F556,[3]Material!$C$2:$E$12,2,FALSE)</f>
        <v>Cal 14</v>
      </c>
      <c r="R556" s="81">
        <f>+IF(P556="ACERO A36",VLOOKUP(Q556,'[3]Velocidades Std 1500 w'!$B$2:$F$15,5,FALSE),IF(P556="INOXIDABLE",VLOOKUP(Q556,'[3]Velocidades Std 1500 w'!$B$17:$F$28,5,FALSE),IF(P556="ALUMINIO",VLOOKUP(Q556,'[3]Velocidades Std 1500 w'!$B$30:$F$38,5,FALSE))))</f>
        <v>2.0080321285140564E-6</v>
      </c>
      <c r="S556" s="82">
        <f t="shared" si="68"/>
        <v>1.0040160642570283E-2</v>
      </c>
      <c r="T556" s="83">
        <f t="shared" si="69"/>
        <v>4.7119142168674699</v>
      </c>
      <c r="U556" s="307">
        <f t="shared" si="70"/>
        <v>651.81479999999999</v>
      </c>
      <c r="V556" s="80">
        <f t="shared" si="75"/>
        <v>6.5443253012048199</v>
      </c>
      <c r="W556" s="98">
        <v>6</v>
      </c>
      <c r="X556" s="84">
        <f>+IF(P556="ACERO A36",VLOOKUP(Q556,'[3]Tiempo Objeto'!$B$2:$C$12,2,FALSE),IF(P556="INOXIDABLE",VLOOKUP(Q556,'[3]Tiempo Objeto'!$B$14:$C$22,2,FALSE),IF(P556="ALUMINIO",VLOOKUP(Q556,'[3]Tiempo Objeto'!$B$24:$C$32,2,FALSE))))</f>
        <v>0.3133333333333333</v>
      </c>
      <c r="Y556" s="84">
        <f t="shared" si="71"/>
        <v>1.88</v>
      </c>
      <c r="Z556" s="80">
        <f t="shared" si="72"/>
        <v>2.6111111111111112</v>
      </c>
      <c r="AA556" s="100">
        <v>1</v>
      </c>
      <c r="AB556" s="86">
        <f>+AA556*Analisis!$J$6</f>
        <v>25</v>
      </c>
      <c r="AC556" s="100"/>
      <c r="AD556" s="85">
        <f t="shared" si="73"/>
        <v>0</v>
      </c>
      <c r="AE556" s="86">
        <f>+AC556*Analisis!$J$7</f>
        <v>0</v>
      </c>
      <c r="AF556" s="308">
        <f>+H556*0.0254*I556*0.0254*2*(1+[3]Analisis!$G$2)</f>
        <v>1.6645127999999999E-2</v>
      </c>
      <c r="AG556" s="86">
        <f>+AF556*Analisis!$J$8</f>
        <v>1.7734987571428575</v>
      </c>
      <c r="AH556" s="309">
        <f t="shared" si="64"/>
        <v>40.218185169458792</v>
      </c>
      <c r="AI556" s="86">
        <f>+AH556/(1-Analisis!G561)</f>
        <v>40.218185169458792</v>
      </c>
      <c r="AJ556" s="86">
        <f t="shared" si="74"/>
        <v>43.245360397267518</v>
      </c>
      <c r="AK556" s="86">
        <f t="shared" si="65"/>
        <v>0</v>
      </c>
      <c r="AL556" s="310" t="e">
        <f>+VLOOKUP(B556,#REF!,2,FALSE)</f>
        <v>#REF!</v>
      </c>
      <c r="AM556" s="311" t="e">
        <f t="shared" si="79"/>
        <v>#REF!</v>
      </c>
      <c r="AN556" s="312" t="e">
        <f t="shared" si="78"/>
        <v>#REF!</v>
      </c>
    </row>
    <row r="557" spans="1:40" s="73" customFormat="1" x14ac:dyDescent="0.25">
      <c r="A557" s="324"/>
      <c r="B557" s="118" t="s">
        <v>1314</v>
      </c>
      <c r="D557" s="74">
        <f>IFERROR(VLOOKUP(B557,'REQ. PINTADO'!B:C,2,0),0)</f>
        <v>0</v>
      </c>
      <c r="E557" s="305">
        <f t="shared" si="66"/>
        <v>74.176029553621206</v>
      </c>
      <c r="F557" s="103" t="s">
        <v>164</v>
      </c>
      <c r="G557" s="75" t="s">
        <v>147</v>
      </c>
      <c r="H557" s="90">
        <v>0.76</v>
      </c>
      <c r="I557" s="90">
        <v>4.8</v>
      </c>
      <c r="J557" s="76">
        <v>0.105</v>
      </c>
      <c r="K557" s="306">
        <v>16.38</v>
      </c>
      <c r="L557" s="78">
        <f t="shared" si="67"/>
        <v>0.33940170940170949</v>
      </c>
      <c r="M557" s="58">
        <f>+VLOOKUP(F557,Material!$H$2:$M$17,6,FALSE)*H557*I557*(1+Material!$K$14)</f>
        <v>2.5270000000000001</v>
      </c>
      <c r="N557" s="79" t="str">
        <f t="shared" si="81"/>
        <v>T5.0</v>
      </c>
      <c r="O557" s="80">
        <f>+VLOOKUP(N557,[3]Material!$A$3:$B$58,2,FALSE)</f>
        <v>5000</v>
      </c>
      <c r="P557" s="79" t="s">
        <v>42</v>
      </c>
      <c r="Q557" s="79" t="str">
        <f>+VLOOKUP(F557,[3]Material!$C$2:$E$12,2,FALSE)</f>
        <v>Cal 10</v>
      </c>
      <c r="R557" s="81">
        <f>+IF(P557="ACERO A36",VLOOKUP(Q557,'[3]Velocidades Std 1500 w'!$B$2:$F$15,5,FALSE),IF(P557="INOXIDABLE",VLOOKUP(Q557,'[3]Velocidades Std 1500 w'!$B$17:$F$28,5,FALSE),IF(P557="ALUMINIO",VLOOKUP(Q557,'[3]Velocidades Std 1500 w'!$B$30:$F$38,5,FALSE))))</f>
        <v>6.1728395061728391E-6</v>
      </c>
      <c r="S557" s="82">
        <f t="shared" si="68"/>
        <v>3.0864197530864196E-2</v>
      </c>
      <c r="T557" s="83">
        <f t="shared" si="69"/>
        <v>9.2574533333333306</v>
      </c>
      <c r="U557" s="307">
        <f t="shared" si="70"/>
        <v>416.58539999999994</v>
      </c>
      <c r="V557" s="80">
        <f t="shared" si="75"/>
        <v>12.857574074074071</v>
      </c>
      <c r="W557" s="98">
        <v>3</v>
      </c>
      <c r="X557" s="84">
        <f>+IF(P557="ACERO A36",VLOOKUP(Q557,'[3]Tiempo Objeto'!$B$2:$C$12,2,FALSE),IF(P557="INOXIDABLE",VLOOKUP(Q557,'[3]Tiempo Objeto'!$B$14:$C$22,2,FALSE),IF(P557="ALUMINIO",VLOOKUP(Q557,'[3]Tiempo Objeto'!$B$24:$C$32,2,FALSE))))</f>
        <v>0.71333333333333337</v>
      </c>
      <c r="Y557" s="84">
        <f t="shared" si="71"/>
        <v>2.14</v>
      </c>
      <c r="Z557" s="80">
        <f t="shared" si="72"/>
        <v>2.9722222222222223</v>
      </c>
      <c r="AA557" s="100">
        <v>2</v>
      </c>
      <c r="AB557" s="86">
        <f>+AA557*Analisis!$J$6</f>
        <v>50</v>
      </c>
      <c r="AC557" s="100"/>
      <c r="AD557" s="85">
        <f t="shared" si="73"/>
        <v>0</v>
      </c>
      <c r="AE557" s="86">
        <f>+AC557*Analisis!$J$7</f>
        <v>0</v>
      </c>
      <c r="AF557" s="308">
        <f>+H557*0.0254*I557*0.0254*2*(1+[3]Analisis!$G$2)</f>
        <v>5.8838591999999992E-3</v>
      </c>
      <c r="AG557" s="86">
        <f>+AF557*Analisis!$J$8</f>
        <v>0.62691118857142869</v>
      </c>
      <c r="AH557" s="309">
        <f t="shared" si="64"/>
        <v>68.983707484867722</v>
      </c>
      <c r="AI557" s="86">
        <f>+AH557/(1-Analisis!G562)</f>
        <v>68.983707484867722</v>
      </c>
      <c r="AJ557" s="86">
        <f t="shared" si="74"/>
        <v>74.176029553621206</v>
      </c>
      <c r="AK557" s="86">
        <f t="shared" si="65"/>
        <v>0</v>
      </c>
      <c r="AL557" s="310" t="e">
        <f>+VLOOKUP(B557,#REF!,2,FALSE)</f>
        <v>#REF!</v>
      </c>
      <c r="AM557" s="311" t="e">
        <f t="shared" si="79"/>
        <v>#REF!</v>
      </c>
      <c r="AN557" s="312" t="e">
        <f t="shared" si="78"/>
        <v>#REF!</v>
      </c>
    </row>
    <row r="558" spans="1:40" s="73" customFormat="1" x14ac:dyDescent="0.25">
      <c r="A558" s="324"/>
      <c r="B558" s="118" t="s">
        <v>1315</v>
      </c>
      <c r="D558" s="74">
        <f>IFERROR(VLOOKUP(B558,'REQ. PINTADO'!B:C,2,0),0)</f>
        <v>0</v>
      </c>
      <c r="E558" s="305">
        <f t="shared" si="66"/>
        <v>220.99428412748992</v>
      </c>
      <c r="F558" s="103" t="s">
        <v>163</v>
      </c>
      <c r="G558" s="75" t="s">
        <v>147</v>
      </c>
      <c r="H558" s="90">
        <v>2.09</v>
      </c>
      <c r="I558" s="90">
        <v>70.25</v>
      </c>
      <c r="J558" s="76">
        <v>0.105</v>
      </c>
      <c r="K558" s="306">
        <v>16.38</v>
      </c>
      <c r="L558" s="78">
        <f t="shared" si="67"/>
        <v>7.4020985064853893</v>
      </c>
      <c r="M558" s="58">
        <f>+VLOOKUP(F558,Material!$H$2:$M$17,6,FALSE)*H558*I558*(1+Material!$K$14)</f>
        <v>55.111987971013932</v>
      </c>
      <c r="N558" s="79" t="str">
        <f t="shared" si="81"/>
        <v>T5.0</v>
      </c>
      <c r="O558" s="80">
        <f>+VLOOKUP(N558,[3]Material!$A$3:$B$58,2,FALSE)</f>
        <v>5000</v>
      </c>
      <c r="P558" s="79" t="s">
        <v>42</v>
      </c>
      <c r="Q558" s="79" t="str">
        <f>+VLOOKUP(F558,[3]Material!$C$2:$E$12,2,FALSE)</f>
        <v>Cal 12</v>
      </c>
      <c r="R558" s="81">
        <f>+IF(P558="ACERO A36",VLOOKUP(Q558,'[3]Velocidades Std 1500 w'!$B$2:$F$15,5,FALSE),IF(P558="INOXIDABLE",VLOOKUP(Q558,'[3]Velocidades Std 1500 w'!$B$17:$F$28,5,FALSE),IF(P558="ALUMINIO",VLOOKUP(Q558,'[3]Velocidades Std 1500 w'!$B$30:$F$38,5,FALSE))))</f>
        <v>4.3859649122807014E-6</v>
      </c>
      <c r="S558" s="82">
        <f t="shared" si="68"/>
        <v>2.1929824561403508E-2</v>
      </c>
      <c r="T558" s="83">
        <f t="shared" si="69"/>
        <v>66.610430526315781</v>
      </c>
      <c r="U558" s="307">
        <f t="shared" si="70"/>
        <v>4218.6606000000002</v>
      </c>
      <c r="V558" s="80">
        <f t="shared" si="75"/>
        <v>92.514486842105256</v>
      </c>
      <c r="W558" s="98">
        <v>9</v>
      </c>
      <c r="X558" s="84">
        <f>+IF(P558="ACERO A36",VLOOKUP(Q558,'[3]Tiempo Objeto'!$B$2:$C$12,2,FALSE),IF(P558="INOXIDABLE",VLOOKUP(Q558,'[3]Tiempo Objeto'!$B$14:$C$22,2,FALSE),IF(P558="ALUMINIO",VLOOKUP(Q558,'[3]Tiempo Objeto'!$B$24:$C$32,2,FALSE))))</f>
        <v>0.6133333333333334</v>
      </c>
      <c r="Y558" s="84">
        <f t="shared" si="71"/>
        <v>5.5200000000000005</v>
      </c>
      <c r="Z558" s="80">
        <f t="shared" si="72"/>
        <v>7.6666666666666679</v>
      </c>
      <c r="AA558" s="100">
        <v>1</v>
      </c>
      <c r="AB558" s="86">
        <f>+AA558*Analisis!$J$6</f>
        <v>25</v>
      </c>
      <c r="AC558" s="100"/>
      <c r="AD558" s="85">
        <f t="shared" si="73"/>
        <v>0</v>
      </c>
      <c r="AE558" s="86">
        <f>+AC558*Analisis!$J$7</f>
        <v>0</v>
      </c>
      <c r="AF558" s="308">
        <f>+H558*0.0254*I558*0.0254*2*(1+[3]Analisis!$G$2)</f>
        <v>0.23681001024999995</v>
      </c>
      <c r="AG558" s="86">
        <f>+AF558*Analisis!$J$8</f>
        <v>25.231542758779764</v>
      </c>
      <c r="AH558" s="309">
        <f t="shared" si="64"/>
        <v>205.52468423856561</v>
      </c>
      <c r="AI558" s="86">
        <f>+AH558/(1-Analisis!G563)</f>
        <v>205.52468423856561</v>
      </c>
      <c r="AJ558" s="86">
        <f t="shared" si="74"/>
        <v>220.99428412748992</v>
      </c>
      <c r="AK558" s="86">
        <f t="shared" si="65"/>
        <v>0</v>
      </c>
      <c r="AL558" s="310" t="e">
        <f>+VLOOKUP(B558,#REF!,2,FALSE)</f>
        <v>#REF!</v>
      </c>
      <c r="AM558" s="311" t="e">
        <f t="shared" si="79"/>
        <v>#REF!</v>
      </c>
      <c r="AN558" s="312" t="e">
        <f t="shared" si="78"/>
        <v>#REF!</v>
      </c>
    </row>
    <row r="559" spans="1:40" s="73" customFormat="1" x14ac:dyDescent="0.25">
      <c r="A559" s="324"/>
      <c r="B559" s="118" t="s">
        <v>1316</v>
      </c>
      <c r="D559" s="74">
        <f>IFERROR(VLOOKUP(B559,'REQ. PINTADO'!B:C,2,0),0)</f>
        <v>0</v>
      </c>
      <c r="E559" s="305">
        <f t="shared" si="66"/>
        <v>456.78481935174426</v>
      </c>
      <c r="F559" s="103" t="s">
        <v>163</v>
      </c>
      <c r="G559" s="75" t="s">
        <v>147</v>
      </c>
      <c r="H559" s="90">
        <v>20.36</v>
      </c>
      <c r="I559" s="90">
        <v>21.64</v>
      </c>
      <c r="J559" s="76">
        <v>0.105</v>
      </c>
      <c r="K559" s="306">
        <v>16.38</v>
      </c>
      <c r="L559" s="78">
        <f t="shared" si="67"/>
        <v>22.21249155825436</v>
      </c>
      <c r="M559" s="58">
        <f>+VLOOKUP(F559,Material!$H$2:$M$17,6,FALSE)*H559*I559*(1+Material!$K$14)</f>
        <v>165.38209623827561</v>
      </c>
      <c r="N559" s="79" t="str">
        <f t="shared" si="81"/>
        <v>T5.0</v>
      </c>
      <c r="O559" s="80">
        <f>+VLOOKUP(N559,[3]Material!$A$3:$B$58,2,FALSE)</f>
        <v>5000</v>
      </c>
      <c r="P559" s="79" t="s">
        <v>42</v>
      </c>
      <c r="Q559" s="79" t="str">
        <f>+VLOOKUP(F559,[3]Material!$C$2:$E$12,2,FALSE)</f>
        <v>Cal 12</v>
      </c>
      <c r="R559" s="81">
        <f>+IF(P559="ACERO A36",VLOOKUP(Q559,'[3]Velocidades Std 1500 w'!$B$2:$F$15,5,FALSE),IF(P559="INOXIDABLE",VLOOKUP(Q559,'[3]Velocidades Std 1500 w'!$B$17:$F$28,5,FALSE),IF(P559="ALUMINIO",VLOOKUP(Q559,'[3]Velocidades Std 1500 w'!$B$30:$F$38,5,FALSE))))</f>
        <v>4.3859649122807014E-6</v>
      </c>
      <c r="S559" s="82">
        <f t="shared" si="68"/>
        <v>2.1929824561403508E-2</v>
      </c>
      <c r="T559" s="83">
        <f t="shared" si="69"/>
        <v>48.006</v>
      </c>
      <c r="U559" s="307">
        <f t="shared" si="70"/>
        <v>3040.38</v>
      </c>
      <c r="V559" s="80">
        <f t="shared" si="75"/>
        <v>66.674999999999997</v>
      </c>
      <c r="W559" s="98">
        <v>20</v>
      </c>
      <c r="X559" s="84">
        <f>+IF(P559="ACERO A36",VLOOKUP(Q559,'[3]Tiempo Objeto'!$B$2:$C$12,2,FALSE),IF(P559="INOXIDABLE",VLOOKUP(Q559,'[3]Tiempo Objeto'!$B$14:$C$22,2,FALSE),IF(P559="ALUMINIO",VLOOKUP(Q559,'[3]Tiempo Objeto'!$B$24:$C$32,2,FALSE))))</f>
        <v>0.6133333333333334</v>
      </c>
      <c r="Y559" s="84">
        <f t="shared" si="71"/>
        <v>12.266666666666667</v>
      </c>
      <c r="Z559" s="80">
        <f t="shared" si="72"/>
        <v>17.037037037037038</v>
      </c>
      <c r="AA559" s="100">
        <v>4</v>
      </c>
      <c r="AB559" s="86">
        <f>+AA559*Analisis!$J$6</f>
        <v>100</v>
      </c>
      <c r="AC559" s="100"/>
      <c r="AD559" s="85">
        <f t="shared" si="73"/>
        <v>0</v>
      </c>
      <c r="AE559" s="86">
        <f>+AC559*Analisis!$J$7</f>
        <v>0</v>
      </c>
      <c r="AF559" s="308">
        <f>+H559*0.0254*I559*0.0254*2*(1+[3]Analisis!$G$2)</f>
        <v>0.71062825615999992</v>
      </c>
      <c r="AG559" s="86">
        <f>+AF559*Analisis!$J$8</f>
        <v>75.715748721809533</v>
      </c>
      <c r="AH559" s="309">
        <f t="shared" si="64"/>
        <v>424.80988199712215</v>
      </c>
      <c r="AI559" s="86">
        <f>+AH559/(1-Analisis!G564)</f>
        <v>424.80988199712215</v>
      </c>
      <c r="AJ559" s="86">
        <f t="shared" si="74"/>
        <v>456.78481935174426</v>
      </c>
      <c r="AK559" s="86">
        <f t="shared" si="65"/>
        <v>0</v>
      </c>
      <c r="AL559" s="310" t="e">
        <f>+VLOOKUP(B559,#REF!,2,FALSE)</f>
        <v>#REF!</v>
      </c>
      <c r="AM559" s="311" t="e">
        <f t="shared" si="79"/>
        <v>#REF!</v>
      </c>
      <c r="AN559" s="312" t="e">
        <f t="shared" si="78"/>
        <v>#REF!</v>
      </c>
    </row>
    <row r="560" spans="1:40" s="73" customFormat="1" x14ac:dyDescent="0.25">
      <c r="A560" s="324"/>
      <c r="B560" s="118" t="s">
        <v>1317</v>
      </c>
      <c r="D560" s="74">
        <f>IFERROR(VLOOKUP(B560,'REQ. PINTADO'!B:C,2,0),0)</f>
        <v>0</v>
      </c>
      <c r="E560" s="305">
        <f t="shared" si="66"/>
        <v>589.16161571811244</v>
      </c>
      <c r="F560" s="103" t="s">
        <v>163</v>
      </c>
      <c r="G560" s="75" t="s">
        <v>147</v>
      </c>
      <c r="H560" s="90">
        <v>20.36</v>
      </c>
      <c r="I560" s="90">
        <v>31.64</v>
      </c>
      <c r="J560" s="76">
        <v>0.105</v>
      </c>
      <c r="K560" s="306">
        <v>16.38</v>
      </c>
      <c r="L560" s="78">
        <f t="shared" si="67"/>
        <v>32.477044034342327</v>
      </c>
      <c r="M560" s="58">
        <f>+VLOOKUP(F560,Material!$H$2:$M$17,6,FALSE)*H560*I560*(1+Material!$K$14)</f>
        <v>241.80635512842147</v>
      </c>
      <c r="N560" s="79" t="str">
        <f t="shared" si="81"/>
        <v>T5.0</v>
      </c>
      <c r="O560" s="80">
        <f>+VLOOKUP(N560,[3]Material!$A$3:$B$58,2,FALSE)</f>
        <v>5000</v>
      </c>
      <c r="P560" s="79" t="s">
        <v>42</v>
      </c>
      <c r="Q560" s="79" t="str">
        <f>+VLOOKUP(F560,[3]Material!$C$2:$E$12,2,FALSE)</f>
        <v>Cal 12</v>
      </c>
      <c r="R560" s="81">
        <f>+IF(P560="ACERO A36",VLOOKUP(Q560,'[3]Velocidades Std 1500 w'!$B$2:$F$15,5,FALSE),IF(P560="INOXIDABLE",VLOOKUP(Q560,'[3]Velocidades Std 1500 w'!$B$17:$F$28,5,FALSE),IF(P560="ALUMINIO",VLOOKUP(Q560,'[3]Velocidades Std 1500 w'!$B$30:$F$38,5,FALSE))))</f>
        <v>4.3859649122807014E-6</v>
      </c>
      <c r="S560" s="82">
        <f t="shared" si="68"/>
        <v>2.1929824561403508E-2</v>
      </c>
      <c r="T560" s="83">
        <f t="shared" si="69"/>
        <v>56.428105263157896</v>
      </c>
      <c r="U560" s="307">
        <f t="shared" si="70"/>
        <v>3573.78</v>
      </c>
      <c r="V560" s="80">
        <f t="shared" si="75"/>
        <v>78.372368421052627</v>
      </c>
      <c r="W560" s="98">
        <v>20</v>
      </c>
      <c r="X560" s="84">
        <f>+IF(P560="ACERO A36",VLOOKUP(Q560,'[3]Tiempo Objeto'!$B$2:$C$12,2,FALSE),IF(P560="INOXIDABLE",VLOOKUP(Q560,'[3]Tiempo Objeto'!$B$14:$C$22,2,FALSE),IF(P560="ALUMINIO",VLOOKUP(Q560,'[3]Tiempo Objeto'!$B$24:$C$32,2,FALSE))))</f>
        <v>0.6133333333333334</v>
      </c>
      <c r="Y560" s="84">
        <f t="shared" si="71"/>
        <v>12.266666666666667</v>
      </c>
      <c r="Z560" s="80">
        <f t="shared" si="72"/>
        <v>17.037037037037038</v>
      </c>
      <c r="AA560" s="100">
        <v>4</v>
      </c>
      <c r="AB560" s="86">
        <f>+AA560*Analisis!$J$6</f>
        <v>100</v>
      </c>
      <c r="AC560" s="100"/>
      <c r="AD560" s="85">
        <f t="shared" si="73"/>
        <v>0</v>
      </c>
      <c r="AE560" s="86">
        <f>+AC560*Analisis!$J$7</f>
        <v>0</v>
      </c>
      <c r="AF560" s="308">
        <f>+H560*0.0254*I560*0.0254*2*(1+[3]Analisis!$G$2)</f>
        <v>1.0390146961599998</v>
      </c>
      <c r="AG560" s="86">
        <f>+AF560*Analisis!$J$8</f>
        <v>110.70454203133335</v>
      </c>
      <c r="AH560" s="309">
        <f t="shared" si="64"/>
        <v>547.92030261784453</v>
      </c>
      <c r="AI560" s="86">
        <f>+AH560/(1-Analisis!G565)</f>
        <v>547.92030261784453</v>
      </c>
      <c r="AJ560" s="86">
        <f t="shared" si="74"/>
        <v>589.16161571811244</v>
      </c>
      <c r="AK560" s="86">
        <f t="shared" si="65"/>
        <v>0</v>
      </c>
      <c r="AL560" s="310" t="e">
        <f>+VLOOKUP(B560,#REF!,2,FALSE)</f>
        <v>#REF!</v>
      </c>
      <c r="AM560" s="311" t="e">
        <f t="shared" si="79"/>
        <v>#REF!</v>
      </c>
      <c r="AN560" s="312" t="e">
        <f t="shared" si="78"/>
        <v>#REF!</v>
      </c>
    </row>
    <row r="561" spans="1:40" s="73" customFormat="1" x14ac:dyDescent="0.25">
      <c r="A561" s="324"/>
      <c r="B561" s="118" t="s">
        <v>1318</v>
      </c>
      <c r="D561" s="74">
        <f>IFERROR(VLOOKUP(B561,'REQ. PINTADO'!B:C,2,0),0)</f>
        <v>0</v>
      </c>
      <c r="E561" s="305">
        <f t="shared" si="66"/>
        <v>120.90394193211317</v>
      </c>
      <c r="F561" s="103" t="s">
        <v>165</v>
      </c>
      <c r="G561" s="75" t="s">
        <v>147</v>
      </c>
      <c r="H561" s="90">
        <v>4.6900000000000004</v>
      </c>
      <c r="I561" s="90">
        <v>2</v>
      </c>
      <c r="J561" s="76">
        <v>0.105</v>
      </c>
      <c r="K561" s="306">
        <v>16.38</v>
      </c>
      <c r="L561" s="78">
        <f t="shared" si="67"/>
        <v>0.5236164529914531</v>
      </c>
      <c r="M561" s="58">
        <f>+VLOOKUP(F561,Material!$H$2:$M$17,6,FALSE)*H561*I561*(1+Material!$K$14)</f>
        <v>3.8985625000000006</v>
      </c>
      <c r="N561" s="79" t="str">
        <f t="shared" si="81"/>
        <v>T5.0</v>
      </c>
      <c r="O561" s="80">
        <f>+VLOOKUP(N561,[3]Material!$A$3:$B$58,2,FALSE)</f>
        <v>5000</v>
      </c>
      <c r="P561" s="79" t="s">
        <v>42</v>
      </c>
      <c r="Q561" s="79" t="str">
        <f>+VLOOKUP(F561,[3]Material!$C$2:$E$12,2,FALSE)</f>
        <v>Cal 14</v>
      </c>
      <c r="R561" s="81">
        <f>+IF(P561="ACERO A36",VLOOKUP(Q561,'[3]Velocidades Std 1500 w'!$B$2:$F$15,5,FALSE),IF(P561="INOXIDABLE",VLOOKUP(Q561,'[3]Velocidades Std 1500 w'!$B$17:$F$28,5,FALSE),IF(P561="ALUMINIO",VLOOKUP(Q561,'[3]Velocidades Std 1500 w'!$B$30:$F$38,5,FALSE))))</f>
        <v>2.0080321285140564E-6</v>
      </c>
      <c r="S561" s="82">
        <f t="shared" si="68"/>
        <v>1.0040160642570283E-2</v>
      </c>
      <c r="T561" s="83">
        <f t="shared" si="69"/>
        <v>3.736370602409639</v>
      </c>
      <c r="U561" s="307">
        <f t="shared" si="70"/>
        <v>516.8646</v>
      </c>
      <c r="V561" s="80">
        <f t="shared" si="75"/>
        <v>5.1894036144578317</v>
      </c>
      <c r="W561" s="98">
        <v>4</v>
      </c>
      <c r="X561" s="84">
        <f>+IF(P561="ACERO A36",VLOOKUP(Q561,'[3]Tiempo Objeto'!$B$2:$C$12,2,FALSE),IF(P561="INOXIDABLE",VLOOKUP(Q561,'[3]Tiempo Objeto'!$B$14:$C$22,2,FALSE),IF(P561="ALUMINIO",VLOOKUP(Q561,'[3]Tiempo Objeto'!$B$24:$C$32,2,FALSE))))</f>
        <v>0.3133333333333333</v>
      </c>
      <c r="Y561" s="84">
        <f t="shared" si="71"/>
        <v>1.2533333333333332</v>
      </c>
      <c r="Z561" s="80">
        <f t="shared" si="72"/>
        <v>1.7407407407407405</v>
      </c>
      <c r="AA561" s="100">
        <v>4</v>
      </c>
      <c r="AB561" s="86">
        <f>+AA561*Analisis!$J$6</f>
        <v>100</v>
      </c>
      <c r="AC561" s="100"/>
      <c r="AD561" s="85">
        <f t="shared" si="73"/>
        <v>0</v>
      </c>
      <c r="AE561" s="86">
        <f>+AC561*Analisis!$J$7</f>
        <v>0</v>
      </c>
      <c r="AF561" s="308">
        <f>+H561*0.0254*I561*0.0254*2*(1+[3]Analisis!$G$2)</f>
        <v>1.5129002000000001E-2</v>
      </c>
      <c r="AG561" s="86">
        <f>+AF561*Analisis!$J$8</f>
        <v>1.6119591416666672</v>
      </c>
      <c r="AH561" s="309">
        <f t="shared" si="64"/>
        <v>112.44066599686523</v>
      </c>
      <c r="AI561" s="86">
        <f>+AH561/(1-Analisis!G566)</f>
        <v>112.44066599686523</v>
      </c>
      <c r="AJ561" s="86">
        <f t="shared" si="74"/>
        <v>120.90394193211317</v>
      </c>
      <c r="AK561" s="86">
        <f t="shared" si="65"/>
        <v>0</v>
      </c>
      <c r="AL561" s="310" t="e">
        <f>+VLOOKUP(B561,#REF!,2,FALSE)</f>
        <v>#REF!</v>
      </c>
      <c r="AM561" s="311" t="e">
        <f t="shared" si="79"/>
        <v>#REF!</v>
      </c>
      <c r="AN561" s="312" t="e">
        <f t="shared" si="78"/>
        <v>#REF!</v>
      </c>
    </row>
    <row r="562" spans="1:40" s="73" customFormat="1" x14ac:dyDescent="0.25">
      <c r="A562" s="324"/>
      <c r="B562" s="118" t="s">
        <v>1319</v>
      </c>
      <c r="D562" s="74">
        <f>IFERROR(VLOOKUP(B562,'REQ. PINTADO'!B:C,2,0),0)</f>
        <v>0</v>
      </c>
      <c r="E562" s="305">
        <f t="shared" si="66"/>
        <v>123.36852393295834</v>
      </c>
      <c r="F562" s="103" t="s">
        <v>165</v>
      </c>
      <c r="G562" s="75" t="s">
        <v>147</v>
      </c>
      <c r="H562" s="90">
        <v>6.03</v>
      </c>
      <c r="I562" s="90">
        <v>2</v>
      </c>
      <c r="J562" s="76">
        <v>0.105</v>
      </c>
      <c r="K562" s="306">
        <v>16.38</v>
      </c>
      <c r="L562" s="78">
        <f t="shared" si="67"/>
        <v>0.673221153846154</v>
      </c>
      <c r="M562" s="58">
        <f>+VLOOKUP(F562,Material!$H$2:$M$17,6,FALSE)*H562*I562*(1+Material!$K$14)</f>
        <v>5.0124375000000008</v>
      </c>
      <c r="N562" s="79" t="str">
        <f t="shared" si="81"/>
        <v>T5.0</v>
      </c>
      <c r="O562" s="80">
        <f>+VLOOKUP(N562,[3]Material!$A$3:$B$58,2,FALSE)</f>
        <v>5000</v>
      </c>
      <c r="P562" s="79" t="s">
        <v>42</v>
      </c>
      <c r="Q562" s="79" t="str">
        <f>+VLOOKUP(F562,[3]Material!$C$2:$E$12,2,FALSE)</f>
        <v>Cal 14</v>
      </c>
      <c r="R562" s="81">
        <f>+IF(P562="ACERO A36",VLOOKUP(Q562,'[3]Velocidades Std 1500 w'!$B$2:$F$15,5,FALSE),IF(P562="INOXIDABLE",VLOOKUP(Q562,'[3]Velocidades Std 1500 w'!$B$17:$F$28,5,FALSE),IF(P562="ALUMINIO",VLOOKUP(Q562,'[3]Velocidades Std 1500 w'!$B$30:$F$38,5,FALSE))))</f>
        <v>2.0080321285140564E-6</v>
      </c>
      <c r="S562" s="82">
        <f t="shared" si="68"/>
        <v>1.0040160642570283E-2</v>
      </c>
      <c r="T562" s="83">
        <f t="shared" si="69"/>
        <v>4.2530616867469888</v>
      </c>
      <c r="U562" s="307">
        <f t="shared" si="70"/>
        <v>588.3402000000001</v>
      </c>
      <c r="V562" s="80">
        <f t="shared" si="75"/>
        <v>5.90703012048193</v>
      </c>
      <c r="W562" s="98">
        <v>4</v>
      </c>
      <c r="X562" s="84">
        <f>+IF(P562="ACERO A36",VLOOKUP(Q562,'[3]Tiempo Objeto'!$B$2:$C$12,2,FALSE),IF(P562="INOXIDABLE",VLOOKUP(Q562,'[3]Tiempo Objeto'!$B$14:$C$22,2,FALSE),IF(P562="ALUMINIO",VLOOKUP(Q562,'[3]Tiempo Objeto'!$B$24:$C$32,2,FALSE))))</f>
        <v>0.3133333333333333</v>
      </c>
      <c r="Y562" s="84">
        <f t="shared" si="71"/>
        <v>1.2533333333333332</v>
      </c>
      <c r="Z562" s="80">
        <f t="shared" si="72"/>
        <v>1.7407407407407405</v>
      </c>
      <c r="AA562" s="100">
        <v>4</v>
      </c>
      <c r="AB562" s="86">
        <f>+AA562*Analisis!$J$6</f>
        <v>100</v>
      </c>
      <c r="AC562" s="100"/>
      <c r="AD562" s="85">
        <f t="shared" si="73"/>
        <v>0</v>
      </c>
      <c r="AE562" s="86">
        <f>+AC562*Analisis!$J$7</f>
        <v>0</v>
      </c>
      <c r="AF562" s="308">
        <f>+H562*0.0254*I562*0.0254*2*(1+[3]Analisis!$G$2)</f>
        <v>1.9451573999999999E-2</v>
      </c>
      <c r="AG562" s="86">
        <f>+AF562*Analisis!$J$8</f>
        <v>2.0725188964285719</v>
      </c>
      <c r="AH562" s="309">
        <f t="shared" si="64"/>
        <v>114.73272725765125</v>
      </c>
      <c r="AI562" s="86">
        <f>+AH562/(1-Analisis!G567)</f>
        <v>114.73272725765125</v>
      </c>
      <c r="AJ562" s="86">
        <f t="shared" si="74"/>
        <v>123.36852393295834</v>
      </c>
      <c r="AK562" s="86">
        <f t="shared" si="65"/>
        <v>0</v>
      </c>
      <c r="AL562" s="310" t="e">
        <f>+VLOOKUP(B562,#REF!,2,FALSE)</f>
        <v>#REF!</v>
      </c>
      <c r="AM562" s="311" t="e">
        <f t="shared" si="79"/>
        <v>#REF!</v>
      </c>
      <c r="AN562" s="312" t="e">
        <f t="shared" si="78"/>
        <v>#REF!</v>
      </c>
    </row>
    <row r="563" spans="1:40" s="73" customFormat="1" x14ac:dyDescent="0.25">
      <c r="A563" s="324"/>
      <c r="B563" s="118" t="s">
        <v>1320</v>
      </c>
      <c r="D563" s="74">
        <f>IFERROR(VLOOKUP(B563,'REQ. PINTADO'!B:C,2,0),0)</f>
        <v>0</v>
      </c>
      <c r="E563" s="305">
        <f t="shared" si="66"/>
        <v>255.28075914996609</v>
      </c>
      <c r="F563" s="103" t="s">
        <v>165</v>
      </c>
      <c r="G563" s="75" t="s">
        <v>147</v>
      </c>
      <c r="H563" s="90">
        <v>3.29</v>
      </c>
      <c r="I563" s="90">
        <v>72.5</v>
      </c>
      <c r="J563" s="76">
        <v>0.105</v>
      </c>
      <c r="K563" s="306">
        <v>16.38</v>
      </c>
      <c r="L563" s="78">
        <f t="shared" si="67"/>
        <v>13.315097489316242</v>
      </c>
      <c r="M563" s="58">
        <f>+VLOOKUP(F563,Material!$H$2:$M$17,6,FALSE)*H563*I563*(1+Material!$K$14)</f>
        <v>99.136953125000005</v>
      </c>
      <c r="N563" s="79" t="str">
        <f t="shared" si="81"/>
        <v>T5.0</v>
      </c>
      <c r="O563" s="80">
        <f>+VLOOKUP(N563,[3]Material!$A$3:$B$58,2,FALSE)</f>
        <v>5000</v>
      </c>
      <c r="P563" s="79" t="s">
        <v>42</v>
      </c>
      <c r="Q563" s="79" t="str">
        <f>+VLOOKUP(F563,[3]Material!$C$2:$E$12,2,FALSE)</f>
        <v>Cal 14</v>
      </c>
      <c r="R563" s="81">
        <f>+IF(P563="ACERO A36",VLOOKUP(Q563,'[3]Velocidades Std 1500 w'!$B$2:$F$15,5,FALSE),IF(P563="INOXIDABLE",VLOOKUP(Q563,'[3]Velocidades Std 1500 w'!$B$17:$F$28,5,FALSE),IF(P563="ALUMINIO",VLOOKUP(Q563,'[3]Velocidades Std 1500 w'!$B$30:$F$38,5,FALSE))))</f>
        <v>2.0080321285140564E-6</v>
      </c>
      <c r="S563" s="82">
        <f t="shared" si="68"/>
        <v>1.0040160642570283E-2</v>
      </c>
      <c r="T563" s="83">
        <f t="shared" si="69"/>
        <v>31.537435662650608</v>
      </c>
      <c r="U563" s="307">
        <f t="shared" si="70"/>
        <v>4362.6786000000002</v>
      </c>
      <c r="V563" s="80">
        <f t="shared" si="75"/>
        <v>43.801993975903621</v>
      </c>
      <c r="W563" s="98">
        <v>8</v>
      </c>
      <c r="X563" s="84">
        <f>+IF(P563="ACERO A36",VLOOKUP(Q563,'[3]Tiempo Objeto'!$B$2:$C$12,2,FALSE),IF(P563="INOXIDABLE",VLOOKUP(Q563,'[3]Tiempo Objeto'!$B$14:$C$22,2,FALSE),IF(P563="ALUMINIO",VLOOKUP(Q563,'[3]Tiempo Objeto'!$B$24:$C$32,2,FALSE))))</f>
        <v>0.3133333333333333</v>
      </c>
      <c r="Y563" s="84">
        <f t="shared" si="71"/>
        <v>2.5066666666666664</v>
      </c>
      <c r="Z563" s="80">
        <f t="shared" si="72"/>
        <v>3.481481481481481</v>
      </c>
      <c r="AA563" s="100">
        <v>2</v>
      </c>
      <c r="AB563" s="86">
        <f>+AA563*Analisis!$J$6</f>
        <v>50</v>
      </c>
      <c r="AC563" s="100"/>
      <c r="AD563" s="85">
        <f t="shared" si="73"/>
        <v>0</v>
      </c>
      <c r="AE563" s="86">
        <f>+AC563*Analisis!$J$7</f>
        <v>0</v>
      </c>
      <c r="AF563" s="308">
        <f>+H563*0.0254*I563*0.0254*2*(1+[3]Analisis!$G$2)</f>
        <v>0.38471697249999998</v>
      </c>
      <c r="AG563" s="86">
        <f>+AF563*Analisis!$J$8</f>
        <v>40.990677427083341</v>
      </c>
      <c r="AH563" s="309">
        <f t="shared" si="64"/>
        <v>237.41110600946845</v>
      </c>
      <c r="AI563" s="86">
        <f>+AH563/(1-Analisis!G568)</f>
        <v>237.41110600946845</v>
      </c>
      <c r="AJ563" s="86">
        <f t="shared" si="74"/>
        <v>255.28075914996609</v>
      </c>
      <c r="AK563" s="86">
        <f t="shared" si="65"/>
        <v>0</v>
      </c>
      <c r="AL563" s="310" t="e">
        <f>+VLOOKUP(B563,#REF!,2,FALSE)</f>
        <v>#REF!</v>
      </c>
      <c r="AM563" s="311" t="e">
        <f t="shared" si="79"/>
        <v>#REF!</v>
      </c>
      <c r="AN563" s="312" t="e">
        <f t="shared" si="78"/>
        <v>#REF!</v>
      </c>
    </row>
    <row r="564" spans="1:40" s="73" customFormat="1" x14ac:dyDescent="0.25">
      <c r="A564" s="324"/>
      <c r="B564" s="118" t="s">
        <v>1321</v>
      </c>
      <c r="D564" s="74">
        <f>IFERROR(VLOOKUP(B564,'REQ. PINTADO'!B:C,2,0),0)</f>
        <v>0</v>
      </c>
      <c r="E564" s="305">
        <f t="shared" si="66"/>
        <v>1053.5354675644016</v>
      </c>
      <c r="F564" s="103" t="s">
        <v>163</v>
      </c>
      <c r="G564" s="75" t="s">
        <v>147</v>
      </c>
      <c r="H564" s="90">
        <v>19.04</v>
      </c>
      <c r="I564" s="90">
        <v>31.39</v>
      </c>
      <c r="J564" s="76">
        <v>0.105</v>
      </c>
      <c r="K564" s="306">
        <v>16.38</v>
      </c>
      <c r="L564" s="78">
        <f t="shared" si="67"/>
        <v>30.131482879924359</v>
      </c>
      <c r="M564" s="58">
        <f>+VLOOKUP(F564,Material!$H$2:$M$17,6,FALSE)*H564*I564*(1+Material!$K$14)</f>
        <v>224.34258616961861</v>
      </c>
      <c r="N564" s="79" t="str">
        <f t="shared" si="81"/>
        <v>T5.0</v>
      </c>
      <c r="O564" s="80">
        <f>+VLOOKUP(N564,[3]Material!$A$3:$B$58,2,FALSE)</f>
        <v>5000</v>
      </c>
      <c r="P564" s="79" t="s">
        <v>42</v>
      </c>
      <c r="Q564" s="79" t="str">
        <f>+VLOOKUP(F564,[3]Material!$C$2:$E$12,2,FALSE)</f>
        <v>Cal 12</v>
      </c>
      <c r="R564" s="81">
        <f>+IF(P564="ACERO A36",VLOOKUP(Q564,'[3]Velocidades Std 1500 w'!$B$2:$F$15,5,FALSE),IF(P564="INOXIDABLE",VLOOKUP(Q564,'[3]Velocidades Std 1500 w'!$B$17:$F$28,5,FALSE),IF(P564="ALUMINIO",VLOOKUP(Q564,'[3]Velocidades Std 1500 w'!$B$30:$F$38,5,FALSE))))</f>
        <v>4.3859649122807014E-6</v>
      </c>
      <c r="S564" s="82">
        <f t="shared" si="68"/>
        <v>2.1929824561403508E-2</v>
      </c>
      <c r="T564" s="83">
        <f t="shared" si="69"/>
        <v>231.97004526315786</v>
      </c>
      <c r="U564" s="307">
        <f t="shared" si="70"/>
        <v>14691.4362</v>
      </c>
      <c r="V564" s="80">
        <f t="shared" si="75"/>
        <v>322.1806184210526</v>
      </c>
      <c r="W564" s="98">
        <v>300</v>
      </c>
      <c r="X564" s="84">
        <f>+IF(P564="ACERO A36",VLOOKUP(Q564,'[3]Tiempo Objeto'!$B$2:$C$12,2,FALSE),IF(P564="INOXIDABLE",VLOOKUP(Q564,'[3]Tiempo Objeto'!$B$14:$C$22,2,FALSE),IF(P564="ALUMINIO",VLOOKUP(Q564,'[3]Tiempo Objeto'!$B$24:$C$32,2,FALSE))))</f>
        <v>0.6133333333333334</v>
      </c>
      <c r="Y564" s="84">
        <f t="shared" si="71"/>
        <v>184.00000000000003</v>
      </c>
      <c r="Z564" s="80">
        <f t="shared" si="72"/>
        <v>255.5555555555556</v>
      </c>
      <c r="AA564" s="100">
        <v>3</v>
      </c>
      <c r="AB564" s="86">
        <f>+AA564*Analisis!$J$6</f>
        <v>75</v>
      </c>
      <c r="AC564" s="100"/>
      <c r="AD564" s="85">
        <f t="shared" si="73"/>
        <v>0</v>
      </c>
      <c r="AE564" s="86">
        <f>+AC564*Analisis!$J$7</f>
        <v>0</v>
      </c>
      <c r="AF564" s="308">
        <f>+H564*0.0254*I564*0.0254*2*(1+[3]Analisis!$G$2)</f>
        <v>0.96397484623999985</v>
      </c>
      <c r="AG564" s="86">
        <f>+AF564*Analisis!$J$8</f>
        <v>102.70922468866668</v>
      </c>
      <c r="AH564" s="309">
        <f t="shared" si="64"/>
        <v>979.78798483489345</v>
      </c>
      <c r="AI564" s="86">
        <f>+AH564/(1-Analisis!G569)</f>
        <v>979.78798483489345</v>
      </c>
      <c r="AJ564" s="86">
        <f t="shared" si="74"/>
        <v>1053.5354675644016</v>
      </c>
      <c r="AK564" s="86">
        <f t="shared" si="65"/>
        <v>0</v>
      </c>
      <c r="AL564" s="310" t="e">
        <f>+VLOOKUP(B564,#REF!,2,FALSE)</f>
        <v>#REF!</v>
      </c>
      <c r="AM564" s="311" t="e">
        <f t="shared" si="79"/>
        <v>#REF!</v>
      </c>
      <c r="AN564" s="312" t="e">
        <f t="shared" si="78"/>
        <v>#REF!</v>
      </c>
    </row>
    <row r="565" spans="1:40" s="73" customFormat="1" x14ac:dyDescent="0.25">
      <c r="A565" s="324"/>
      <c r="B565" s="118" t="s">
        <v>1322</v>
      </c>
      <c r="D565" s="74">
        <f>IFERROR(VLOOKUP(B565,'REQ. PINTADO'!B:C,2,0),0)</f>
        <v>0</v>
      </c>
      <c r="E565" s="305">
        <f t="shared" si="66"/>
        <v>1152.1743264274544</v>
      </c>
      <c r="F565" s="103" t="s">
        <v>163</v>
      </c>
      <c r="G565" s="75" t="s">
        <v>147</v>
      </c>
      <c r="H565" s="90">
        <v>24.04</v>
      </c>
      <c r="I565" s="90">
        <v>31.39</v>
      </c>
      <c r="J565" s="76">
        <v>0.105</v>
      </c>
      <c r="K565" s="306">
        <v>16.38</v>
      </c>
      <c r="L565" s="78">
        <f t="shared" si="67"/>
        <v>38.044162207635594</v>
      </c>
      <c r="M565" s="58">
        <f>+VLOOKUP(F565,Material!$H$2:$M$17,6,FALSE)*H565*I565*(1+Material!$K$14)</f>
        <v>283.25608043685043</v>
      </c>
      <c r="N565" s="79" t="str">
        <f t="shared" si="81"/>
        <v>T5.0</v>
      </c>
      <c r="O565" s="80">
        <f>+VLOOKUP(N565,[3]Material!$A$3:$B$58,2,FALSE)</f>
        <v>5000</v>
      </c>
      <c r="P565" s="79" t="s">
        <v>42</v>
      </c>
      <c r="Q565" s="79" t="str">
        <f>+VLOOKUP(F565,[3]Material!$C$2:$E$12,2,FALSE)</f>
        <v>Cal 12</v>
      </c>
      <c r="R565" s="81">
        <f>+IF(P565="ACERO A36",VLOOKUP(Q565,'[3]Velocidades Std 1500 w'!$B$2:$F$15,5,FALSE),IF(P565="INOXIDABLE",VLOOKUP(Q565,'[3]Velocidades Std 1500 w'!$B$17:$F$28,5,FALSE),IF(P565="ALUMINIO",VLOOKUP(Q565,'[3]Velocidades Std 1500 w'!$B$30:$F$38,5,FALSE))))</f>
        <v>4.3859649122807014E-6</v>
      </c>
      <c r="S565" s="82">
        <f t="shared" si="68"/>
        <v>2.1929824561403508E-2</v>
      </c>
      <c r="T565" s="83">
        <f t="shared" si="69"/>
        <v>236.18109789473684</v>
      </c>
      <c r="U565" s="307">
        <f t="shared" si="70"/>
        <v>14958.136199999999</v>
      </c>
      <c r="V565" s="80">
        <f t="shared" si="75"/>
        <v>328.0293026315789</v>
      </c>
      <c r="W565" s="98">
        <v>300</v>
      </c>
      <c r="X565" s="84">
        <f>+IF(P565="ACERO A36",VLOOKUP(Q565,'[3]Tiempo Objeto'!$B$2:$C$12,2,FALSE),IF(P565="INOXIDABLE",VLOOKUP(Q565,'[3]Tiempo Objeto'!$B$14:$C$22,2,FALSE),IF(P565="ALUMINIO",VLOOKUP(Q565,'[3]Tiempo Objeto'!$B$24:$C$32,2,FALSE))))</f>
        <v>0.6133333333333334</v>
      </c>
      <c r="Y565" s="84">
        <f t="shared" si="71"/>
        <v>184.00000000000003</v>
      </c>
      <c r="Z565" s="80">
        <f t="shared" si="72"/>
        <v>255.5555555555556</v>
      </c>
      <c r="AA565" s="100">
        <v>3</v>
      </c>
      <c r="AB565" s="86">
        <f>+AA565*Analisis!$J$6</f>
        <v>75</v>
      </c>
      <c r="AC565" s="100"/>
      <c r="AD565" s="85">
        <f t="shared" si="73"/>
        <v>0</v>
      </c>
      <c r="AE565" s="86">
        <f>+AC565*Analisis!$J$7</f>
        <v>0</v>
      </c>
      <c r="AF565" s="308">
        <f>+H565*0.0254*I565*0.0254*2*(1+[3]Analisis!$G$2)</f>
        <v>1.2171195012399998</v>
      </c>
      <c r="AG565" s="86">
        <f>+AF565*Analisis!$J$8</f>
        <v>129.68118495354764</v>
      </c>
      <c r="AH565" s="309">
        <f t="shared" si="64"/>
        <v>1071.5221235775325</v>
      </c>
      <c r="AI565" s="86">
        <f>+AH565/(1-Analisis!G570)</f>
        <v>1071.5221235775325</v>
      </c>
      <c r="AJ565" s="86">
        <f t="shared" si="74"/>
        <v>1152.1743264274544</v>
      </c>
      <c r="AK565" s="86">
        <f t="shared" si="65"/>
        <v>0</v>
      </c>
      <c r="AL565" s="310" t="e">
        <f>+VLOOKUP(B565,#REF!,2,FALSE)</f>
        <v>#REF!</v>
      </c>
      <c r="AM565" s="311" t="e">
        <f t="shared" si="79"/>
        <v>#REF!</v>
      </c>
      <c r="AN565" s="312" t="e">
        <f t="shared" si="78"/>
        <v>#REF!</v>
      </c>
    </row>
    <row r="566" spans="1:40" s="73" customFormat="1" x14ac:dyDescent="0.25">
      <c r="A566" s="324"/>
      <c r="B566" s="118" t="s">
        <v>1323</v>
      </c>
      <c r="D566" s="74">
        <f>IFERROR(VLOOKUP(B566,'REQ. PINTADO'!B:C,2,0),0)</f>
        <v>0</v>
      </c>
      <c r="E566" s="305">
        <f t="shared" si="66"/>
        <v>147.33674582744726</v>
      </c>
      <c r="F566" s="103" t="s">
        <v>163</v>
      </c>
      <c r="G566" s="75" t="s">
        <v>147</v>
      </c>
      <c r="H566" s="90">
        <v>2</v>
      </c>
      <c r="I566" s="90">
        <v>11.5</v>
      </c>
      <c r="J566" s="76">
        <v>0.105</v>
      </c>
      <c r="K566" s="306">
        <v>16.38</v>
      </c>
      <c r="L566" s="78">
        <f t="shared" si="67"/>
        <v>1.1595516058449078</v>
      </c>
      <c r="M566" s="58">
        <f>+VLOOKUP(F566,Material!$H$2:$M$17,6,FALSE)*H566*I566*(1+Material!$K$14)</f>
        <v>8.6333887744270843</v>
      </c>
      <c r="N566" s="79" t="str">
        <f t="shared" si="81"/>
        <v>T5.0</v>
      </c>
      <c r="O566" s="80">
        <f>+VLOOKUP(N566,[3]Material!$A$3:$B$58,2,FALSE)</f>
        <v>5000</v>
      </c>
      <c r="P566" s="79" t="s">
        <v>42</v>
      </c>
      <c r="Q566" s="79" t="str">
        <f>+VLOOKUP(F566,[3]Material!$C$2:$E$12,2,FALSE)</f>
        <v>Cal 12</v>
      </c>
      <c r="R566" s="81">
        <f>+IF(P566="ACERO A36",VLOOKUP(Q566,'[3]Velocidades Std 1500 w'!$B$2:$F$15,5,FALSE),IF(P566="INOXIDABLE",VLOOKUP(Q566,'[3]Velocidades Std 1500 w'!$B$17:$F$28,5,FALSE),IF(P566="ALUMINIO",VLOOKUP(Q566,'[3]Velocidades Std 1500 w'!$B$30:$F$38,5,FALSE))))</f>
        <v>4.3859649122807014E-6</v>
      </c>
      <c r="S566" s="82">
        <f t="shared" si="68"/>
        <v>2.1929824561403508E-2</v>
      </c>
      <c r="T566" s="83">
        <f t="shared" si="69"/>
        <v>14.528131578947368</v>
      </c>
      <c r="U566" s="307">
        <f t="shared" si="70"/>
        <v>920.11500000000001</v>
      </c>
      <c r="V566" s="80">
        <f t="shared" si="75"/>
        <v>20.17796052631579</v>
      </c>
      <c r="W566" s="98">
        <v>5</v>
      </c>
      <c r="X566" s="84">
        <f>+IF(P566="ACERO A36",VLOOKUP(Q566,'[3]Tiempo Objeto'!$B$2:$C$12,2,FALSE),IF(P566="INOXIDABLE",VLOOKUP(Q566,'[3]Tiempo Objeto'!$B$14:$C$22,2,FALSE),IF(P566="ALUMINIO",VLOOKUP(Q566,'[3]Tiempo Objeto'!$B$24:$C$32,2,FALSE))))</f>
        <v>0.6133333333333334</v>
      </c>
      <c r="Y566" s="84">
        <f t="shared" si="71"/>
        <v>3.0666666666666669</v>
      </c>
      <c r="Z566" s="80">
        <f t="shared" si="72"/>
        <v>4.2592592592592595</v>
      </c>
      <c r="AA566" s="100">
        <v>4</v>
      </c>
      <c r="AB566" s="86">
        <f>+AA566*Analisis!$J$6</f>
        <v>100</v>
      </c>
      <c r="AC566" s="100"/>
      <c r="AD566" s="85">
        <f t="shared" si="73"/>
        <v>0</v>
      </c>
      <c r="AE566" s="86">
        <f>+AC566*Analisis!$J$7</f>
        <v>0</v>
      </c>
      <c r="AF566" s="308">
        <f>+H566*0.0254*I566*0.0254*2*(1+[3]Analisis!$G$2)</f>
        <v>3.7096699999999996E-2</v>
      </c>
      <c r="AG566" s="86">
        <f>+AF566*Analisis!$J$8</f>
        <v>3.9525650595238102</v>
      </c>
      <c r="AH566" s="309">
        <f t="shared" si="64"/>
        <v>137.02317361952595</v>
      </c>
      <c r="AI566" s="86">
        <f>+AH566/(1-Analisis!G571)</f>
        <v>137.02317361952595</v>
      </c>
      <c r="AJ566" s="86">
        <f t="shared" si="74"/>
        <v>147.33674582744726</v>
      </c>
      <c r="AK566" s="86">
        <f t="shared" si="65"/>
        <v>0</v>
      </c>
      <c r="AL566" s="310" t="e">
        <f>+VLOOKUP(B566,#REF!,2,FALSE)</f>
        <v>#REF!</v>
      </c>
      <c r="AM566" s="311" t="e">
        <f t="shared" si="79"/>
        <v>#REF!</v>
      </c>
      <c r="AN566" s="312" t="e">
        <f t="shared" si="78"/>
        <v>#REF!</v>
      </c>
    </row>
    <row r="567" spans="1:40" s="73" customFormat="1" x14ac:dyDescent="0.25">
      <c r="A567" s="324"/>
      <c r="B567" s="118" t="s">
        <v>1324</v>
      </c>
      <c r="D567" s="74">
        <f>IFERROR(VLOOKUP(B567,'REQ. PINTADO'!B:C,2,0),0)</f>
        <v>0</v>
      </c>
      <c r="E567" s="305">
        <f t="shared" si="66"/>
        <v>607.47245881441677</v>
      </c>
      <c r="F567" s="103" t="s">
        <v>163</v>
      </c>
      <c r="G567" s="75" t="s">
        <v>147</v>
      </c>
      <c r="H567" s="90">
        <v>20.5</v>
      </c>
      <c r="I567" s="90">
        <v>37.54</v>
      </c>
      <c r="J567" s="76">
        <v>0.105</v>
      </c>
      <c r="K567" s="306">
        <v>16.38</v>
      </c>
      <c r="L567" s="78">
        <f t="shared" si="67"/>
        <v>38.798092578698508</v>
      </c>
      <c r="M567" s="58">
        <f>+VLOOKUP(F567,Material!$H$2:$M$17,6,FALSE)*H567*I567*(1+Material!$K$14)</f>
        <v>288.86943474503704</v>
      </c>
      <c r="N567" s="79" t="str">
        <f t="shared" si="81"/>
        <v>T5.0</v>
      </c>
      <c r="O567" s="80">
        <f>+VLOOKUP(N567,[3]Material!$A$3:$B$58,2,FALSE)</f>
        <v>5000</v>
      </c>
      <c r="P567" s="79" t="s">
        <v>42</v>
      </c>
      <c r="Q567" s="79" t="str">
        <f>+VLOOKUP(F567,[3]Material!$C$2:$E$12,2,FALSE)</f>
        <v>Cal 12</v>
      </c>
      <c r="R567" s="81">
        <f>+IF(P567="ACERO A36",VLOOKUP(Q567,'[3]Velocidades Std 1500 w'!$B$2:$F$15,5,FALSE),IF(P567="INOXIDABLE",VLOOKUP(Q567,'[3]Velocidades Std 1500 w'!$B$17:$F$28,5,FALSE),IF(P567="ALUMINIO",VLOOKUP(Q567,'[3]Velocidades Std 1500 w'!$B$30:$F$38,5,FALSE))))</f>
        <v>4.3859649122807014E-6</v>
      </c>
      <c r="S567" s="82">
        <f t="shared" si="68"/>
        <v>2.1929824561403508E-2</v>
      </c>
      <c r="T567" s="83">
        <f t="shared" si="69"/>
        <v>58.356767368421039</v>
      </c>
      <c r="U567" s="307">
        <f t="shared" si="70"/>
        <v>3695.9285999999993</v>
      </c>
      <c r="V567" s="80">
        <f t="shared" si="75"/>
        <v>81.051065789473668</v>
      </c>
      <c r="W567" s="98">
        <v>15</v>
      </c>
      <c r="X567" s="84">
        <f>+IF(P567="ACERO A36",VLOOKUP(Q567,'[3]Tiempo Objeto'!$B$2:$C$12,2,FALSE),IF(P567="INOXIDABLE",VLOOKUP(Q567,'[3]Tiempo Objeto'!$B$14:$C$22,2,FALSE),IF(P567="ALUMINIO",VLOOKUP(Q567,'[3]Tiempo Objeto'!$B$24:$C$32,2,FALSE))))</f>
        <v>0.6133333333333334</v>
      </c>
      <c r="Y567" s="84">
        <f t="shared" si="71"/>
        <v>9.2000000000000011</v>
      </c>
      <c r="Z567" s="80">
        <f t="shared" si="72"/>
        <v>12.77777777777778</v>
      </c>
      <c r="AA567" s="100">
        <v>2</v>
      </c>
      <c r="AB567" s="86">
        <f>+AA567*Analisis!$J$6</f>
        <v>50</v>
      </c>
      <c r="AC567" s="100"/>
      <c r="AD567" s="85">
        <f t="shared" si="73"/>
        <v>0</v>
      </c>
      <c r="AE567" s="86">
        <f>+AC567*Analisis!$J$7</f>
        <v>0</v>
      </c>
      <c r="AF567" s="308">
        <f>+H567*0.0254*I567*0.0254*2*(1+[3]Analisis!$G$2)</f>
        <v>1.2412394529999999</v>
      </c>
      <c r="AG567" s="86">
        <f>+AF567*Analisis!$J$8</f>
        <v>132.25110838511907</v>
      </c>
      <c r="AH567" s="309">
        <f t="shared" si="64"/>
        <v>564.94938669740759</v>
      </c>
      <c r="AI567" s="86">
        <f>+AH567/(1-Analisis!G572)</f>
        <v>564.94938669740759</v>
      </c>
      <c r="AJ567" s="86">
        <f t="shared" si="74"/>
        <v>607.47245881441677</v>
      </c>
      <c r="AK567" s="86">
        <f t="shared" si="65"/>
        <v>0</v>
      </c>
      <c r="AL567" s="310" t="e">
        <f>+VLOOKUP(B567,#REF!,2,FALSE)</f>
        <v>#REF!</v>
      </c>
      <c r="AM567" s="311" t="e">
        <f t="shared" si="79"/>
        <v>#REF!</v>
      </c>
      <c r="AN567" s="312" t="e">
        <f t="shared" si="78"/>
        <v>#REF!</v>
      </c>
    </row>
    <row r="568" spans="1:40" s="73" customFormat="1" x14ac:dyDescent="0.25">
      <c r="A568" s="324"/>
      <c r="B568" s="118" t="s">
        <v>1325</v>
      </c>
      <c r="D568" s="74">
        <f>IFERROR(VLOOKUP(B568,'REQ. PINTADO'!B:C,2,0),0)</f>
        <v>0</v>
      </c>
      <c r="E568" s="305">
        <f t="shared" si="66"/>
        <v>840.93700032677646</v>
      </c>
      <c r="F568" s="103" t="s">
        <v>163</v>
      </c>
      <c r="G568" s="75" t="s">
        <v>147</v>
      </c>
      <c r="H568" s="90">
        <v>30.5</v>
      </c>
      <c r="I568" s="90">
        <v>37.54</v>
      </c>
      <c r="J568" s="76">
        <v>0.105</v>
      </c>
      <c r="K568" s="306">
        <v>16.38</v>
      </c>
      <c r="L568" s="78">
        <f t="shared" si="67"/>
        <v>57.723991397575823</v>
      </c>
      <c r="M568" s="58">
        <f>+VLOOKUP(F568,Material!$H$2:$M$17,6,FALSE)*H568*I568*(1+Material!$K$14)</f>
        <v>429.78135413285992</v>
      </c>
      <c r="N568" s="79" t="str">
        <f t="shared" si="81"/>
        <v>T5.0</v>
      </c>
      <c r="O568" s="80">
        <f>+VLOOKUP(N568,[3]Material!$A$3:$B$58,2,FALSE)</f>
        <v>5000</v>
      </c>
      <c r="P568" s="79" t="s">
        <v>42</v>
      </c>
      <c r="Q568" s="79" t="str">
        <f>+VLOOKUP(F568,[3]Material!$C$2:$E$12,2,FALSE)</f>
        <v>Cal 12</v>
      </c>
      <c r="R568" s="81">
        <f>+IF(P568="ACERO A36",VLOOKUP(Q568,'[3]Velocidades Std 1500 w'!$B$2:$F$15,5,FALSE),IF(P568="INOXIDABLE",VLOOKUP(Q568,'[3]Velocidades Std 1500 w'!$B$17:$F$28,5,FALSE),IF(P568="ALUMINIO",VLOOKUP(Q568,'[3]Velocidades Std 1500 w'!$B$30:$F$38,5,FALSE))))</f>
        <v>4.3859649122807014E-6</v>
      </c>
      <c r="S568" s="82">
        <f t="shared" si="68"/>
        <v>2.1929824561403508E-2</v>
      </c>
      <c r="T568" s="83">
        <f t="shared" si="69"/>
        <v>66.778872631578935</v>
      </c>
      <c r="U568" s="307">
        <f t="shared" si="70"/>
        <v>4229.3285999999998</v>
      </c>
      <c r="V568" s="80">
        <f t="shared" si="75"/>
        <v>92.748434210526312</v>
      </c>
      <c r="W568" s="98">
        <v>15</v>
      </c>
      <c r="X568" s="84">
        <f>+IF(P568="ACERO A36",VLOOKUP(Q568,'[3]Tiempo Objeto'!$B$2:$C$12,2,FALSE),IF(P568="INOXIDABLE",VLOOKUP(Q568,'[3]Tiempo Objeto'!$B$14:$C$22,2,FALSE),IF(P568="ALUMINIO",VLOOKUP(Q568,'[3]Tiempo Objeto'!$B$24:$C$32,2,FALSE))))</f>
        <v>0.6133333333333334</v>
      </c>
      <c r="Y568" s="84">
        <f t="shared" si="71"/>
        <v>9.2000000000000011</v>
      </c>
      <c r="Z568" s="80">
        <f t="shared" si="72"/>
        <v>12.77777777777778</v>
      </c>
      <c r="AA568" s="100">
        <v>2</v>
      </c>
      <c r="AB568" s="86">
        <f>+AA568*Analisis!$J$6</f>
        <v>50</v>
      </c>
      <c r="AC568" s="100"/>
      <c r="AD568" s="85">
        <f t="shared" si="73"/>
        <v>0</v>
      </c>
      <c r="AE568" s="86">
        <f>+AC568*Analisis!$J$7</f>
        <v>0</v>
      </c>
      <c r="AF568" s="308">
        <f>+H568*0.0254*I568*0.0254*2*(1+[3]Analisis!$G$2)</f>
        <v>1.8467221129999998</v>
      </c>
      <c r="AG568" s="86">
        <f>+AF568*Analisis!$J$8</f>
        <v>196.76384418273813</v>
      </c>
      <c r="AH568" s="309">
        <f t="shared" si="64"/>
        <v>782.0714103039021</v>
      </c>
      <c r="AI568" s="86">
        <f>+AH568/(1-Analisis!G573)</f>
        <v>782.0714103039021</v>
      </c>
      <c r="AJ568" s="86">
        <f t="shared" si="74"/>
        <v>840.93700032677646</v>
      </c>
      <c r="AK568" s="86">
        <f t="shared" si="65"/>
        <v>0</v>
      </c>
      <c r="AL568" s="310" t="e">
        <f>+VLOOKUP(B568,#REF!,2,FALSE)</f>
        <v>#REF!</v>
      </c>
      <c r="AM568" s="311" t="e">
        <f t="shared" si="79"/>
        <v>#REF!</v>
      </c>
      <c r="AN568" s="312" t="e">
        <f t="shared" si="78"/>
        <v>#REF!</v>
      </c>
    </row>
    <row r="569" spans="1:40" s="73" customFormat="1" x14ac:dyDescent="0.25">
      <c r="A569" s="324"/>
      <c r="B569" s="118" t="s">
        <v>1326</v>
      </c>
      <c r="D569" s="74">
        <f>IFERROR(VLOOKUP(B569,'REQ. PINTADO'!B:C,2,0),0)</f>
        <v>0</v>
      </c>
      <c r="E569" s="305">
        <f t="shared" si="66"/>
        <v>540.87217808407206</v>
      </c>
      <c r="F569" s="103" t="s">
        <v>163</v>
      </c>
      <c r="G569" s="75" t="s">
        <v>147</v>
      </c>
      <c r="H569" s="90">
        <v>20.5</v>
      </c>
      <c r="I569" s="90">
        <v>32.54</v>
      </c>
      <c r="J569" s="76">
        <v>0.105</v>
      </c>
      <c r="K569" s="306">
        <v>16.38</v>
      </c>
      <c r="L569" s="78">
        <f t="shared" si="67"/>
        <v>33.630525639607072</v>
      </c>
      <c r="M569" s="58">
        <f>+VLOOKUP(F569,Material!$H$2:$M$17,6,FALSE)*H569*I569*(1+Material!$K$14)</f>
        <v>250.39454998943808</v>
      </c>
      <c r="N569" s="79" t="str">
        <f t="shared" si="81"/>
        <v>T5.0</v>
      </c>
      <c r="O569" s="80">
        <f>+VLOOKUP(N569,[3]Material!$A$3:$B$58,2,FALSE)</f>
        <v>5000</v>
      </c>
      <c r="P569" s="79" t="s">
        <v>42</v>
      </c>
      <c r="Q569" s="79" t="str">
        <f>+VLOOKUP(F569,[3]Material!$C$2:$E$12,2,FALSE)</f>
        <v>Cal 12</v>
      </c>
      <c r="R569" s="81">
        <f>+IF(P569="ACERO A36",VLOOKUP(Q569,'[3]Velocidades Std 1500 w'!$B$2:$F$15,5,FALSE),IF(P569="INOXIDABLE",VLOOKUP(Q569,'[3]Velocidades Std 1500 w'!$B$17:$F$28,5,FALSE),IF(P569="ALUMINIO",VLOOKUP(Q569,'[3]Velocidades Std 1500 w'!$B$30:$F$38,5,FALSE))))</f>
        <v>4.3859649122807014E-6</v>
      </c>
      <c r="S569" s="82">
        <f t="shared" si="68"/>
        <v>2.1929824561403508E-2</v>
      </c>
      <c r="T569" s="83">
        <f t="shared" si="69"/>
        <v>54.145714736842088</v>
      </c>
      <c r="U569" s="307">
        <f t="shared" si="70"/>
        <v>3429.2285999999995</v>
      </c>
      <c r="V569" s="80">
        <f t="shared" si="75"/>
        <v>75.202381578947353</v>
      </c>
      <c r="W569" s="98">
        <v>15</v>
      </c>
      <c r="X569" s="84">
        <f>+IF(P569="ACERO A36",VLOOKUP(Q569,'[3]Tiempo Objeto'!$B$2:$C$12,2,FALSE),IF(P569="INOXIDABLE",VLOOKUP(Q569,'[3]Tiempo Objeto'!$B$14:$C$22,2,FALSE),IF(P569="ALUMINIO",VLOOKUP(Q569,'[3]Tiempo Objeto'!$B$24:$C$32,2,FALSE))))</f>
        <v>0.6133333333333334</v>
      </c>
      <c r="Y569" s="84">
        <f t="shared" si="71"/>
        <v>9.2000000000000011</v>
      </c>
      <c r="Z569" s="80">
        <f t="shared" si="72"/>
        <v>12.77777777777778</v>
      </c>
      <c r="AA569" s="100">
        <v>2</v>
      </c>
      <c r="AB569" s="86">
        <f>+AA569*Analisis!$J$6</f>
        <v>50</v>
      </c>
      <c r="AC569" s="100"/>
      <c r="AD569" s="85">
        <f t="shared" si="73"/>
        <v>0</v>
      </c>
      <c r="AE569" s="86">
        <f>+AC569*Analisis!$J$7</f>
        <v>0</v>
      </c>
      <c r="AF569" s="308">
        <f>+H569*0.0254*I569*0.0254*2*(1+[3]Analisis!$G$2)</f>
        <v>1.0759172029999999</v>
      </c>
      <c r="AG569" s="86">
        <f>+AF569*Analisis!$J$8</f>
        <v>114.63641627202384</v>
      </c>
      <c r="AH569" s="309">
        <f t="shared" si="64"/>
        <v>503.01112561818701</v>
      </c>
      <c r="AI569" s="86">
        <f>+AH569/(1-Analisis!G574)</f>
        <v>503.01112561818701</v>
      </c>
      <c r="AJ569" s="86">
        <f t="shared" si="74"/>
        <v>540.87217808407206</v>
      </c>
      <c r="AK569" s="86">
        <f t="shared" si="65"/>
        <v>0</v>
      </c>
      <c r="AL569" s="310" t="e">
        <f>+VLOOKUP(B569,#REF!,2,FALSE)</f>
        <v>#REF!</v>
      </c>
      <c r="AM569" s="311" t="e">
        <f t="shared" si="79"/>
        <v>#REF!</v>
      </c>
      <c r="AN569" s="312" t="e">
        <f t="shared" si="78"/>
        <v>#REF!</v>
      </c>
    </row>
    <row r="570" spans="1:40" s="73" customFormat="1" x14ac:dyDescent="0.25">
      <c r="A570" s="324"/>
      <c r="B570" s="118" t="s">
        <v>1327</v>
      </c>
      <c r="D570" s="74">
        <f>IFERROR(VLOOKUP(B570,'REQ. PINTADO'!B:C,2,0),0)</f>
        <v>0</v>
      </c>
      <c r="E570" s="305">
        <f t="shared" si="66"/>
        <v>744.91653765638773</v>
      </c>
      <c r="F570" s="103" t="s">
        <v>163</v>
      </c>
      <c r="G570" s="75" t="s">
        <v>147</v>
      </c>
      <c r="H570" s="90">
        <v>30.5</v>
      </c>
      <c r="I570" s="90">
        <v>32.54</v>
      </c>
      <c r="J570" s="76">
        <v>0.105</v>
      </c>
      <c r="K570" s="306">
        <v>16.38</v>
      </c>
      <c r="L570" s="78">
        <f t="shared" si="67"/>
        <v>50.035660097951983</v>
      </c>
      <c r="M570" s="58">
        <f>+VLOOKUP(F570,Material!$H$2:$M$17,6,FALSE)*H570*I570*(1+Material!$K$14)</f>
        <v>372.53823291111519</v>
      </c>
      <c r="N570" s="79" t="str">
        <f t="shared" si="81"/>
        <v>T5.0</v>
      </c>
      <c r="O570" s="80">
        <f>+VLOOKUP(N570,[3]Material!$A$3:$B$58,2,FALSE)</f>
        <v>5000</v>
      </c>
      <c r="P570" s="79" t="s">
        <v>42</v>
      </c>
      <c r="Q570" s="79" t="str">
        <f>+VLOOKUP(F570,[3]Material!$C$2:$E$12,2,FALSE)</f>
        <v>Cal 12</v>
      </c>
      <c r="R570" s="81">
        <f>+IF(P570="ACERO A36",VLOOKUP(Q570,'[3]Velocidades Std 1500 w'!$B$2:$F$15,5,FALSE),IF(P570="INOXIDABLE",VLOOKUP(Q570,'[3]Velocidades Std 1500 w'!$B$17:$F$28,5,FALSE),IF(P570="ALUMINIO",VLOOKUP(Q570,'[3]Velocidades Std 1500 w'!$B$30:$F$38,5,FALSE))))</f>
        <v>4.3859649122807014E-6</v>
      </c>
      <c r="S570" s="82">
        <f t="shared" si="68"/>
        <v>2.1929824561403508E-2</v>
      </c>
      <c r="T570" s="83">
        <f t="shared" si="69"/>
        <v>62.56781999999999</v>
      </c>
      <c r="U570" s="307">
        <f t="shared" si="70"/>
        <v>3962.6285999999996</v>
      </c>
      <c r="V570" s="80">
        <f t="shared" si="75"/>
        <v>86.899749999999983</v>
      </c>
      <c r="W570" s="98">
        <v>15</v>
      </c>
      <c r="X570" s="84">
        <f>+IF(P570="ACERO A36",VLOOKUP(Q570,'[3]Tiempo Objeto'!$B$2:$C$12,2,FALSE),IF(P570="INOXIDABLE",VLOOKUP(Q570,'[3]Tiempo Objeto'!$B$14:$C$22,2,FALSE),IF(P570="ALUMINIO",VLOOKUP(Q570,'[3]Tiempo Objeto'!$B$24:$C$32,2,FALSE))))</f>
        <v>0.6133333333333334</v>
      </c>
      <c r="Y570" s="84">
        <f t="shared" si="71"/>
        <v>9.2000000000000011</v>
      </c>
      <c r="Z570" s="80">
        <f t="shared" si="72"/>
        <v>12.77777777777778</v>
      </c>
      <c r="AA570" s="100">
        <v>2</v>
      </c>
      <c r="AB570" s="86">
        <f>+AA570*Analisis!$J$6</f>
        <v>50</v>
      </c>
      <c r="AC570" s="100"/>
      <c r="AD570" s="85">
        <f t="shared" si="73"/>
        <v>0</v>
      </c>
      <c r="AE570" s="86">
        <f>+AC570*Analisis!$J$7</f>
        <v>0</v>
      </c>
      <c r="AF570" s="308">
        <f>+H570*0.0254*I570*0.0254*2*(1+[3]Analisis!$G$2)</f>
        <v>1.6007548629999999</v>
      </c>
      <c r="AG570" s="86">
        <f>+AF570*Analisis!$J$8</f>
        <v>170.55661933154767</v>
      </c>
      <c r="AH570" s="309">
        <f t="shared" si="64"/>
        <v>692.77238002044055</v>
      </c>
      <c r="AI570" s="86">
        <f>+AH570/(1-Analisis!G575)</f>
        <v>692.77238002044055</v>
      </c>
      <c r="AJ570" s="86">
        <f t="shared" si="74"/>
        <v>744.91653765638773</v>
      </c>
      <c r="AK570" s="86">
        <f t="shared" si="65"/>
        <v>0</v>
      </c>
      <c r="AL570" s="310" t="e">
        <f>+VLOOKUP(B570,#REF!,2,FALSE)</f>
        <v>#REF!</v>
      </c>
      <c r="AM570" s="311" t="e">
        <f t="shared" si="79"/>
        <v>#REF!</v>
      </c>
      <c r="AN570" s="312" t="e">
        <f t="shared" si="78"/>
        <v>#REF!</v>
      </c>
    </row>
    <row r="571" spans="1:40" s="73" customFormat="1" x14ac:dyDescent="0.25">
      <c r="A571" s="324"/>
      <c r="B571" s="118" t="s">
        <v>1328</v>
      </c>
      <c r="D571" s="74">
        <f>IFERROR(VLOOKUP(B571,'REQ. PINTADO'!B:C,2,0),0)</f>
        <v>0</v>
      </c>
      <c r="E571" s="305">
        <f t="shared" si="66"/>
        <v>312.92369279250278</v>
      </c>
      <c r="F571" s="103" t="s">
        <v>163</v>
      </c>
      <c r="G571" s="75" t="s">
        <v>147</v>
      </c>
      <c r="H571" s="90">
        <v>2.56</v>
      </c>
      <c r="I571" s="90">
        <v>83.85</v>
      </c>
      <c r="J571" s="76">
        <v>0.105</v>
      </c>
      <c r="K571" s="306">
        <v>16.38</v>
      </c>
      <c r="L571" s="78">
        <f t="shared" si="67"/>
        <v>10.821943891488891</v>
      </c>
      <c r="M571" s="58">
        <f>+VLOOKUP(F571,Material!$H$2:$M$17,6,FALSE)*H571*I571*(1+Material!$K$14)</f>
        <v>80.574291337540004</v>
      </c>
      <c r="N571" s="79" t="str">
        <f t="shared" si="81"/>
        <v>T5.0</v>
      </c>
      <c r="O571" s="80">
        <f>+VLOOKUP(N571,[3]Material!$A$3:$B$58,2,FALSE)</f>
        <v>5000</v>
      </c>
      <c r="P571" s="79" t="s">
        <v>42</v>
      </c>
      <c r="Q571" s="79" t="str">
        <f>+VLOOKUP(F571,[3]Material!$C$2:$E$12,2,FALSE)</f>
        <v>Cal 12</v>
      </c>
      <c r="R571" s="81">
        <f>+IF(P571="ACERO A36",VLOOKUP(Q571,'[3]Velocidades Std 1500 w'!$B$2:$F$15,5,FALSE),IF(P571="INOXIDABLE",VLOOKUP(Q571,'[3]Velocidades Std 1500 w'!$B$17:$F$28,5,FALSE),IF(P571="ALUMINIO",VLOOKUP(Q571,'[3]Velocidades Std 1500 w'!$B$30:$F$38,5,FALSE))))</f>
        <v>4.3859649122807014E-6</v>
      </c>
      <c r="S571" s="82">
        <f t="shared" si="68"/>
        <v>2.1929824561403508E-2</v>
      </c>
      <c r="T571" s="83">
        <f t="shared" si="69"/>
        <v>80.986964210526295</v>
      </c>
      <c r="U571" s="307">
        <f t="shared" si="70"/>
        <v>5129.1743999999999</v>
      </c>
      <c r="V571" s="80">
        <f t="shared" si="75"/>
        <v>112.48189473684209</v>
      </c>
      <c r="W571" s="98">
        <v>13</v>
      </c>
      <c r="X571" s="84">
        <f>+IF(P571="ACERO A36",VLOOKUP(Q571,'[3]Tiempo Objeto'!$B$2:$C$12,2,FALSE),IF(P571="INOXIDABLE",VLOOKUP(Q571,'[3]Tiempo Objeto'!$B$14:$C$22,2,FALSE),IF(P571="ALUMINIO",VLOOKUP(Q571,'[3]Tiempo Objeto'!$B$24:$C$32,2,FALSE))))</f>
        <v>0.6133333333333334</v>
      </c>
      <c r="Y571" s="84">
        <f t="shared" si="71"/>
        <v>7.9733333333333345</v>
      </c>
      <c r="Z571" s="80">
        <f t="shared" si="72"/>
        <v>11.074074074074076</v>
      </c>
      <c r="AA571" s="100">
        <v>2</v>
      </c>
      <c r="AB571" s="86">
        <f>+AA571*Analisis!$J$6</f>
        <v>50</v>
      </c>
      <c r="AC571" s="100"/>
      <c r="AD571" s="85">
        <f t="shared" si="73"/>
        <v>0</v>
      </c>
      <c r="AE571" s="86">
        <f>+AC571*Analisis!$J$7</f>
        <v>0</v>
      </c>
      <c r="AF571" s="308">
        <f>+H571*0.0254*I571*0.0254*2*(1+[3]Analisis!$G$2)</f>
        <v>0.34621866239999993</v>
      </c>
      <c r="AG571" s="86">
        <f>+AF571*Analisis!$J$8</f>
        <v>36.888774148571436</v>
      </c>
      <c r="AH571" s="309">
        <f t="shared" si="64"/>
        <v>291.01903429702759</v>
      </c>
      <c r="AI571" s="86">
        <f>+AH571/(1-Analisis!G576)</f>
        <v>291.01903429702759</v>
      </c>
      <c r="AJ571" s="86">
        <f t="shared" si="74"/>
        <v>312.92369279250278</v>
      </c>
      <c r="AK571" s="86">
        <f t="shared" si="65"/>
        <v>0</v>
      </c>
      <c r="AL571" s="310" t="e">
        <f>+VLOOKUP(B571,#REF!,2,FALSE)</f>
        <v>#REF!</v>
      </c>
      <c r="AM571" s="311" t="e">
        <f t="shared" si="79"/>
        <v>#REF!</v>
      </c>
      <c r="AN571" s="312" t="e">
        <f t="shared" si="78"/>
        <v>#REF!</v>
      </c>
    </row>
    <row r="572" spans="1:40" s="73" customFormat="1" x14ac:dyDescent="0.25">
      <c r="A572" s="324"/>
      <c r="B572" s="118" t="s">
        <v>1329</v>
      </c>
      <c r="D572" s="74">
        <f>IFERROR(VLOOKUP(B572,'REQ. PINTADO'!B:C,2,0),0)</f>
        <v>0</v>
      </c>
      <c r="E572" s="305">
        <f t="shared" si="66"/>
        <v>2643.3094780865586</v>
      </c>
      <c r="F572" s="103" t="s">
        <v>163</v>
      </c>
      <c r="G572" s="75" t="s">
        <v>147</v>
      </c>
      <c r="H572" s="90">
        <v>48.26</v>
      </c>
      <c r="I572" s="90">
        <v>82.77</v>
      </c>
      <c r="J572" s="76">
        <v>0.105</v>
      </c>
      <c r="K572" s="306">
        <v>16.38</v>
      </c>
      <c r="L572" s="78">
        <f t="shared" si="67"/>
        <v>201.38286654024731</v>
      </c>
      <c r="M572" s="58">
        <f>+VLOOKUP(F572,Material!$H$2:$M$17,6,FALSE)*H572*I572*(1+Material!$K$14)</f>
        <v>1499.3869790587501</v>
      </c>
      <c r="N572" s="79" t="str">
        <f t="shared" si="81"/>
        <v>T5.0</v>
      </c>
      <c r="O572" s="80">
        <f>+VLOOKUP(N572,[3]Material!$A$3:$B$58,2,FALSE)</f>
        <v>5000</v>
      </c>
      <c r="P572" s="79" t="s">
        <v>42</v>
      </c>
      <c r="Q572" s="79" t="str">
        <f>+VLOOKUP(F572,[3]Material!$C$2:$E$12,2,FALSE)</f>
        <v>Cal 12</v>
      </c>
      <c r="R572" s="81">
        <f>+IF(P572="ACERO A36",VLOOKUP(Q572,'[3]Velocidades Std 1500 w'!$B$2:$F$15,5,FALSE),IF(P572="INOXIDABLE",VLOOKUP(Q572,'[3]Velocidades Std 1500 w'!$B$17:$F$28,5,FALSE),IF(P572="ALUMINIO",VLOOKUP(Q572,'[3]Velocidades Std 1500 w'!$B$30:$F$38,5,FALSE))))</f>
        <v>4.3859649122807014E-6</v>
      </c>
      <c r="S572" s="82">
        <f t="shared" si="68"/>
        <v>2.1929824561403508E-2</v>
      </c>
      <c r="T572" s="83">
        <f t="shared" si="69"/>
        <v>135.62116105263158</v>
      </c>
      <c r="U572" s="307">
        <f t="shared" si="70"/>
        <v>8589.3402000000006</v>
      </c>
      <c r="V572" s="80">
        <f t="shared" si="75"/>
        <v>188.36272368421052</v>
      </c>
      <c r="W572" s="98">
        <v>40</v>
      </c>
      <c r="X572" s="84">
        <f>+IF(P572="ACERO A36",VLOOKUP(Q572,'[3]Tiempo Objeto'!$B$2:$C$12,2,FALSE),IF(P572="INOXIDABLE",VLOOKUP(Q572,'[3]Tiempo Objeto'!$B$14:$C$22,2,FALSE),IF(P572="ALUMINIO",VLOOKUP(Q572,'[3]Tiempo Objeto'!$B$24:$C$32,2,FALSE))))</f>
        <v>0.6133333333333334</v>
      </c>
      <c r="Y572" s="84">
        <f t="shared" si="71"/>
        <v>24.533333333333335</v>
      </c>
      <c r="Z572" s="80">
        <f t="shared" si="72"/>
        <v>34.074074074074076</v>
      </c>
      <c r="AA572" s="100">
        <v>2</v>
      </c>
      <c r="AB572" s="86">
        <f>+AA572*Analisis!$J$6</f>
        <v>50</v>
      </c>
      <c r="AC572" s="100"/>
      <c r="AD572" s="85">
        <f t="shared" si="73"/>
        <v>0</v>
      </c>
      <c r="AE572" s="86">
        <f>+AC572*Analisis!$J$7</f>
        <v>0</v>
      </c>
      <c r="AF572" s="308">
        <f>+H572*0.0254*I572*0.0254*2*(1+[3]Analisis!$G$2)</f>
        <v>6.4426971145799996</v>
      </c>
      <c r="AG572" s="86">
        <f>+AF572*Analisis!$J$8</f>
        <v>686.45403780346442</v>
      </c>
      <c r="AH572" s="309">
        <f t="shared" si="64"/>
        <v>2458.2778146204992</v>
      </c>
      <c r="AI572" s="86">
        <f>+AH572/(1-Analisis!G577)</f>
        <v>2458.2778146204992</v>
      </c>
      <c r="AJ572" s="86">
        <f t="shared" si="74"/>
        <v>2643.3094780865586</v>
      </c>
      <c r="AK572" s="86">
        <f t="shared" si="65"/>
        <v>0</v>
      </c>
      <c r="AL572" s="310" t="e">
        <f>+VLOOKUP(B572,#REF!,2,FALSE)</f>
        <v>#REF!</v>
      </c>
      <c r="AM572" s="311" t="e">
        <f t="shared" si="79"/>
        <v>#REF!</v>
      </c>
      <c r="AN572" s="312" t="e">
        <f t="shared" si="78"/>
        <v>#REF!</v>
      </c>
    </row>
    <row r="573" spans="1:40" s="73" customFormat="1" x14ac:dyDescent="0.25">
      <c r="A573" s="324"/>
      <c r="B573" s="118" t="s">
        <v>1330</v>
      </c>
      <c r="D573" s="74">
        <f>IFERROR(VLOOKUP(B573,'REQ. PINTADO'!B:C,2,0),0)</f>
        <v>0</v>
      </c>
      <c r="E573" s="305">
        <f t="shared" si="66"/>
        <v>411.74118986292547</v>
      </c>
      <c r="F573" s="103" t="s">
        <v>163</v>
      </c>
      <c r="G573" s="75" t="s">
        <v>147</v>
      </c>
      <c r="H573" s="90">
        <v>15.5</v>
      </c>
      <c r="I573" s="90">
        <v>22.06</v>
      </c>
      <c r="J573" s="76">
        <v>0.105</v>
      </c>
      <c r="K573" s="306">
        <v>16.38</v>
      </c>
      <c r="L573" s="78">
        <f t="shared" si="67"/>
        <v>17.238499155936925</v>
      </c>
      <c r="M573" s="58">
        <f>+VLOOKUP(F573,Material!$H$2:$M$17,6,FALSE)*H573*I573*(1+Material!$K$14)</f>
        <v>128.34846189738491</v>
      </c>
      <c r="N573" s="79" t="str">
        <f t="shared" si="81"/>
        <v>T5.0</v>
      </c>
      <c r="O573" s="80">
        <f>+VLOOKUP(N573,[3]Material!$A$3:$B$58,2,FALSE)</f>
        <v>5000</v>
      </c>
      <c r="P573" s="79" t="s">
        <v>42</v>
      </c>
      <c r="Q573" s="79" t="str">
        <f>+VLOOKUP(F573,[3]Material!$C$2:$E$12,2,FALSE)</f>
        <v>Cal 12</v>
      </c>
      <c r="R573" s="81">
        <f>+IF(P573="ACERO A36",VLOOKUP(Q573,'[3]Velocidades Std 1500 w'!$B$2:$F$15,5,FALSE),IF(P573="INOXIDABLE",VLOOKUP(Q573,'[3]Velocidades Std 1500 w'!$B$17:$F$28,5,FALSE),IF(P573="ALUMINIO",VLOOKUP(Q573,'[3]Velocidades Std 1500 w'!$B$30:$F$38,5,FALSE))))</f>
        <v>4.3859649122807014E-6</v>
      </c>
      <c r="S573" s="82">
        <f t="shared" si="68"/>
        <v>2.1929824561403508E-2</v>
      </c>
      <c r="T573" s="83">
        <f t="shared" si="69"/>
        <v>50.583164210526306</v>
      </c>
      <c r="U573" s="307">
        <f t="shared" si="70"/>
        <v>3203.6003999999998</v>
      </c>
      <c r="V573" s="80">
        <f t="shared" si="75"/>
        <v>70.254394736842102</v>
      </c>
      <c r="W573" s="98">
        <v>30</v>
      </c>
      <c r="X573" s="84">
        <f>+IF(P573="ACERO A36",VLOOKUP(Q573,'[3]Tiempo Objeto'!$B$2:$C$12,2,FALSE),IF(P573="INOXIDABLE",VLOOKUP(Q573,'[3]Tiempo Objeto'!$B$14:$C$22,2,FALSE),IF(P573="ALUMINIO",VLOOKUP(Q573,'[3]Tiempo Objeto'!$B$24:$C$32,2,FALSE))))</f>
        <v>0.6133333333333334</v>
      </c>
      <c r="Y573" s="84">
        <f t="shared" si="71"/>
        <v>18.400000000000002</v>
      </c>
      <c r="Z573" s="80">
        <f t="shared" si="72"/>
        <v>25.555555555555561</v>
      </c>
      <c r="AA573" s="100">
        <v>4</v>
      </c>
      <c r="AB573" s="86">
        <f>+AA573*Analisis!$J$6</f>
        <v>100</v>
      </c>
      <c r="AC573" s="100"/>
      <c r="AD573" s="85">
        <f t="shared" si="73"/>
        <v>0</v>
      </c>
      <c r="AE573" s="86">
        <f>+AC573*Analisis!$J$7</f>
        <v>0</v>
      </c>
      <c r="AF573" s="308">
        <f>+H573*0.0254*I573*0.0254*2*(1+[3]Analisis!$G$2)</f>
        <v>0.55149889699999999</v>
      </c>
      <c r="AG573" s="86">
        <f>+AF573*Analisis!$J$8</f>
        <v>58.760894382738108</v>
      </c>
      <c r="AH573" s="309">
        <f t="shared" si="64"/>
        <v>382.91930657252067</v>
      </c>
      <c r="AI573" s="86">
        <f>+AH573/(1-Analisis!G578)</f>
        <v>382.91930657252067</v>
      </c>
      <c r="AJ573" s="86">
        <f t="shared" si="74"/>
        <v>411.74118986292547</v>
      </c>
      <c r="AK573" s="86">
        <f t="shared" si="65"/>
        <v>0</v>
      </c>
      <c r="AL573" s="310" t="e">
        <f>+VLOOKUP(B573,#REF!,2,FALSE)</f>
        <v>#REF!</v>
      </c>
      <c r="AM573" s="311" t="e">
        <f t="shared" si="79"/>
        <v>#REF!</v>
      </c>
      <c r="AN573" s="312" t="e">
        <f t="shared" si="78"/>
        <v>#REF!</v>
      </c>
    </row>
    <row r="574" spans="1:40" s="73" customFormat="1" x14ac:dyDescent="0.25">
      <c r="A574" s="324"/>
      <c r="B574" s="118" t="s">
        <v>1331</v>
      </c>
      <c r="D574" s="74">
        <f>IFERROR(VLOOKUP(B574,'REQ. PINTADO'!B:C,2,0),0)</f>
        <v>0</v>
      </c>
      <c r="E574" s="305">
        <f t="shared" si="66"/>
        <v>254.18615759046196</v>
      </c>
      <c r="F574" s="103" t="s">
        <v>163</v>
      </c>
      <c r="G574" s="75" t="s">
        <v>147</v>
      </c>
      <c r="H574" s="90">
        <v>2.64</v>
      </c>
      <c r="I574" s="90">
        <v>63.5</v>
      </c>
      <c r="J574" s="76">
        <v>0.105</v>
      </c>
      <c r="K574" s="306">
        <v>16.38</v>
      </c>
      <c r="L574" s="78">
        <f t="shared" si="67"/>
        <v>8.4516187479930576</v>
      </c>
      <c r="M574" s="58">
        <f>+VLOOKUP(F574,Material!$H$2:$M$17,6,FALSE)*H574*I574*(1+Material!$K$14)</f>
        <v>62.926143223693757</v>
      </c>
      <c r="N574" s="79" t="str">
        <f t="shared" si="81"/>
        <v>T5.0</v>
      </c>
      <c r="O574" s="80">
        <f>+VLOOKUP(N574,[3]Material!$A$3:$B$58,2,FALSE)</f>
        <v>5000</v>
      </c>
      <c r="P574" s="79" t="s">
        <v>42</v>
      </c>
      <c r="Q574" s="79" t="str">
        <f>+VLOOKUP(F574,[3]Material!$C$2:$E$12,2,FALSE)</f>
        <v>Cal 12</v>
      </c>
      <c r="R574" s="81">
        <f>+IF(P574="ACERO A36",VLOOKUP(Q574,'[3]Velocidades Std 1500 w'!$B$2:$F$15,5,FALSE),IF(P574="INOXIDABLE",VLOOKUP(Q574,'[3]Velocidades Std 1500 w'!$B$17:$F$28,5,FALSE),IF(P574="ALUMINIO",VLOOKUP(Q574,'[3]Velocidades Std 1500 w'!$B$30:$F$38,5,FALSE))))</f>
        <v>4.3859649122807014E-6</v>
      </c>
      <c r="S574" s="82">
        <f t="shared" si="68"/>
        <v>2.1929824561403508E-2</v>
      </c>
      <c r="T574" s="83">
        <f t="shared" si="69"/>
        <v>62.020383157894727</v>
      </c>
      <c r="U574" s="307">
        <f t="shared" si="70"/>
        <v>3927.9576000000002</v>
      </c>
      <c r="V574" s="80">
        <f t="shared" si="75"/>
        <v>86.139421052631576</v>
      </c>
      <c r="W574" s="98">
        <v>10</v>
      </c>
      <c r="X574" s="84">
        <f>+IF(P574="ACERO A36",VLOOKUP(Q574,'[3]Tiempo Objeto'!$B$2:$C$12,2,FALSE),IF(P574="INOXIDABLE",VLOOKUP(Q574,'[3]Tiempo Objeto'!$B$14:$C$22,2,FALSE),IF(P574="ALUMINIO",VLOOKUP(Q574,'[3]Tiempo Objeto'!$B$24:$C$32,2,FALSE))))</f>
        <v>0.6133333333333334</v>
      </c>
      <c r="Y574" s="84">
        <f t="shared" si="71"/>
        <v>6.1333333333333337</v>
      </c>
      <c r="Z574" s="80">
        <f t="shared" si="72"/>
        <v>8.518518518518519</v>
      </c>
      <c r="AA574" s="100">
        <v>2</v>
      </c>
      <c r="AB574" s="86">
        <f>+AA574*Analisis!$J$6</f>
        <v>50</v>
      </c>
      <c r="AC574" s="100"/>
      <c r="AD574" s="85">
        <f t="shared" si="73"/>
        <v>0</v>
      </c>
      <c r="AE574" s="86">
        <f>+AC574*Analisis!$J$7</f>
        <v>0</v>
      </c>
      <c r="AF574" s="308">
        <f>+H574*0.0254*I574*0.0254*2*(1+[3]Analisis!$G$2)</f>
        <v>0.270386556</v>
      </c>
      <c r="AG574" s="86">
        <f>+AF574*Analisis!$J$8</f>
        <v>28.809043764285722</v>
      </c>
      <c r="AH574" s="309">
        <f t="shared" si="64"/>
        <v>236.3931265591296</v>
      </c>
      <c r="AI574" s="86">
        <f>+AH574/(1-Analisis!G579)</f>
        <v>236.3931265591296</v>
      </c>
      <c r="AJ574" s="86">
        <f t="shared" si="74"/>
        <v>254.18615759046196</v>
      </c>
      <c r="AK574" s="86">
        <f t="shared" si="65"/>
        <v>0</v>
      </c>
      <c r="AL574" s="310" t="e">
        <f>+VLOOKUP(B574,#REF!,2,FALSE)</f>
        <v>#REF!</v>
      </c>
      <c r="AM574" s="311" t="e">
        <f t="shared" si="79"/>
        <v>#REF!</v>
      </c>
      <c r="AN574" s="312" t="e">
        <f t="shared" si="78"/>
        <v>#REF!</v>
      </c>
    </row>
    <row r="575" spans="1:40" s="73" customFormat="1" x14ac:dyDescent="0.25">
      <c r="A575" s="324"/>
      <c r="B575" s="118" t="s">
        <v>1332</v>
      </c>
      <c r="D575" s="74">
        <f>IFERROR(VLOOKUP(B575,'REQ. PINTADO'!B:C,2,0),0)</f>
        <v>0</v>
      </c>
      <c r="E575" s="305">
        <f t="shared" si="66"/>
        <v>642.93659751802932</v>
      </c>
      <c r="F575" s="103" t="s">
        <v>165</v>
      </c>
      <c r="G575" s="75" t="s">
        <v>147</v>
      </c>
      <c r="H575" s="90">
        <v>16.8</v>
      </c>
      <c r="I575" s="90">
        <v>52.75</v>
      </c>
      <c r="J575" s="76">
        <v>0.105</v>
      </c>
      <c r="K575" s="306">
        <v>16.38</v>
      </c>
      <c r="L575" s="78">
        <f t="shared" si="67"/>
        <v>49.470032051282061</v>
      </c>
      <c r="M575" s="58">
        <f>+VLOOKUP(F575,Material!$H$2:$M$17,6,FALSE)*H575*I575*(1+Material!$K$14)</f>
        <v>368.32687500000003</v>
      </c>
      <c r="N575" s="79" t="str">
        <f t="shared" si="81"/>
        <v>T5.0</v>
      </c>
      <c r="O575" s="80">
        <f>+VLOOKUP(N575,[3]Material!$A$3:$B$58,2,FALSE)</f>
        <v>5000</v>
      </c>
      <c r="P575" s="79" t="s">
        <v>42</v>
      </c>
      <c r="Q575" s="79" t="str">
        <f>+VLOOKUP(F575,[3]Material!$C$2:$E$12,2,FALSE)</f>
        <v>Cal 14</v>
      </c>
      <c r="R575" s="81">
        <f>+IF(P575="ACERO A36",VLOOKUP(Q575,'[3]Velocidades Std 1500 w'!$B$2:$F$15,5,FALSE),IF(P575="INOXIDABLE",VLOOKUP(Q575,'[3]Velocidades Std 1500 w'!$B$17:$F$28,5,FALSE),IF(P575="ALUMINIO",VLOOKUP(Q575,'[3]Velocidades Std 1500 w'!$B$30:$F$38,5,FALSE))))</f>
        <v>2.0080321285140564E-6</v>
      </c>
      <c r="S575" s="82">
        <f t="shared" si="68"/>
        <v>1.0040160642570283E-2</v>
      </c>
      <c r="T575" s="83">
        <f t="shared" si="69"/>
        <v>32.023279518072286</v>
      </c>
      <c r="U575" s="307">
        <f t="shared" si="70"/>
        <v>4429.8869999999997</v>
      </c>
      <c r="V575" s="80">
        <f t="shared" si="75"/>
        <v>44.476777108433737</v>
      </c>
      <c r="W575" s="98">
        <v>18</v>
      </c>
      <c r="X575" s="84">
        <f>+IF(P575="ACERO A36",VLOOKUP(Q575,'[3]Tiempo Objeto'!$B$2:$C$12,2,FALSE),IF(P575="INOXIDABLE",VLOOKUP(Q575,'[3]Tiempo Objeto'!$B$14:$C$22,2,FALSE),IF(P575="ALUMINIO",VLOOKUP(Q575,'[3]Tiempo Objeto'!$B$24:$C$32,2,FALSE))))</f>
        <v>0.3133333333333333</v>
      </c>
      <c r="Y575" s="84">
        <f t="shared" si="71"/>
        <v>5.64</v>
      </c>
      <c r="Z575" s="80">
        <f t="shared" si="72"/>
        <v>7.833333333333333</v>
      </c>
      <c r="AA575" s="100">
        <v>1</v>
      </c>
      <c r="AB575" s="86">
        <f>+AA575*Analisis!$J$6</f>
        <v>25</v>
      </c>
      <c r="AC575" s="100"/>
      <c r="AD575" s="85">
        <f t="shared" si="73"/>
        <v>0</v>
      </c>
      <c r="AE575" s="86">
        <f>+AC575*Analisis!$J$7</f>
        <v>0</v>
      </c>
      <c r="AF575" s="308">
        <f>+H575*0.0254*I575*0.0254*2*(1+[3]Analisis!$G$2)</f>
        <v>1.4293519799999999</v>
      </c>
      <c r="AG575" s="86">
        <f>+AF575*Analisis!$J$8</f>
        <v>152.29405025000003</v>
      </c>
      <c r="AH575" s="309">
        <f t="shared" si="64"/>
        <v>597.93103569176719</v>
      </c>
      <c r="AI575" s="86">
        <f>+AH575/(1-Analisis!G580)</f>
        <v>597.93103569176719</v>
      </c>
      <c r="AJ575" s="86">
        <f t="shared" si="74"/>
        <v>642.93659751802932</v>
      </c>
      <c r="AK575" s="86">
        <f t="shared" si="65"/>
        <v>0</v>
      </c>
      <c r="AL575" s="310" t="e">
        <f>+VLOOKUP(B575,#REF!,2,FALSE)</f>
        <v>#REF!</v>
      </c>
      <c r="AM575" s="311" t="e">
        <f t="shared" si="79"/>
        <v>#REF!</v>
      </c>
      <c r="AN575" s="312" t="e">
        <f t="shared" si="78"/>
        <v>#REF!</v>
      </c>
    </row>
    <row r="576" spans="1:40" s="73" customFormat="1" x14ac:dyDescent="0.25">
      <c r="A576" s="324"/>
      <c r="B576" s="118" t="s">
        <v>1333</v>
      </c>
      <c r="D576" s="74">
        <f>IFERROR(VLOOKUP(B576,'REQ. PINTADO'!B:C,2,0),0)</f>
        <v>0</v>
      </c>
      <c r="E576" s="305">
        <f t="shared" si="66"/>
        <v>411.74118986292547</v>
      </c>
      <c r="F576" s="103" t="s">
        <v>163</v>
      </c>
      <c r="G576" s="75" t="s">
        <v>147</v>
      </c>
      <c r="H576" s="90">
        <v>15.5</v>
      </c>
      <c r="I576" s="90">
        <v>22.06</v>
      </c>
      <c r="J576" s="76">
        <v>0.105</v>
      </c>
      <c r="K576" s="306">
        <v>16.38</v>
      </c>
      <c r="L576" s="78">
        <f t="shared" si="67"/>
        <v>17.238499155936925</v>
      </c>
      <c r="M576" s="58">
        <f>+VLOOKUP(F576,Material!$H$2:$M$17,6,FALSE)*H576*I576*(1+Material!$K$14)</f>
        <v>128.34846189738491</v>
      </c>
      <c r="N576" s="79" t="str">
        <f t="shared" si="81"/>
        <v>T5.0</v>
      </c>
      <c r="O576" s="80">
        <f>+VLOOKUP(N576,[3]Material!$A$3:$B$58,2,FALSE)</f>
        <v>5000</v>
      </c>
      <c r="P576" s="79" t="s">
        <v>42</v>
      </c>
      <c r="Q576" s="79" t="str">
        <f>+VLOOKUP(F576,[3]Material!$C$2:$E$12,2,FALSE)</f>
        <v>Cal 12</v>
      </c>
      <c r="R576" s="81">
        <f>+IF(P576="ACERO A36",VLOOKUP(Q576,'[3]Velocidades Std 1500 w'!$B$2:$F$15,5,FALSE),IF(P576="INOXIDABLE",VLOOKUP(Q576,'[3]Velocidades Std 1500 w'!$B$17:$F$28,5,FALSE),IF(P576="ALUMINIO",VLOOKUP(Q576,'[3]Velocidades Std 1500 w'!$B$30:$F$38,5,FALSE))))</f>
        <v>4.3859649122807014E-6</v>
      </c>
      <c r="S576" s="82">
        <f t="shared" si="68"/>
        <v>2.1929824561403508E-2</v>
      </c>
      <c r="T576" s="83">
        <f t="shared" si="69"/>
        <v>50.583164210526306</v>
      </c>
      <c r="U576" s="307">
        <f t="shared" si="70"/>
        <v>3203.6003999999998</v>
      </c>
      <c r="V576" s="80">
        <f t="shared" si="75"/>
        <v>70.254394736842102</v>
      </c>
      <c r="W576" s="98">
        <v>30</v>
      </c>
      <c r="X576" s="84">
        <f>+IF(P576="ACERO A36",VLOOKUP(Q576,'[3]Tiempo Objeto'!$B$2:$C$12,2,FALSE),IF(P576="INOXIDABLE",VLOOKUP(Q576,'[3]Tiempo Objeto'!$B$14:$C$22,2,FALSE),IF(P576="ALUMINIO",VLOOKUP(Q576,'[3]Tiempo Objeto'!$B$24:$C$32,2,FALSE))))</f>
        <v>0.6133333333333334</v>
      </c>
      <c r="Y576" s="84">
        <f t="shared" si="71"/>
        <v>18.400000000000002</v>
      </c>
      <c r="Z576" s="80">
        <f t="shared" si="72"/>
        <v>25.555555555555561</v>
      </c>
      <c r="AA576" s="100">
        <v>4</v>
      </c>
      <c r="AB576" s="86">
        <f>+AA576*Analisis!$J$6</f>
        <v>100</v>
      </c>
      <c r="AC576" s="100"/>
      <c r="AD576" s="85">
        <f t="shared" si="73"/>
        <v>0</v>
      </c>
      <c r="AE576" s="86">
        <f>+AC576*Analisis!$J$7</f>
        <v>0</v>
      </c>
      <c r="AF576" s="308">
        <f>+H576*0.0254*I576*0.0254*2*(1+[3]Analisis!$G$2)</f>
        <v>0.55149889699999999</v>
      </c>
      <c r="AG576" s="86">
        <f>+AF576*Analisis!$J$8</f>
        <v>58.760894382738108</v>
      </c>
      <c r="AH576" s="309">
        <f t="shared" si="64"/>
        <v>382.91930657252067</v>
      </c>
      <c r="AI576" s="86">
        <f>+AH576/(1-Analisis!G581)</f>
        <v>382.91930657252067</v>
      </c>
      <c r="AJ576" s="86">
        <f t="shared" si="74"/>
        <v>411.74118986292547</v>
      </c>
      <c r="AK576" s="86">
        <f t="shared" si="65"/>
        <v>0</v>
      </c>
      <c r="AL576" s="310" t="e">
        <f>+VLOOKUP(B576,#REF!,2,FALSE)</f>
        <v>#REF!</v>
      </c>
      <c r="AM576" s="311" t="e">
        <f t="shared" si="79"/>
        <v>#REF!</v>
      </c>
      <c r="AN576" s="312" t="e">
        <f t="shared" si="78"/>
        <v>#REF!</v>
      </c>
    </row>
    <row r="577" spans="1:40" s="73" customFormat="1" x14ac:dyDescent="0.25">
      <c r="A577" s="324"/>
      <c r="B577" s="118" t="s">
        <v>1334</v>
      </c>
      <c r="D577" s="74">
        <f>IFERROR(VLOOKUP(B577,'REQ. PINTADO'!B:C,2,0),0)</f>
        <v>0</v>
      </c>
      <c r="E577" s="305">
        <f t="shared" si="66"/>
        <v>191.60704259726589</v>
      </c>
      <c r="F577" s="103" t="s">
        <v>163</v>
      </c>
      <c r="G577" s="75" t="s">
        <v>147</v>
      </c>
      <c r="H577" s="90">
        <v>9.85</v>
      </c>
      <c r="I577" s="90">
        <v>15.15</v>
      </c>
      <c r="J577" s="76">
        <v>0.105</v>
      </c>
      <c r="K577" s="306">
        <v>16.38</v>
      </c>
      <c r="L577" s="78">
        <f t="shared" si="67"/>
        <v>7.5233472722269985</v>
      </c>
      <c r="M577" s="58">
        <f>+VLOOKUP(F577,Material!$H$2:$M$17,6,FALSE)*H577*I577*(1+Material!$K$14)</f>
        <v>56.014740145035553</v>
      </c>
      <c r="N577" s="79" t="str">
        <f t="shared" si="81"/>
        <v>T5.0</v>
      </c>
      <c r="O577" s="80">
        <f>+VLOOKUP(N577,[3]Material!$A$3:$B$58,2,FALSE)</f>
        <v>5000</v>
      </c>
      <c r="P577" s="79" t="s">
        <v>42</v>
      </c>
      <c r="Q577" s="79" t="str">
        <f>+VLOOKUP(F577,[3]Material!$C$2:$E$12,2,FALSE)</f>
        <v>Cal 12</v>
      </c>
      <c r="R577" s="81">
        <f>+IF(P577="ACERO A36",VLOOKUP(Q577,'[3]Velocidades Std 1500 w'!$B$2:$F$15,5,FALSE),IF(P577="INOXIDABLE",VLOOKUP(Q577,'[3]Velocidades Std 1500 w'!$B$17:$F$28,5,FALSE),IF(P577="ALUMINIO",VLOOKUP(Q577,'[3]Velocidades Std 1500 w'!$B$30:$F$38,5,FALSE))))</f>
        <v>4.3859649122807014E-6</v>
      </c>
      <c r="S577" s="82">
        <f t="shared" si="68"/>
        <v>2.1929824561403508E-2</v>
      </c>
      <c r="T577" s="83">
        <f t="shared" si="69"/>
        <v>27.371842105263159</v>
      </c>
      <c r="U577" s="307">
        <f t="shared" si="70"/>
        <v>1733.5500000000002</v>
      </c>
      <c r="V577" s="80">
        <f t="shared" si="75"/>
        <v>38.016447368421055</v>
      </c>
      <c r="W577" s="98">
        <v>10</v>
      </c>
      <c r="X577" s="84">
        <f>+IF(P577="ACERO A36",VLOOKUP(Q577,'[3]Tiempo Objeto'!$B$2:$C$12,2,FALSE),IF(P577="INOXIDABLE",VLOOKUP(Q577,'[3]Tiempo Objeto'!$B$14:$C$22,2,FALSE),IF(P577="ALUMINIO",VLOOKUP(Q577,'[3]Tiempo Objeto'!$B$24:$C$32,2,FALSE))))</f>
        <v>0.6133333333333334</v>
      </c>
      <c r="Y577" s="84">
        <f t="shared" si="71"/>
        <v>6.1333333333333337</v>
      </c>
      <c r="Z577" s="80">
        <f t="shared" si="72"/>
        <v>8.518518518518519</v>
      </c>
      <c r="AA577" s="100">
        <v>2</v>
      </c>
      <c r="AB577" s="86">
        <f>+AA577*Analisis!$J$6</f>
        <v>50</v>
      </c>
      <c r="AC577" s="100"/>
      <c r="AD577" s="85">
        <f t="shared" si="73"/>
        <v>0</v>
      </c>
      <c r="AE577" s="86">
        <f>+AC577*Analisis!$J$7</f>
        <v>0</v>
      </c>
      <c r="AF577" s="308">
        <f>+H577*0.0254*I577*0.0254*2*(1+[3]Analisis!$G$2)</f>
        <v>0.24068903474999997</v>
      </c>
      <c r="AG577" s="86">
        <f>+AF577*Analisis!$J$8</f>
        <v>25.64484358348215</v>
      </c>
      <c r="AH577" s="309">
        <f t="shared" si="64"/>
        <v>178.19454961545728</v>
      </c>
      <c r="AI577" s="86">
        <f>+AH577/(1-Analisis!G582)</f>
        <v>178.19454961545728</v>
      </c>
      <c r="AJ577" s="86">
        <f t="shared" si="74"/>
        <v>191.60704259726589</v>
      </c>
      <c r="AK577" s="86">
        <f t="shared" si="65"/>
        <v>0</v>
      </c>
      <c r="AL577" s="310" t="e">
        <f>+VLOOKUP(B577,#REF!,2,FALSE)</f>
        <v>#REF!</v>
      </c>
      <c r="AM577" s="311" t="e">
        <f t="shared" si="79"/>
        <v>#REF!</v>
      </c>
      <c r="AN577" s="312" t="e">
        <f t="shared" si="78"/>
        <v>#REF!</v>
      </c>
    </row>
    <row r="578" spans="1:40" s="73" customFormat="1" x14ac:dyDescent="0.25">
      <c r="A578" s="324"/>
      <c r="B578" s="118" t="s">
        <v>1335</v>
      </c>
      <c r="D578" s="74">
        <f>IFERROR(VLOOKUP(B578,'REQ. PINTADO'!B:C,2,0),0)</f>
        <v>0</v>
      </c>
      <c r="E578" s="305">
        <f t="shared" si="66"/>
        <v>312.92369279250278</v>
      </c>
      <c r="F578" s="103" t="s">
        <v>163</v>
      </c>
      <c r="G578" s="75" t="s">
        <v>147</v>
      </c>
      <c r="H578" s="90">
        <v>2.56</v>
      </c>
      <c r="I578" s="90">
        <v>83.85</v>
      </c>
      <c r="J578" s="76">
        <v>0.105</v>
      </c>
      <c r="K578" s="306">
        <v>16.38</v>
      </c>
      <c r="L578" s="78">
        <f t="shared" si="67"/>
        <v>10.821943891488891</v>
      </c>
      <c r="M578" s="58">
        <f>+VLOOKUP(F578,Material!$H$2:$M$17,6,FALSE)*H578*I578*(1+Material!$K$14)</f>
        <v>80.574291337540004</v>
      </c>
      <c r="N578" s="79" t="str">
        <f t="shared" si="81"/>
        <v>T5.0</v>
      </c>
      <c r="O578" s="80">
        <f>+VLOOKUP(N578,[3]Material!$A$3:$B$58,2,FALSE)</f>
        <v>5000</v>
      </c>
      <c r="P578" s="79" t="s">
        <v>42</v>
      </c>
      <c r="Q578" s="79" t="str">
        <f>+VLOOKUP(F578,[3]Material!$C$2:$E$12,2,FALSE)</f>
        <v>Cal 12</v>
      </c>
      <c r="R578" s="81">
        <f>+IF(P578="ACERO A36",VLOOKUP(Q578,'[3]Velocidades Std 1500 w'!$B$2:$F$15,5,FALSE),IF(P578="INOXIDABLE",VLOOKUP(Q578,'[3]Velocidades Std 1500 w'!$B$17:$F$28,5,FALSE),IF(P578="ALUMINIO",VLOOKUP(Q578,'[3]Velocidades Std 1500 w'!$B$30:$F$38,5,FALSE))))</f>
        <v>4.3859649122807014E-6</v>
      </c>
      <c r="S578" s="82">
        <f t="shared" si="68"/>
        <v>2.1929824561403508E-2</v>
      </c>
      <c r="T578" s="83">
        <f t="shared" si="69"/>
        <v>80.986964210526295</v>
      </c>
      <c r="U578" s="307">
        <f t="shared" si="70"/>
        <v>5129.1743999999999</v>
      </c>
      <c r="V578" s="80">
        <f t="shared" si="75"/>
        <v>112.48189473684209</v>
      </c>
      <c r="W578" s="98">
        <v>13</v>
      </c>
      <c r="X578" s="84">
        <f>+IF(P578="ACERO A36",VLOOKUP(Q578,'[3]Tiempo Objeto'!$B$2:$C$12,2,FALSE),IF(P578="INOXIDABLE",VLOOKUP(Q578,'[3]Tiempo Objeto'!$B$14:$C$22,2,FALSE),IF(P578="ALUMINIO",VLOOKUP(Q578,'[3]Tiempo Objeto'!$B$24:$C$32,2,FALSE))))</f>
        <v>0.6133333333333334</v>
      </c>
      <c r="Y578" s="84">
        <f t="shared" si="71"/>
        <v>7.9733333333333345</v>
      </c>
      <c r="Z578" s="80">
        <f t="shared" si="72"/>
        <v>11.074074074074076</v>
      </c>
      <c r="AA578" s="100">
        <v>2</v>
      </c>
      <c r="AB578" s="86">
        <f>+AA578*Analisis!$J$6</f>
        <v>50</v>
      </c>
      <c r="AC578" s="100"/>
      <c r="AD578" s="85">
        <f t="shared" si="73"/>
        <v>0</v>
      </c>
      <c r="AE578" s="86">
        <f>+AC578*Analisis!$J$7</f>
        <v>0</v>
      </c>
      <c r="AF578" s="308">
        <f>+H578*0.0254*I578*0.0254*2*(1+[3]Analisis!$G$2)</f>
        <v>0.34621866239999993</v>
      </c>
      <c r="AG578" s="86">
        <f>+AF578*Analisis!$J$8</f>
        <v>36.888774148571436</v>
      </c>
      <c r="AH578" s="309">
        <f t="shared" si="64"/>
        <v>291.01903429702759</v>
      </c>
      <c r="AI578" s="86">
        <f>+AH578/(1-Analisis!G583)</f>
        <v>291.01903429702759</v>
      </c>
      <c r="AJ578" s="86">
        <f t="shared" si="74"/>
        <v>312.92369279250278</v>
      </c>
      <c r="AK578" s="86">
        <f t="shared" si="65"/>
        <v>0</v>
      </c>
      <c r="AL578" s="310" t="e">
        <f>+VLOOKUP(B578,#REF!,2,FALSE)</f>
        <v>#REF!</v>
      </c>
      <c r="AM578" s="311" t="e">
        <f t="shared" si="79"/>
        <v>#REF!</v>
      </c>
      <c r="AN578" s="312" t="e">
        <f t="shared" si="78"/>
        <v>#REF!</v>
      </c>
    </row>
    <row r="579" spans="1:40" s="73" customFormat="1" x14ac:dyDescent="0.25">
      <c r="A579" s="324"/>
      <c r="B579" s="118" t="s">
        <v>1336</v>
      </c>
      <c r="D579" s="74">
        <f>IFERROR(VLOOKUP(B579,'REQ. PINTADO'!B:C,2,0),0)</f>
        <v>0</v>
      </c>
      <c r="E579" s="305">
        <f t="shared" si="66"/>
        <v>167.53068319061691</v>
      </c>
      <c r="F579" s="103" t="s">
        <v>163</v>
      </c>
      <c r="G579" s="75" t="s">
        <v>147</v>
      </c>
      <c r="H579" s="90">
        <v>2.57</v>
      </c>
      <c r="I579" s="90">
        <v>24.83</v>
      </c>
      <c r="J579" s="76">
        <v>0.105</v>
      </c>
      <c r="K579" s="306">
        <v>16.38</v>
      </c>
      <c r="L579" s="78">
        <f t="shared" si="67"/>
        <v>3.2171557643018116</v>
      </c>
      <c r="M579" s="58">
        <f>+VLOOKUP(F579,Material!$H$2:$M$17,6,FALSE)*H579*I579*(1+Material!$K$14)</f>
        <v>23.953187008756213</v>
      </c>
      <c r="N579" s="79" t="str">
        <f t="shared" si="81"/>
        <v>T5.0</v>
      </c>
      <c r="O579" s="80">
        <f>+VLOOKUP(N579,[3]Material!$A$3:$B$58,2,FALSE)</f>
        <v>5000</v>
      </c>
      <c r="P579" s="79" t="s">
        <v>42</v>
      </c>
      <c r="Q579" s="79" t="str">
        <f>+VLOOKUP(F579,[3]Material!$C$2:$E$12,2,FALSE)</f>
        <v>Cal 12</v>
      </c>
      <c r="R579" s="81">
        <f>+IF(P579="ACERO A36",VLOOKUP(Q579,'[3]Velocidades Std 1500 w'!$B$2:$F$15,5,FALSE),IF(P579="INOXIDABLE",VLOOKUP(Q579,'[3]Velocidades Std 1500 w'!$B$17:$F$28,5,FALSE),IF(P579="ALUMINIO",VLOOKUP(Q579,'[3]Velocidades Std 1500 w'!$B$30:$F$38,5,FALSE))))</f>
        <v>4.3859649122807014E-6</v>
      </c>
      <c r="S579" s="82">
        <f t="shared" si="68"/>
        <v>2.1929824561403508E-2</v>
      </c>
      <c r="T579" s="83">
        <f t="shared" si="69"/>
        <v>28.129831578947368</v>
      </c>
      <c r="U579" s="307">
        <f t="shared" si="70"/>
        <v>1781.5559999999998</v>
      </c>
      <c r="V579" s="80">
        <f t="shared" si="75"/>
        <v>39.069210526315786</v>
      </c>
      <c r="W579" s="98">
        <v>8</v>
      </c>
      <c r="X579" s="84">
        <f>+IF(P579="ACERO A36",VLOOKUP(Q579,'[3]Tiempo Objeto'!$B$2:$C$12,2,FALSE),IF(P579="INOXIDABLE",VLOOKUP(Q579,'[3]Tiempo Objeto'!$B$14:$C$22,2,FALSE),IF(P579="ALUMINIO",VLOOKUP(Q579,'[3]Tiempo Objeto'!$B$24:$C$32,2,FALSE))))</f>
        <v>0.6133333333333334</v>
      </c>
      <c r="Y579" s="84">
        <f t="shared" si="71"/>
        <v>4.9066666666666672</v>
      </c>
      <c r="Z579" s="80">
        <f t="shared" si="72"/>
        <v>6.8148148148148158</v>
      </c>
      <c r="AA579" s="100">
        <v>3</v>
      </c>
      <c r="AB579" s="86">
        <f>+AA579*Analisis!$J$6</f>
        <v>75</v>
      </c>
      <c r="AC579" s="100"/>
      <c r="AD579" s="85">
        <f t="shared" si="73"/>
        <v>0</v>
      </c>
      <c r="AE579" s="86">
        <f>+AC579*Analisis!$J$7</f>
        <v>0</v>
      </c>
      <c r="AF579" s="308">
        <f>+H579*0.0254*I579*0.0254*2*(1+[3]Analisis!$G$2)</f>
        <v>0.10292414898999998</v>
      </c>
      <c r="AG579" s="86">
        <f>+AF579*Analisis!$J$8</f>
        <v>10.966323017386905</v>
      </c>
      <c r="AH579" s="309">
        <f t="shared" si="64"/>
        <v>155.80353536727372</v>
      </c>
      <c r="AI579" s="86">
        <f>+AH579/(1-Analisis!G584)</f>
        <v>155.80353536727372</v>
      </c>
      <c r="AJ579" s="86">
        <f t="shared" si="74"/>
        <v>167.53068319061691</v>
      </c>
      <c r="AK579" s="86">
        <f t="shared" si="65"/>
        <v>0</v>
      </c>
      <c r="AL579" s="310" t="e">
        <f>+VLOOKUP(B579,#REF!,2,FALSE)</f>
        <v>#REF!</v>
      </c>
      <c r="AM579" s="311" t="e">
        <f t="shared" si="79"/>
        <v>#REF!</v>
      </c>
      <c r="AN579" s="312" t="e">
        <f t="shared" si="78"/>
        <v>#REF!</v>
      </c>
    </row>
    <row r="580" spans="1:40" s="73" customFormat="1" x14ac:dyDescent="0.25">
      <c r="A580" s="324"/>
      <c r="B580" s="118" t="s">
        <v>1337</v>
      </c>
      <c r="D580" s="74">
        <f>IFERROR(VLOOKUP(B580,'REQ. PINTADO'!B:C,2,0),0)</f>
        <v>0</v>
      </c>
      <c r="E580" s="305">
        <f t="shared" si="66"/>
        <v>999.19208314538798</v>
      </c>
      <c r="F580" s="103" t="s">
        <v>165</v>
      </c>
      <c r="G580" s="75" t="s">
        <v>147</v>
      </c>
      <c r="H580" s="90">
        <v>26.97</v>
      </c>
      <c r="I580" s="90">
        <v>50.76</v>
      </c>
      <c r="J580" s="76">
        <v>0.105</v>
      </c>
      <c r="K580" s="306">
        <v>16.38</v>
      </c>
      <c r="L580" s="78">
        <f t="shared" si="67"/>
        <v>76.421050961538469</v>
      </c>
      <c r="M580" s="58">
        <f>+VLOOKUP(F580,Material!$H$2:$M$17,6,FALSE)*H580*I580*(1+Material!$K$14)</f>
        <v>568.98946124999998</v>
      </c>
      <c r="N580" s="79" t="str">
        <f t="shared" ref="N580:N643" si="82">+N579</f>
        <v>T5.0</v>
      </c>
      <c r="O580" s="80">
        <f>+VLOOKUP(N580,[3]Material!$A$3:$B$58,2,FALSE)</f>
        <v>5000</v>
      </c>
      <c r="P580" s="79" t="s">
        <v>42</v>
      </c>
      <c r="Q580" s="79" t="str">
        <f>+VLOOKUP(F580,[3]Material!$C$2:$E$12,2,FALSE)</f>
        <v>Cal 14</v>
      </c>
      <c r="R580" s="81">
        <f>+IF(P580="ACERO A36",VLOOKUP(Q580,'[3]Velocidades Std 1500 w'!$B$2:$F$15,5,FALSE),IF(P580="INOXIDABLE",VLOOKUP(Q580,'[3]Velocidades Std 1500 w'!$B$17:$F$28,5,FALSE),IF(P580="ALUMINIO",VLOOKUP(Q580,'[3]Velocidades Std 1500 w'!$B$30:$F$38,5,FALSE))))</f>
        <v>2.0080321285140564E-6</v>
      </c>
      <c r="S580" s="82">
        <f t="shared" si="68"/>
        <v>1.0040160642570283E-2</v>
      </c>
      <c r="T580" s="83">
        <f t="shared" si="69"/>
        <v>32.863866506024088</v>
      </c>
      <c r="U580" s="307">
        <f t="shared" si="70"/>
        <v>4546.1681999999992</v>
      </c>
      <c r="V580" s="80">
        <f t="shared" si="75"/>
        <v>45.644259036144575</v>
      </c>
      <c r="W580" s="98">
        <v>10</v>
      </c>
      <c r="X580" s="84">
        <f>+IF(P580="ACERO A36",VLOOKUP(Q580,'[3]Tiempo Objeto'!$B$2:$C$12,2,FALSE),IF(P580="INOXIDABLE",VLOOKUP(Q580,'[3]Tiempo Objeto'!$B$14:$C$22,2,FALSE),IF(P580="ALUMINIO",VLOOKUP(Q580,'[3]Tiempo Objeto'!$B$24:$C$32,2,FALSE))))</f>
        <v>0.3133333333333333</v>
      </c>
      <c r="Y580" s="84">
        <f t="shared" si="71"/>
        <v>3.1333333333333329</v>
      </c>
      <c r="Z580" s="80">
        <f t="shared" si="72"/>
        <v>4.3518518518518512</v>
      </c>
      <c r="AA580" s="100">
        <v>3</v>
      </c>
      <c r="AB580" s="86">
        <f>+AA580*Analisis!$J$6</f>
        <v>75</v>
      </c>
      <c r="AC580" s="100"/>
      <c r="AD580" s="85">
        <f t="shared" si="73"/>
        <v>0</v>
      </c>
      <c r="AE580" s="86">
        <f>+AC580*Analisis!$J$7</f>
        <v>0</v>
      </c>
      <c r="AF580" s="308">
        <f>+H580*0.0254*I580*0.0254*2*(1+[3]Analisis!$G$2)</f>
        <v>2.2080555838799998</v>
      </c>
      <c r="AG580" s="86">
        <f>+AF580*Analisis!$J$8</f>
        <v>235.26306518721432</v>
      </c>
      <c r="AH580" s="309">
        <f t="shared" si="64"/>
        <v>929.24863732521078</v>
      </c>
      <c r="AI580" s="86">
        <f>+AH580/(1-Analisis!G585)</f>
        <v>929.24863732521078</v>
      </c>
      <c r="AJ580" s="86">
        <f t="shared" si="74"/>
        <v>999.19208314538798</v>
      </c>
      <c r="AK580" s="86">
        <f t="shared" si="65"/>
        <v>0</v>
      </c>
      <c r="AL580" s="310" t="e">
        <f>+VLOOKUP(B580,#REF!,2,FALSE)</f>
        <v>#REF!</v>
      </c>
      <c r="AM580" s="311" t="e">
        <f t="shared" si="79"/>
        <v>#REF!</v>
      </c>
      <c r="AN580" s="312" t="e">
        <f t="shared" si="78"/>
        <v>#REF!</v>
      </c>
    </row>
    <row r="581" spans="1:40" s="73" customFormat="1" x14ac:dyDescent="0.25">
      <c r="A581" s="324"/>
      <c r="B581" s="118" t="s">
        <v>1338</v>
      </c>
      <c r="D581" s="74">
        <f>IFERROR(VLOOKUP(B581,'REQ. PINTADO'!B:C,2,0),0)</f>
        <v>0</v>
      </c>
      <c r="E581" s="305">
        <f t="shared" si="66"/>
        <v>466.0812385799116</v>
      </c>
      <c r="F581" s="103" t="s">
        <v>165</v>
      </c>
      <c r="G581" s="75" t="s">
        <v>147</v>
      </c>
      <c r="H581" s="90">
        <v>48.43</v>
      </c>
      <c r="I581" s="90">
        <v>13.77</v>
      </c>
      <c r="J581" s="76">
        <v>0.105</v>
      </c>
      <c r="K581" s="306">
        <v>16.38</v>
      </c>
      <c r="L581" s="78">
        <f t="shared" si="67"/>
        <v>37.227069951923085</v>
      </c>
      <c r="M581" s="58">
        <f>+VLOOKUP(F581,Material!$H$2:$M$17,6,FALSE)*H581*I581*(1+Material!$K$14)</f>
        <v>277.17245718750002</v>
      </c>
      <c r="N581" s="79" t="str">
        <f t="shared" si="82"/>
        <v>T5.0</v>
      </c>
      <c r="O581" s="80">
        <f>+VLOOKUP(N581,[3]Material!$A$3:$B$58,2,FALSE)</f>
        <v>5000</v>
      </c>
      <c r="P581" s="79" t="s">
        <v>42</v>
      </c>
      <c r="Q581" s="79" t="str">
        <f>+VLOOKUP(F581,[3]Material!$C$2:$E$12,2,FALSE)</f>
        <v>Cal 14</v>
      </c>
      <c r="R581" s="81">
        <f>+IF(P581="ACERO A36",VLOOKUP(Q581,'[3]Velocidades Std 1500 w'!$B$2:$F$15,5,FALSE),IF(P581="INOXIDABLE",VLOOKUP(Q581,'[3]Velocidades Std 1500 w'!$B$17:$F$28,5,FALSE),IF(P581="ALUMINIO",VLOOKUP(Q581,'[3]Velocidades Std 1500 w'!$B$30:$F$38,5,FALSE))))</f>
        <v>2.0080321285140564E-6</v>
      </c>
      <c r="S581" s="82">
        <f t="shared" si="68"/>
        <v>1.0040160642570283E-2</v>
      </c>
      <c r="T581" s="83">
        <f t="shared" si="69"/>
        <v>26.875648192771084</v>
      </c>
      <c r="U581" s="307">
        <f t="shared" si="70"/>
        <v>3717.7979999999998</v>
      </c>
      <c r="V581" s="80">
        <f t="shared" si="75"/>
        <v>37.327289156626513</v>
      </c>
      <c r="W581" s="98">
        <v>10</v>
      </c>
      <c r="X581" s="84">
        <f>+IF(P581="ACERO A36",VLOOKUP(Q581,'[3]Tiempo Objeto'!$B$2:$C$12,2,FALSE),IF(P581="INOXIDABLE",VLOOKUP(Q581,'[3]Tiempo Objeto'!$B$14:$C$22,2,FALSE),IF(P581="ALUMINIO",VLOOKUP(Q581,'[3]Tiempo Objeto'!$B$24:$C$32,2,FALSE))))</f>
        <v>0.3133333333333333</v>
      </c>
      <c r="Y581" s="84">
        <f t="shared" si="71"/>
        <v>3.1333333333333329</v>
      </c>
      <c r="Z581" s="80">
        <f t="shared" si="72"/>
        <v>4.3518518518518512</v>
      </c>
      <c r="AA581" s="100">
        <v>0</v>
      </c>
      <c r="AB581" s="86">
        <f>+AA581*Analisis!$J$6</f>
        <v>0</v>
      </c>
      <c r="AC581" s="100"/>
      <c r="AD581" s="85">
        <f t="shared" si="73"/>
        <v>0</v>
      </c>
      <c r="AE581" s="86">
        <f>+AC581*Analisis!$J$7</f>
        <v>0</v>
      </c>
      <c r="AF581" s="308">
        <f>+H581*0.0254*I581*0.0254*2*(1+[3]Analisis!$G$2)</f>
        <v>1.07561252619</v>
      </c>
      <c r="AG581" s="86">
        <f>+AF581*Analisis!$J$8</f>
        <v>114.60395368333933</v>
      </c>
      <c r="AH581" s="309">
        <f t="shared" si="64"/>
        <v>433.45555187931774</v>
      </c>
      <c r="AI581" s="86">
        <f>+AH581/(1-Analisis!G586)</f>
        <v>433.45555187931774</v>
      </c>
      <c r="AJ581" s="86">
        <f t="shared" si="74"/>
        <v>466.0812385799116</v>
      </c>
      <c r="AK581" s="86">
        <f t="shared" si="65"/>
        <v>0</v>
      </c>
      <c r="AL581" s="310" t="e">
        <f>+VLOOKUP(B581,#REF!,2,FALSE)</f>
        <v>#REF!</v>
      </c>
      <c r="AM581" s="311" t="e">
        <f t="shared" si="79"/>
        <v>#REF!</v>
      </c>
      <c r="AN581" s="312" t="e">
        <f t="shared" si="78"/>
        <v>#REF!</v>
      </c>
    </row>
    <row r="582" spans="1:40" s="73" customFormat="1" x14ac:dyDescent="0.25">
      <c r="A582" s="324"/>
      <c r="B582" s="118" t="s">
        <v>1339</v>
      </c>
      <c r="D582" s="74">
        <f>IFERROR(VLOOKUP(B582,'REQ. PINTADO'!B:C,2,0),0)</f>
        <v>0</v>
      </c>
      <c r="E582" s="305">
        <f t="shared" si="66"/>
        <v>148.18675150628266</v>
      </c>
      <c r="F582" s="103" t="s">
        <v>163</v>
      </c>
      <c r="G582" s="75" t="s">
        <v>147</v>
      </c>
      <c r="H582" s="90">
        <v>4.9800000000000004</v>
      </c>
      <c r="I582" s="90">
        <v>11.08</v>
      </c>
      <c r="J582" s="76">
        <v>0.105</v>
      </c>
      <c r="K582" s="306">
        <v>16.38</v>
      </c>
      <c r="L582" s="78">
        <f t="shared" si="67"/>
        <v>2.781834883824029</v>
      </c>
      <c r="M582" s="58">
        <f>+VLOOKUP(F582,Material!$H$2:$M$17,6,FALSE)*H582*I582*(1+Material!$K$14)</f>
        <v>20.712025180471631</v>
      </c>
      <c r="N582" s="79" t="str">
        <f t="shared" si="82"/>
        <v>T5.0</v>
      </c>
      <c r="O582" s="80">
        <f>+VLOOKUP(N582,[3]Material!$A$3:$B$58,2,FALSE)</f>
        <v>5000</v>
      </c>
      <c r="P582" s="79" t="s">
        <v>42</v>
      </c>
      <c r="Q582" s="79" t="str">
        <f>+VLOOKUP(F582,[3]Material!$C$2:$E$12,2,FALSE)</f>
        <v>Cal 12</v>
      </c>
      <c r="R582" s="81">
        <f>+IF(P582="ACERO A36",VLOOKUP(Q582,'[3]Velocidades Std 1500 w'!$B$2:$F$15,5,FALSE),IF(P582="INOXIDABLE",VLOOKUP(Q582,'[3]Velocidades Std 1500 w'!$B$17:$F$28,5,FALSE),IF(P582="ALUMINIO",VLOOKUP(Q582,'[3]Velocidades Std 1500 w'!$B$30:$F$38,5,FALSE))))</f>
        <v>4.3859649122807014E-6</v>
      </c>
      <c r="S582" s="82">
        <f t="shared" si="68"/>
        <v>2.1929824561403508E-2</v>
      </c>
      <c r="T582" s="83">
        <f t="shared" si="69"/>
        <v>18.579164210526319</v>
      </c>
      <c r="U582" s="307">
        <f t="shared" si="70"/>
        <v>1176.6804000000002</v>
      </c>
      <c r="V582" s="80">
        <f t="shared" si="75"/>
        <v>25.804394736842109</v>
      </c>
      <c r="W582" s="98">
        <v>8</v>
      </c>
      <c r="X582" s="84">
        <f>+IF(P582="ACERO A36",VLOOKUP(Q582,'[3]Tiempo Objeto'!$B$2:$C$12,2,FALSE),IF(P582="INOXIDABLE",VLOOKUP(Q582,'[3]Tiempo Objeto'!$B$14:$C$22,2,FALSE),IF(P582="ALUMINIO",VLOOKUP(Q582,'[3]Tiempo Objeto'!$B$24:$C$32,2,FALSE))))</f>
        <v>0.6133333333333334</v>
      </c>
      <c r="Y582" s="84">
        <f t="shared" si="71"/>
        <v>4.9066666666666672</v>
      </c>
      <c r="Z582" s="80">
        <f t="shared" si="72"/>
        <v>6.8148148148148158</v>
      </c>
      <c r="AA582" s="100">
        <v>3</v>
      </c>
      <c r="AB582" s="86">
        <f>+AA582*Analisis!$J$6</f>
        <v>75</v>
      </c>
      <c r="AC582" s="100"/>
      <c r="AD582" s="85">
        <f t="shared" si="73"/>
        <v>0</v>
      </c>
      <c r="AE582" s="86">
        <f>+AC582*Analisis!$J$7</f>
        <v>0</v>
      </c>
      <c r="AF582" s="308">
        <f>+H582*0.0254*I582*0.0254*2*(1+[3]Analisis!$G$2)</f>
        <v>8.8997241359999993E-2</v>
      </c>
      <c r="AG582" s="86">
        <f>+AF582*Analisis!$J$8</f>
        <v>9.482444168714288</v>
      </c>
      <c r="AH582" s="309">
        <f t="shared" si="64"/>
        <v>137.81367890084286</v>
      </c>
      <c r="AI582" s="86">
        <f>+AH582/(1-Analisis!G587)</f>
        <v>137.81367890084286</v>
      </c>
      <c r="AJ582" s="86">
        <f t="shared" si="74"/>
        <v>148.18675150628266</v>
      </c>
      <c r="AK582" s="86">
        <f t="shared" si="65"/>
        <v>0</v>
      </c>
      <c r="AL582" s="310" t="e">
        <f>+VLOOKUP(B582,#REF!,2,FALSE)</f>
        <v>#REF!</v>
      </c>
      <c r="AM582" s="311" t="e">
        <f t="shared" si="79"/>
        <v>#REF!</v>
      </c>
      <c r="AN582" s="312" t="e">
        <f t="shared" si="78"/>
        <v>#REF!</v>
      </c>
    </row>
    <row r="583" spans="1:40" s="73" customFormat="1" x14ac:dyDescent="0.25">
      <c r="A583" s="324"/>
      <c r="B583" s="118" t="s">
        <v>1340</v>
      </c>
      <c r="D583" s="74">
        <f>IFERROR(VLOOKUP(B583,'REQ. PINTADO'!B:C,2,0),0)</f>
        <v>0</v>
      </c>
      <c r="E583" s="305">
        <f t="shared" si="66"/>
        <v>116.75188461428681</v>
      </c>
      <c r="F583" s="103" t="s">
        <v>163</v>
      </c>
      <c r="G583" s="75" t="s">
        <v>147</v>
      </c>
      <c r="H583" s="90">
        <v>4.49</v>
      </c>
      <c r="I583" s="90">
        <v>12.32</v>
      </c>
      <c r="J583" s="76">
        <v>0.105</v>
      </c>
      <c r="K583" s="306">
        <v>16.38</v>
      </c>
      <c r="L583" s="78">
        <f t="shared" si="67"/>
        <v>2.7888123595739827</v>
      </c>
      <c r="M583" s="58">
        <f>+VLOOKUP(F583,Material!$H$2:$M$17,6,FALSE)*H583*I583*(1+Material!$K$14)</f>
        <v>20.763975659009922</v>
      </c>
      <c r="N583" s="79" t="str">
        <f t="shared" si="82"/>
        <v>T5.0</v>
      </c>
      <c r="O583" s="80">
        <f>+VLOOKUP(N583,[3]Material!$A$3:$B$58,2,FALSE)</f>
        <v>5000</v>
      </c>
      <c r="P583" s="79" t="s">
        <v>42</v>
      </c>
      <c r="Q583" s="79" t="str">
        <f>+VLOOKUP(F583,[3]Material!$C$2:$E$12,2,FALSE)</f>
        <v>Cal 12</v>
      </c>
      <c r="R583" s="81">
        <f>+IF(P583="ACERO A36",VLOOKUP(Q583,'[3]Velocidades Std 1500 w'!$B$2:$F$15,5,FALSE),IF(P583="INOXIDABLE",VLOOKUP(Q583,'[3]Velocidades Std 1500 w'!$B$17:$F$28,5,FALSE),IF(P583="ALUMINIO",VLOOKUP(Q583,'[3]Velocidades Std 1500 w'!$B$30:$F$38,5,FALSE))))</f>
        <v>4.3859649122807014E-6</v>
      </c>
      <c r="S583" s="82">
        <f t="shared" si="68"/>
        <v>2.1929824561403508E-2</v>
      </c>
      <c r="T583" s="83">
        <f t="shared" si="69"/>
        <v>17.315848421052635</v>
      </c>
      <c r="U583" s="307">
        <f t="shared" si="70"/>
        <v>1096.6704000000002</v>
      </c>
      <c r="V583" s="80">
        <f t="shared" si="75"/>
        <v>24.049789473684214</v>
      </c>
      <c r="W583" s="98">
        <v>5</v>
      </c>
      <c r="X583" s="84">
        <f>+IF(P583="ACERO A36",VLOOKUP(Q583,'[3]Tiempo Objeto'!$B$2:$C$12,2,FALSE),IF(P583="INOXIDABLE",VLOOKUP(Q583,'[3]Tiempo Objeto'!$B$14:$C$22,2,FALSE),IF(P583="ALUMINIO",VLOOKUP(Q583,'[3]Tiempo Objeto'!$B$24:$C$32,2,FALSE))))</f>
        <v>0.6133333333333334</v>
      </c>
      <c r="Y583" s="84">
        <f t="shared" si="71"/>
        <v>3.0666666666666669</v>
      </c>
      <c r="Z583" s="80">
        <f t="shared" si="72"/>
        <v>4.2592592592592595</v>
      </c>
      <c r="AA583" s="100">
        <v>2</v>
      </c>
      <c r="AB583" s="86">
        <f>+AA583*Analisis!$J$6</f>
        <v>50</v>
      </c>
      <c r="AC583" s="100"/>
      <c r="AD583" s="85">
        <f t="shared" si="73"/>
        <v>0</v>
      </c>
      <c r="AE583" s="86">
        <f>+AC583*Analisis!$J$7</f>
        <v>0</v>
      </c>
      <c r="AF583" s="308">
        <f>+H583*0.0254*I583*0.0254*2*(1+[3]Analisis!$G$2)</f>
        <v>8.9220466719999988E-2</v>
      </c>
      <c r="AG583" s="86">
        <f>+AF583*Analisis!$J$8</f>
        <v>9.5062282993333351</v>
      </c>
      <c r="AH583" s="309">
        <f t="shared" si="64"/>
        <v>108.57925269128673</v>
      </c>
      <c r="AI583" s="86">
        <f>+AH583/(1-Analisis!G588)</f>
        <v>108.57925269128673</v>
      </c>
      <c r="AJ583" s="86">
        <f t="shared" si="74"/>
        <v>116.75188461428681</v>
      </c>
      <c r="AK583" s="86">
        <f t="shared" si="65"/>
        <v>0</v>
      </c>
      <c r="AL583" s="310" t="e">
        <f>+VLOOKUP(B583,#REF!,2,FALSE)</f>
        <v>#REF!</v>
      </c>
      <c r="AM583" s="311" t="e">
        <f t="shared" si="79"/>
        <v>#REF!</v>
      </c>
      <c r="AN583" s="312" t="e">
        <f t="shared" si="78"/>
        <v>#REF!</v>
      </c>
    </row>
    <row r="584" spans="1:40" s="73" customFormat="1" x14ac:dyDescent="0.25">
      <c r="A584" s="324"/>
      <c r="B584" s="118" t="s">
        <v>1341</v>
      </c>
      <c r="D584" s="74">
        <f>IFERROR(VLOOKUP(B584,'REQ. PINTADO'!B:C,2,0),0)</f>
        <v>0</v>
      </c>
      <c r="E584" s="305">
        <f t="shared" si="66"/>
        <v>116.82987889206416</v>
      </c>
      <c r="F584" s="103" t="s">
        <v>163</v>
      </c>
      <c r="G584" s="75" t="s">
        <v>147</v>
      </c>
      <c r="H584" s="90">
        <v>4.49</v>
      </c>
      <c r="I584" s="90">
        <v>12.34</v>
      </c>
      <c r="J584" s="76">
        <v>0.105</v>
      </c>
      <c r="K584" s="306">
        <v>16.38</v>
      </c>
      <c r="L584" s="78">
        <f t="shared" si="67"/>
        <v>2.793339652365499</v>
      </c>
      <c r="M584" s="58">
        <f>+VLOOKUP(F584,Material!$H$2:$M$17,6,FALSE)*H584*I584*(1+Material!$K$14)</f>
        <v>20.797683411703119</v>
      </c>
      <c r="N584" s="79" t="str">
        <f t="shared" si="82"/>
        <v>T5.0</v>
      </c>
      <c r="O584" s="80">
        <f>+VLOOKUP(N584,[3]Material!$A$3:$B$58,2,FALSE)</f>
        <v>5000</v>
      </c>
      <c r="P584" s="79" t="s">
        <v>42</v>
      </c>
      <c r="Q584" s="79" t="str">
        <f>+VLOOKUP(F584,[3]Material!$C$2:$E$12,2,FALSE)</f>
        <v>Cal 12</v>
      </c>
      <c r="R584" s="81">
        <f>+IF(P584="ACERO A36",VLOOKUP(Q584,'[3]Velocidades Std 1500 w'!$B$2:$F$15,5,FALSE),IF(P584="INOXIDABLE",VLOOKUP(Q584,'[3]Velocidades Std 1500 w'!$B$17:$F$28,5,FALSE),IF(P584="ALUMINIO",VLOOKUP(Q584,'[3]Velocidades Std 1500 w'!$B$30:$F$38,5,FALSE))))</f>
        <v>4.3859649122807014E-6</v>
      </c>
      <c r="S584" s="82">
        <f t="shared" si="68"/>
        <v>2.1929824561403508E-2</v>
      </c>
      <c r="T584" s="83">
        <f t="shared" si="69"/>
        <v>17.332692631578947</v>
      </c>
      <c r="U584" s="307">
        <f t="shared" si="70"/>
        <v>1097.7372</v>
      </c>
      <c r="V584" s="80">
        <f t="shared" si="75"/>
        <v>24.073184210526314</v>
      </c>
      <c r="W584" s="98">
        <v>5</v>
      </c>
      <c r="X584" s="84">
        <f>+IF(P584="ACERO A36",VLOOKUP(Q584,'[3]Tiempo Objeto'!$B$2:$C$12,2,FALSE),IF(P584="INOXIDABLE",VLOOKUP(Q584,'[3]Tiempo Objeto'!$B$14:$C$22,2,FALSE),IF(P584="ALUMINIO",VLOOKUP(Q584,'[3]Tiempo Objeto'!$B$24:$C$32,2,FALSE))))</f>
        <v>0.6133333333333334</v>
      </c>
      <c r="Y584" s="84">
        <f t="shared" si="71"/>
        <v>3.0666666666666669</v>
      </c>
      <c r="Z584" s="80">
        <f t="shared" si="72"/>
        <v>4.2592592592592595</v>
      </c>
      <c r="AA584" s="100">
        <v>2</v>
      </c>
      <c r="AB584" s="86">
        <f>+AA584*Analisis!$J$6</f>
        <v>50</v>
      </c>
      <c r="AC584" s="100"/>
      <c r="AD584" s="85">
        <f t="shared" si="73"/>
        <v>0</v>
      </c>
      <c r="AE584" s="86">
        <f>+AC584*Analisis!$J$7</f>
        <v>0</v>
      </c>
      <c r="AF584" s="308">
        <f>+H584*0.0254*I584*0.0254*2*(1+[3]Analisis!$G$2)</f>
        <v>8.936530513999999E-2</v>
      </c>
      <c r="AG584" s="86">
        <f>+AF584*Analisis!$J$8</f>
        <v>9.521660488130955</v>
      </c>
      <c r="AH584" s="309">
        <f t="shared" si="64"/>
        <v>108.65178736961965</v>
      </c>
      <c r="AI584" s="86">
        <f>+AH584/(1-Analisis!G589)</f>
        <v>108.65178736961965</v>
      </c>
      <c r="AJ584" s="86">
        <f t="shared" si="74"/>
        <v>116.82987889206416</v>
      </c>
      <c r="AK584" s="86">
        <f t="shared" si="65"/>
        <v>0</v>
      </c>
      <c r="AL584" s="310" t="e">
        <f>+VLOOKUP(B584,#REF!,2,FALSE)</f>
        <v>#REF!</v>
      </c>
      <c r="AM584" s="311" t="e">
        <f t="shared" si="79"/>
        <v>#REF!</v>
      </c>
      <c r="AN584" s="312" t="e">
        <f t="shared" si="78"/>
        <v>#REF!</v>
      </c>
    </row>
    <row r="585" spans="1:40" s="73" customFormat="1" x14ac:dyDescent="0.25">
      <c r="A585" s="324"/>
      <c r="B585" s="118" t="s">
        <v>1342</v>
      </c>
      <c r="D585" s="74">
        <f>IFERROR(VLOOKUP(B585,'REQ. PINTADO'!B:C,2,0),0)</f>
        <v>0</v>
      </c>
      <c r="E585" s="305">
        <f t="shared" si="66"/>
        <v>149.47357995765068</v>
      </c>
      <c r="F585" s="103" t="s">
        <v>163</v>
      </c>
      <c r="G585" s="75" t="s">
        <v>147</v>
      </c>
      <c r="H585" s="90">
        <v>2.56</v>
      </c>
      <c r="I585" s="90">
        <v>11.32</v>
      </c>
      <c r="J585" s="76">
        <v>0.105</v>
      </c>
      <c r="K585" s="306">
        <v>16.38</v>
      </c>
      <c r="L585" s="78">
        <f t="shared" si="67"/>
        <v>1.4609946911348155</v>
      </c>
      <c r="M585" s="58">
        <f>+VLOOKUP(F585,Material!$H$2:$M$17,6,FALSE)*H585*I585*(1+Material!$K$14)</f>
        <v>10.87776956399467</v>
      </c>
      <c r="N585" s="79" t="str">
        <f t="shared" si="82"/>
        <v>T5.0</v>
      </c>
      <c r="O585" s="80">
        <f>+VLOOKUP(N585,[3]Material!$A$3:$B$58,2,FALSE)</f>
        <v>5000</v>
      </c>
      <c r="P585" s="79" t="s">
        <v>42</v>
      </c>
      <c r="Q585" s="79" t="str">
        <f>+VLOOKUP(F585,[3]Material!$C$2:$E$12,2,FALSE)</f>
        <v>Cal 12</v>
      </c>
      <c r="R585" s="81">
        <f>+IF(P585="ACERO A36",VLOOKUP(Q585,'[3]Velocidades Std 1500 w'!$B$2:$F$15,5,FALSE),IF(P585="INOXIDABLE",VLOOKUP(Q585,'[3]Velocidades Std 1500 w'!$B$17:$F$28,5,FALSE),IF(P585="ALUMINIO",VLOOKUP(Q585,'[3]Velocidades Std 1500 w'!$B$30:$F$38,5,FALSE))))</f>
        <v>4.3859649122807014E-6</v>
      </c>
      <c r="S585" s="82">
        <f t="shared" si="68"/>
        <v>2.1929824561403508E-2</v>
      </c>
      <c r="T585" s="83">
        <f t="shared" si="69"/>
        <v>14.216513684210527</v>
      </c>
      <c r="U585" s="307">
        <f t="shared" si="70"/>
        <v>900.3792000000002</v>
      </c>
      <c r="V585" s="80">
        <f t="shared" si="75"/>
        <v>19.745157894736845</v>
      </c>
      <c r="W585" s="98">
        <v>4</v>
      </c>
      <c r="X585" s="84">
        <f>+IF(P585="ACERO A36",VLOOKUP(Q585,'[3]Tiempo Objeto'!$B$2:$C$12,2,FALSE),IF(P585="INOXIDABLE",VLOOKUP(Q585,'[3]Tiempo Objeto'!$B$14:$C$22,2,FALSE),IF(P585="ALUMINIO",VLOOKUP(Q585,'[3]Tiempo Objeto'!$B$24:$C$32,2,FALSE))))</f>
        <v>0.6133333333333334</v>
      </c>
      <c r="Y585" s="84">
        <f t="shared" si="71"/>
        <v>2.4533333333333336</v>
      </c>
      <c r="Z585" s="80">
        <f t="shared" si="72"/>
        <v>3.4074074074074079</v>
      </c>
      <c r="AA585" s="100">
        <v>4</v>
      </c>
      <c r="AB585" s="86">
        <f>+AA585*Analisis!$J$6</f>
        <v>100</v>
      </c>
      <c r="AC585" s="100"/>
      <c r="AD585" s="85">
        <f t="shared" si="73"/>
        <v>0</v>
      </c>
      <c r="AE585" s="86">
        <f>+AC585*Analisis!$J$7</f>
        <v>0</v>
      </c>
      <c r="AF585" s="308">
        <f>+H585*0.0254*I585*0.0254*2*(1+[3]Analisis!$G$2)</f>
        <v>4.6740551679999999E-2</v>
      </c>
      <c r="AG585" s="86">
        <f>+AF585*Analisis!$J$8</f>
        <v>4.9800944944761918</v>
      </c>
      <c r="AH585" s="309">
        <f t="shared" ref="AH585:AH690" si="83">+AE585+AB585+Z585+V585+M585+AG585</f>
        <v>139.01042936061512</v>
      </c>
      <c r="AI585" s="86">
        <f>+AH585/(1-Analisis!G590)</f>
        <v>139.01042936061512</v>
      </c>
      <c r="AJ585" s="86">
        <f t="shared" si="74"/>
        <v>149.47357995765068</v>
      </c>
      <c r="AK585" s="86">
        <f t="shared" ref="AK585:AK690" si="84">+AJ585*D585</f>
        <v>0</v>
      </c>
      <c r="AL585" s="310" t="e">
        <f>+VLOOKUP(B585,#REF!,2,FALSE)</f>
        <v>#REF!</v>
      </c>
      <c r="AM585" s="311" t="e">
        <f t="shared" si="79"/>
        <v>#REF!</v>
      </c>
      <c r="AN585" s="312" t="e">
        <f t="shared" si="78"/>
        <v>#REF!</v>
      </c>
    </row>
    <row r="586" spans="1:40" s="73" customFormat="1" x14ac:dyDescent="0.25">
      <c r="A586" s="324"/>
      <c r="B586" s="118" t="s">
        <v>1343</v>
      </c>
      <c r="D586" s="74">
        <f>IFERROR(VLOOKUP(B586,'REQ. PINTADO'!B:C,2,0),0)</f>
        <v>0</v>
      </c>
      <c r="E586" s="305">
        <f t="shared" si="66"/>
        <v>149.5288618549703</v>
      </c>
      <c r="F586" s="103" t="s">
        <v>163</v>
      </c>
      <c r="G586" s="75" t="s">
        <v>147</v>
      </c>
      <c r="H586" s="90">
        <v>2.56</v>
      </c>
      <c r="I586" s="90">
        <v>11.34</v>
      </c>
      <c r="J586" s="76">
        <v>0.105</v>
      </c>
      <c r="K586" s="306">
        <v>16.38</v>
      </c>
      <c r="L586" s="78">
        <f t="shared" si="67"/>
        <v>1.4635759538400004</v>
      </c>
      <c r="M586" s="58">
        <f>+VLOOKUP(F586,Material!$H$2:$M$17,6,FALSE)*H586*I586*(1+Material!$K$14)</f>
        <v>10.896988238136002</v>
      </c>
      <c r="N586" s="79" t="str">
        <f t="shared" si="82"/>
        <v>T5.0</v>
      </c>
      <c r="O586" s="80">
        <f>+VLOOKUP(N586,[3]Material!$A$3:$B$58,2,FALSE)</f>
        <v>5000</v>
      </c>
      <c r="P586" s="79" t="s">
        <v>42</v>
      </c>
      <c r="Q586" s="79" t="str">
        <f>+VLOOKUP(F586,[3]Material!$C$2:$E$12,2,FALSE)</f>
        <v>Cal 12</v>
      </c>
      <c r="R586" s="81">
        <f>+IF(P586="ACERO A36",VLOOKUP(Q586,'[3]Velocidades Std 1500 w'!$B$2:$F$15,5,FALSE),IF(P586="INOXIDABLE",VLOOKUP(Q586,'[3]Velocidades Std 1500 w'!$B$17:$F$28,5,FALSE),IF(P586="ALUMINIO",VLOOKUP(Q586,'[3]Velocidades Std 1500 w'!$B$30:$F$38,5,FALSE))))</f>
        <v>4.3859649122807014E-6</v>
      </c>
      <c r="S586" s="82">
        <f t="shared" si="68"/>
        <v>2.1929824561403508E-2</v>
      </c>
      <c r="T586" s="83">
        <f t="shared" si="69"/>
        <v>14.233357894736839</v>
      </c>
      <c r="U586" s="307">
        <f t="shared" si="70"/>
        <v>901.44599999999991</v>
      </c>
      <c r="V586" s="80">
        <f t="shared" si="75"/>
        <v>19.768552631578945</v>
      </c>
      <c r="W586" s="98">
        <v>4</v>
      </c>
      <c r="X586" s="84">
        <f>+IF(P586="ACERO A36",VLOOKUP(Q586,'[3]Tiempo Objeto'!$B$2:$C$12,2,FALSE),IF(P586="INOXIDABLE",VLOOKUP(Q586,'[3]Tiempo Objeto'!$B$14:$C$22,2,FALSE),IF(P586="ALUMINIO",VLOOKUP(Q586,'[3]Tiempo Objeto'!$B$24:$C$32,2,FALSE))))</f>
        <v>0.6133333333333334</v>
      </c>
      <c r="Y586" s="84">
        <f t="shared" si="71"/>
        <v>2.4533333333333336</v>
      </c>
      <c r="Z586" s="80">
        <f t="shared" si="72"/>
        <v>3.4074074074074079</v>
      </c>
      <c r="AA586" s="100">
        <v>4</v>
      </c>
      <c r="AB586" s="86">
        <f>+AA586*Analisis!$J$6</f>
        <v>100</v>
      </c>
      <c r="AC586" s="100"/>
      <c r="AD586" s="85">
        <f t="shared" si="73"/>
        <v>0</v>
      </c>
      <c r="AE586" s="86">
        <f>+AC586*Analisis!$J$7</f>
        <v>0</v>
      </c>
      <c r="AF586" s="308">
        <f>+H586*0.0254*I586*0.0254*2*(1+[3]Analisis!$G$2)</f>
        <v>4.6823132159999996E-2</v>
      </c>
      <c r="AG586" s="86">
        <f>+AF586*Analisis!$J$8</f>
        <v>4.988893248000001</v>
      </c>
      <c r="AH586" s="309">
        <f t="shared" si="83"/>
        <v>139.06184152512236</v>
      </c>
      <c r="AI586" s="86">
        <f>+AH586/(1-Analisis!G591)</f>
        <v>139.06184152512236</v>
      </c>
      <c r="AJ586" s="86">
        <f t="shared" si="74"/>
        <v>149.5288618549703</v>
      </c>
      <c r="AK586" s="86">
        <f t="shared" si="84"/>
        <v>0</v>
      </c>
      <c r="AL586" s="310" t="e">
        <f>+VLOOKUP(B586,#REF!,2,FALSE)</f>
        <v>#REF!</v>
      </c>
      <c r="AM586" s="311" t="e">
        <f t="shared" si="79"/>
        <v>#REF!</v>
      </c>
      <c r="AN586" s="312" t="e">
        <f t="shared" si="78"/>
        <v>#REF!</v>
      </c>
    </row>
    <row r="587" spans="1:40" s="73" customFormat="1" x14ac:dyDescent="0.25">
      <c r="A587" s="324"/>
      <c r="B587" s="118" t="s">
        <v>1344</v>
      </c>
      <c r="D587" s="74">
        <f>IFERROR(VLOOKUP(B587,'REQ. PINTADO'!B:C,2,0),0)</f>
        <v>0</v>
      </c>
      <c r="E587" s="305">
        <f t="shared" si="66"/>
        <v>838.50333908486493</v>
      </c>
      <c r="F587" s="103" t="s">
        <v>163</v>
      </c>
      <c r="G587" s="75" t="s">
        <v>147</v>
      </c>
      <c r="H587" s="90">
        <v>11.28</v>
      </c>
      <c r="I587" s="90">
        <v>67.239999999999995</v>
      </c>
      <c r="J587" s="76">
        <v>0.105</v>
      </c>
      <c r="K587" s="306">
        <v>16.38</v>
      </c>
      <c r="L587" s="78">
        <f t="shared" si="67"/>
        <v>38.238341727856117</v>
      </c>
      <c r="M587" s="58">
        <f>+VLOOKUP(F587,Material!$H$2:$M$17,6,FALSE)*H587*I587*(1+Material!$K$14)</f>
        <v>284.70183522831053</v>
      </c>
      <c r="N587" s="79" t="str">
        <f t="shared" si="82"/>
        <v>T5.0</v>
      </c>
      <c r="O587" s="80">
        <f>+VLOOKUP(N587,[3]Material!$A$3:$B$58,2,FALSE)</f>
        <v>5000</v>
      </c>
      <c r="P587" s="79" t="s">
        <v>42</v>
      </c>
      <c r="Q587" s="79" t="str">
        <f>+VLOOKUP(F587,[3]Material!$C$2:$E$12,2,FALSE)</f>
        <v>Cal 12</v>
      </c>
      <c r="R587" s="81">
        <f>+IF(P587="ACERO A36",VLOOKUP(Q587,'[3]Velocidades Std 1500 w'!$B$2:$F$15,5,FALSE),IF(P587="INOXIDABLE",VLOOKUP(Q587,'[3]Velocidades Std 1500 w'!$B$17:$F$28,5,FALSE),IF(P587="ALUMINIO",VLOOKUP(Q587,'[3]Velocidades Std 1500 w'!$B$30:$F$38,5,FALSE))))</f>
        <v>4.3859649122807014E-6</v>
      </c>
      <c r="S587" s="82">
        <f t="shared" si="68"/>
        <v>2.1929824561403508E-2</v>
      </c>
      <c r="T587" s="83">
        <f t="shared" si="69"/>
        <v>129.29615999999996</v>
      </c>
      <c r="U587" s="307">
        <f t="shared" si="70"/>
        <v>8188.7567999999992</v>
      </c>
      <c r="V587" s="80">
        <f t="shared" si="75"/>
        <v>179.57799999999997</v>
      </c>
      <c r="W587" s="98">
        <v>100</v>
      </c>
      <c r="X587" s="84">
        <f>+IF(P587="ACERO A36",VLOOKUP(Q587,'[3]Tiempo Objeto'!$B$2:$C$12,2,FALSE),IF(P587="INOXIDABLE",VLOOKUP(Q587,'[3]Tiempo Objeto'!$B$14:$C$22,2,FALSE),IF(P587="ALUMINIO",VLOOKUP(Q587,'[3]Tiempo Objeto'!$B$24:$C$32,2,FALSE))))</f>
        <v>0.6133333333333334</v>
      </c>
      <c r="Y587" s="84">
        <f t="shared" si="71"/>
        <v>61.333333333333343</v>
      </c>
      <c r="Z587" s="80">
        <f t="shared" si="72"/>
        <v>85.18518518518519</v>
      </c>
      <c r="AA587" s="100">
        <v>4</v>
      </c>
      <c r="AB587" s="86">
        <f>+AA587*Analisis!$J$6</f>
        <v>100</v>
      </c>
      <c r="AC587" s="100"/>
      <c r="AD587" s="85">
        <f t="shared" si="73"/>
        <v>0</v>
      </c>
      <c r="AE587" s="86">
        <f>+AC587*Analisis!$J$7</f>
        <v>0</v>
      </c>
      <c r="AF587" s="308">
        <f>+H587*0.0254*I587*0.0254*2*(1+[3]Analisis!$G$2)</f>
        <v>1.22333174688</v>
      </c>
      <c r="AG587" s="86">
        <f>+AF587*Analisis!$J$8</f>
        <v>130.34308493542861</v>
      </c>
      <c r="AH587" s="309">
        <f t="shared" si="83"/>
        <v>779.8081053489243</v>
      </c>
      <c r="AI587" s="86">
        <f>+AH587/(1-Analisis!G592)</f>
        <v>779.8081053489243</v>
      </c>
      <c r="AJ587" s="86">
        <f t="shared" si="74"/>
        <v>838.50333908486493</v>
      </c>
      <c r="AK587" s="86">
        <f t="shared" si="84"/>
        <v>0</v>
      </c>
      <c r="AL587" s="310" t="e">
        <f>+VLOOKUP(B587,#REF!,2,FALSE)</f>
        <v>#REF!</v>
      </c>
      <c r="AM587" s="311" t="e">
        <f t="shared" si="79"/>
        <v>#REF!</v>
      </c>
      <c r="AN587" s="312" t="e">
        <f t="shared" si="78"/>
        <v>#REF!</v>
      </c>
    </row>
    <row r="588" spans="1:40" s="73" customFormat="1" x14ac:dyDescent="0.25">
      <c r="A588" s="324"/>
      <c r="B588" s="118" t="s">
        <v>1345</v>
      </c>
      <c r="D588" s="74">
        <f>IFERROR(VLOOKUP(B588,'REQ. PINTADO'!B:C,2,0),0)</f>
        <v>0</v>
      </c>
      <c r="E588" s="305">
        <f t="shared" si="66"/>
        <v>877.97821206648882</v>
      </c>
      <c r="F588" s="103" t="s">
        <v>163</v>
      </c>
      <c r="G588" s="75" t="s">
        <v>147</v>
      </c>
      <c r="H588" s="90">
        <v>11.28</v>
      </c>
      <c r="I588" s="90">
        <v>72.239999999999995</v>
      </c>
      <c r="J588" s="76">
        <v>0.105</v>
      </c>
      <c r="K588" s="306">
        <v>16.38</v>
      </c>
      <c r="L588" s="78">
        <f t="shared" si="67"/>
        <v>41.081763926536674</v>
      </c>
      <c r="M588" s="58">
        <f>+VLOOKUP(F588,Material!$H$2:$M$17,6,FALSE)*H588*I588*(1+Material!$K$14)</f>
        <v>305.87240596212303</v>
      </c>
      <c r="N588" s="79" t="str">
        <f t="shared" si="82"/>
        <v>T5.0</v>
      </c>
      <c r="O588" s="80">
        <f>+VLOOKUP(N588,[3]Material!$A$3:$B$58,2,FALSE)</f>
        <v>5000</v>
      </c>
      <c r="P588" s="79" t="s">
        <v>42</v>
      </c>
      <c r="Q588" s="79" t="str">
        <f>+VLOOKUP(F588,[3]Material!$C$2:$E$12,2,FALSE)</f>
        <v>Cal 12</v>
      </c>
      <c r="R588" s="81">
        <f>+IF(P588="ACERO A36",VLOOKUP(Q588,'[3]Velocidades Std 1500 w'!$B$2:$F$15,5,FALSE),IF(P588="INOXIDABLE",VLOOKUP(Q588,'[3]Velocidades Std 1500 w'!$B$17:$F$28,5,FALSE),IF(P588="ALUMINIO",VLOOKUP(Q588,'[3]Velocidades Std 1500 w'!$B$30:$F$38,5,FALSE))))</f>
        <v>4.3859649122807014E-6</v>
      </c>
      <c r="S588" s="82">
        <f t="shared" si="68"/>
        <v>2.1929824561403508E-2</v>
      </c>
      <c r="T588" s="83">
        <f t="shared" si="69"/>
        <v>133.50721263157894</v>
      </c>
      <c r="U588" s="307">
        <f t="shared" si="70"/>
        <v>8455.4567999999999</v>
      </c>
      <c r="V588" s="80">
        <f t="shared" si="75"/>
        <v>185.4266842105263</v>
      </c>
      <c r="W588" s="98">
        <v>100</v>
      </c>
      <c r="X588" s="84">
        <f>+IF(P588="ACERO A36",VLOOKUP(Q588,'[3]Tiempo Objeto'!$B$2:$C$12,2,FALSE),IF(P588="INOXIDABLE",VLOOKUP(Q588,'[3]Tiempo Objeto'!$B$14:$C$22,2,FALSE),IF(P588="ALUMINIO",VLOOKUP(Q588,'[3]Tiempo Objeto'!$B$24:$C$32,2,FALSE))))</f>
        <v>0.6133333333333334</v>
      </c>
      <c r="Y588" s="84">
        <f t="shared" si="71"/>
        <v>61.333333333333343</v>
      </c>
      <c r="Z588" s="80">
        <f t="shared" si="72"/>
        <v>85.18518518518519</v>
      </c>
      <c r="AA588" s="100">
        <v>4</v>
      </c>
      <c r="AB588" s="86">
        <f>+AA588*Analisis!$J$6</f>
        <v>100</v>
      </c>
      <c r="AC588" s="100"/>
      <c r="AD588" s="85">
        <f t="shared" si="73"/>
        <v>0</v>
      </c>
      <c r="AE588" s="86">
        <f>+AC588*Analisis!$J$7</f>
        <v>0</v>
      </c>
      <c r="AF588" s="308">
        <f>+H588*0.0254*I588*0.0254*2*(1+[3]Analisis!$G$2)</f>
        <v>1.31429930688</v>
      </c>
      <c r="AG588" s="86">
        <f>+AF588*Analisis!$J$8</f>
        <v>140.03546186400004</v>
      </c>
      <c r="AH588" s="309">
        <f t="shared" si="83"/>
        <v>816.51973722183459</v>
      </c>
      <c r="AI588" s="86">
        <f>+AH588/(1-Analisis!G593)</f>
        <v>816.51973722183459</v>
      </c>
      <c r="AJ588" s="86">
        <f t="shared" si="74"/>
        <v>877.97821206648882</v>
      </c>
      <c r="AK588" s="86">
        <f t="shared" si="84"/>
        <v>0</v>
      </c>
      <c r="AL588" s="310" t="e">
        <f>+VLOOKUP(B588,#REF!,2,FALSE)</f>
        <v>#REF!</v>
      </c>
      <c r="AM588" s="311" t="e">
        <f t="shared" si="79"/>
        <v>#REF!</v>
      </c>
      <c r="AN588" s="312" t="e">
        <f t="shared" si="78"/>
        <v>#REF!</v>
      </c>
    </row>
    <row r="589" spans="1:40" s="73" customFormat="1" x14ac:dyDescent="0.25">
      <c r="A589" s="324"/>
      <c r="B589" s="118" t="s">
        <v>1346</v>
      </c>
      <c r="D589" s="74">
        <f>IFERROR(VLOOKUP(B589,'REQ. PINTADO'!B:C,2,0),0)</f>
        <v>0</v>
      </c>
      <c r="E589" s="305">
        <f t="shared" si="66"/>
        <v>956.92795802973683</v>
      </c>
      <c r="F589" s="103" t="s">
        <v>163</v>
      </c>
      <c r="G589" s="75" t="s">
        <v>147</v>
      </c>
      <c r="H589" s="90">
        <v>11.28</v>
      </c>
      <c r="I589" s="90">
        <v>82.24</v>
      </c>
      <c r="J589" s="76">
        <v>0.105</v>
      </c>
      <c r="K589" s="306">
        <v>16.38</v>
      </c>
      <c r="L589" s="78">
        <f t="shared" si="67"/>
        <v>46.768608323897794</v>
      </c>
      <c r="M589" s="58">
        <f>+VLOOKUP(F589,Material!$H$2:$M$17,6,FALSE)*H589*I589*(1+Material!$K$14)</f>
        <v>348.21354742974808</v>
      </c>
      <c r="N589" s="79" t="str">
        <f t="shared" si="82"/>
        <v>T5.0</v>
      </c>
      <c r="O589" s="80">
        <f>+VLOOKUP(N589,[3]Material!$A$3:$B$58,2,FALSE)</f>
        <v>5000</v>
      </c>
      <c r="P589" s="79" t="s">
        <v>42</v>
      </c>
      <c r="Q589" s="79" t="str">
        <f>+VLOOKUP(F589,[3]Material!$C$2:$E$12,2,FALSE)</f>
        <v>Cal 12</v>
      </c>
      <c r="R589" s="81">
        <f>+IF(P589="ACERO A36",VLOOKUP(Q589,'[3]Velocidades Std 1500 w'!$B$2:$F$15,5,FALSE),IF(P589="INOXIDABLE",VLOOKUP(Q589,'[3]Velocidades Std 1500 w'!$B$17:$F$28,5,FALSE),IF(P589="ALUMINIO",VLOOKUP(Q589,'[3]Velocidades Std 1500 w'!$B$30:$F$38,5,FALSE))))</f>
        <v>4.3859649122807014E-6</v>
      </c>
      <c r="S589" s="82">
        <f t="shared" si="68"/>
        <v>2.1929824561403508E-2</v>
      </c>
      <c r="T589" s="83">
        <f t="shared" si="69"/>
        <v>141.92931789473684</v>
      </c>
      <c r="U589" s="307">
        <f t="shared" si="70"/>
        <v>8988.8567999999996</v>
      </c>
      <c r="V589" s="80">
        <f t="shared" si="75"/>
        <v>197.12405263157893</v>
      </c>
      <c r="W589" s="98">
        <v>100</v>
      </c>
      <c r="X589" s="84">
        <f>+IF(P589="ACERO A36",VLOOKUP(Q589,'[3]Tiempo Objeto'!$B$2:$C$12,2,FALSE),IF(P589="INOXIDABLE",VLOOKUP(Q589,'[3]Tiempo Objeto'!$B$14:$C$22,2,FALSE),IF(P589="ALUMINIO",VLOOKUP(Q589,'[3]Tiempo Objeto'!$B$24:$C$32,2,FALSE))))</f>
        <v>0.6133333333333334</v>
      </c>
      <c r="Y589" s="84">
        <f t="shared" si="71"/>
        <v>61.333333333333343</v>
      </c>
      <c r="Z589" s="80">
        <f t="shared" si="72"/>
        <v>85.18518518518519</v>
      </c>
      <c r="AA589" s="100">
        <v>4</v>
      </c>
      <c r="AB589" s="86">
        <f>+AA589*Analisis!$J$6</f>
        <v>100</v>
      </c>
      <c r="AC589" s="100"/>
      <c r="AD589" s="85">
        <f t="shared" si="73"/>
        <v>0</v>
      </c>
      <c r="AE589" s="86">
        <f>+AC589*Analisis!$J$7</f>
        <v>0</v>
      </c>
      <c r="AF589" s="308">
        <f>+H589*0.0254*I589*0.0254*2*(1+[3]Analisis!$G$2)</f>
        <v>1.4962344268799999</v>
      </c>
      <c r="AG589" s="86">
        <f>+AF589*Analisis!$J$8</f>
        <v>159.42021572114288</v>
      </c>
      <c r="AH589" s="309">
        <f t="shared" si="83"/>
        <v>889.94300096765517</v>
      </c>
      <c r="AI589" s="86">
        <f>+AH589/(1-Analisis!G594)</f>
        <v>889.94300096765517</v>
      </c>
      <c r="AJ589" s="86">
        <f t="shared" si="74"/>
        <v>956.92795802973683</v>
      </c>
      <c r="AK589" s="86">
        <f t="shared" si="84"/>
        <v>0</v>
      </c>
      <c r="AL589" s="310" t="e">
        <f>+VLOOKUP(B589,#REF!,2,FALSE)</f>
        <v>#REF!</v>
      </c>
      <c r="AM589" s="311" t="e">
        <f t="shared" si="79"/>
        <v>#REF!</v>
      </c>
      <c r="AN589" s="312" t="e">
        <f t="shared" si="78"/>
        <v>#REF!</v>
      </c>
    </row>
    <row r="590" spans="1:40" s="73" customFormat="1" x14ac:dyDescent="0.25">
      <c r="A590" s="324"/>
      <c r="B590" s="118" t="s">
        <v>1347</v>
      </c>
      <c r="D590" s="74">
        <f>IFERROR(VLOOKUP(B590,'REQ. PINTADO'!B:C,2,0),0)</f>
        <v>0</v>
      </c>
      <c r="E590" s="305">
        <f t="shared" si="66"/>
        <v>295.28954019331945</v>
      </c>
      <c r="F590" s="103" t="s">
        <v>164</v>
      </c>
      <c r="G590" s="75" t="s">
        <v>147</v>
      </c>
      <c r="H590" s="90">
        <v>2.5299999999999998</v>
      </c>
      <c r="I590" s="90">
        <v>46.34</v>
      </c>
      <c r="J590" s="76">
        <v>0.105</v>
      </c>
      <c r="K590" s="306">
        <v>16.38</v>
      </c>
      <c r="L590" s="78">
        <f t="shared" si="67"/>
        <v>10.907764334045586</v>
      </c>
      <c r="M590" s="58">
        <f>+VLOOKUP(F590,Material!$H$2:$M$17,6,FALSE)*H590*I590*(1+Material!$K$14)</f>
        <v>81.213263541666677</v>
      </c>
      <c r="N590" s="79" t="str">
        <f t="shared" si="82"/>
        <v>T5.0</v>
      </c>
      <c r="O590" s="80">
        <f>+VLOOKUP(N590,[3]Material!$A$3:$B$58,2,FALSE)</f>
        <v>5000</v>
      </c>
      <c r="P590" s="79" t="s">
        <v>42</v>
      </c>
      <c r="Q590" s="79" t="str">
        <f>+VLOOKUP(F590,[3]Material!$C$2:$E$12,2,FALSE)</f>
        <v>Cal 10</v>
      </c>
      <c r="R590" s="81">
        <f>+IF(P590="ACERO A36",VLOOKUP(Q590,'[3]Velocidades Std 1500 w'!$B$2:$F$15,5,FALSE),IF(P590="INOXIDABLE",VLOOKUP(Q590,'[3]Velocidades Std 1500 w'!$B$17:$F$28,5,FALSE),IF(P590="ALUMINIO",VLOOKUP(Q590,'[3]Velocidades Std 1500 w'!$B$30:$F$38,5,FALSE))))</f>
        <v>6.1728395061728391E-6</v>
      </c>
      <c r="S590" s="82">
        <f t="shared" si="68"/>
        <v>3.0864197530864196E-2</v>
      </c>
      <c r="T590" s="83">
        <f t="shared" si="69"/>
        <v>65.039239999999992</v>
      </c>
      <c r="U590" s="307">
        <f t="shared" si="70"/>
        <v>2926.7658000000001</v>
      </c>
      <c r="V590" s="80">
        <f t="shared" si="75"/>
        <v>90.332277777777776</v>
      </c>
      <c r="W590" s="98">
        <v>8</v>
      </c>
      <c r="X590" s="84">
        <f>+IF(P590="ACERO A36",VLOOKUP(Q590,'[3]Tiempo Objeto'!$B$2:$C$12,2,FALSE),IF(P590="INOXIDABLE",VLOOKUP(Q590,'[3]Tiempo Objeto'!$B$14:$C$22,2,FALSE),IF(P590="ALUMINIO",VLOOKUP(Q590,'[3]Tiempo Objeto'!$B$24:$C$32,2,FALSE))))</f>
        <v>0.71333333333333337</v>
      </c>
      <c r="Y590" s="84">
        <f t="shared" si="71"/>
        <v>5.706666666666667</v>
      </c>
      <c r="Z590" s="80">
        <f t="shared" si="72"/>
        <v>7.9259259259259265</v>
      </c>
      <c r="AA590" s="100">
        <v>3</v>
      </c>
      <c r="AB590" s="86">
        <f>+AA590*Analisis!$J$6</f>
        <v>75</v>
      </c>
      <c r="AC590" s="100"/>
      <c r="AD590" s="85">
        <f t="shared" si="73"/>
        <v>0</v>
      </c>
      <c r="AE590" s="86">
        <f>+AC590*Analisis!$J$7</f>
        <v>0</v>
      </c>
      <c r="AF590" s="308">
        <f>+H590*0.0254*I590*0.0254*2*(1+[3]Analisis!$G$2)</f>
        <v>0.18909671857999996</v>
      </c>
      <c r="AG590" s="86">
        <f>+AF590*Analisis!$J$8</f>
        <v>20.147805134416668</v>
      </c>
      <c r="AH590" s="309">
        <f t="shared" si="83"/>
        <v>274.61927237978705</v>
      </c>
      <c r="AI590" s="86">
        <f>+AH590/(1-Analisis!G595)</f>
        <v>274.61927237978705</v>
      </c>
      <c r="AJ590" s="86">
        <f t="shared" si="74"/>
        <v>295.28954019331945</v>
      </c>
      <c r="AK590" s="86">
        <f t="shared" si="84"/>
        <v>0</v>
      </c>
      <c r="AL590" s="310" t="e">
        <f>+VLOOKUP(B590,#REF!,2,FALSE)</f>
        <v>#REF!</v>
      </c>
      <c r="AM590" s="311" t="e">
        <f t="shared" si="79"/>
        <v>#REF!</v>
      </c>
      <c r="AN590" s="312" t="e">
        <f t="shared" si="78"/>
        <v>#REF!</v>
      </c>
    </row>
    <row r="591" spans="1:40" s="73" customFormat="1" x14ac:dyDescent="0.25">
      <c r="A591" s="324"/>
      <c r="B591" s="118" t="s">
        <v>1348</v>
      </c>
      <c r="D591" s="74">
        <f>IFERROR(VLOOKUP(B591,'REQ. PINTADO'!B:C,2,0),0)</f>
        <v>0</v>
      </c>
      <c r="E591" s="305">
        <f t="shared" si="66"/>
        <v>295.28954019331945</v>
      </c>
      <c r="F591" s="103" t="s">
        <v>164</v>
      </c>
      <c r="G591" s="75" t="s">
        <v>147</v>
      </c>
      <c r="H591" s="90">
        <v>2.5299999999999998</v>
      </c>
      <c r="I591" s="90">
        <v>46.34</v>
      </c>
      <c r="J591" s="76">
        <v>0.105</v>
      </c>
      <c r="K591" s="306">
        <v>16.38</v>
      </c>
      <c r="L591" s="78">
        <f t="shared" si="67"/>
        <v>10.907764334045586</v>
      </c>
      <c r="M591" s="58">
        <f>+VLOOKUP(F591,Material!$H$2:$M$17,6,FALSE)*H591*I591*(1+Material!$K$14)</f>
        <v>81.213263541666677</v>
      </c>
      <c r="N591" s="79" t="str">
        <f t="shared" si="82"/>
        <v>T5.0</v>
      </c>
      <c r="O591" s="80">
        <f>+VLOOKUP(N591,[3]Material!$A$3:$B$58,2,FALSE)</f>
        <v>5000</v>
      </c>
      <c r="P591" s="79" t="s">
        <v>42</v>
      </c>
      <c r="Q591" s="79" t="str">
        <f>+VLOOKUP(F591,[3]Material!$C$2:$E$12,2,FALSE)</f>
        <v>Cal 10</v>
      </c>
      <c r="R591" s="81">
        <f>+IF(P591="ACERO A36",VLOOKUP(Q591,'[3]Velocidades Std 1500 w'!$B$2:$F$15,5,FALSE),IF(P591="INOXIDABLE",VLOOKUP(Q591,'[3]Velocidades Std 1500 w'!$B$17:$F$28,5,FALSE),IF(P591="ALUMINIO",VLOOKUP(Q591,'[3]Velocidades Std 1500 w'!$B$30:$F$38,5,FALSE))))</f>
        <v>6.1728395061728391E-6</v>
      </c>
      <c r="S591" s="82">
        <f t="shared" si="68"/>
        <v>3.0864197530864196E-2</v>
      </c>
      <c r="T591" s="83">
        <f t="shared" si="69"/>
        <v>65.039239999999992</v>
      </c>
      <c r="U591" s="307">
        <f t="shared" si="70"/>
        <v>2926.7658000000001</v>
      </c>
      <c r="V591" s="80">
        <f t="shared" si="75"/>
        <v>90.332277777777776</v>
      </c>
      <c r="W591" s="98">
        <v>8</v>
      </c>
      <c r="X591" s="84">
        <f>+IF(P591="ACERO A36",VLOOKUP(Q591,'[3]Tiempo Objeto'!$B$2:$C$12,2,FALSE),IF(P591="INOXIDABLE",VLOOKUP(Q591,'[3]Tiempo Objeto'!$B$14:$C$22,2,FALSE),IF(P591="ALUMINIO",VLOOKUP(Q591,'[3]Tiempo Objeto'!$B$24:$C$32,2,FALSE))))</f>
        <v>0.71333333333333337</v>
      </c>
      <c r="Y591" s="84">
        <f t="shared" si="71"/>
        <v>5.706666666666667</v>
      </c>
      <c r="Z591" s="80">
        <f t="shared" si="72"/>
        <v>7.9259259259259265</v>
      </c>
      <c r="AA591" s="100">
        <v>3</v>
      </c>
      <c r="AB591" s="86">
        <f>+AA591*Analisis!$J$6</f>
        <v>75</v>
      </c>
      <c r="AC591" s="100"/>
      <c r="AD591" s="85">
        <f t="shared" si="73"/>
        <v>0</v>
      </c>
      <c r="AE591" s="86">
        <f>+AC591*Analisis!$J$7</f>
        <v>0</v>
      </c>
      <c r="AF591" s="308">
        <f>+H591*0.0254*I591*0.0254*2*(1+[3]Analisis!$G$2)</f>
        <v>0.18909671857999996</v>
      </c>
      <c r="AG591" s="86">
        <f>+AF591*Analisis!$J$8</f>
        <v>20.147805134416668</v>
      </c>
      <c r="AH591" s="309">
        <f t="shared" si="83"/>
        <v>274.61927237978705</v>
      </c>
      <c r="AI591" s="86">
        <f>+AH591/(1-Analisis!G596)</f>
        <v>274.61927237978705</v>
      </c>
      <c r="AJ591" s="86">
        <f t="shared" si="74"/>
        <v>295.28954019331945</v>
      </c>
      <c r="AK591" s="86">
        <f t="shared" si="84"/>
        <v>0</v>
      </c>
      <c r="AL591" s="310" t="e">
        <f>+VLOOKUP(B591,#REF!,2,FALSE)</f>
        <v>#REF!</v>
      </c>
      <c r="AM591" s="311" t="e">
        <f t="shared" si="79"/>
        <v>#REF!</v>
      </c>
      <c r="AN591" s="312" t="e">
        <f t="shared" si="78"/>
        <v>#REF!</v>
      </c>
    </row>
    <row r="592" spans="1:40" s="73" customFormat="1" x14ac:dyDescent="0.25">
      <c r="A592" s="324"/>
      <c r="B592" s="118" t="s">
        <v>1349</v>
      </c>
      <c r="D592" s="74">
        <f>IFERROR(VLOOKUP(B592,'REQ. PINTADO'!B:C,2,0),0)</f>
        <v>0</v>
      </c>
      <c r="E592" s="305">
        <f t="shared" si="66"/>
        <v>100.42188075371945</v>
      </c>
      <c r="F592" s="103" t="s">
        <v>163</v>
      </c>
      <c r="G592" s="75" t="s">
        <v>147</v>
      </c>
      <c r="H592" s="90">
        <v>5.61</v>
      </c>
      <c r="I592" s="90">
        <v>6.24</v>
      </c>
      <c r="J592" s="76">
        <v>0.105</v>
      </c>
      <c r="K592" s="306">
        <v>16.38</v>
      </c>
      <c r="L592" s="78">
        <f t="shared" si="67"/>
        <v>1.764857710210834</v>
      </c>
      <c r="M592" s="58">
        <f>+VLOOKUP(F592,Material!$H$2:$M$17,6,FALSE)*H592*I592*(1+Material!$K$14)</f>
        <v>13.140167860569754</v>
      </c>
      <c r="N592" s="79" t="str">
        <f t="shared" si="82"/>
        <v>T5.0</v>
      </c>
      <c r="O592" s="80">
        <f>+VLOOKUP(N592,[3]Material!$A$3:$B$58,2,FALSE)</f>
        <v>5000</v>
      </c>
      <c r="P592" s="79" t="s">
        <v>42</v>
      </c>
      <c r="Q592" s="79" t="str">
        <f>+VLOOKUP(F592,[3]Material!$C$2:$E$12,2,FALSE)</f>
        <v>Cal 12</v>
      </c>
      <c r="R592" s="81">
        <f>+IF(P592="ACERO A36",VLOOKUP(Q592,'[3]Velocidades Std 1500 w'!$B$2:$F$15,5,FALSE),IF(P592="INOXIDABLE",VLOOKUP(Q592,'[3]Velocidades Std 1500 w'!$B$17:$F$28,5,FALSE),IF(P592="ALUMINIO",VLOOKUP(Q592,'[3]Velocidades Std 1500 w'!$B$30:$F$38,5,FALSE))))</f>
        <v>4.3859649122807014E-6</v>
      </c>
      <c r="S592" s="82">
        <f t="shared" si="68"/>
        <v>2.1929824561403508E-2</v>
      </c>
      <c r="T592" s="83">
        <f t="shared" si="69"/>
        <v>13.770142105263158</v>
      </c>
      <c r="U592" s="307">
        <f t="shared" si="70"/>
        <v>872.10900000000004</v>
      </c>
      <c r="V592" s="80">
        <f t="shared" si="75"/>
        <v>19.125197368421052</v>
      </c>
      <c r="W592" s="98">
        <v>6</v>
      </c>
      <c r="X592" s="84">
        <f>+IF(P592="ACERO A36",VLOOKUP(Q592,'[3]Tiempo Objeto'!$B$2:$C$12,2,FALSE),IF(P592="INOXIDABLE",VLOOKUP(Q592,'[3]Tiempo Objeto'!$B$14:$C$22,2,FALSE),IF(P592="ALUMINIO",VLOOKUP(Q592,'[3]Tiempo Objeto'!$B$24:$C$32,2,FALSE))))</f>
        <v>0.6133333333333334</v>
      </c>
      <c r="Y592" s="84">
        <f t="shared" si="71"/>
        <v>3.6800000000000006</v>
      </c>
      <c r="Z592" s="80">
        <f t="shared" si="72"/>
        <v>5.1111111111111125</v>
      </c>
      <c r="AA592" s="100">
        <v>2</v>
      </c>
      <c r="AB592" s="86">
        <f>+AA592*Analisis!$J$6</f>
        <v>50</v>
      </c>
      <c r="AC592" s="100"/>
      <c r="AD592" s="85">
        <f t="shared" si="73"/>
        <v>0</v>
      </c>
      <c r="AE592" s="86">
        <f>+AC592*Analisis!$J$7</f>
        <v>0</v>
      </c>
      <c r="AF592" s="308">
        <f>+H592*0.0254*I592*0.0254*2*(1+[3]Analisis!$G$2)</f>
        <v>5.646182256E-2</v>
      </c>
      <c r="AG592" s="86">
        <f>+AF592*Analisis!$J$8</f>
        <v>6.0158727608571443</v>
      </c>
      <c r="AH592" s="309">
        <f t="shared" si="83"/>
        <v>93.39234910095908</v>
      </c>
      <c r="AI592" s="86">
        <f>+AH592/(1-Analisis!G597)</f>
        <v>93.39234910095908</v>
      </c>
      <c r="AJ592" s="86">
        <f t="shared" si="74"/>
        <v>100.42188075371945</v>
      </c>
      <c r="AK592" s="86">
        <f t="shared" si="84"/>
        <v>0</v>
      </c>
      <c r="AL592" s="310" t="e">
        <f>+VLOOKUP(B592,#REF!,2,FALSE)</f>
        <v>#REF!</v>
      </c>
      <c r="AM592" s="311" t="e">
        <f t="shared" si="79"/>
        <v>#REF!</v>
      </c>
      <c r="AN592" s="312" t="e">
        <f t="shared" si="78"/>
        <v>#REF!</v>
      </c>
    </row>
    <row r="593" spans="1:40" s="73" customFormat="1" x14ac:dyDescent="0.25">
      <c r="A593" s="324"/>
      <c r="B593" s="118" t="s">
        <v>1350</v>
      </c>
      <c r="D593" s="74">
        <f>IFERROR(VLOOKUP(B593,'REQ. PINTADO'!B:C,2,0),0)</f>
        <v>0</v>
      </c>
      <c r="E593" s="305">
        <f t="shared" si="66"/>
        <v>1032.4556479529092</v>
      </c>
      <c r="F593" s="103" t="s">
        <v>163</v>
      </c>
      <c r="G593" s="75" t="s">
        <v>147</v>
      </c>
      <c r="H593" s="90">
        <v>11.47</v>
      </c>
      <c r="I593" s="90">
        <v>106.75</v>
      </c>
      <c r="J593" s="76">
        <v>0.105</v>
      </c>
      <c r="K593" s="306">
        <v>16.38</v>
      </c>
      <c r="L593" s="78">
        <f t="shared" si="67"/>
        <v>61.729612004679851</v>
      </c>
      <c r="M593" s="58">
        <f>+VLOOKUP(F593,Material!$H$2:$M$17,6,FALSE)*H593*I593*(1+Material!$K$14)</f>
        <v>459.60502028938902</v>
      </c>
      <c r="N593" s="79" t="str">
        <f t="shared" si="82"/>
        <v>T5.0</v>
      </c>
      <c r="O593" s="80">
        <f>+VLOOKUP(N593,[3]Material!$A$3:$B$58,2,FALSE)</f>
        <v>5000</v>
      </c>
      <c r="P593" s="79" t="s">
        <v>42</v>
      </c>
      <c r="Q593" s="79" t="str">
        <f>+VLOOKUP(F593,[3]Material!$C$2:$E$12,2,FALSE)</f>
        <v>Cal 12</v>
      </c>
      <c r="R593" s="81">
        <f>+IF(P593="ACERO A36",VLOOKUP(Q593,'[3]Velocidades Std 1500 w'!$B$2:$F$15,5,FALSE),IF(P593="INOXIDABLE",VLOOKUP(Q593,'[3]Velocidades Std 1500 w'!$B$17:$F$28,5,FALSE),IF(P593="ALUMINIO",VLOOKUP(Q593,'[3]Velocidades Std 1500 w'!$B$30:$F$38,5,FALSE))))</f>
        <v>4.3859649122807014E-6</v>
      </c>
      <c r="S593" s="82">
        <f t="shared" si="68"/>
        <v>2.1929824561403508E-2</v>
      </c>
      <c r="T593" s="83">
        <f t="shared" si="69"/>
        <v>118.51586526315789</v>
      </c>
      <c r="U593" s="307">
        <f t="shared" si="70"/>
        <v>7506.0047999999997</v>
      </c>
      <c r="V593" s="80">
        <f t="shared" si="75"/>
        <v>164.60536842105262</v>
      </c>
      <c r="W593" s="98">
        <v>30</v>
      </c>
      <c r="X593" s="84">
        <f>+IF(P593="ACERO A36",VLOOKUP(Q593,'[3]Tiempo Objeto'!$B$2:$C$12,2,FALSE),IF(P593="INOXIDABLE",VLOOKUP(Q593,'[3]Tiempo Objeto'!$B$14:$C$22,2,FALSE),IF(P593="ALUMINIO",VLOOKUP(Q593,'[3]Tiempo Objeto'!$B$24:$C$32,2,FALSE))))</f>
        <v>0.6133333333333334</v>
      </c>
      <c r="Y593" s="84">
        <f t="shared" si="71"/>
        <v>18.400000000000002</v>
      </c>
      <c r="Z593" s="80">
        <f t="shared" si="72"/>
        <v>25.555555555555561</v>
      </c>
      <c r="AA593" s="100">
        <v>4</v>
      </c>
      <c r="AB593" s="86">
        <f>+AA593*Analisis!$J$6</f>
        <v>100</v>
      </c>
      <c r="AC593" s="100"/>
      <c r="AD593" s="85">
        <f t="shared" si="73"/>
        <v>0</v>
      </c>
      <c r="AE593" s="86">
        <f>+AC593*Analisis!$J$7</f>
        <v>0</v>
      </c>
      <c r="AF593" s="308">
        <f>+H593*0.0254*I593*0.0254*2*(1+[3]Analisis!$G$2)</f>
        <v>1.97487105025</v>
      </c>
      <c r="AG593" s="86">
        <f>+AF593*Analisis!$J$8</f>
        <v>210.4178083302084</v>
      </c>
      <c r="AH593" s="309">
        <f t="shared" si="83"/>
        <v>960.18375259620552</v>
      </c>
      <c r="AI593" s="86">
        <f>+AH593/(1-Analisis!G598)</f>
        <v>960.18375259620552</v>
      </c>
      <c r="AJ593" s="86">
        <f t="shared" si="74"/>
        <v>1032.4556479529092</v>
      </c>
      <c r="AK593" s="86">
        <f t="shared" si="84"/>
        <v>0</v>
      </c>
      <c r="AL593" s="310" t="e">
        <f>+VLOOKUP(B593,#REF!,2,FALSE)</f>
        <v>#REF!</v>
      </c>
      <c r="AM593" s="311" t="e">
        <f t="shared" si="79"/>
        <v>#REF!</v>
      </c>
      <c r="AN593" s="312" t="e">
        <f t="shared" si="78"/>
        <v>#REF!</v>
      </c>
    </row>
    <row r="594" spans="1:40" s="73" customFormat="1" x14ac:dyDescent="0.25">
      <c r="A594" s="324"/>
      <c r="B594" s="118" t="s">
        <v>1351</v>
      </c>
      <c r="D594" s="74">
        <f>IFERROR(VLOOKUP(B594,'REQ. PINTADO'!B:C,2,0),0)</f>
        <v>0</v>
      </c>
      <c r="E594" s="305">
        <f t="shared" si="66"/>
        <v>142.73933794813311</v>
      </c>
      <c r="F594" s="103" t="s">
        <v>163</v>
      </c>
      <c r="G594" s="75" t="s">
        <v>147</v>
      </c>
      <c r="H594" s="90">
        <v>1.75</v>
      </c>
      <c r="I594" s="90">
        <v>11.18</v>
      </c>
      <c r="J594" s="76">
        <v>0.105</v>
      </c>
      <c r="K594" s="306">
        <v>16.38</v>
      </c>
      <c r="L594" s="78">
        <f t="shared" si="67"/>
        <v>0.9863750942763313</v>
      </c>
      <c r="M594" s="58">
        <f>+VLOOKUP(F594,Material!$H$2:$M$17,6,FALSE)*H594*I594*(1+Material!$K$14)</f>
        <v>7.3440109292028657</v>
      </c>
      <c r="N594" s="79" t="str">
        <f t="shared" si="82"/>
        <v>T5.0</v>
      </c>
      <c r="O594" s="80">
        <f>+VLOOKUP(N594,[3]Material!$A$3:$B$58,2,FALSE)</f>
        <v>5000</v>
      </c>
      <c r="P594" s="79" t="s">
        <v>42</v>
      </c>
      <c r="Q594" s="79" t="str">
        <f>+VLOOKUP(F594,[3]Material!$C$2:$E$12,2,FALSE)</f>
        <v>Cal 12</v>
      </c>
      <c r="R594" s="81">
        <f>+IF(P594="ACERO A36",VLOOKUP(Q594,'[3]Velocidades Std 1500 w'!$B$2:$F$15,5,FALSE),IF(P594="INOXIDABLE",VLOOKUP(Q594,'[3]Velocidades Std 1500 w'!$B$17:$F$28,5,FALSE),IF(P594="ALUMINIO",VLOOKUP(Q594,'[3]Velocidades Std 1500 w'!$B$30:$F$38,5,FALSE))))</f>
        <v>4.3859649122807014E-6</v>
      </c>
      <c r="S594" s="82">
        <f t="shared" si="68"/>
        <v>2.1929824561403508E-2</v>
      </c>
      <c r="T594" s="83">
        <f t="shared" si="69"/>
        <v>13.416413684210525</v>
      </c>
      <c r="U594" s="307">
        <f t="shared" si="70"/>
        <v>849.70619999999997</v>
      </c>
      <c r="V594" s="80">
        <f t="shared" si="75"/>
        <v>18.63390789473684</v>
      </c>
      <c r="W594" s="98">
        <v>4</v>
      </c>
      <c r="X594" s="84">
        <f>+IF(P594="ACERO A36",VLOOKUP(Q594,'[3]Tiempo Objeto'!$B$2:$C$12,2,FALSE),IF(P594="INOXIDABLE",VLOOKUP(Q594,'[3]Tiempo Objeto'!$B$14:$C$22,2,FALSE),IF(P594="ALUMINIO",VLOOKUP(Q594,'[3]Tiempo Objeto'!$B$24:$C$32,2,FALSE))))</f>
        <v>0.6133333333333334</v>
      </c>
      <c r="Y594" s="84">
        <f t="shared" si="71"/>
        <v>2.4533333333333336</v>
      </c>
      <c r="Z594" s="80">
        <f t="shared" si="72"/>
        <v>3.4074074074074079</v>
      </c>
      <c r="AA594" s="100">
        <v>4</v>
      </c>
      <c r="AB594" s="86">
        <f>+AA594*Analisis!$J$6</f>
        <v>100</v>
      </c>
      <c r="AC594" s="100"/>
      <c r="AD594" s="85">
        <f t="shared" si="73"/>
        <v>0</v>
      </c>
      <c r="AE594" s="86">
        <f>+AC594*Analisis!$J$7</f>
        <v>0</v>
      </c>
      <c r="AF594" s="308">
        <f>+H594*0.0254*I594*0.0254*2*(1+[3]Analisis!$G$2)</f>
        <v>3.1556388499999991E-2</v>
      </c>
      <c r="AG594" s="86">
        <f>+AF594*Analisis!$J$8</f>
        <v>3.3622580604166665</v>
      </c>
      <c r="AH594" s="309">
        <f t="shared" si="83"/>
        <v>132.74758429176379</v>
      </c>
      <c r="AI594" s="86">
        <f>+AH594/(1-Analisis!G599)</f>
        <v>132.74758429176379</v>
      </c>
      <c r="AJ594" s="86">
        <f t="shared" si="74"/>
        <v>142.73933794813311</v>
      </c>
      <c r="AK594" s="86">
        <f t="shared" si="84"/>
        <v>0</v>
      </c>
      <c r="AL594" s="310" t="e">
        <f>+VLOOKUP(B594,#REF!,2,FALSE)</f>
        <v>#REF!</v>
      </c>
      <c r="AM594" s="311" t="e">
        <f t="shared" si="79"/>
        <v>#REF!</v>
      </c>
      <c r="AN594" s="312" t="e">
        <f t="shared" si="78"/>
        <v>#REF!</v>
      </c>
    </row>
    <row r="595" spans="1:40" s="73" customFormat="1" x14ac:dyDescent="0.25">
      <c r="A595" s="324"/>
      <c r="B595" s="118" t="s">
        <v>1352</v>
      </c>
      <c r="D595" s="74">
        <f>IFERROR(VLOOKUP(B595,'REQ. PINTADO'!B:C,2,0),0)</f>
        <v>0</v>
      </c>
      <c r="E595" s="305">
        <f t="shared" si="66"/>
        <v>146.24105585670529</v>
      </c>
      <c r="F595" s="103" t="s">
        <v>163</v>
      </c>
      <c r="G595" s="75" t="s">
        <v>147</v>
      </c>
      <c r="H595" s="90">
        <v>2.84</v>
      </c>
      <c r="I595" s="90">
        <v>6.92</v>
      </c>
      <c r="J595" s="76">
        <v>0.105</v>
      </c>
      <c r="K595" s="306">
        <v>16.38</v>
      </c>
      <c r="L595" s="78">
        <f t="shared" si="67"/>
        <v>0.99080155649342605</v>
      </c>
      <c r="M595" s="58">
        <f>+VLOOKUP(F595,Material!$H$2:$M$17,6,FALSE)*H595*I595*(1+Material!$K$14)</f>
        <v>7.3769679524374174</v>
      </c>
      <c r="N595" s="79" t="str">
        <f t="shared" si="82"/>
        <v>T5.0</v>
      </c>
      <c r="O595" s="80">
        <f>+VLOOKUP(N595,[3]Material!$A$3:$B$58,2,FALSE)</f>
        <v>5000</v>
      </c>
      <c r="P595" s="79" t="s">
        <v>42</v>
      </c>
      <c r="Q595" s="79" t="str">
        <f>+VLOOKUP(F595,[3]Material!$C$2:$E$12,2,FALSE)</f>
        <v>Cal 12</v>
      </c>
      <c r="R595" s="81">
        <f>+IF(P595="ACERO A36",VLOOKUP(Q595,'[3]Velocidades Std 1500 w'!$B$2:$F$15,5,FALSE),IF(P595="INOXIDABLE",VLOOKUP(Q595,'[3]Velocidades Std 1500 w'!$B$17:$F$28,5,FALSE),IF(P595="ALUMINIO",VLOOKUP(Q595,'[3]Velocidades Std 1500 w'!$B$30:$F$38,5,FALSE))))</f>
        <v>4.3859649122807014E-6</v>
      </c>
      <c r="S595" s="82">
        <f t="shared" si="68"/>
        <v>2.1929824561403508E-2</v>
      </c>
      <c r="T595" s="83">
        <f t="shared" si="69"/>
        <v>13.273237894736839</v>
      </c>
      <c r="U595" s="307">
        <f t="shared" si="70"/>
        <v>840.63839999999993</v>
      </c>
      <c r="V595" s="80">
        <f t="shared" si="75"/>
        <v>18.435052631578944</v>
      </c>
      <c r="W595" s="98">
        <v>8</v>
      </c>
      <c r="X595" s="84">
        <f>+IF(P595="ACERO A36",VLOOKUP(Q595,'[3]Tiempo Objeto'!$B$2:$C$12,2,FALSE),IF(P595="INOXIDABLE",VLOOKUP(Q595,'[3]Tiempo Objeto'!$B$14:$C$22,2,FALSE),IF(P595="ALUMINIO",VLOOKUP(Q595,'[3]Tiempo Objeto'!$B$24:$C$32,2,FALSE))))</f>
        <v>0.6133333333333334</v>
      </c>
      <c r="Y595" s="84">
        <f t="shared" si="71"/>
        <v>4.9066666666666672</v>
      </c>
      <c r="Z595" s="80">
        <f t="shared" si="72"/>
        <v>6.8148148148148158</v>
      </c>
      <c r="AA595" s="100">
        <v>4</v>
      </c>
      <c r="AB595" s="86">
        <f>+AA595*Analisis!$J$6</f>
        <v>100</v>
      </c>
      <c r="AC595" s="100"/>
      <c r="AD595" s="85">
        <f t="shared" si="73"/>
        <v>0</v>
      </c>
      <c r="AE595" s="86">
        <f>+AC595*Analisis!$J$7</f>
        <v>0</v>
      </c>
      <c r="AF595" s="308">
        <f>+H595*0.0254*I595*0.0254*2*(1+[3]Analisis!$G$2)</f>
        <v>3.1698001119999993E-2</v>
      </c>
      <c r="AG595" s="86">
        <f>+AF595*Analisis!$J$8</f>
        <v>3.3773465479047622</v>
      </c>
      <c r="AH595" s="309">
        <f t="shared" si="83"/>
        <v>136.00418194673591</v>
      </c>
      <c r="AI595" s="86">
        <f>+AH595/(1-Analisis!G600)</f>
        <v>136.00418194673591</v>
      </c>
      <c r="AJ595" s="86">
        <f t="shared" si="74"/>
        <v>146.24105585670529</v>
      </c>
      <c r="AK595" s="86">
        <f t="shared" si="84"/>
        <v>0</v>
      </c>
      <c r="AL595" s="310" t="e">
        <f>+VLOOKUP(B595,#REF!,2,FALSE)</f>
        <v>#REF!</v>
      </c>
      <c r="AM595" s="311" t="e">
        <f t="shared" si="79"/>
        <v>#REF!</v>
      </c>
      <c r="AN595" s="312" t="e">
        <f t="shared" si="78"/>
        <v>#REF!</v>
      </c>
    </row>
    <row r="596" spans="1:40" s="73" customFormat="1" x14ac:dyDescent="0.25">
      <c r="A596" s="324"/>
      <c r="B596" s="118" t="s">
        <v>1353</v>
      </c>
      <c r="D596" s="74">
        <f>IFERROR(VLOOKUP(B596,'REQ. PINTADO'!B:C,2,0),0)</f>
        <v>0</v>
      </c>
      <c r="E596" s="305">
        <f t="shared" ref="E596:E701" si="85">+AJ596</f>
        <v>69.223088191027472</v>
      </c>
      <c r="F596" s="103" t="s">
        <v>165</v>
      </c>
      <c r="G596" s="75" t="s">
        <v>147</v>
      </c>
      <c r="H596" s="90">
        <v>2.7</v>
      </c>
      <c r="I596" s="90">
        <v>16.3</v>
      </c>
      <c r="J596" s="76">
        <v>0.105</v>
      </c>
      <c r="K596" s="306">
        <v>16.38</v>
      </c>
      <c r="L596" s="78">
        <f t="shared" ref="L596:L701" si="86">+M596*2.2/K596</f>
        <v>2.4567548076923083</v>
      </c>
      <c r="M596" s="58">
        <f>+VLOOKUP(F596,Material!$H$2:$M$17,6,FALSE)*H596*I596*(1+Material!$K$14)</f>
        <v>18.291656250000003</v>
      </c>
      <c r="N596" s="79" t="str">
        <f t="shared" si="82"/>
        <v>T5.0</v>
      </c>
      <c r="O596" s="80">
        <f>+VLOOKUP(N596,[3]Material!$A$3:$B$58,2,FALSE)</f>
        <v>5000</v>
      </c>
      <c r="P596" s="79" t="s">
        <v>42</v>
      </c>
      <c r="Q596" s="79" t="str">
        <f>+VLOOKUP(F596,[3]Material!$C$2:$E$12,2,FALSE)</f>
        <v>Cal 14</v>
      </c>
      <c r="R596" s="81">
        <f>+IF(P596="ACERO A36",VLOOKUP(Q596,'[3]Velocidades Std 1500 w'!$B$2:$F$15,5,FALSE),IF(P596="INOXIDABLE",VLOOKUP(Q596,'[3]Velocidades Std 1500 w'!$B$17:$F$28,5,FALSE),IF(P596="ALUMINIO",VLOOKUP(Q596,'[3]Velocidades Std 1500 w'!$B$30:$F$38,5,FALSE))))</f>
        <v>2.0080321285140564E-6</v>
      </c>
      <c r="S596" s="82">
        <f t="shared" ref="S596:S701" si="87">+R596*O596</f>
        <v>1.0040160642570283E-2</v>
      </c>
      <c r="T596" s="83">
        <f t="shared" ref="T596:T701" si="88">+R596*U596*3600</f>
        <v>8.48298795180723</v>
      </c>
      <c r="U596" s="307">
        <f t="shared" si="70"/>
        <v>1173.48</v>
      </c>
      <c r="V596" s="80">
        <f t="shared" si="75"/>
        <v>11.781927710843375</v>
      </c>
      <c r="W596" s="98">
        <v>4</v>
      </c>
      <c r="X596" s="84">
        <f>+IF(P596="ACERO A36",VLOOKUP(Q596,'[3]Tiempo Objeto'!$B$2:$C$12,2,FALSE),IF(P596="INOXIDABLE",VLOOKUP(Q596,'[3]Tiempo Objeto'!$B$14:$C$22,2,FALSE),IF(P596="ALUMINIO",VLOOKUP(Q596,'[3]Tiempo Objeto'!$B$24:$C$32,2,FALSE))))</f>
        <v>0.3133333333333333</v>
      </c>
      <c r="Y596" s="84">
        <f t="shared" ref="Y596:Y701" si="89">+X596*W596</f>
        <v>1.2533333333333332</v>
      </c>
      <c r="Z596" s="80">
        <f t="shared" ref="Z596:Z701" si="90">+Y596*O596/3600</f>
        <v>1.7407407407407405</v>
      </c>
      <c r="AA596" s="100">
        <v>1</v>
      </c>
      <c r="AB596" s="86">
        <f>+AA596*Analisis!$J$6</f>
        <v>25</v>
      </c>
      <c r="AC596" s="100"/>
      <c r="AD596" s="85">
        <f t="shared" ref="AD596:AD701" si="91">30*AC596+AC596*$D596*1.5</f>
        <v>0</v>
      </c>
      <c r="AE596" s="86">
        <f>+AC596*Analisis!$J$7</f>
        <v>0</v>
      </c>
      <c r="AF596" s="308">
        <f>+H596*0.0254*I596*0.0254*2*(1+[3]Analisis!$G$2)</f>
        <v>7.0983728999999995E-2</v>
      </c>
      <c r="AG596" s="86">
        <f>+AF596*Analisis!$J$8</f>
        <v>7.5631473160714302</v>
      </c>
      <c r="AH596" s="309">
        <f t="shared" si="83"/>
        <v>64.377472017655549</v>
      </c>
      <c r="AI596" s="86">
        <f>+AH596/(1-Analisis!G601)</f>
        <v>64.377472017655549</v>
      </c>
      <c r="AJ596" s="86">
        <f t="shared" ref="AJ596:AJ701" si="92">+AI596/(1-0.07)</f>
        <v>69.223088191027472</v>
      </c>
      <c r="AK596" s="86">
        <f t="shared" si="84"/>
        <v>0</v>
      </c>
      <c r="AL596" s="310" t="e">
        <f>+VLOOKUP(B596,#REF!,2,FALSE)</f>
        <v>#REF!</v>
      </c>
      <c r="AM596" s="311" t="e">
        <f t="shared" si="79"/>
        <v>#REF!</v>
      </c>
      <c r="AN596" s="312" t="e">
        <f t="shared" si="78"/>
        <v>#REF!</v>
      </c>
    </row>
    <row r="597" spans="1:40" s="73" customFormat="1" x14ac:dyDescent="0.25">
      <c r="A597" s="324"/>
      <c r="B597" s="118" t="s">
        <v>1354</v>
      </c>
      <c r="D597" s="74">
        <f>IFERROR(VLOOKUP(B597,'REQ. PINTADO'!B:C,2,0),0)</f>
        <v>0</v>
      </c>
      <c r="E597" s="305">
        <f t="shared" si="85"/>
        <v>0</v>
      </c>
      <c r="F597" s="103" t="s">
        <v>165</v>
      </c>
      <c r="G597" s="75" t="s">
        <v>147</v>
      </c>
      <c r="H597" s="90"/>
      <c r="I597" s="90"/>
      <c r="J597" s="76">
        <v>0.105</v>
      </c>
      <c r="K597" s="306">
        <v>16.38</v>
      </c>
      <c r="L597" s="78">
        <f t="shared" si="86"/>
        <v>0</v>
      </c>
      <c r="M597" s="58">
        <f>+VLOOKUP(F597,Material!$H$2:$M$17,6,FALSE)*H597*I597*(1+Material!$K$14)</f>
        <v>0</v>
      </c>
      <c r="N597" s="79" t="str">
        <f t="shared" si="82"/>
        <v>T5.0</v>
      </c>
      <c r="O597" s="80">
        <f>+VLOOKUP(N597,[3]Material!$A$3:$B$58,2,FALSE)</f>
        <v>5000</v>
      </c>
      <c r="P597" s="79" t="s">
        <v>42</v>
      </c>
      <c r="Q597" s="79" t="str">
        <f>+VLOOKUP(F597,[3]Material!$C$2:$E$12,2,FALSE)</f>
        <v>Cal 14</v>
      </c>
      <c r="R597" s="81">
        <f>+IF(P597="ACERO A36",VLOOKUP(Q597,'[3]Velocidades Std 1500 w'!$B$2:$F$15,5,FALSE),IF(P597="INOXIDABLE",VLOOKUP(Q597,'[3]Velocidades Std 1500 w'!$B$17:$F$28,5,FALSE),IF(P597="ALUMINIO",VLOOKUP(Q597,'[3]Velocidades Std 1500 w'!$B$30:$F$38,5,FALSE))))</f>
        <v>2.0080321285140564E-6</v>
      </c>
      <c r="S597" s="82">
        <f t="shared" si="87"/>
        <v>1.0040160642570283E-2</v>
      </c>
      <c r="T597" s="83">
        <f t="shared" si="88"/>
        <v>0</v>
      </c>
      <c r="U597" s="307">
        <f t="shared" si="70"/>
        <v>0</v>
      </c>
      <c r="V597" s="80">
        <f t="shared" si="75"/>
        <v>0</v>
      </c>
      <c r="W597" s="98"/>
      <c r="X597" s="84">
        <f>+IF(P597="ACERO A36",VLOOKUP(Q597,'[3]Tiempo Objeto'!$B$2:$C$12,2,FALSE),IF(P597="INOXIDABLE",VLOOKUP(Q597,'[3]Tiempo Objeto'!$B$14:$C$22,2,FALSE),IF(P597="ALUMINIO",VLOOKUP(Q597,'[3]Tiempo Objeto'!$B$24:$C$32,2,FALSE))))</f>
        <v>0.3133333333333333</v>
      </c>
      <c r="Y597" s="84">
        <f t="shared" si="89"/>
        <v>0</v>
      </c>
      <c r="Z597" s="80">
        <f t="shared" si="90"/>
        <v>0</v>
      </c>
      <c r="AA597" s="100"/>
      <c r="AB597" s="86">
        <f>+AA597*Analisis!$J$6</f>
        <v>0</v>
      </c>
      <c r="AC597" s="100"/>
      <c r="AD597" s="85">
        <f t="shared" si="91"/>
        <v>0</v>
      </c>
      <c r="AE597" s="86">
        <f>+AC597*Analisis!$J$7</f>
        <v>0</v>
      </c>
      <c r="AF597" s="308">
        <f>+H597*0.0254*I597*0.0254*2*(1+[3]Analisis!$G$2)</f>
        <v>0</v>
      </c>
      <c r="AG597" s="86">
        <f>+AF597*Analisis!$J$8</f>
        <v>0</v>
      </c>
      <c r="AH597" s="309">
        <f t="shared" si="83"/>
        <v>0</v>
      </c>
      <c r="AI597" s="86">
        <f>+AH597/(1-Analisis!G602)</f>
        <v>0</v>
      </c>
      <c r="AJ597" s="86">
        <f t="shared" si="92"/>
        <v>0</v>
      </c>
      <c r="AK597" s="86">
        <f t="shared" si="84"/>
        <v>0</v>
      </c>
      <c r="AL597" s="310" t="e">
        <f>+VLOOKUP(B597,#REF!,2,FALSE)</f>
        <v>#REF!</v>
      </c>
      <c r="AM597" s="311" t="e">
        <f t="shared" si="79"/>
        <v>#REF!</v>
      </c>
      <c r="AN597" s="312" t="e">
        <f t="shared" si="78"/>
        <v>#REF!</v>
      </c>
    </row>
    <row r="598" spans="1:40" s="73" customFormat="1" x14ac:dyDescent="0.25">
      <c r="A598" s="324"/>
      <c r="B598" s="118" t="s">
        <v>1354</v>
      </c>
      <c r="D598" s="74">
        <f>IFERROR(VLOOKUP(B598,'REQ. PINTADO'!B:C,2,0),0)</f>
        <v>0</v>
      </c>
      <c r="E598" s="305">
        <f t="shared" si="85"/>
        <v>0</v>
      </c>
      <c r="F598" s="103" t="s">
        <v>165</v>
      </c>
      <c r="G598" s="75" t="s">
        <v>147</v>
      </c>
      <c r="H598" s="90"/>
      <c r="I598" s="90"/>
      <c r="J598" s="76">
        <v>0.105</v>
      </c>
      <c r="K598" s="306">
        <v>16.38</v>
      </c>
      <c r="L598" s="78">
        <f t="shared" si="86"/>
        <v>0</v>
      </c>
      <c r="M598" s="58">
        <f>+VLOOKUP(F598,Material!$H$2:$M$17,6,FALSE)*H598*I598*(1+Material!$K$14)</f>
        <v>0</v>
      </c>
      <c r="N598" s="79" t="str">
        <f t="shared" si="82"/>
        <v>T5.0</v>
      </c>
      <c r="O598" s="80">
        <f>+VLOOKUP(N598,[3]Material!$A$3:$B$58,2,FALSE)</f>
        <v>5000</v>
      </c>
      <c r="P598" s="79" t="s">
        <v>42</v>
      </c>
      <c r="Q598" s="79" t="str">
        <f>+VLOOKUP(F598,[3]Material!$C$2:$E$12,2,FALSE)</f>
        <v>Cal 14</v>
      </c>
      <c r="R598" s="81">
        <f>+IF(P598="ACERO A36",VLOOKUP(Q598,'[3]Velocidades Std 1500 w'!$B$2:$F$15,5,FALSE),IF(P598="INOXIDABLE",VLOOKUP(Q598,'[3]Velocidades Std 1500 w'!$B$17:$F$28,5,FALSE),IF(P598="ALUMINIO",VLOOKUP(Q598,'[3]Velocidades Std 1500 w'!$B$30:$F$38,5,FALSE))))</f>
        <v>2.0080321285140564E-6</v>
      </c>
      <c r="S598" s="82">
        <f t="shared" si="87"/>
        <v>1.0040160642570283E-2</v>
      </c>
      <c r="T598" s="83">
        <f t="shared" si="88"/>
        <v>0</v>
      </c>
      <c r="U598" s="307">
        <f t="shared" si="70"/>
        <v>0</v>
      </c>
      <c r="V598" s="80">
        <f t="shared" si="75"/>
        <v>0</v>
      </c>
      <c r="W598" s="98"/>
      <c r="X598" s="84">
        <f>+IF(P598="ACERO A36",VLOOKUP(Q598,'[3]Tiempo Objeto'!$B$2:$C$12,2,FALSE),IF(P598="INOXIDABLE",VLOOKUP(Q598,'[3]Tiempo Objeto'!$B$14:$C$22,2,FALSE),IF(P598="ALUMINIO",VLOOKUP(Q598,'[3]Tiempo Objeto'!$B$24:$C$32,2,FALSE))))</f>
        <v>0.3133333333333333</v>
      </c>
      <c r="Y598" s="84">
        <f t="shared" si="89"/>
        <v>0</v>
      </c>
      <c r="Z598" s="80">
        <f t="shared" si="90"/>
        <v>0</v>
      </c>
      <c r="AA598" s="100"/>
      <c r="AB598" s="86">
        <f>+AA598*Analisis!$J$6</f>
        <v>0</v>
      </c>
      <c r="AC598" s="100"/>
      <c r="AD598" s="85">
        <f t="shared" si="91"/>
        <v>0</v>
      </c>
      <c r="AE598" s="86">
        <f>+AC598*Analisis!$J$7</f>
        <v>0</v>
      </c>
      <c r="AF598" s="308">
        <f>+H598*0.0254*I598*0.0254*2*(1+[3]Analisis!$G$2)</f>
        <v>0</v>
      </c>
      <c r="AG598" s="86">
        <f>+AF598*Analisis!$J$8</f>
        <v>0</v>
      </c>
      <c r="AH598" s="309">
        <f t="shared" si="83"/>
        <v>0</v>
      </c>
      <c r="AI598" s="86">
        <f>+AH598/(1-Analisis!G603)</f>
        <v>0</v>
      </c>
      <c r="AJ598" s="86">
        <f t="shared" si="92"/>
        <v>0</v>
      </c>
      <c r="AK598" s="86">
        <f t="shared" si="84"/>
        <v>0</v>
      </c>
      <c r="AL598" s="310" t="e">
        <f>+VLOOKUP(B598,#REF!,2,FALSE)</f>
        <v>#REF!</v>
      </c>
      <c r="AM598" s="311" t="e">
        <f t="shared" si="79"/>
        <v>#REF!</v>
      </c>
      <c r="AN598" s="312" t="e">
        <f t="shared" si="78"/>
        <v>#REF!</v>
      </c>
    </row>
    <row r="599" spans="1:40" s="73" customFormat="1" x14ac:dyDescent="0.25">
      <c r="A599" s="324"/>
      <c r="B599" s="118" t="s">
        <v>1355</v>
      </c>
      <c r="D599" s="74">
        <f>IFERROR(VLOOKUP(B599,'REQ. PINTADO'!B:C,2,0),0)</f>
        <v>0</v>
      </c>
      <c r="E599" s="305">
        <f t="shared" si="85"/>
        <v>175.49469961508899</v>
      </c>
      <c r="F599" s="103" t="s">
        <v>163</v>
      </c>
      <c r="G599" s="75" t="s">
        <v>147</v>
      </c>
      <c r="H599" s="90">
        <v>5.12</v>
      </c>
      <c r="I599" s="90">
        <v>23.95</v>
      </c>
      <c r="J599" s="76">
        <v>0.105</v>
      </c>
      <c r="K599" s="306">
        <v>16.38</v>
      </c>
      <c r="L599" s="78">
        <f t="shared" si="86"/>
        <v>6.1821241789185208</v>
      </c>
      <c r="M599" s="58">
        <f>+VLOOKUP(F599,Material!$H$2:$M$17,6,FALSE)*H599*I599*(1+Material!$K$14)</f>
        <v>46.028724568493345</v>
      </c>
      <c r="N599" s="79" t="str">
        <f t="shared" si="82"/>
        <v>T5.0</v>
      </c>
      <c r="O599" s="80">
        <f>+VLOOKUP(N599,[3]Material!$A$3:$B$58,2,FALSE)</f>
        <v>5000</v>
      </c>
      <c r="P599" s="79" t="s">
        <v>42</v>
      </c>
      <c r="Q599" s="79" t="str">
        <f>+VLOOKUP(F599,[3]Material!$C$2:$E$12,2,FALSE)</f>
        <v>Cal 12</v>
      </c>
      <c r="R599" s="81">
        <f>+IF(P599="ACERO A36",VLOOKUP(Q599,'[3]Velocidades Std 1500 w'!$B$2:$F$15,5,FALSE),IF(P599="INOXIDABLE",VLOOKUP(Q599,'[3]Velocidades Std 1500 w'!$B$17:$F$28,5,FALSE),IF(P599="ALUMINIO",VLOOKUP(Q599,'[3]Velocidades Std 1500 w'!$B$30:$F$38,5,FALSE))))</f>
        <v>4.3859649122807014E-6</v>
      </c>
      <c r="S599" s="82">
        <f t="shared" si="87"/>
        <v>2.1929824561403508E-2</v>
      </c>
      <c r="T599" s="83">
        <f t="shared" si="88"/>
        <v>28.904665263157895</v>
      </c>
      <c r="U599" s="307">
        <f t="shared" si="70"/>
        <v>1830.6288</v>
      </c>
      <c r="V599" s="80">
        <f t="shared" ref="V599:V704" si="93">+U599*S599</f>
        <v>40.14536842105263</v>
      </c>
      <c r="W599" s="98">
        <v>7</v>
      </c>
      <c r="X599" s="84">
        <f>+IF(P599="ACERO A36",VLOOKUP(Q599,'[3]Tiempo Objeto'!$B$2:$C$12,2,FALSE),IF(P599="INOXIDABLE",VLOOKUP(Q599,'[3]Tiempo Objeto'!$B$14:$C$22,2,FALSE),IF(P599="ALUMINIO",VLOOKUP(Q599,'[3]Tiempo Objeto'!$B$24:$C$32,2,FALSE))))</f>
        <v>0.6133333333333334</v>
      </c>
      <c r="Y599" s="84">
        <f t="shared" si="89"/>
        <v>4.2933333333333339</v>
      </c>
      <c r="Z599" s="80">
        <f t="shared" si="90"/>
        <v>5.9629629629629637</v>
      </c>
      <c r="AA599" s="100">
        <v>2</v>
      </c>
      <c r="AB599" s="86">
        <f>+AA599*Analisis!$J$6</f>
        <v>50</v>
      </c>
      <c r="AC599" s="100"/>
      <c r="AD599" s="85">
        <f t="shared" si="91"/>
        <v>0</v>
      </c>
      <c r="AE599" s="86">
        <f>+AC599*Analisis!$J$7</f>
        <v>0</v>
      </c>
      <c r="AF599" s="308">
        <f>+H599*0.0254*I599*0.0254*2*(1+[3]Analisis!$G$2)</f>
        <v>0.19778024959999999</v>
      </c>
      <c r="AG599" s="86">
        <f>+AF599*Analisis!$J$8</f>
        <v>21.073014689523813</v>
      </c>
      <c r="AH599" s="309">
        <f t="shared" si="83"/>
        <v>163.21007064203275</v>
      </c>
      <c r="AI599" s="86">
        <f>+AH599/(1-Analisis!G604)</f>
        <v>163.21007064203275</v>
      </c>
      <c r="AJ599" s="86">
        <f t="shared" si="92"/>
        <v>175.49469961508899</v>
      </c>
      <c r="AK599" s="86">
        <f t="shared" si="84"/>
        <v>0</v>
      </c>
      <c r="AL599" s="310" t="e">
        <f>+VLOOKUP(B599,#REF!,2,FALSE)</f>
        <v>#REF!</v>
      </c>
      <c r="AM599" s="311" t="e">
        <f t="shared" si="79"/>
        <v>#REF!</v>
      </c>
      <c r="AN599" s="312" t="e">
        <f t="shared" si="78"/>
        <v>#REF!</v>
      </c>
    </row>
    <row r="600" spans="1:40" s="73" customFormat="1" x14ac:dyDescent="0.25">
      <c r="A600" s="324"/>
      <c r="B600" s="118" t="s">
        <v>1356</v>
      </c>
      <c r="D600" s="74">
        <f>IFERROR(VLOOKUP(B600,'REQ. PINTADO'!B:C,2,0),0)</f>
        <v>0</v>
      </c>
      <c r="E600" s="305">
        <f t="shared" si="85"/>
        <v>170.15668938844979</v>
      </c>
      <c r="F600" s="103" t="s">
        <v>163</v>
      </c>
      <c r="G600" s="75" t="s">
        <v>147</v>
      </c>
      <c r="H600" s="90">
        <v>5.12</v>
      </c>
      <c r="I600" s="90">
        <v>22.7</v>
      </c>
      <c r="J600" s="76">
        <v>0.105</v>
      </c>
      <c r="K600" s="306">
        <v>16.38</v>
      </c>
      <c r="L600" s="78">
        <f t="shared" si="86"/>
        <v>5.8594663407703722</v>
      </c>
      <c r="M600" s="58">
        <f>+VLOOKUP(F600,Material!$H$2:$M$17,6,FALSE)*H600*I600*(1+Material!$K$14)</f>
        <v>43.626390300826678</v>
      </c>
      <c r="N600" s="79" t="str">
        <f t="shared" si="82"/>
        <v>T5.0</v>
      </c>
      <c r="O600" s="80">
        <f>+VLOOKUP(N600,[3]Material!$A$3:$B$58,2,FALSE)</f>
        <v>5000</v>
      </c>
      <c r="P600" s="79" t="s">
        <v>42</v>
      </c>
      <c r="Q600" s="79" t="str">
        <f>+VLOOKUP(F600,[3]Material!$C$2:$E$12,2,FALSE)</f>
        <v>Cal 12</v>
      </c>
      <c r="R600" s="81">
        <f>+IF(P600="ACERO A36",VLOOKUP(Q600,'[3]Velocidades Std 1500 w'!$B$2:$F$15,5,FALSE),IF(P600="INOXIDABLE",VLOOKUP(Q600,'[3]Velocidades Std 1500 w'!$B$17:$F$28,5,FALSE),IF(P600="ALUMINIO",VLOOKUP(Q600,'[3]Velocidades Std 1500 w'!$B$30:$F$38,5,FALSE))))</f>
        <v>4.3859649122807014E-6</v>
      </c>
      <c r="S600" s="82">
        <f t="shared" si="87"/>
        <v>2.1929824561403508E-2</v>
      </c>
      <c r="T600" s="83">
        <f t="shared" si="88"/>
        <v>27.851902105263157</v>
      </c>
      <c r="U600" s="307">
        <f t="shared" si="70"/>
        <v>1763.9538</v>
      </c>
      <c r="V600" s="80">
        <f t="shared" si="93"/>
        <v>38.683197368421048</v>
      </c>
      <c r="W600" s="98">
        <v>7</v>
      </c>
      <c r="X600" s="84">
        <f>+IF(P600="ACERO A36",VLOOKUP(Q600,'[3]Tiempo Objeto'!$B$2:$C$12,2,FALSE),IF(P600="INOXIDABLE",VLOOKUP(Q600,'[3]Tiempo Objeto'!$B$14:$C$22,2,FALSE),IF(P600="ALUMINIO",VLOOKUP(Q600,'[3]Tiempo Objeto'!$B$24:$C$32,2,FALSE))))</f>
        <v>0.6133333333333334</v>
      </c>
      <c r="Y600" s="84">
        <f t="shared" si="89"/>
        <v>4.2933333333333339</v>
      </c>
      <c r="Z600" s="80">
        <f t="shared" si="90"/>
        <v>5.9629629629629637</v>
      </c>
      <c r="AA600" s="100">
        <v>2</v>
      </c>
      <c r="AB600" s="86">
        <f>+AA600*Analisis!$J$6</f>
        <v>50</v>
      </c>
      <c r="AC600" s="100"/>
      <c r="AD600" s="85">
        <f t="shared" si="91"/>
        <v>0</v>
      </c>
      <c r="AE600" s="86">
        <f>+AC600*Analisis!$J$7</f>
        <v>0</v>
      </c>
      <c r="AF600" s="308">
        <f>+H600*0.0254*I600*0.0254*2*(1+[3]Analisis!$G$2)</f>
        <v>0.18745768959999998</v>
      </c>
      <c r="AG600" s="86">
        <f>+AF600*Analisis!$J$8</f>
        <v>19.973170499047622</v>
      </c>
      <c r="AH600" s="309">
        <f t="shared" si="83"/>
        <v>158.24572113125831</v>
      </c>
      <c r="AI600" s="86">
        <f>+AH600/(1-Analisis!G605)</f>
        <v>158.24572113125831</v>
      </c>
      <c r="AJ600" s="86">
        <f t="shared" si="92"/>
        <v>170.15668938844979</v>
      </c>
      <c r="AK600" s="86">
        <f t="shared" si="84"/>
        <v>0</v>
      </c>
      <c r="AL600" s="310" t="e">
        <f>+VLOOKUP(B600,#REF!,2,FALSE)</f>
        <v>#REF!</v>
      </c>
      <c r="AM600" s="311" t="e">
        <f t="shared" si="79"/>
        <v>#REF!</v>
      </c>
      <c r="AN600" s="312" t="e">
        <f t="shared" si="78"/>
        <v>#REF!</v>
      </c>
    </row>
    <row r="601" spans="1:40" s="73" customFormat="1" x14ac:dyDescent="0.25">
      <c r="A601" s="324"/>
      <c r="B601" s="118" t="s">
        <v>1357</v>
      </c>
      <c r="D601" s="74">
        <f>IFERROR(VLOOKUP(B601,'REQ. PINTADO'!B:C,2,0),0)</f>
        <v>0</v>
      </c>
      <c r="E601" s="305">
        <f t="shared" si="85"/>
        <v>129.24385875163378</v>
      </c>
      <c r="F601" s="103" t="s">
        <v>165</v>
      </c>
      <c r="G601" s="75" t="s">
        <v>147</v>
      </c>
      <c r="H601" s="90">
        <v>2.7</v>
      </c>
      <c r="I601" s="90">
        <v>31.22</v>
      </c>
      <c r="J601" s="76">
        <v>0.105</v>
      </c>
      <c r="K601" s="306">
        <v>16.38</v>
      </c>
      <c r="L601" s="78">
        <f t="shared" si="86"/>
        <v>4.7055144230769237</v>
      </c>
      <c r="M601" s="58">
        <f>+VLOOKUP(F601,Material!$H$2:$M$17,6,FALSE)*H601*I601*(1+Material!$K$14)</f>
        <v>35.034693750000002</v>
      </c>
      <c r="N601" s="79" t="str">
        <f t="shared" si="82"/>
        <v>T5.0</v>
      </c>
      <c r="O601" s="80">
        <f>+VLOOKUP(N601,[3]Material!$A$3:$B$58,2,FALSE)</f>
        <v>5000</v>
      </c>
      <c r="P601" s="79" t="s">
        <v>42</v>
      </c>
      <c r="Q601" s="79" t="str">
        <f>+VLOOKUP(F601,[3]Material!$C$2:$E$12,2,FALSE)</f>
        <v>Cal 14</v>
      </c>
      <c r="R601" s="81">
        <f>+IF(P601="ACERO A36",VLOOKUP(Q601,'[3]Velocidades Std 1500 w'!$B$2:$F$15,5,FALSE),IF(P601="INOXIDABLE",VLOOKUP(Q601,'[3]Velocidades Std 1500 w'!$B$17:$F$28,5,FALSE),IF(P601="ALUMINIO",VLOOKUP(Q601,'[3]Velocidades Std 1500 w'!$B$30:$F$38,5,FALSE))))</f>
        <v>2.0080321285140564E-6</v>
      </c>
      <c r="S601" s="82">
        <f t="shared" si="87"/>
        <v>1.0040160642570283E-2</v>
      </c>
      <c r="T601" s="83">
        <f t="shared" si="88"/>
        <v>13.946803373493978</v>
      </c>
      <c r="U601" s="307">
        <f t="shared" si="70"/>
        <v>1929.3078</v>
      </c>
      <c r="V601" s="80">
        <f t="shared" si="93"/>
        <v>19.370560240963858</v>
      </c>
      <c r="W601" s="98">
        <v>3</v>
      </c>
      <c r="X601" s="84">
        <f>+IF(P601="ACERO A36",VLOOKUP(Q601,'[3]Tiempo Objeto'!$B$2:$C$12,2,FALSE),IF(P601="INOXIDABLE",VLOOKUP(Q601,'[3]Tiempo Objeto'!$B$14:$C$22,2,FALSE),IF(P601="ALUMINIO",VLOOKUP(Q601,'[3]Tiempo Objeto'!$B$24:$C$32,2,FALSE))))</f>
        <v>0.3133333333333333</v>
      </c>
      <c r="Y601" s="84">
        <f t="shared" si="89"/>
        <v>0.94</v>
      </c>
      <c r="Z601" s="80">
        <f t="shared" si="90"/>
        <v>1.3055555555555556</v>
      </c>
      <c r="AA601" s="100">
        <v>2</v>
      </c>
      <c r="AB601" s="86">
        <f>+AA601*Analisis!$J$6</f>
        <v>50</v>
      </c>
      <c r="AC601" s="100"/>
      <c r="AD601" s="85">
        <f t="shared" si="91"/>
        <v>0</v>
      </c>
      <c r="AE601" s="86">
        <f>+AC601*Analisis!$J$7</f>
        <v>0</v>
      </c>
      <c r="AF601" s="308">
        <f>+H601*0.0254*I601*0.0254*2*(1+[3]Analisis!$G$2)</f>
        <v>0.13595779259999999</v>
      </c>
      <c r="AG601" s="86">
        <f>+AF601*Analisis!$J$8</f>
        <v>14.485979092500003</v>
      </c>
      <c r="AH601" s="309">
        <f t="shared" si="83"/>
        <v>120.19678863901942</v>
      </c>
      <c r="AI601" s="86">
        <f>+AH601/(1-Analisis!G606)</f>
        <v>120.19678863901942</v>
      </c>
      <c r="AJ601" s="86">
        <f t="shared" si="92"/>
        <v>129.24385875163378</v>
      </c>
      <c r="AK601" s="86">
        <f t="shared" si="84"/>
        <v>0</v>
      </c>
      <c r="AL601" s="310" t="e">
        <f>+VLOOKUP(B601,#REF!,2,FALSE)</f>
        <v>#REF!</v>
      </c>
      <c r="AM601" s="311" t="e">
        <f t="shared" si="79"/>
        <v>#REF!</v>
      </c>
      <c r="AN601" s="312" t="e">
        <f t="shared" si="78"/>
        <v>#REF!</v>
      </c>
    </row>
    <row r="602" spans="1:40" s="73" customFormat="1" x14ac:dyDescent="0.25">
      <c r="A602" s="324"/>
      <c r="B602" s="118" t="s">
        <v>1358</v>
      </c>
      <c r="D602" s="74">
        <f>IFERROR(VLOOKUP(B602,'REQ. PINTADO'!B:C,2,0),0)</f>
        <v>0</v>
      </c>
      <c r="E602" s="305">
        <f t="shared" si="85"/>
        <v>117.83672737243035</v>
      </c>
      <c r="F602" s="103" t="s">
        <v>165</v>
      </c>
      <c r="G602" s="75" t="s">
        <v>147</v>
      </c>
      <c r="H602" s="90">
        <v>2.7</v>
      </c>
      <c r="I602" s="90">
        <v>26.22</v>
      </c>
      <c r="J602" s="76">
        <v>0.105</v>
      </c>
      <c r="K602" s="306">
        <v>16.38</v>
      </c>
      <c r="L602" s="78">
        <f t="shared" si="86"/>
        <v>3.9519086538461541</v>
      </c>
      <c r="M602" s="58">
        <f>+VLOOKUP(F602,Material!$H$2:$M$17,6,FALSE)*H602*I602*(1+Material!$K$14)</f>
        <v>29.42375625</v>
      </c>
      <c r="N602" s="79" t="str">
        <f t="shared" si="82"/>
        <v>T5.0</v>
      </c>
      <c r="O602" s="80">
        <f>+VLOOKUP(N602,[3]Material!$A$3:$B$58,2,FALSE)</f>
        <v>5000</v>
      </c>
      <c r="P602" s="79" t="s">
        <v>42</v>
      </c>
      <c r="Q602" s="79" t="str">
        <f>+VLOOKUP(F602,[3]Material!$C$2:$E$12,2,FALSE)</f>
        <v>Cal 14</v>
      </c>
      <c r="R602" s="81">
        <f>+IF(P602="ACERO A36",VLOOKUP(Q602,'[3]Velocidades Std 1500 w'!$B$2:$F$15,5,FALSE),IF(P602="INOXIDABLE",VLOOKUP(Q602,'[3]Velocidades Std 1500 w'!$B$17:$F$28,5,FALSE),IF(P602="ALUMINIO",VLOOKUP(Q602,'[3]Velocidades Std 1500 w'!$B$30:$F$38,5,FALSE))))</f>
        <v>2.0080321285140564E-6</v>
      </c>
      <c r="S602" s="82">
        <f t="shared" si="87"/>
        <v>1.0040160642570283E-2</v>
      </c>
      <c r="T602" s="83">
        <f t="shared" si="88"/>
        <v>12.018851566265061</v>
      </c>
      <c r="U602" s="307">
        <f t="shared" si="70"/>
        <v>1662.6078</v>
      </c>
      <c r="V602" s="80">
        <f t="shared" si="93"/>
        <v>16.692849397590365</v>
      </c>
      <c r="W602" s="98">
        <v>3</v>
      </c>
      <c r="X602" s="84">
        <f>+IF(P602="ACERO A36",VLOOKUP(Q602,'[3]Tiempo Objeto'!$B$2:$C$12,2,FALSE),IF(P602="INOXIDABLE",VLOOKUP(Q602,'[3]Tiempo Objeto'!$B$14:$C$22,2,FALSE),IF(P602="ALUMINIO",VLOOKUP(Q602,'[3]Tiempo Objeto'!$B$24:$C$32,2,FALSE))))</f>
        <v>0.3133333333333333</v>
      </c>
      <c r="Y602" s="84">
        <f t="shared" si="89"/>
        <v>0.94</v>
      </c>
      <c r="Z602" s="80">
        <f t="shared" si="90"/>
        <v>1.3055555555555556</v>
      </c>
      <c r="AA602" s="100">
        <v>2</v>
      </c>
      <c r="AB602" s="86">
        <f>+AA602*Analisis!$J$6</f>
        <v>50</v>
      </c>
      <c r="AC602" s="100"/>
      <c r="AD602" s="85">
        <f t="shared" si="91"/>
        <v>0</v>
      </c>
      <c r="AE602" s="86">
        <f>+AC602*Analisis!$J$7</f>
        <v>0</v>
      </c>
      <c r="AF602" s="308">
        <f>+H602*0.0254*I602*0.0254*2*(1+[3]Analisis!$G$2)</f>
        <v>0.1141836426</v>
      </c>
      <c r="AG602" s="86">
        <f>+AF602*Analisis!$J$8</f>
        <v>12.165995253214289</v>
      </c>
      <c r="AH602" s="309">
        <f t="shared" si="83"/>
        <v>109.58815645636021</v>
      </c>
      <c r="AI602" s="86">
        <f>+AH602/(1-Analisis!G607)</f>
        <v>109.58815645636021</v>
      </c>
      <c r="AJ602" s="86">
        <f t="shared" si="92"/>
        <v>117.83672737243035</v>
      </c>
      <c r="AK602" s="86">
        <f t="shared" si="84"/>
        <v>0</v>
      </c>
      <c r="AL602" s="310" t="e">
        <f>+VLOOKUP(B602,#REF!,2,FALSE)</f>
        <v>#REF!</v>
      </c>
      <c r="AM602" s="311" t="e">
        <f t="shared" si="79"/>
        <v>#REF!</v>
      </c>
      <c r="AN602" s="312" t="e">
        <f t="shared" si="78"/>
        <v>#REF!</v>
      </c>
    </row>
    <row r="603" spans="1:40" s="73" customFormat="1" x14ac:dyDescent="0.25">
      <c r="A603" s="324"/>
      <c r="B603" s="118" t="s">
        <v>1359</v>
      </c>
      <c r="D603" s="74">
        <f>IFERROR(VLOOKUP(B603,'REQ. PINTADO'!B:C,2,0),0)</f>
        <v>0</v>
      </c>
      <c r="E603" s="305">
        <f t="shared" si="85"/>
        <v>152.05812151004068</v>
      </c>
      <c r="F603" s="103" t="s">
        <v>165</v>
      </c>
      <c r="G603" s="75" t="s">
        <v>147</v>
      </c>
      <c r="H603" s="90">
        <v>2.7</v>
      </c>
      <c r="I603" s="90">
        <v>41.22</v>
      </c>
      <c r="J603" s="76">
        <v>0.105</v>
      </c>
      <c r="K603" s="306">
        <v>16.38</v>
      </c>
      <c r="L603" s="78">
        <f t="shared" si="86"/>
        <v>6.2127259615384629</v>
      </c>
      <c r="M603" s="58">
        <f>+VLOOKUP(F603,Material!$H$2:$M$17,6,FALSE)*H603*I603*(1+Material!$K$14)</f>
        <v>46.256568750000007</v>
      </c>
      <c r="N603" s="79" t="str">
        <f t="shared" si="82"/>
        <v>T5.0</v>
      </c>
      <c r="O603" s="80">
        <f>+VLOOKUP(N603,[3]Material!$A$3:$B$58,2,FALSE)</f>
        <v>5000</v>
      </c>
      <c r="P603" s="79" t="s">
        <v>42</v>
      </c>
      <c r="Q603" s="79" t="str">
        <f>+VLOOKUP(F603,[3]Material!$C$2:$E$12,2,FALSE)</f>
        <v>Cal 14</v>
      </c>
      <c r="R603" s="81">
        <f>+IF(P603="ACERO A36",VLOOKUP(Q603,'[3]Velocidades Std 1500 w'!$B$2:$F$15,5,FALSE),IF(P603="INOXIDABLE",VLOOKUP(Q603,'[3]Velocidades Std 1500 w'!$B$17:$F$28,5,FALSE),IF(P603="ALUMINIO",VLOOKUP(Q603,'[3]Velocidades Std 1500 w'!$B$30:$F$38,5,FALSE))))</f>
        <v>2.0080321285140564E-6</v>
      </c>
      <c r="S603" s="82">
        <f t="shared" si="87"/>
        <v>1.0040160642570283E-2</v>
      </c>
      <c r="T603" s="83">
        <f t="shared" si="88"/>
        <v>17.802706987951808</v>
      </c>
      <c r="U603" s="307">
        <f t="shared" si="70"/>
        <v>2462.7078000000001</v>
      </c>
      <c r="V603" s="80">
        <f t="shared" si="93"/>
        <v>24.725981927710848</v>
      </c>
      <c r="W603" s="98">
        <v>3</v>
      </c>
      <c r="X603" s="84">
        <f>+IF(P603="ACERO A36",VLOOKUP(Q603,'[3]Tiempo Objeto'!$B$2:$C$12,2,FALSE),IF(P603="INOXIDABLE",VLOOKUP(Q603,'[3]Tiempo Objeto'!$B$14:$C$22,2,FALSE),IF(P603="ALUMINIO",VLOOKUP(Q603,'[3]Tiempo Objeto'!$B$24:$C$32,2,FALSE))))</f>
        <v>0.3133333333333333</v>
      </c>
      <c r="Y603" s="84">
        <f t="shared" si="89"/>
        <v>0.94</v>
      </c>
      <c r="Z603" s="80">
        <f t="shared" si="90"/>
        <v>1.3055555555555556</v>
      </c>
      <c r="AA603" s="100">
        <v>2</v>
      </c>
      <c r="AB603" s="86">
        <f>+AA603*Analisis!$J$6</f>
        <v>50</v>
      </c>
      <c r="AC603" s="100"/>
      <c r="AD603" s="85">
        <f t="shared" si="91"/>
        <v>0</v>
      </c>
      <c r="AE603" s="86">
        <f>+AC603*Analisis!$J$7</f>
        <v>0</v>
      </c>
      <c r="AF603" s="308">
        <f>+H603*0.0254*I603*0.0254*2*(1+[3]Analisis!$G$2)</f>
        <v>0.1795060926</v>
      </c>
      <c r="AG603" s="86">
        <f>+AF603*Analisis!$J$8</f>
        <v>19.125946771071433</v>
      </c>
      <c r="AH603" s="309">
        <f t="shared" si="83"/>
        <v>141.41405300433783</v>
      </c>
      <c r="AI603" s="86">
        <f>+AH603/(1-Analisis!G608)</f>
        <v>141.41405300433783</v>
      </c>
      <c r="AJ603" s="86">
        <f t="shared" si="92"/>
        <v>152.05812151004068</v>
      </c>
      <c r="AK603" s="86">
        <f t="shared" si="84"/>
        <v>0</v>
      </c>
      <c r="AL603" s="310" t="e">
        <f>+VLOOKUP(B603,#REF!,2,FALSE)</f>
        <v>#REF!</v>
      </c>
      <c r="AM603" s="311" t="e">
        <f t="shared" si="79"/>
        <v>#REF!</v>
      </c>
      <c r="AN603" s="312" t="e">
        <f t="shared" si="78"/>
        <v>#REF!</v>
      </c>
    </row>
    <row r="604" spans="1:40" s="73" customFormat="1" x14ac:dyDescent="0.25">
      <c r="A604" s="324"/>
      <c r="B604" s="118" t="s">
        <v>1360</v>
      </c>
      <c r="D604" s="74">
        <f>IFERROR(VLOOKUP(B604,'REQ. PINTADO'!B:C,2,0),0)</f>
        <v>0</v>
      </c>
      <c r="E604" s="305">
        <f t="shared" si="85"/>
        <v>134.37706787227535</v>
      </c>
      <c r="F604" s="103" t="s">
        <v>165</v>
      </c>
      <c r="G604" s="75" t="s">
        <v>147</v>
      </c>
      <c r="H604" s="90">
        <v>2.7</v>
      </c>
      <c r="I604" s="90">
        <v>33.47</v>
      </c>
      <c r="J604" s="76">
        <v>0.105</v>
      </c>
      <c r="K604" s="306">
        <v>16.38</v>
      </c>
      <c r="L604" s="78">
        <f t="shared" si="86"/>
        <v>5.0446370192307697</v>
      </c>
      <c r="M604" s="58">
        <f>+VLOOKUP(F604,Material!$H$2:$M$17,6,FALSE)*H604*I604*(1+Material!$K$14)</f>
        <v>37.559615624999999</v>
      </c>
      <c r="N604" s="79" t="str">
        <f t="shared" si="82"/>
        <v>T5.0</v>
      </c>
      <c r="O604" s="80">
        <f>+VLOOKUP(N604,[3]Material!$A$3:$B$58,2,FALSE)</f>
        <v>5000</v>
      </c>
      <c r="P604" s="79" t="s">
        <v>42</v>
      </c>
      <c r="Q604" s="79" t="str">
        <f>+VLOOKUP(F604,[3]Material!$C$2:$E$12,2,FALSE)</f>
        <v>Cal 14</v>
      </c>
      <c r="R604" s="81">
        <f>+IF(P604="ACERO A36",VLOOKUP(Q604,'[3]Velocidades Std 1500 w'!$B$2:$F$15,5,FALSE),IF(P604="INOXIDABLE",VLOOKUP(Q604,'[3]Velocidades Std 1500 w'!$B$17:$F$28,5,FALSE),IF(P604="ALUMINIO",VLOOKUP(Q604,'[3]Velocidades Std 1500 w'!$B$30:$F$38,5,FALSE))))</f>
        <v>2.0080321285140564E-6</v>
      </c>
      <c r="S604" s="82">
        <f t="shared" si="87"/>
        <v>1.0040160642570283E-2</v>
      </c>
      <c r="T604" s="83">
        <f t="shared" si="88"/>
        <v>14.814381686746989</v>
      </c>
      <c r="U604" s="307">
        <f t="shared" si="70"/>
        <v>2049.3227999999999</v>
      </c>
      <c r="V604" s="80">
        <f t="shared" si="93"/>
        <v>20.575530120481929</v>
      </c>
      <c r="W604" s="98">
        <v>3</v>
      </c>
      <c r="X604" s="84">
        <f>+IF(P604="ACERO A36",VLOOKUP(Q604,'[3]Tiempo Objeto'!$B$2:$C$12,2,FALSE),IF(P604="INOXIDABLE",VLOOKUP(Q604,'[3]Tiempo Objeto'!$B$14:$C$22,2,FALSE),IF(P604="ALUMINIO",VLOOKUP(Q604,'[3]Tiempo Objeto'!$B$24:$C$32,2,FALSE))))</f>
        <v>0.3133333333333333</v>
      </c>
      <c r="Y604" s="84">
        <f t="shared" si="89"/>
        <v>0.94</v>
      </c>
      <c r="Z604" s="80">
        <f t="shared" si="90"/>
        <v>1.3055555555555556</v>
      </c>
      <c r="AA604" s="100">
        <v>2</v>
      </c>
      <c r="AB604" s="86">
        <f>+AA604*Analisis!$J$6</f>
        <v>50</v>
      </c>
      <c r="AC604" s="100"/>
      <c r="AD604" s="85">
        <f t="shared" si="91"/>
        <v>0</v>
      </c>
      <c r="AE604" s="86">
        <f>+AC604*Analisis!$J$7</f>
        <v>0</v>
      </c>
      <c r="AF604" s="308">
        <f>+H604*0.0254*I604*0.0254*2*(1+[3]Analisis!$G$2)</f>
        <v>0.14575616009999998</v>
      </c>
      <c r="AG604" s="86">
        <f>+AF604*Analisis!$J$8</f>
        <v>15.529971820178574</v>
      </c>
      <c r="AH604" s="309">
        <f t="shared" si="83"/>
        <v>124.97067312121605</v>
      </c>
      <c r="AI604" s="86">
        <f>+AH604/(1-Analisis!G609)</f>
        <v>124.97067312121605</v>
      </c>
      <c r="AJ604" s="86">
        <f t="shared" si="92"/>
        <v>134.37706787227535</v>
      </c>
      <c r="AK604" s="86">
        <f t="shared" si="84"/>
        <v>0</v>
      </c>
      <c r="AL604" s="310" t="e">
        <f>+VLOOKUP(B604,#REF!,2,FALSE)</f>
        <v>#REF!</v>
      </c>
      <c r="AM604" s="311" t="e">
        <f t="shared" si="79"/>
        <v>#REF!</v>
      </c>
      <c r="AN604" s="312" t="e">
        <f t="shared" si="78"/>
        <v>#REF!</v>
      </c>
    </row>
    <row r="605" spans="1:40" s="73" customFormat="1" x14ac:dyDescent="0.25">
      <c r="A605" s="324"/>
      <c r="B605" s="118" t="s">
        <v>1361</v>
      </c>
      <c r="D605" s="74">
        <f>IFERROR(VLOOKUP(B605,'REQ. PINTADO'!B:C,2,0),0)</f>
        <v>0</v>
      </c>
      <c r="E605" s="305">
        <f t="shared" si="85"/>
        <v>120.11815364827103</v>
      </c>
      <c r="F605" s="103" t="s">
        <v>165</v>
      </c>
      <c r="G605" s="75" t="s">
        <v>147</v>
      </c>
      <c r="H605" s="90">
        <v>2.7</v>
      </c>
      <c r="I605" s="90">
        <v>27.22</v>
      </c>
      <c r="J605" s="76">
        <v>0.105</v>
      </c>
      <c r="K605" s="306">
        <v>16.38</v>
      </c>
      <c r="L605" s="78">
        <f t="shared" si="86"/>
        <v>4.102629807692308</v>
      </c>
      <c r="M605" s="58">
        <f>+VLOOKUP(F605,Material!$H$2:$M$17,6,FALSE)*H605*I605*(1+Material!$K$14)</f>
        <v>30.545943749999999</v>
      </c>
      <c r="N605" s="79" t="str">
        <f t="shared" si="82"/>
        <v>T5.0</v>
      </c>
      <c r="O605" s="80">
        <f>+VLOOKUP(N605,[3]Material!$A$3:$B$58,2,FALSE)</f>
        <v>5000</v>
      </c>
      <c r="P605" s="79" t="s">
        <v>42</v>
      </c>
      <c r="Q605" s="79" t="str">
        <f>+VLOOKUP(F605,[3]Material!$C$2:$E$12,2,FALSE)</f>
        <v>Cal 14</v>
      </c>
      <c r="R605" s="81">
        <f>+IF(P605="ACERO A36",VLOOKUP(Q605,'[3]Velocidades Std 1500 w'!$B$2:$F$15,5,FALSE),IF(P605="INOXIDABLE",VLOOKUP(Q605,'[3]Velocidades Std 1500 w'!$B$17:$F$28,5,FALSE),IF(P605="ALUMINIO",VLOOKUP(Q605,'[3]Velocidades Std 1500 w'!$B$30:$F$38,5,FALSE))))</f>
        <v>2.0080321285140564E-6</v>
      </c>
      <c r="S605" s="82">
        <f t="shared" si="87"/>
        <v>1.0040160642570283E-2</v>
      </c>
      <c r="T605" s="83">
        <f t="shared" si="88"/>
        <v>12.404441927710845</v>
      </c>
      <c r="U605" s="307">
        <f t="shared" si="70"/>
        <v>1715.9478000000001</v>
      </c>
      <c r="V605" s="80">
        <f t="shared" si="93"/>
        <v>17.228391566265064</v>
      </c>
      <c r="W605" s="98">
        <v>3</v>
      </c>
      <c r="X605" s="84">
        <f>+IF(P605="ACERO A36",VLOOKUP(Q605,'[3]Tiempo Objeto'!$B$2:$C$12,2,FALSE),IF(P605="INOXIDABLE",VLOOKUP(Q605,'[3]Tiempo Objeto'!$B$14:$C$22,2,FALSE),IF(P605="ALUMINIO",VLOOKUP(Q605,'[3]Tiempo Objeto'!$B$24:$C$32,2,FALSE))))</f>
        <v>0.3133333333333333</v>
      </c>
      <c r="Y605" s="84">
        <f t="shared" si="89"/>
        <v>0.94</v>
      </c>
      <c r="Z605" s="80">
        <f t="shared" si="90"/>
        <v>1.3055555555555556</v>
      </c>
      <c r="AA605" s="100">
        <v>2</v>
      </c>
      <c r="AB605" s="86">
        <f>+AA605*Analisis!$J$6</f>
        <v>50</v>
      </c>
      <c r="AC605" s="100"/>
      <c r="AD605" s="85">
        <f t="shared" si="91"/>
        <v>0</v>
      </c>
      <c r="AE605" s="86">
        <f>+AC605*Analisis!$J$7</f>
        <v>0</v>
      </c>
      <c r="AF605" s="308">
        <f>+H605*0.0254*I605*0.0254*2*(1+[3]Analisis!$G$2)</f>
        <v>0.1185384726</v>
      </c>
      <c r="AG605" s="86">
        <f>+AF605*Analisis!$J$8</f>
        <v>12.629992021071432</v>
      </c>
      <c r="AH605" s="309">
        <f t="shared" si="83"/>
        <v>111.70988289289205</v>
      </c>
      <c r="AI605" s="86">
        <f>+AH605/(1-Analisis!G610)</f>
        <v>111.70988289289205</v>
      </c>
      <c r="AJ605" s="86">
        <f t="shared" si="92"/>
        <v>120.11815364827103</v>
      </c>
      <c r="AK605" s="86">
        <f t="shared" si="84"/>
        <v>0</v>
      </c>
      <c r="AL605" s="310" t="e">
        <f>+VLOOKUP(B605,#REF!,2,FALSE)</f>
        <v>#REF!</v>
      </c>
      <c r="AM605" s="311" t="e">
        <f t="shared" si="79"/>
        <v>#REF!</v>
      </c>
      <c r="AN605" s="312" t="e">
        <f t="shared" si="78"/>
        <v>#REF!</v>
      </c>
    </row>
    <row r="606" spans="1:40" s="73" customFormat="1" x14ac:dyDescent="0.25">
      <c r="A606" s="324"/>
      <c r="B606" s="118" t="s">
        <v>1362</v>
      </c>
      <c r="D606" s="74">
        <f>IFERROR(VLOOKUP(B606,'REQ. PINTADO'!B:C,2,0),0)</f>
        <v>0</v>
      </c>
      <c r="E606" s="305">
        <f t="shared" si="85"/>
        <v>154.33954778588139</v>
      </c>
      <c r="F606" s="103" t="s">
        <v>165</v>
      </c>
      <c r="G606" s="75" t="s">
        <v>147</v>
      </c>
      <c r="H606" s="90">
        <v>2.7</v>
      </c>
      <c r="I606" s="90">
        <v>42.22</v>
      </c>
      <c r="J606" s="76">
        <v>0.105</v>
      </c>
      <c r="K606" s="306">
        <v>16.38</v>
      </c>
      <c r="L606" s="78">
        <f t="shared" si="86"/>
        <v>6.3634471153846164</v>
      </c>
      <c r="M606" s="58">
        <f>+VLOOKUP(F606,Material!$H$2:$M$17,6,FALSE)*H606*I606*(1+Material!$K$14)</f>
        <v>47.378756250000002</v>
      </c>
      <c r="N606" s="79" t="str">
        <f t="shared" si="82"/>
        <v>T5.0</v>
      </c>
      <c r="O606" s="80">
        <f>+VLOOKUP(N606,[3]Material!$A$3:$B$58,2,FALSE)</f>
        <v>5000</v>
      </c>
      <c r="P606" s="79" t="s">
        <v>42</v>
      </c>
      <c r="Q606" s="79" t="str">
        <f>+VLOOKUP(F606,[3]Material!$C$2:$E$12,2,FALSE)</f>
        <v>Cal 14</v>
      </c>
      <c r="R606" s="81">
        <f>+IF(P606="ACERO A36",VLOOKUP(Q606,'[3]Velocidades Std 1500 w'!$B$2:$F$15,5,FALSE),IF(P606="INOXIDABLE",VLOOKUP(Q606,'[3]Velocidades Std 1500 w'!$B$17:$F$28,5,FALSE),IF(P606="ALUMINIO",VLOOKUP(Q606,'[3]Velocidades Std 1500 w'!$B$30:$F$38,5,FALSE))))</f>
        <v>2.0080321285140564E-6</v>
      </c>
      <c r="S606" s="82">
        <f t="shared" si="87"/>
        <v>1.0040160642570283E-2</v>
      </c>
      <c r="T606" s="83">
        <f t="shared" si="88"/>
        <v>18.18829734939759</v>
      </c>
      <c r="U606" s="307">
        <f t="shared" si="70"/>
        <v>2516.0477999999998</v>
      </c>
      <c r="V606" s="80">
        <f t="shared" si="93"/>
        <v>25.261524096385546</v>
      </c>
      <c r="W606" s="98">
        <v>3</v>
      </c>
      <c r="X606" s="84">
        <f>+IF(P606="ACERO A36",VLOOKUP(Q606,'[3]Tiempo Objeto'!$B$2:$C$12,2,FALSE),IF(P606="INOXIDABLE",VLOOKUP(Q606,'[3]Tiempo Objeto'!$B$14:$C$22,2,FALSE),IF(P606="ALUMINIO",VLOOKUP(Q606,'[3]Tiempo Objeto'!$B$24:$C$32,2,FALSE))))</f>
        <v>0.3133333333333333</v>
      </c>
      <c r="Y606" s="84">
        <f t="shared" si="89"/>
        <v>0.94</v>
      </c>
      <c r="Z606" s="80">
        <f t="shared" si="90"/>
        <v>1.3055555555555556</v>
      </c>
      <c r="AA606" s="100">
        <v>2</v>
      </c>
      <c r="AB606" s="86">
        <f>+AA606*Analisis!$J$6</f>
        <v>50</v>
      </c>
      <c r="AC606" s="100"/>
      <c r="AD606" s="85">
        <f t="shared" si="91"/>
        <v>0</v>
      </c>
      <c r="AE606" s="86">
        <f>+AC606*Analisis!$J$7</f>
        <v>0</v>
      </c>
      <c r="AF606" s="308">
        <f>+H606*0.0254*I606*0.0254*2*(1+[3]Analisis!$G$2)</f>
        <v>0.18386092259999998</v>
      </c>
      <c r="AG606" s="86">
        <f>+AF606*Analisis!$J$8</f>
        <v>19.589943538928576</v>
      </c>
      <c r="AH606" s="309">
        <f t="shared" si="83"/>
        <v>143.53577944086967</v>
      </c>
      <c r="AI606" s="86">
        <f>+AH606/(1-Analisis!G611)</f>
        <v>143.53577944086967</v>
      </c>
      <c r="AJ606" s="86">
        <f t="shared" si="92"/>
        <v>154.33954778588139</v>
      </c>
      <c r="AK606" s="86">
        <f t="shared" si="84"/>
        <v>0</v>
      </c>
      <c r="AL606" s="310" t="e">
        <f>+VLOOKUP(B606,#REF!,2,FALSE)</f>
        <v>#REF!</v>
      </c>
      <c r="AM606" s="311" t="e">
        <f t="shared" si="79"/>
        <v>#REF!</v>
      </c>
      <c r="AN606" s="312" t="e">
        <f t="shared" si="78"/>
        <v>#REF!</v>
      </c>
    </row>
    <row r="607" spans="1:40" s="73" customFormat="1" x14ac:dyDescent="0.25">
      <c r="A607" s="324"/>
      <c r="B607" s="118" t="s">
        <v>1363</v>
      </c>
      <c r="D607" s="74">
        <f>IFERROR(VLOOKUP(B607,'REQ. PINTADO'!B:C,2,0),0)</f>
        <v>0</v>
      </c>
      <c r="E607" s="305">
        <f t="shared" si="85"/>
        <v>157.19133063068224</v>
      </c>
      <c r="F607" s="103" t="s">
        <v>165</v>
      </c>
      <c r="G607" s="75" t="s">
        <v>147</v>
      </c>
      <c r="H607" s="90">
        <v>2.7</v>
      </c>
      <c r="I607" s="90">
        <v>43.47</v>
      </c>
      <c r="J607" s="76">
        <v>0.105</v>
      </c>
      <c r="K607" s="306">
        <v>16.38</v>
      </c>
      <c r="L607" s="78">
        <f t="shared" si="86"/>
        <v>6.5518485576923098</v>
      </c>
      <c r="M607" s="58">
        <f>+VLOOKUP(F607,Material!$H$2:$M$17,6,FALSE)*H607*I607*(1+Material!$K$14)</f>
        <v>48.781490625000004</v>
      </c>
      <c r="N607" s="79" t="str">
        <f t="shared" si="82"/>
        <v>T5.0</v>
      </c>
      <c r="O607" s="80">
        <f>+VLOOKUP(N607,[3]Material!$A$3:$B$58,2,FALSE)</f>
        <v>5000</v>
      </c>
      <c r="P607" s="79" t="s">
        <v>42</v>
      </c>
      <c r="Q607" s="79" t="str">
        <f>+VLOOKUP(F607,[3]Material!$C$2:$E$12,2,FALSE)</f>
        <v>Cal 14</v>
      </c>
      <c r="R607" s="81">
        <f>+IF(P607="ACERO A36",VLOOKUP(Q607,'[3]Velocidades Std 1500 w'!$B$2:$F$15,5,FALSE),IF(P607="INOXIDABLE",VLOOKUP(Q607,'[3]Velocidades Std 1500 w'!$B$17:$F$28,5,FALSE),IF(P607="ALUMINIO",VLOOKUP(Q607,'[3]Velocidades Std 1500 w'!$B$30:$F$38,5,FALSE))))</f>
        <v>2.0080321285140564E-6</v>
      </c>
      <c r="S607" s="82">
        <f t="shared" si="87"/>
        <v>1.0040160642570283E-2</v>
      </c>
      <c r="T607" s="83">
        <f t="shared" si="88"/>
        <v>18.670285301204821</v>
      </c>
      <c r="U607" s="307">
        <f t="shared" si="70"/>
        <v>2582.7228</v>
      </c>
      <c r="V607" s="80">
        <f t="shared" si="93"/>
        <v>25.930951807228919</v>
      </c>
      <c r="W607" s="98">
        <v>3</v>
      </c>
      <c r="X607" s="84">
        <f>+IF(P607="ACERO A36",VLOOKUP(Q607,'[3]Tiempo Objeto'!$B$2:$C$12,2,FALSE),IF(P607="INOXIDABLE",VLOOKUP(Q607,'[3]Tiempo Objeto'!$B$14:$C$22,2,FALSE),IF(P607="ALUMINIO",VLOOKUP(Q607,'[3]Tiempo Objeto'!$B$24:$C$32,2,FALSE))))</f>
        <v>0.3133333333333333</v>
      </c>
      <c r="Y607" s="84">
        <f t="shared" si="89"/>
        <v>0.94</v>
      </c>
      <c r="Z607" s="80">
        <f t="shared" si="90"/>
        <v>1.3055555555555556</v>
      </c>
      <c r="AA607" s="100">
        <v>2</v>
      </c>
      <c r="AB607" s="86">
        <f>+AA607*Analisis!$J$6</f>
        <v>50</v>
      </c>
      <c r="AC607" s="100"/>
      <c r="AD607" s="85">
        <f t="shared" si="91"/>
        <v>0</v>
      </c>
      <c r="AE607" s="86">
        <f>+AC607*Analisis!$J$7</f>
        <v>0</v>
      </c>
      <c r="AF607" s="308">
        <f>+H607*0.0254*I607*0.0254*2*(1+[3]Analisis!$G$2)</f>
        <v>0.18930446009999996</v>
      </c>
      <c r="AG607" s="86">
        <f>+AF607*Analisis!$J$8</f>
        <v>20.169939498750001</v>
      </c>
      <c r="AH607" s="309">
        <f t="shared" si="83"/>
        <v>146.18793748653448</v>
      </c>
      <c r="AI607" s="86">
        <f>+AH607/(1-Analisis!G612)</f>
        <v>146.18793748653448</v>
      </c>
      <c r="AJ607" s="86">
        <f t="shared" si="92"/>
        <v>157.19133063068224</v>
      </c>
      <c r="AK607" s="86">
        <f t="shared" si="84"/>
        <v>0</v>
      </c>
      <c r="AL607" s="310" t="e">
        <f>+VLOOKUP(B607,#REF!,2,FALSE)</f>
        <v>#REF!</v>
      </c>
      <c r="AM607" s="311" t="e">
        <f t="shared" si="79"/>
        <v>#REF!</v>
      </c>
      <c r="AN607" s="312" t="e">
        <f t="shared" si="78"/>
        <v>#REF!</v>
      </c>
    </row>
    <row r="608" spans="1:40" s="73" customFormat="1" x14ac:dyDescent="0.25">
      <c r="A608" s="324"/>
      <c r="B608" s="118" t="s">
        <v>1364</v>
      </c>
      <c r="D608" s="74">
        <f>IFERROR(VLOOKUP(B608,'REQ. PINTADO'!B:C,2,0),0)</f>
        <v>0</v>
      </c>
      <c r="E608" s="305">
        <f t="shared" si="85"/>
        <v>847.01703793717525</v>
      </c>
      <c r="F608" s="103" t="s">
        <v>164</v>
      </c>
      <c r="G608" s="75" t="s">
        <v>147</v>
      </c>
      <c r="H608" s="90">
        <v>8.23</v>
      </c>
      <c r="I608" s="90">
        <v>80.739999999999995</v>
      </c>
      <c r="J608" s="76">
        <v>0.105</v>
      </c>
      <c r="K608" s="306">
        <v>16.38</v>
      </c>
      <c r="L608" s="78">
        <f t="shared" si="86"/>
        <v>61.822672631766402</v>
      </c>
      <c r="M608" s="58">
        <f>+VLOOKUP(F608,Material!$H$2:$M$17,6,FALSE)*H608*I608*(1+Material!$K$14)</f>
        <v>460.29789895833341</v>
      </c>
      <c r="N608" s="79" t="str">
        <f t="shared" si="82"/>
        <v>T5.0</v>
      </c>
      <c r="O608" s="80">
        <f>+VLOOKUP(N608,[3]Material!$A$3:$B$58,2,FALSE)</f>
        <v>5000</v>
      </c>
      <c r="P608" s="79" t="s">
        <v>42</v>
      </c>
      <c r="Q608" s="79" t="str">
        <f>+VLOOKUP(F608,[3]Material!$C$2:$E$12,2,FALSE)</f>
        <v>Cal 10</v>
      </c>
      <c r="R608" s="81">
        <f>+IF(P608="ACERO A36",VLOOKUP(Q608,'[3]Velocidades Std 1500 w'!$B$2:$F$15,5,FALSE),IF(P608="INOXIDABLE",VLOOKUP(Q608,'[3]Velocidades Std 1500 w'!$B$17:$F$28,5,FALSE),IF(P608="ALUMINIO",VLOOKUP(Q608,'[3]Velocidades Std 1500 w'!$B$30:$F$38,5,FALSE))))</f>
        <v>6.1728395061728391E-6</v>
      </c>
      <c r="S608" s="82">
        <f t="shared" si="87"/>
        <v>3.0864197530864196E-2</v>
      </c>
      <c r="T608" s="83">
        <f t="shared" si="88"/>
        <v>132.12910666666667</v>
      </c>
      <c r="U608" s="307">
        <f t="shared" si="70"/>
        <v>5945.8098</v>
      </c>
      <c r="V608" s="80">
        <f t="shared" si="93"/>
        <v>183.51264814814814</v>
      </c>
      <c r="W608" s="98">
        <v>30</v>
      </c>
      <c r="X608" s="84">
        <f>+IF(P608="ACERO A36",VLOOKUP(Q608,'[3]Tiempo Objeto'!$B$2:$C$12,2,FALSE),IF(P608="INOXIDABLE",VLOOKUP(Q608,'[3]Tiempo Objeto'!$B$14:$C$22,2,FALSE),IF(P608="ALUMINIO",VLOOKUP(Q608,'[3]Tiempo Objeto'!$B$24:$C$32,2,FALSE))))</f>
        <v>0.71333333333333337</v>
      </c>
      <c r="Y608" s="84">
        <f t="shared" si="89"/>
        <v>21.400000000000002</v>
      </c>
      <c r="Z608" s="80">
        <f t="shared" si="90"/>
        <v>29.722222222222225</v>
      </c>
      <c r="AA608" s="100">
        <v>0</v>
      </c>
      <c r="AB608" s="86">
        <f>+AA608*Analisis!$J$6</f>
        <v>0</v>
      </c>
      <c r="AC608" s="100"/>
      <c r="AD608" s="85">
        <f t="shared" si="91"/>
        <v>0</v>
      </c>
      <c r="AE608" s="86">
        <f>+AC608*Analisis!$J$7</f>
        <v>0</v>
      </c>
      <c r="AF608" s="308">
        <f>+H608*0.0254*I608*0.0254*2*(1+[3]Analisis!$G$2)</f>
        <v>1.0717562435799999</v>
      </c>
      <c r="AG608" s="86">
        <f>+AF608*Analisis!$J$8</f>
        <v>114.19307595286907</v>
      </c>
      <c r="AH608" s="309">
        <f t="shared" si="83"/>
        <v>787.7258452815729</v>
      </c>
      <c r="AI608" s="86">
        <f>+AH608/(1-Analisis!G613)</f>
        <v>787.7258452815729</v>
      </c>
      <c r="AJ608" s="86">
        <f t="shared" si="92"/>
        <v>847.01703793717525</v>
      </c>
      <c r="AK608" s="86">
        <f t="shared" si="84"/>
        <v>0</v>
      </c>
      <c r="AL608" s="310" t="e">
        <f>+VLOOKUP(B608,#REF!,2,FALSE)</f>
        <v>#REF!</v>
      </c>
      <c r="AM608" s="311" t="e">
        <f t="shared" si="79"/>
        <v>#REF!</v>
      </c>
      <c r="AN608" s="312" t="e">
        <f t="shared" si="78"/>
        <v>#REF!</v>
      </c>
    </row>
    <row r="609" spans="1:40" s="73" customFormat="1" x14ac:dyDescent="0.25">
      <c r="A609" s="324"/>
      <c r="B609" s="118" t="s">
        <v>1365</v>
      </c>
      <c r="D609" s="74">
        <f>IFERROR(VLOOKUP(B609,'REQ. PINTADO'!B:C,2,0),0)</f>
        <v>0</v>
      </c>
      <c r="E609" s="305">
        <f t="shared" si="85"/>
        <v>880.27141919798328</v>
      </c>
      <c r="F609" s="103" t="s">
        <v>164</v>
      </c>
      <c r="G609" s="75" t="s">
        <v>147</v>
      </c>
      <c r="H609" s="90">
        <v>8.06</v>
      </c>
      <c r="I609" s="90">
        <v>85.74</v>
      </c>
      <c r="J609" s="76">
        <v>0.105</v>
      </c>
      <c r="K609" s="306">
        <v>16.38</v>
      </c>
      <c r="L609" s="78">
        <f t="shared" si="86"/>
        <v>64.295076388888901</v>
      </c>
      <c r="M609" s="58">
        <f>+VLOOKUP(F609,Material!$H$2:$M$17,6,FALSE)*H609*I609*(1+Material!$K$14)</f>
        <v>478.70606875000004</v>
      </c>
      <c r="N609" s="79" t="str">
        <f t="shared" si="82"/>
        <v>T5.0</v>
      </c>
      <c r="O609" s="80">
        <f>+VLOOKUP(N609,[3]Material!$A$3:$B$58,2,FALSE)</f>
        <v>5000</v>
      </c>
      <c r="P609" s="79" t="s">
        <v>42</v>
      </c>
      <c r="Q609" s="79" t="str">
        <f>+VLOOKUP(F609,[3]Material!$C$2:$E$12,2,FALSE)</f>
        <v>Cal 10</v>
      </c>
      <c r="R609" s="81">
        <f>+IF(P609="ACERO A36",VLOOKUP(Q609,'[3]Velocidades Std 1500 w'!$B$2:$F$15,5,FALSE),IF(P609="INOXIDABLE",VLOOKUP(Q609,'[3]Velocidades Std 1500 w'!$B$17:$F$28,5,FALSE),IF(P609="ALUMINIO",VLOOKUP(Q609,'[3]Velocidades Std 1500 w'!$B$30:$F$38,5,FALSE))))</f>
        <v>6.1728395061728391E-6</v>
      </c>
      <c r="S609" s="82">
        <f t="shared" si="87"/>
        <v>3.0864197530864196E-2</v>
      </c>
      <c r="T609" s="83">
        <f t="shared" si="88"/>
        <v>137.85426666666666</v>
      </c>
      <c r="U609" s="307">
        <f t="shared" si="70"/>
        <v>6203.442</v>
      </c>
      <c r="V609" s="80">
        <f t="shared" si="93"/>
        <v>191.46425925925925</v>
      </c>
      <c r="W609" s="98">
        <v>30</v>
      </c>
      <c r="X609" s="84">
        <f>+IF(P609="ACERO A36",VLOOKUP(Q609,'[3]Tiempo Objeto'!$B$2:$C$12,2,FALSE),IF(P609="INOXIDABLE",VLOOKUP(Q609,'[3]Tiempo Objeto'!$B$14:$C$22,2,FALSE),IF(P609="ALUMINIO",VLOOKUP(Q609,'[3]Tiempo Objeto'!$B$24:$C$32,2,FALSE))))</f>
        <v>0.71333333333333337</v>
      </c>
      <c r="Y609" s="84">
        <f t="shared" si="89"/>
        <v>21.400000000000002</v>
      </c>
      <c r="Z609" s="80">
        <f t="shared" si="90"/>
        <v>29.722222222222225</v>
      </c>
      <c r="AA609" s="100">
        <v>0</v>
      </c>
      <c r="AB609" s="86">
        <f>+AA609*Analisis!$J$6</f>
        <v>0</v>
      </c>
      <c r="AC609" s="100"/>
      <c r="AD609" s="85">
        <f t="shared" si="91"/>
        <v>0</v>
      </c>
      <c r="AE609" s="86">
        <f>+AC609*Analisis!$J$7</f>
        <v>0</v>
      </c>
      <c r="AF609" s="308">
        <f>+H609*0.0254*I609*0.0254*2*(1+[3]Analisis!$G$2)</f>
        <v>1.11461777076</v>
      </c>
      <c r="AG609" s="86">
        <f>+AF609*Analisis!$J$8</f>
        <v>118.7598696226429</v>
      </c>
      <c r="AH609" s="309">
        <f t="shared" si="83"/>
        <v>818.65241985412445</v>
      </c>
      <c r="AI609" s="86">
        <f>+AH609/(1-Analisis!G614)</f>
        <v>818.65241985412445</v>
      </c>
      <c r="AJ609" s="86">
        <f t="shared" si="92"/>
        <v>880.27141919798328</v>
      </c>
      <c r="AK609" s="86">
        <f t="shared" si="84"/>
        <v>0</v>
      </c>
      <c r="AL609" s="310" t="e">
        <f>+VLOOKUP(B609,#REF!,2,FALSE)</f>
        <v>#REF!</v>
      </c>
      <c r="AM609" s="311" t="e">
        <f t="shared" si="79"/>
        <v>#REF!</v>
      </c>
      <c r="AN609" s="312" t="e">
        <f t="shared" si="78"/>
        <v>#REF!</v>
      </c>
    </row>
    <row r="610" spans="1:40" s="73" customFormat="1" x14ac:dyDescent="0.25">
      <c r="A610" s="324"/>
      <c r="B610" s="118" t="s">
        <v>1366</v>
      </c>
      <c r="D610" s="74">
        <f>IFERROR(VLOOKUP(B610,'REQ. PINTADO'!B:C,2,0),0)</f>
        <v>0</v>
      </c>
      <c r="E610" s="305">
        <f t="shared" si="85"/>
        <v>988.33343742620912</v>
      </c>
      <c r="F610" s="103" t="s">
        <v>164</v>
      </c>
      <c r="G610" s="75" t="s">
        <v>147</v>
      </c>
      <c r="H610" s="90">
        <v>8.23</v>
      </c>
      <c r="I610" s="90">
        <v>95.74</v>
      </c>
      <c r="J610" s="76">
        <v>0.105</v>
      </c>
      <c r="K610" s="306">
        <v>16.38</v>
      </c>
      <c r="L610" s="78">
        <f t="shared" si="86"/>
        <v>73.308182781339056</v>
      </c>
      <c r="M610" s="58">
        <f>+VLOOKUP(F610,Material!$H$2:$M$17,6,FALSE)*H610*I610*(1+Material!$K$14)</f>
        <v>545.81274270833342</v>
      </c>
      <c r="N610" s="79" t="str">
        <f t="shared" si="82"/>
        <v>T5.0</v>
      </c>
      <c r="O610" s="80">
        <f>+VLOOKUP(N610,[3]Material!$A$3:$B$58,2,FALSE)</f>
        <v>5000</v>
      </c>
      <c r="P610" s="79" t="s">
        <v>42</v>
      </c>
      <c r="Q610" s="79" t="str">
        <f>+VLOOKUP(F610,[3]Material!$C$2:$E$12,2,FALSE)</f>
        <v>Cal 10</v>
      </c>
      <c r="R610" s="81">
        <f>+IF(P610="ACERO A36",VLOOKUP(Q610,'[3]Velocidades Std 1500 w'!$B$2:$F$15,5,FALSE),IF(P610="INOXIDABLE",VLOOKUP(Q610,'[3]Velocidades Std 1500 w'!$B$17:$F$28,5,FALSE),IF(P610="ALUMINIO",VLOOKUP(Q610,'[3]Velocidades Std 1500 w'!$B$30:$F$38,5,FALSE))))</f>
        <v>6.1728395061728391E-6</v>
      </c>
      <c r="S610" s="82">
        <f t="shared" si="87"/>
        <v>3.0864197530864196E-2</v>
      </c>
      <c r="T610" s="83">
        <f t="shared" si="88"/>
        <v>149.90910666666664</v>
      </c>
      <c r="U610" s="307">
        <f t="shared" si="70"/>
        <v>6745.9097999999994</v>
      </c>
      <c r="V610" s="80">
        <f t="shared" si="93"/>
        <v>208.20709259259257</v>
      </c>
      <c r="W610" s="98">
        <v>30</v>
      </c>
      <c r="X610" s="84">
        <f>+IF(P610="ACERO A36",VLOOKUP(Q610,'[3]Tiempo Objeto'!$B$2:$C$12,2,FALSE),IF(P610="INOXIDABLE",VLOOKUP(Q610,'[3]Tiempo Objeto'!$B$14:$C$22,2,FALSE),IF(P610="ALUMINIO",VLOOKUP(Q610,'[3]Tiempo Objeto'!$B$24:$C$32,2,FALSE))))</f>
        <v>0.71333333333333337</v>
      </c>
      <c r="Y610" s="84">
        <f t="shared" si="89"/>
        <v>21.400000000000002</v>
      </c>
      <c r="Z610" s="80">
        <f t="shared" si="90"/>
        <v>29.722222222222225</v>
      </c>
      <c r="AA610" s="100">
        <v>0</v>
      </c>
      <c r="AB610" s="86">
        <f>+AA610*Analisis!$J$6</f>
        <v>0</v>
      </c>
      <c r="AC610" s="100"/>
      <c r="AD610" s="85">
        <f t="shared" si="91"/>
        <v>0</v>
      </c>
      <c r="AE610" s="86">
        <f>+AC610*Analisis!$J$7</f>
        <v>0</v>
      </c>
      <c r="AF610" s="308">
        <f>+H610*0.0254*I610*0.0254*2*(1+[3]Analisis!$G$2)</f>
        <v>1.2708687485799999</v>
      </c>
      <c r="AG610" s="86">
        <f>+AF610*Analisis!$J$8</f>
        <v>135.40803928322623</v>
      </c>
      <c r="AH610" s="309">
        <f t="shared" si="83"/>
        <v>919.15009680637445</v>
      </c>
      <c r="AI610" s="86">
        <f>+AH610/(1-Analisis!G615)</f>
        <v>919.15009680637445</v>
      </c>
      <c r="AJ610" s="86">
        <f t="shared" si="92"/>
        <v>988.33343742620912</v>
      </c>
      <c r="AK610" s="86">
        <f t="shared" si="84"/>
        <v>0</v>
      </c>
      <c r="AL610" s="310" t="e">
        <f>+VLOOKUP(B610,#REF!,2,FALSE)</f>
        <v>#REF!</v>
      </c>
      <c r="AM610" s="311" t="e">
        <f t="shared" si="79"/>
        <v>#REF!</v>
      </c>
      <c r="AN610" s="312" t="e">
        <f t="shared" si="78"/>
        <v>#REF!</v>
      </c>
    </row>
    <row r="611" spans="1:40" s="73" customFormat="1" x14ac:dyDescent="0.25">
      <c r="A611" s="324"/>
      <c r="B611" s="118" t="s">
        <v>1367</v>
      </c>
      <c r="D611" s="74">
        <f>IFERROR(VLOOKUP(B611,'REQ. PINTADO'!B:C,2,0),0)</f>
        <v>0</v>
      </c>
      <c r="E611" s="305">
        <f t="shared" si="85"/>
        <v>972.9019755457673</v>
      </c>
      <c r="F611" s="103" t="s">
        <v>164</v>
      </c>
      <c r="G611" s="75" t="s">
        <v>147</v>
      </c>
      <c r="H611" s="90">
        <v>8.06</v>
      </c>
      <c r="I611" s="90">
        <v>95.74</v>
      </c>
      <c r="J611" s="76">
        <v>0.105</v>
      </c>
      <c r="K611" s="306">
        <v>16.38</v>
      </c>
      <c r="L611" s="78">
        <f t="shared" si="86"/>
        <v>71.793918981481497</v>
      </c>
      <c r="M611" s="58">
        <f>+VLOOKUP(F611,Material!$H$2:$M$17,6,FALSE)*H611*I611*(1+Material!$K$14)</f>
        <v>534.53836041666671</v>
      </c>
      <c r="N611" s="79" t="str">
        <f t="shared" si="82"/>
        <v>T5.0</v>
      </c>
      <c r="O611" s="80">
        <f>+VLOOKUP(N611,[3]Material!$A$3:$B$58,2,FALSE)</f>
        <v>5000</v>
      </c>
      <c r="P611" s="79" t="s">
        <v>42</v>
      </c>
      <c r="Q611" s="79" t="str">
        <f>+VLOOKUP(F611,[3]Material!$C$2:$E$12,2,FALSE)</f>
        <v>Cal 10</v>
      </c>
      <c r="R611" s="81">
        <f>+IF(P611="ACERO A36",VLOOKUP(Q611,'[3]Velocidades Std 1500 w'!$B$2:$F$15,5,FALSE),IF(P611="INOXIDABLE",VLOOKUP(Q611,'[3]Velocidades Std 1500 w'!$B$17:$F$28,5,FALSE),IF(P611="ALUMINIO",VLOOKUP(Q611,'[3]Velocidades Std 1500 w'!$B$30:$F$38,5,FALSE))))</f>
        <v>6.1728395061728391E-6</v>
      </c>
      <c r="S611" s="82">
        <f t="shared" si="87"/>
        <v>3.0864197530864196E-2</v>
      </c>
      <c r="T611" s="83">
        <f t="shared" si="88"/>
        <v>149.70759999999999</v>
      </c>
      <c r="U611" s="307">
        <f t="shared" si="70"/>
        <v>6736.8419999999996</v>
      </c>
      <c r="V611" s="80">
        <f t="shared" si="93"/>
        <v>207.92722222222221</v>
      </c>
      <c r="W611" s="98">
        <v>30</v>
      </c>
      <c r="X611" s="84">
        <f>+IF(P611="ACERO A36",VLOOKUP(Q611,'[3]Tiempo Objeto'!$B$2:$C$12,2,FALSE),IF(P611="INOXIDABLE",VLOOKUP(Q611,'[3]Tiempo Objeto'!$B$14:$C$22,2,FALSE),IF(P611="ALUMINIO",VLOOKUP(Q611,'[3]Tiempo Objeto'!$B$24:$C$32,2,FALSE))))</f>
        <v>0.71333333333333337</v>
      </c>
      <c r="Y611" s="84">
        <f t="shared" si="89"/>
        <v>21.400000000000002</v>
      </c>
      <c r="Z611" s="80">
        <f t="shared" si="90"/>
        <v>29.722222222222225</v>
      </c>
      <c r="AA611" s="100">
        <v>0</v>
      </c>
      <c r="AB611" s="86">
        <f>+AA611*Analisis!$J$6</f>
        <v>0</v>
      </c>
      <c r="AC611" s="100"/>
      <c r="AD611" s="85">
        <f t="shared" si="91"/>
        <v>0</v>
      </c>
      <c r="AE611" s="86">
        <f>+AC611*Analisis!$J$7</f>
        <v>0</v>
      </c>
      <c r="AF611" s="308">
        <f>+H611*0.0254*I611*0.0254*2*(1+[3]Analisis!$G$2)</f>
        <v>1.2446175107599999</v>
      </c>
      <c r="AG611" s="86">
        <f>+AF611*Analisis!$J$8</f>
        <v>132.6110323964524</v>
      </c>
      <c r="AH611" s="309">
        <f t="shared" si="83"/>
        <v>904.79883725756349</v>
      </c>
      <c r="AI611" s="86">
        <f>+AH611/(1-Analisis!G616)</f>
        <v>904.79883725756349</v>
      </c>
      <c r="AJ611" s="86">
        <f t="shared" si="92"/>
        <v>972.9019755457673</v>
      </c>
      <c r="AK611" s="86">
        <f t="shared" si="84"/>
        <v>0</v>
      </c>
      <c r="AL611" s="310" t="e">
        <f>+VLOOKUP(B611,#REF!,2,FALSE)</f>
        <v>#REF!</v>
      </c>
      <c r="AM611" s="311" t="e">
        <f t="shared" si="79"/>
        <v>#REF!</v>
      </c>
      <c r="AN611" s="312" t="e">
        <f t="shared" si="78"/>
        <v>#REF!</v>
      </c>
    </row>
    <row r="612" spans="1:40" s="73" customFormat="1" x14ac:dyDescent="0.25">
      <c r="A612" s="324"/>
      <c r="B612" s="118" t="s">
        <v>1368</v>
      </c>
      <c r="D612" s="74">
        <f>IFERROR(VLOOKUP(B612,'REQ. PINTADO'!B:C,2,0),0)</f>
        <v>0</v>
      </c>
      <c r="E612" s="305">
        <f t="shared" si="85"/>
        <v>477.53338263845495</v>
      </c>
      <c r="F612" s="103" t="s">
        <v>163</v>
      </c>
      <c r="G612" s="75" t="s">
        <v>147</v>
      </c>
      <c r="H612" s="90">
        <v>4.0599999999999996</v>
      </c>
      <c r="I612" s="90">
        <v>100.53</v>
      </c>
      <c r="J612" s="76">
        <v>0.105</v>
      </c>
      <c r="K612" s="306">
        <v>16.38</v>
      </c>
      <c r="L612" s="78">
        <f t="shared" si="86"/>
        <v>20.577090222543028</v>
      </c>
      <c r="M612" s="58">
        <f>+VLOOKUP(F612,Material!$H$2:$M$17,6,FALSE)*H612*I612*(1+Material!$K$14)</f>
        <v>153.20578992966125</v>
      </c>
      <c r="N612" s="79" t="str">
        <f t="shared" si="82"/>
        <v>T5.0</v>
      </c>
      <c r="O612" s="80">
        <f>+VLOOKUP(N612,[3]Material!$A$3:$B$58,2,FALSE)</f>
        <v>5000</v>
      </c>
      <c r="P612" s="79" t="s">
        <v>42</v>
      </c>
      <c r="Q612" s="79" t="str">
        <f>+VLOOKUP(F612,[3]Material!$C$2:$E$12,2,FALSE)</f>
        <v>Cal 12</v>
      </c>
      <c r="R612" s="81">
        <f>+IF(P612="ACERO A36",VLOOKUP(Q612,'[3]Velocidades Std 1500 w'!$B$2:$F$15,5,FALSE),IF(P612="INOXIDABLE",VLOOKUP(Q612,'[3]Velocidades Std 1500 w'!$B$17:$F$28,5,FALSE),IF(P612="ALUMINIO",VLOOKUP(Q612,'[3]Velocidades Std 1500 w'!$B$30:$F$38,5,FALSE))))</f>
        <v>4.3859649122807014E-6</v>
      </c>
      <c r="S612" s="82">
        <f t="shared" si="87"/>
        <v>2.1929824561403508E-2</v>
      </c>
      <c r="T612" s="83">
        <f t="shared" si="88"/>
        <v>105.77321999999998</v>
      </c>
      <c r="U612" s="307">
        <f t="shared" si="70"/>
        <v>6698.9705999999996</v>
      </c>
      <c r="V612" s="80">
        <f t="shared" si="93"/>
        <v>146.90724999999998</v>
      </c>
      <c r="W612" s="98">
        <v>28</v>
      </c>
      <c r="X612" s="84">
        <f>+IF(P612="ACERO A36",VLOOKUP(Q612,'[3]Tiempo Objeto'!$B$2:$C$12,2,FALSE),IF(P612="INOXIDABLE",VLOOKUP(Q612,'[3]Tiempo Objeto'!$B$14:$C$22,2,FALSE),IF(P612="ALUMINIO",VLOOKUP(Q612,'[3]Tiempo Objeto'!$B$24:$C$32,2,FALSE))))</f>
        <v>0.6133333333333334</v>
      </c>
      <c r="Y612" s="84">
        <f t="shared" si="89"/>
        <v>17.173333333333336</v>
      </c>
      <c r="Z612" s="80">
        <f t="shared" si="90"/>
        <v>23.851851851851855</v>
      </c>
      <c r="AA612" s="100">
        <v>2</v>
      </c>
      <c r="AB612" s="86">
        <f>+AA612*Analisis!$J$6</f>
        <v>50</v>
      </c>
      <c r="AC612" s="100"/>
      <c r="AD612" s="85">
        <f t="shared" si="91"/>
        <v>0</v>
      </c>
      <c r="AE612" s="86">
        <f>+AC612*Analisis!$J$7</f>
        <v>0</v>
      </c>
      <c r="AF612" s="308">
        <f>+H612*0.0254*I612*0.0254*2*(1+[3]Analisis!$G$2)</f>
        <v>0.65830803821999995</v>
      </c>
      <c r="AG612" s="86">
        <f>+AF612*Analisis!$J$8</f>
        <v>70.141154072250018</v>
      </c>
      <c r="AH612" s="309">
        <f t="shared" si="83"/>
        <v>444.10604585376308</v>
      </c>
      <c r="AI612" s="86">
        <f>+AH612/(1-Analisis!G617)</f>
        <v>444.10604585376308</v>
      </c>
      <c r="AJ612" s="86">
        <f t="shared" si="92"/>
        <v>477.53338263845495</v>
      </c>
      <c r="AK612" s="86">
        <f t="shared" si="84"/>
        <v>0</v>
      </c>
      <c r="AL612" s="310" t="e">
        <f>+VLOOKUP(B612,#REF!,2,FALSE)</f>
        <v>#REF!</v>
      </c>
      <c r="AM612" s="311" t="e">
        <f t="shared" si="79"/>
        <v>#REF!</v>
      </c>
      <c r="AN612" s="312" t="e">
        <f t="shared" si="78"/>
        <v>#REF!</v>
      </c>
    </row>
    <row r="613" spans="1:40" s="73" customFormat="1" x14ac:dyDescent="0.25">
      <c r="A613" s="324"/>
      <c r="B613" s="118" t="s">
        <v>1369</v>
      </c>
      <c r="D613" s="74">
        <f>IFERROR(VLOOKUP(B613,'REQ. PINTADO'!B:C,2,0),0)</f>
        <v>0</v>
      </c>
      <c r="E613" s="305">
        <f t="shared" si="85"/>
        <v>69.223088191027472</v>
      </c>
      <c r="F613" s="103" t="s">
        <v>165</v>
      </c>
      <c r="G613" s="75" t="s">
        <v>147</v>
      </c>
      <c r="H613" s="90">
        <v>16.3</v>
      </c>
      <c r="I613" s="90">
        <v>2.7</v>
      </c>
      <c r="J613" s="76">
        <v>0.105</v>
      </c>
      <c r="K613" s="306">
        <v>16.38</v>
      </c>
      <c r="L613" s="78">
        <f t="shared" si="86"/>
        <v>2.4567548076923083</v>
      </c>
      <c r="M613" s="58">
        <f>+VLOOKUP(F613,Material!$H$2:$M$17,6,FALSE)*H613*I613*(1+Material!$K$14)</f>
        <v>18.291656250000003</v>
      </c>
      <c r="N613" s="79" t="str">
        <f t="shared" si="82"/>
        <v>T5.0</v>
      </c>
      <c r="O613" s="80">
        <f>+VLOOKUP(N613,[3]Material!$A$3:$B$58,2,FALSE)</f>
        <v>5000</v>
      </c>
      <c r="P613" s="79" t="s">
        <v>42</v>
      </c>
      <c r="Q613" s="79" t="str">
        <f>+VLOOKUP(F613,[3]Material!$C$2:$E$12,2,FALSE)</f>
        <v>Cal 14</v>
      </c>
      <c r="R613" s="81">
        <f>+IF(P613="ACERO A36",VLOOKUP(Q613,'[3]Velocidades Std 1500 w'!$B$2:$F$15,5,FALSE),IF(P613="INOXIDABLE",VLOOKUP(Q613,'[3]Velocidades Std 1500 w'!$B$17:$F$28,5,FALSE),IF(P613="ALUMINIO",VLOOKUP(Q613,'[3]Velocidades Std 1500 w'!$B$30:$F$38,5,FALSE))))</f>
        <v>2.0080321285140564E-6</v>
      </c>
      <c r="S613" s="82">
        <f t="shared" si="87"/>
        <v>1.0040160642570283E-2</v>
      </c>
      <c r="T613" s="83">
        <f t="shared" si="88"/>
        <v>8.48298795180723</v>
      </c>
      <c r="U613" s="307">
        <f t="shared" si="70"/>
        <v>1173.48</v>
      </c>
      <c r="V613" s="80">
        <f t="shared" si="93"/>
        <v>11.781927710843375</v>
      </c>
      <c r="W613" s="98">
        <v>4</v>
      </c>
      <c r="X613" s="84">
        <f>+IF(P613="ACERO A36",VLOOKUP(Q613,'[3]Tiempo Objeto'!$B$2:$C$12,2,FALSE),IF(P613="INOXIDABLE",VLOOKUP(Q613,'[3]Tiempo Objeto'!$B$14:$C$22,2,FALSE),IF(P613="ALUMINIO",VLOOKUP(Q613,'[3]Tiempo Objeto'!$B$24:$C$32,2,FALSE))))</f>
        <v>0.3133333333333333</v>
      </c>
      <c r="Y613" s="84">
        <f t="shared" si="89"/>
        <v>1.2533333333333332</v>
      </c>
      <c r="Z613" s="80">
        <f t="shared" si="90"/>
        <v>1.7407407407407405</v>
      </c>
      <c r="AA613" s="100">
        <v>1</v>
      </c>
      <c r="AB613" s="86">
        <f>+AA613*Analisis!$J$6</f>
        <v>25</v>
      </c>
      <c r="AC613" s="100"/>
      <c r="AD613" s="85">
        <f t="shared" si="91"/>
        <v>0</v>
      </c>
      <c r="AE613" s="86">
        <f>+AC613*Analisis!$J$7</f>
        <v>0</v>
      </c>
      <c r="AF613" s="308">
        <f>+H613*0.0254*I613*0.0254*2*(1+[3]Analisis!$G$2)</f>
        <v>7.0983728999999995E-2</v>
      </c>
      <c r="AG613" s="86">
        <f>+AF613*Analisis!$J$8</f>
        <v>7.5631473160714302</v>
      </c>
      <c r="AH613" s="309">
        <f t="shared" si="83"/>
        <v>64.377472017655549</v>
      </c>
      <c r="AI613" s="86">
        <f>+AH613/(1-Analisis!G618)</f>
        <v>64.377472017655549</v>
      </c>
      <c r="AJ613" s="86">
        <f t="shared" si="92"/>
        <v>69.223088191027472</v>
      </c>
      <c r="AK613" s="86">
        <f t="shared" si="84"/>
        <v>0</v>
      </c>
      <c r="AL613" s="310" t="e">
        <f>+VLOOKUP(B613,#REF!,2,FALSE)</f>
        <v>#REF!</v>
      </c>
      <c r="AM613" s="311" t="e">
        <f t="shared" si="79"/>
        <v>#REF!</v>
      </c>
      <c r="AN613" s="312" t="e">
        <f t="shared" si="78"/>
        <v>#REF!</v>
      </c>
    </row>
    <row r="614" spans="1:40" s="73" customFormat="1" x14ac:dyDescent="0.25">
      <c r="A614" s="324"/>
      <c r="B614" s="118" t="s">
        <v>1370</v>
      </c>
      <c r="D614" s="74">
        <f>IFERROR(VLOOKUP(B614,'REQ. PINTADO'!B:C,2,0),0)</f>
        <v>0</v>
      </c>
      <c r="E614" s="305">
        <f t="shared" si="85"/>
        <v>175.49469961508899</v>
      </c>
      <c r="F614" s="103" t="s">
        <v>163</v>
      </c>
      <c r="G614" s="75" t="s">
        <v>147</v>
      </c>
      <c r="H614" s="90">
        <v>5.12</v>
      </c>
      <c r="I614" s="90">
        <v>23.95</v>
      </c>
      <c r="J614" s="76">
        <v>0.105</v>
      </c>
      <c r="K614" s="306">
        <v>16.38</v>
      </c>
      <c r="L614" s="78">
        <f t="shared" si="86"/>
        <v>6.1821241789185208</v>
      </c>
      <c r="M614" s="58">
        <f>+VLOOKUP(F614,Material!$H$2:$M$17,6,FALSE)*H614*I614*(1+Material!$K$14)</f>
        <v>46.028724568493345</v>
      </c>
      <c r="N614" s="79" t="str">
        <f t="shared" si="82"/>
        <v>T5.0</v>
      </c>
      <c r="O614" s="80">
        <f>+VLOOKUP(N614,[3]Material!$A$3:$B$58,2,FALSE)</f>
        <v>5000</v>
      </c>
      <c r="P614" s="79" t="s">
        <v>42</v>
      </c>
      <c r="Q614" s="79" t="str">
        <f>+VLOOKUP(F614,[3]Material!$C$2:$E$12,2,FALSE)</f>
        <v>Cal 12</v>
      </c>
      <c r="R614" s="81">
        <f>+IF(P614="ACERO A36",VLOOKUP(Q614,'[3]Velocidades Std 1500 w'!$B$2:$F$15,5,FALSE),IF(P614="INOXIDABLE",VLOOKUP(Q614,'[3]Velocidades Std 1500 w'!$B$17:$F$28,5,FALSE),IF(P614="ALUMINIO",VLOOKUP(Q614,'[3]Velocidades Std 1500 w'!$B$30:$F$38,5,FALSE))))</f>
        <v>4.3859649122807014E-6</v>
      </c>
      <c r="S614" s="82">
        <f t="shared" si="87"/>
        <v>2.1929824561403508E-2</v>
      </c>
      <c r="T614" s="83">
        <f t="shared" si="88"/>
        <v>28.904665263157895</v>
      </c>
      <c r="U614" s="307">
        <f t="shared" si="70"/>
        <v>1830.6288</v>
      </c>
      <c r="V614" s="80">
        <f t="shared" si="93"/>
        <v>40.14536842105263</v>
      </c>
      <c r="W614" s="98">
        <v>7</v>
      </c>
      <c r="X614" s="84">
        <f>+IF(P614="ACERO A36",VLOOKUP(Q614,'[3]Tiempo Objeto'!$B$2:$C$12,2,FALSE),IF(P614="INOXIDABLE",VLOOKUP(Q614,'[3]Tiempo Objeto'!$B$14:$C$22,2,FALSE),IF(P614="ALUMINIO",VLOOKUP(Q614,'[3]Tiempo Objeto'!$B$24:$C$32,2,FALSE))))</f>
        <v>0.6133333333333334</v>
      </c>
      <c r="Y614" s="84">
        <f t="shared" si="89"/>
        <v>4.2933333333333339</v>
      </c>
      <c r="Z614" s="80">
        <f t="shared" si="90"/>
        <v>5.9629629629629637</v>
      </c>
      <c r="AA614" s="100">
        <v>2</v>
      </c>
      <c r="AB614" s="86">
        <f>+AA614*Analisis!$J$6</f>
        <v>50</v>
      </c>
      <c r="AC614" s="100"/>
      <c r="AD614" s="85">
        <f t="shared" si="91"/>
        <v>0</v>
      </c>
      <c r="AE614" s="86">
        <f>+AC614*Analisis!$J$7</f>
        <v>0</v>
      </c>
      <c r="AF614" s="308">
        <f>+H614*0.0254*I614*0.0254*2*(1+[3]Analisis!$G$2)</f>
        <v>0.19778024959999999</v>
      </c>
      <c r="AG614" s="86">
        <f>+AF614*Analisis!$J$8</f>
        <v>21.073014689523813</v>
      </c>
      <c r="AH614" s="309">
        <f t="shared" si="83"/>
        <v>163.21007064203275</v>
      </c>
      <c r="AI614" s="86">
        <f>+AH614/(1-Analisis!G619)</f>
        <v>163.21007064203275</v>
      </c>
      <c r="AJ614" s="86">
        <f t="shared" si="92"/>
        <v>175.49469961508899</v>
      </c>
      <c r="AK614" s="86">
        <f t="shared" si="84"/>
        <v>0</v>
      </c>
      <c r="AL614" s="310" t="e">
        <f>+VLOOKUP(B614,#REF!,2,FALSE)</f>
        <v>#REF!</v>
      </c>
      <c r="AM614" s="311" t="e">
        <f t="shared" si="79"/>
        <v>#REF!</v>
      </c>
      <c r="AN614" s="312" t="e">
        <f t="shared" si="78"/>
        <v>#REF!</v>
      </c>
    </row>
    <row r="615" spans="1:40" s="73" customFormat="1" x14ac:dyDescent="0.25">
      <c r="A615" s="324"/>
      <c r="B615" s="118" t="s">
        <v>1371</v>
      </c>
      <c r="D615" s="74">
        <f>IFERROR(VLOOKUP(B615,'REQ. PINTADO'!B:C,2,0),0)</f>
        <v>0</v>
      </c>
      <c r="E615" s="305">
        <f t="shared" si="85"/>
        <v>115.02566557845599</v>
      </c>
      <c r="F615" s="103" t="s">
        <v>163</v>
      </c>
      <c r="G615" s="75" t="s">
        <v>147</v>
      </c>
      <c r="H615" s="90">
        <v>6.71</v>
      </c>
      <c r="I615" s="90">
        <v>2.84</v>
      </c>
      <c r="J615" s="76">
        <v>0.105</v>
      </c>
      <c r="K615" s="306">
        <v>16.38</v>
      </c>
      <c r="L615" s="78">
        <f t="shared" si="86"/>
        <v>0.96073387920099562</v>
      </c>
      <c r="M615" s="58">
        <f>+VLOOKUP(F615,Material!$H$2:$M$17,6,FALSE)*H615*I615*(1+Material!$K$14)</f>
        <v>7.1531004278692301</v>
      </c>
      <c r="N615" s="79" t="str">
        <f t="shared" si="82"/>
        <v>T5.0</v>
      </c>
      <c r="O615" s="80">
        <f>+VLOOKUP(N615,[3]Material!$A$3:$B$58,2,FALSE)</f>
        <v>5000</v>
      </c>
      <c r="P615" s="79" t="s">
        <v>42</v>
      </c>
      <c r="Q615" s="79" t="str">
        <f>+VLOOKUP(F615,[3]Material!$C$2:$E$12,2,FALSE)</f>
        <v>Cal 12</v>
      </c>
      <c r="R615" s="81">
        <f>+IF(P615="ACERO A36",VLOOKUP(Q615,'[3]Velocidades Std 1500 w'!$B$2:$F$15,5,FALSE),IF(P615="INOXIDABLE",VLOOKUP(Q615,'[3]Velocidades Std 1500 w'!$B$17:$F$28,5,FALSE),IF(P615="ALUMINIO",VLOOKUP(Q615,'[3]Velocidades Std 1500 w'!$B$30:$F$38,5,FALSE))))</f>
        <v>4.3859649122807014E-6</v>
      </c>
      <c r="S615" s="82">
        <f t="shared" si="87"/>
        <v>2.1929824561403508E-2</v>
      </c>
      <c r="T615" s="83">
        <f t="shared" si="88"/>
        <v>11.833057894736841</v>
      </c>
      <c r="U615" s="307">
        <f t="shared" si="70"/>
        <v>749.42700000000002</v>
      </c>
      <c r="V615" s="80">
        <f t="shared" si="93"/>
        <v>16.434802631578947</v>
      </c>
      <c r="W615" s="98">
        <v>6</v>
      </c>
      <c r="X615" s="84">
        <f>+IF(P615="ACERO A36",VLOOKUP(Q615,'[3]Tiempo Objeto'!$B$2:$C$12,2,FALSE),IF(P615="INOXIDABLE",VLOOKUP(Q615,'[3]Tiempo Objeto'!$B$14:$C$22,2,FALSE),IF(P615="ALUMINIO",VLOOKUP(Q615,'[3]Tiempo Objeto'!$B$24:$C$32,2,FALSE))))</f>
        <v>0.6133333333333334</v>
      </c>
      <c r="Y615" s="84">
        <f t="shared" si="89"/>
        <v>3.6800000000000006</v>
      </c>
      <c r="Z615" s="80">
        <f t="shared" si="90"/>
        <v>5.1111111111111125</v>
      </c>
      <c r="AA615" s="100">
        <v>3</v>
      </c>
      <c r="AB615" s="86">
        <f>+AA615*Analisis!$J$6</f>
        <v>75</v>
      </c>
      <c r="AC615" s="100"/>
      <c r="AD615" s="85">
        <f t="shared" si="91"/>
        <v>0</v>
      </c>
      <c r="AE615" s="86">
        <f>+AC615*Analisis!$J$7</f>
        <v>0</v>
      </c>
      <c r="AF615" s="308">
        <f>+H615*0.0254*I615*0.0254*2*(1+[3]Analisis!$G$2)</f>
        <v>3.073606756E-2</v>
      </c>
      <c r="AG615" s="86">
        <f>+AF615*Analisis!$J$8</f>
        <v>3.2748548174047629</v>
      </c>
      <c r="AH615" s="309">
        <f t="shared" si="83"/>
        <v>106.97386898796405</v>
      </c>
      <c r="AI615" s="86">
        <f>+AH615/(1-Analisis!G620)</f>
        <v>106.97386898796405</v>
      </c>
      <c r="AJ615" s="86">
        <f t="shared" si="92"/>
        <v>115.02566557845599</v>
      </c>
      <c r="AK615" s="86">
        <f t="shared" si="84"/>
        <v>0</v>
      </c>
      <c r="AL615" s="310" t="e">
        <f>+VLOOKUP(B615,#REF!,2,FALSE)</f>
        <v>#REF!</v>
      </c>
      <c r="AM615" s="311" t="e">
        <f t="shared" si="79"/>
        <v>#REF!</v>
      </c>
      <c r="AN615" s="312" t="e">
        <f t="shared" si="78"/>
        <v>#REF!</v>
      </c>
    </row>
    <row r="616" spans="1:40" s="73" customFormat="1" x14ac:dyDescent="0.25">
      <c r="A616" s="324"/>
      <c r="B616" s="118" t="s">
        <v>1372</v>
      </c>
      <c r="D616" s="74">
        <f>IFERROR(VLOOKUP(B616,'REQ. PINTADO'!B:C,2,0),0)</f>
        <v>0</v>
      </c>
      <c r="E616" s="305">
        <f t="shared" si="85"/>
        <v>2473.3088839077855</v>
      </c>
      <c r="F616" s="103" t="s">
        <v>163</v>
      </c>
      <c r="G616" s="75" t="s">
        <v>147</v>
      </c>
      <c r="H616" s="90">
        <v>33.67</v>
      </c>
      <c r="I616" s="90">
        <v>109.61</v>
      </c>
      <c r="J616" s="76">
        <v>0.105</v>
      </c>
      <c r="K616" s="306">
        <v>16.38</v>
      </c>
      <c r="L616" s="78">
        <f t="shared" si="86"/>
        <v>186.06108098112844</v>
      </c>
      <c r="M616" s="58">
        <f>+VLOOKUP(F616,Material!$H$2:$M$17,6,FALSE)*H616*I616*(1+Material!$K$14)</f>
        <v>1385.3093211231289</v>
      </c>
      <c r="N616" s="79" t="str">
        <f t="shared" si="82"/>
        <v>T5.0</v>
      </c>
      <c r="O616" s="80">
        <f>+VLOOKUP(N616,[3]Material!$A$3:$B$58,2,FALSE)</f>
        <v>5000</v>
      </c>
      <c r="P616" s="79" t="s">
        <v>42</v>
      </c>
      <c r="Q616" s="79" t="str">
        <f>+VLOOKUP(F616,[3]Material!$C$2:$E$12,2,FALSE)</f>
        <v>Cal 12</v>
      </c>
      <c r="R616" s="81">
        <f>+IF(P616="ACERO A36",VLOOKUP(Q616,'[3]Velocidades Std 1500 w'!$B$2:$F$15,5,FALSE),IF(P616="INOXIDABLE",VLOOKUP(Q616,'[3]Velocidades Std 1500 w'!$B$17:$F$28,5,FALSE),IF(P616="ALUMINIO",VLOOKUP(Q616,'[3]Velocidades Std 1500 w'!$B$30:$F$38,5,FALSE))))</f>
        <v>4.3859649122807014E-6</v>
      </c>
      <c r="S616" s="82">
        <f t="shared" si="87"/>
        <v>2.1929824561403508E-2</v>
      </c>
      <c r="T616" s="83">
        <f t="shared" si="88"/>
        <v>134.56839789473682</v>
      </c>
      <c r="U616" s="307">
        <f t="shared" si="70"/>
        <v>8522.6651999999995</v>
      </c>
      <c r="V616" s="80">
        <f t="shared" si="93"/>
        <v>186.90055263157893</v>
      </c>
      <c r="W616" s="98">
        <v>22</v>
      </c>
      <c r="X616" s="84">
        <f>+IF(P616="ACERO A36",VLOOKUP(Q616,'[3]Tiempo Objeto'!$B$2:$C$12,2,FALSE),IF(P616="INOXIDABLE",VLOOKUP(Q616,'[3]Tiempo Objeto'!$B$14:$C$22,2,FALSE),IF(P616="ALUMINIO",VLOOKUP(Q616,'[3]Tiempo Objeto'!$B$24:$C$32,2,FALSE))))</f>
        <v>0.6133333333333334</v>
      </c>
      <c r="Y616" s="84">
        <f t="shared" si="89"/>
        <v>13.493333333333334</v>
      </c>
      <c r="Z616" s="80">
        <f t="shared" si="90"/>
        <v>18.74074074074074</v>
      </c>
      <c r="AA616" s="100">
        <v>3</v>
      </c>
      <c r="AB616" s="86">
        <f>+AA616*Analisis!$J$6</f>
        <v>75</v>
      </c>
      <c r="AC616" s="100"/>
      <c r="AD616" s="85">
        <f t="shared" si="91"/>
        <v>0</v>
      </c>
      <c r="AE616" s="86">
        <f>+AC616*Analisis!$J$7</f>
        <v>0</v>
      </c>
      <c r="AF616" s="308">
        <f>+H616*0.0254*I616*0.0254*2*(1+[3]Analisis!$G$2)</f>
        <v>5.9525182562300003</v>
      </c>
      <c r="AG616" s="86">
        <f>+AF616*Analisis!$J$8</f>
        <v>634.22664753879189</v>
      </c>
      <c r="AH616" s="309">
        <f t="shared" si="83"/>
        <v>2300.1772620342404</v>
      </c>
      <c r="AI616" s="86">
        <f>+AH616/(1-Analisis!G621)</f>
        <v>2300.1772620342404</v>
      </c>
      <c r="AJ616" s="86">
        <f t="shared" si="92"/>
        <v>2473.3088839077855</v>
      </c>
      <c r="AK616" s="86">
        <f t="shared" si="84"/>
        <v>0</v>
      </c>
      <c r="AL616" s="310" t="e">
        <f>+VLOOKUP(B616,#REF!,2,FALSE)</f>
        <v>#REF!</v>
      </c>
      <c r="AM616" s="311" t="e">
        <f t="shared" si="79"/>
        <v>#REF!</v>
      </c>
      <c r="AN616" s="312" t="e">
        <f t="shared" si="78"/>
        <v>#REF!</v>
      </c>
    </row>
    <row r="617" spans="1:40" s="73" customFormat="1" x14ac:dyDescent="0.25">
      <c r="A617" s="324"/>
      <c r="B617" s="118" t="s">
        <v>1373</v>
      </c>
      <c r="D617" s="74">
        <f>IFERROR(VLOOKUP(B617,'REQ. PINTADO'!B:C,2,0),0)</f>
        <v>0</v>
      </c>
      <c r="E617" s="305">
        <f t="shared" si="85"/>
        <v>118.27833083980036</v>
      </c>
      <c r="F617" s="103" t="s">
        <v>163</v>
      </c>
      <c r="G617" s="75" t="s">
        <v>147</v>
      </c>
      <c r="H617" s="90">
        <v>4.5999999999999996</v>
      </c>
      <c r="I617" s="90">
        <v>12</v>
      </c>
      <c r="J617" s="76">
        <v>0.105</v>
      </c>
      <c r="K617" s="306">
        <v>16.38</v>
      </c>
      <c r="L617" s="78">
        <f t="shared" si="86"/>
        <v>2.7829238540277785</v>
      </c>
      <c r="M617" s="58">
        <f>+VLOOKUP(F617,Material!$H$2:$M$17,6,FALSE)*H617*I617*(1+Material!$K$14)</f>
        <v>20.720133058625002</v>
      </c>
      <c r="N617" s="79" t="str">
        <f t="shared" si="82"/>
        <v>T5.0</v>
      </c>
      <c r="O617" s="80">
        <f>+VLOOKUP(N617,[3]Material!$A$3:$B$58,2,FALSE)</f>
        <v>5000</v>
      </c>
      <c r="P617" s="79" t="s">
        <v>42</v>
      </c>
      <c r="Q617" s="79" t="str">
        <f>+VLOOKUP(F617,[3]Material!$C$2:$E$12,2,FALSE)</f>
        <v>Cal 12</v>
      </c>
      <c r="R617" s="81">
        <f>+IF(P617="ACERO A36",VLOOKUP(Q617,'[3]Velocidades Std 1500 w'!$B$2:$F$15,5,FALSE),IF(P617="INOXIDABLE",VLOOKUP(Q617,'[3]Velocidades Std 1500 w'!$B$17:$F$28,5,FALSE),IF(P617="ALUMINIO",VLOOKUP(Q617,'[3]Velocidades Std 1500 w'!$B$30:$F$38,5,FALSE))))</f>
        <v>4.3859649122807014E-6</v>
      </c>
      <c r="S617" s="82">
        <f t="shared" si="87"/>
        <v>2.1929824561403508E-2</v>
      </c>
      <c r="T617" s="83">
        <f t="shared" si="88"/>
        <v>17.770642105263157</v>
      </c>
      <c r="U617" s="307">
        <f t="shared" si="70"/>
        <v>1125.4740000000002</v>
      </c>
      <c r="V617" s="80">
        <f t="shared" si="93"/>
        <v>24.681447368421054</v>
      </c>
      <c r="W617" s="98">
        <v>6</v>
      </c>
      <c r="X617" s="84">
        <f>+IF(P617="ACERO A36",VLOOKUP(Q617,'[3]Tiempo Objeto'!$B$2:$C$12,2,FALSE),IF(P617="INOXIDABLE",VLOOKUP(Q617,'[3]Tiempo Objeto'!$B$14:$C$22,2,FALSE),IF(P617="ALUMINIO",VLOOKUP(Q617,'[3]Tiempo Objeto'!$B$24:$C$32,2,FALSE))))</f>
        <v>0.6133333333333334</v>
      </c>
      <c r="Y617" s="84">
        <f t="shared" si="89"/>
        <v>3.6800000000000006</v>
      </c>
      <c r="Z617" s="80">
        <f t="shared" si="90"/>
        <v>5.1111111111111125</v>
      </c>
      <c r="AA617" s="100">
        <v>2</v>
      </c>
      <c r="AB617" s="86">
        <f>+AA617*Analisis!$J$6</f>
        <v>50</v>
      </c>
      <c r="AC617" s="100"/>
      <c r="AD617" s="85">
        <f t="shared" si="91"/>
        <v>0</v>
      </c>
      <c r="AE617" s="86">
        <f>+AC617*Analisis!$J$7</f>
        <v>0</v>
      </c>
      <c r="AF617" s="308">
        <f>+H617*0.0254*I617*0.0254*2*(1+[3]Analisis!$G$2)</f>
        <v>8.9032079999999972E-2</v>
      </c>
      <c r="AG617" s="86">
        <f>+AF617*Analisis!$J$8</f>
        <v>9.4861561428571424</v>
      </c>
      <c r="AH617" s="309">
        <f t="shared" si="83"/>
        <v>109.99884768101433</v>
      </c>
      <c r="AI617" s="86">
        <f>+AH617/(1-Analisis!G622)</f>
        <v>109.99884768101433</v>
      </c>
      <c r="AJ617" s="86">
        <f t="shared" si="92"/>
        <v>118.27833083980036</v>
      </c>
      <c r="AK617" s="86">
        <f t="shared" si="84"/>
        <v>0</v>
      </c>
      <c r="AL617" s="310" t="e">
        <f>+VLOOKUP(B617,#REF!,2,FALSE)</f>
        <v>#REF!</v>
      </c>
      <c r="AM617" s="311" t="e">
        <f t="shared" si="79"/>
        <v>#REF!</v>
      </c>
      <c r="AN617" s="312" t="e">
        <f t="shared" si="78"/>
        <v>#REF!</v>
      </c>
    </row>
    <row r="618" spans="1:40" s="73" customFormat="1" x14ac:dyDescent="0.25">
      <c r="A618" s="324"/>
      <c r="B618" s="118" t="s">
        <v>1374</v>
      </c>
      <c r="D618" s="74">
        <f>IFERROR(VLOOKUP(B618,'REQ. PINTADO'!B:C,2,0),0)</f>
        <v>0</v>
      </c>
      <c r="E618" s="305">
        <f t="shared" si="85"/>
        <v>116.75188461428681</v>
      </c>
      <c r="F618" s="103" t="s">
        <v>163</v>
      </c>
      <c r="G618" s="75" t="s">
        <v>147</v>
      </c>
      <c r="H618" s="90">
        <v>4.49</v>
      </c>
      <c r="I618" s="90">
        <v>12.32</v>
      </c>
      <c r="J618" s="76">
        <v>0.105</v>
      </c>
      <c r="K618" s="306">
        <v>16.38</v>
      </c>
      <c r="L618" s="78">
        <f t="shared" si="86"/>
        <v>2.7888123595739827</v>
      </c>
      <c r="M618" s="58">
        <f>+VLOOKUP(F618,Material!$H$2:$M$17,6,FALSE)*H618*I618*(1+Material!$K$14)</f>
        <v>20.763975659009922</v>
      </c>
      <c r="N618" s="79" t="str">
        <f t="shared" si="82"/>
        <v>T5.0</v>
      </c>
      <c r="O618" s="80">
        <f>+VLOOKUP(N618,[3]Material!$A$3:$B$58,2,FALSE)</f>
        <v>5000</v>
      </c>
      <c r="P618" s="79" t="s">
        <v>42</v>
      </c>
      <c r="Q618" s="79" t="str">
        <f>+VLOOKUP(F618,[3]Material!$C$2:$E$12,2,FALSE)</f>
        <v>Cal 12</v>
      </c>
      <c r="R618" s="81">
        <f>+IF(P618="ACERO A36",VLOOKUP(Q618,'[3]Velocidades Std 1500 w'!$B$2:$F$15,5,FALSE),IF(P618="INOXIDABLE",VLOOKUP(Q618,'[3]Velocidades Std 1500 w'!$B$17:$F$28,5,FALSE),IF(P618="ALUMINIO",VLOOKUP(Q618,'[3]Velocidades Std 1500 w'!$B$30:$F$38,5,FALSE))))</f>
        <v>4.3859649122807014E-6</v>
      </c>
      <c r="S618" s="82">
        <f t="shared" si="87"/>
        <v>2.1929824561403508E-2</v>
      </c>
      <c r="T618" s="83">
        <f t="shared" si="88"/>
        <v>17.315848421052635</v>
      </c>
      <c r="U618" s="307">
        <f t="shared" si="70"/>
        <v>1096.6704000000002</v>
      </c>
      <c r="V618" s="80">
        <f t="shared" si="93"/>
        <v>24.049789473684214</v>
      </c>
      <c r="W618" s="98">
        <v>5</v>
      </c>
      <c r="X618" s="84">
        <f>+IF(P618="ACERO A36",VLOOKUP(Q618,'[3]Tiempo Objeto'!$B$2:$C$12,2,FALSE),IF(P618="INOXIDABLE",VLOOKUP(Q618,'[3]Tiempo Objeto'!$B$14:$C$22,2,FALSE),IF(P618="ALUMINIO",VLOOKUP(Q618,'[3]Tiempo Objeto'!$B$24:$C$32,2,FALSE))))</f>
        <v>0.6133333333333334</v>
      </c>
      <c r="Y618" s="84">
        <f t="shared" si="89"/>
        <v>3.0666666666666669</v>
      </c>
      <c r="Z618" s="80">
        <f t="shared" si="90"/>
        <v>4.2592592592592595</v>
      </c>
      <c r="AA618" s="100">
        <v>2</v>
      </c>
      <c r="AB618" s="86">
        <f>+AA618*Analisis!$J$6</f>
        <v>50</v>
      </c>
      <c r="AC618" s="100"/>
      <c r="AD618" s="85">
        <f t="shared" si="91"/>
        <v>0</v>
      </c>
      <c r="AE618" s="86">
        <f>+AC618*Analisis!$J$7</f>
        <v>0</v>
      </c>
      <c r="AF618" s="308">
        <f>+H618*0.0254*I618*0.0254*2*(1+[3]Analisis!$G$2)</f>
        <v>8.9220466719999988E-2</v>
      </c>
      <c r="AG618" s="86">
        <f>+AF618*Analisis!$J$8</f>
        <v>9.5062282993333351</v>
      </c>
      <c r="AH618" s="309">
        <f t="shared" si="83"/>
        <v>108.57925269128673</v>
      </c>
      <c r="AI618" s="86">
        <f>+AH618/(1-Analisis!G623)</f>
        <v>108.57925269128673</v>
      </c>
      <c r="AJ618" s="86">
        <f t="shared" si="92"/>
        <v>116.75188461428681</v>
      </c>
      <c r="AK618" s="86">
        <f t="shared" si="84"/>
        <v>0</v>
      </c>
      <c r="AL618" s="310" t="e">
        <f>+VLOOKUP(B618,#REF!,2,FALSE)</f>
        <v>#REF!</v>
      </c>
      <c r="AM618" s="311" t="e">
        <f t="shared" si="79"/>
        <v>#REF!</v>
      </c>
      <c r="AN618" s="312" t="e">
        <f t="shared" si="78"/>
        <v>#REF!</v>
      </c>
    </row>
    <row r="619" spans="1:40" s="73" customFormat="1" x14ac:dyDescent="0.25">
      <c r="A619" s="324"/>
      <c r="B619" s="118" t="s">
        <v>1375</v>
      </c>
      <c r="D619" s="74">
        <f>IFERROR(VLOOKUP(B619,'REQ. PINTADO'!B:C,2,0),0)</f>
        <v>0</v>
      </c>
      <c r="E619" s="305">
        <f t="shared" si="85"/>
        <v>116.82987889206416</v>
      </c>
      <c r="F619" s="103" t="s">
        <v>163</v>
      </c>
      <c r="G619" s="75" t="s">
        <v>147</v>
      </c>
      <c r="H619" s="90">
        <v>4.49</v>
      </c>
      <c r="I619" s="90">
        <v>12.34</v>
      </c>
      <c r="J619" s="76">
        <v>0.105</v>
      </c>
      <c r="K619" s="306">
        <v>16.38</v>
      </c>
      <c r="L619" s="78">
        <f t="shared" si="86"/>
        <v>2.793339652365499</v>
      </c>
      <c r="M619" s="58">
        <f>+VLOOKUP(F619,Material!$H$2:$M$17,6,FALSE)*H619*I619*(1+Material!$K$14)</f>
        <v>20.797683411703119</v>
      </c>
      <c r="N619" s="79" t="str">
        <f t="shared" si="82"/>
        <v>T5.0</v>
      </c>
      <c r="O619" s="80">
        <f>+VLOOKUP(N619,[3]Material!$A$3:$B$58,2,FALSE)</f>
        <v>5000</v>
      </c>
      <c r="P619" s="79" t="s">
        <v>42</v>
      </c>
      <c r="Q619" s="79" t="str">
        <f>+VLOOKUP(F619,[3]Material!$C$2:$E$12,2,FALSE)</f>
        <v>Cal 12</v>
      </c>
      <c r="R619" s="81">
        <f>+IF(P619="ACERO A36",VLOOKUP(Q619,'[3]Velocidades Std 1500 w'!$B$2:$F$15,5,FALSE),IF(P619="INOXIDABLE",VLOOKUP(Q619,'[3]Velocidades Std 1500 w'!$B$17:$F$28,5,FALSE),IF(P619="ALUMINIO",VLOOKUP(Q619,'[3]Velocidades Std 1500 w'!$B$30:$F$38,5,FALSE))))</f>
        <v>4.3859649122807014E-6</v>
      </c>
      <c r="S619" s="82">
        <f t="shared" si="87"/>
        <v>2.1929824561403508E-2</v>
      </c>
      <c r="T619" s="83">
        <f t="shared" si="88"/>
        <v>17.332692631578947</v>
      </c>
      <c r="U619" s="307">
        <f t="shared" si="70"/>
        <v>1097.7372</v>
      </c>
      <c r="V619" s="80">
        <f t="shared" si="93"/>
        <v>24.073184210526314</v>
      </c>
      <c r="W619" s="98">
        <v>5</v>
      </c>
      <c r="X619" s="84">
        <f>+IF(P619="ACERO A36",VLOOKUP(Q619,'[3]Tiempo Objeto'!$B$2:$C$12,2,FALSE),IF(P619="INOXIDABLE",VLOOKUP(Q619,'[3]Tiempo Objeto'!$B$14:$C$22,2,FALSE),IF(P619="ALUMINIO",VLOOKUP(Q619,'[3]Tiempo Objeto'!$B$24:$C$32,2,FALSE))))</f>
        <v>0.6133333333333334</v>
      </c>
      <c r="Y619" s="84">
        <f t="shared" si="89"/>
        <v>3.0666666666666669</v>
      </c>
      <c r="Z619" s="80">
        <f t="shared" si="90"/>
        <v>4.2592592592592595</v>
      </c>
      <c r="AA619" s="100">
        <v>2</v>
      </c>
      <c r="AB619" s="86">
        <f>+AA619*Analisis!$J$6</f>
        <v>50</v>
      </c>
      <c r="AC619" s="100"/>
      <c r="AD619" s="85">
        <f t="shared" si="91"/>
        <v>0</v>
      </c>
      <c r="AE619" s="86">
        <f>+AC619*Analisis!$J$7</f>
        <v>0</v>
      </c>
      <c r="AF619" s="308">
        <f>+H619*0.0254*I619*0.0254*2*(1+[3]Analisis!$G$2)</f>
        <v>8.936530513999999E-2</v>
      </c>
      <c r="AG619" s="86">
        <f>+AF619*Analisis!$J$8</f>
        <v>9.521660488130955</v>
      </c>
      <c r="AH619" s="309">
        <f t="shared" si="83"/>
        <v>108.65178736961965</v>
      </c>
      <c r="AI619" s="86">
        <f>+AH619/(1-Analisis!G624)</f>
        <v>108.65178736961965</v>
      </c>
      <c r="AJ619" s="86">
        <f t="shared" si="92"/>
        <v>116.82987889206416</v>
      </c>
      <c r="AK619" s="86">
        <f t="shared" si="84"/>
        <v>0</v>
      </c>
      <c r="AL619" s="310" t="e">
        <f>+VLOOKUP(B619,#REF!,2,FALSE)</f>
        <v>#REF!</v>
      </c>
      <c r="AM619" s="311" t="e">
        <f t="shared" si="79"/>
        <v>#REF!</v>
      </c>
      <c r="AN619" s="312" t="e">
        <f t="shared" si="78"/>
        <v>#REF!</v>
      </c>
    </row>
    <row r="620" spans="1:40" s="73" customFormat="1" x14ac:dyDescent="0.25">
      <c r="A620" s="324"/>
      <c r="B620" s="118" t="s">
        <v>1376</v>
      </c>
      <c r="D620" s="74">
        <f>IFERROR(VLOOKUP(B620,'REQ. PINTADO'!B:C,2,0),0)</f>
        <v>0</v>
      </c>
      <c r="E620" s="305">
        <f t="shared" si="85"/>
        <v>3158.3863037717056</v>
      </c>
      <c r="F620" s="103" t="s">
        <v>163</v>
      </c>
      <c r="G620" s="75" t="s">
        <v>147</v>
      </c>
      <c r="H620" s="90">
        <v>108.56</v>
      </c>
      <c r="I620" s="90">
        <v>45.14</v>
      </c>
      <c r="J620" s="76">
        <v>0.105</v>
      </c>
      <c r="K620" s="306">
        <v>16.38</v>
      </c>
      <c r="L620" s="78">
        <f t="shared" si="86"/>
        <v>247.05499278260072</v>
      </c>
      <c r="M620" s="58">
        <f>+VLOOKUP(F620,Material!$H$2:$M$17,6,FALSE)*H620*I620*(1+Material!$K$14)</f>
        <v>1839.4367189904542</v>
      </c>
      <c r="N620" s="79" t="str">
        <f t="shared" si="82"/>
        <v>T5.0</v>
      </c>
      <c r="O620" s="80">
        <f>+VLOOKUP(N620,[3]Material!$A$3:$B$58,2,FALSE)</f>
        <v>5000</v>
      </c>
      <c r="P620" s="79" t="s">
        <v>42</v>
      </c>
      <c r="Q620" s="79" t="str">
        <f>+VLOOKUP(F620,[3]Material!$C$2:$E$12,2,FALSE)</f>
        <v>Cal 12</v>
      </c>
      <c r="R620" s="81">
        <f>+IF(P620="ACERO A36",VLOOKUP(Q620,'[3]Velocidades Std 1500 w'!$B$2:$F$15,5,FALSE),IF(P620="INOXIDABLE",VLOOKUP(Q620,'[3]Velocidades Std 1500 w'!$B$17:$F$28,5,FALSE),IF(P620="ALUMINIO",VLOOKUP(Q620,'[3]Velocidades Std 1500 w'!$B$30:$F$38,5,FALSE))))</f>
        <v>4.3859649122807014E-6</v>
      </c>
      <c r="S620" s="82">
        <f t="shared" si="87"/>
        <v>2.1929824561403508E-2</v>
      </c>
      <c r="T620" s="83">
        <f t="shared" si="88"/>
        <v>138.92262631578944</v>
      </c>
      <c r="U620" s="307">
        <f t="shared" si="70"/>
        <v>8798.4329999999991</v>
      </c>
      <c r="V620" s="80">
        <f t="shared" si="93"/>
        <v>192.94809210526313</v>
      </c>
      <c r="W620" s="98">
        <v>15</v>
      </c>
      <c r="X620" s="84">
        <f>+IF(P620="ACERO A36",VLOOKUP(Q620,'[3]Tiempo Objeto'!$B$2:$C$12,2,FALSE),IF(P620="INOXIDABLE",VLOOKUP(Q620,'[3]Tiempo Objeto'!$B$14:$C$22,2,FALSE),IF(P620="ALUMINIO",VLOOKUP(Q620,'[3]Tiempo Objeto'!$B$24:$C$32,2,FALSE))))</f>
        <v>0.6133333333333334</v>
      </c>
      <c r="Y620" s="84">
        <f t="shared" si="89"/>
        <v>9.2000000000000011</v>
      </c>
      <c r="Z620" s="80">
        <f t="shared" si="90"/>
        <v>12.77777777777778</v>
      </c>
      <c r="AA620" s="100">
        <v>2</v>
      </c>
      <c r="AB620" s="86">
        <f>+AA620*Analisis!$J$6</f>
        <v>50</v>
      </c>
      <c r="AC620" s="100"/>
      <c r="AD620" s="85">
        <f t="shared" si="91"/>
        <v>0</v>
      </c>
      <c r="AE620" s="86">
        <f>+AC620*Analisis!$J$7</f>
        <v>0</v>
      </c>
      <c r="AF620" s="308">
        <f>+H620*0.0254*I620*0.0254*2*(1+[3]Analisis!$G$2)</f>
        <v>7.9038525793600005</v>
      </c>
      <c r="AG620" s="86">
        <f>+AF620*Analisis!$J$8</f>
        <v>842.13667363419074</v>
      </c>
      <c r="AH620" s="309">
        <f t="shared" si="83"/>
        <v>2937.2992625076859</v>
      </c>
      <c r="AI620" s="86">
        <f>+AH620/(1-Analisis!G625)</f>
        <v>2937.2992625076859</v>
      </c>
      <c r="AJ620" s="86">
        <f t="shared" si="92"/>
        <v>3158.3863037717056</v>
      </c>
      <c r="AK620" s="86">
        <f t="shared" si="84"/>
        <v>0</v>
      </c>
      <c r="AL620" s="310" t="e">
        <f>+VLOOKUP(B620,#REF!,2,FALSE)</f>
        <v>#REF!</v>
      </c>
      <c r="AM620" s="311" t="e">
        <f t="shared" si="79"/>
        <v>#REF!</v>
      </c>
      <c r="AN620" s="312" t="e">
        <f t="shared" si="78"/>
        <v>#REF!</v>
      </c>
    </row>
    <row r="621" spans="1:40" s="73" customFormat="1" x14ac:dyDescent="0.25">
      <c r="A621" s="324"/>
      <c r="B621" s="118" t="s">
        <v>1377</v>
      </c>
      <c r="D621" s="74">
        <f>IFERROR(VLOOKUP(B621,'REQ. PINTADO'!B:C,2,0),0)</f>
        <v>0</v>
      </c>
      <c r="E621" s="305">
        <f t="shared" si="85"/>
        <v>1747.7846354102619</v>
      </c>
      <c r="F621" s="103" t="s">
        <v>163</v>
      </c>
      <c r="G621" s="75" t="s">
        <v>147</v>
      </c>
      <c r="H621" s="90">
        <v>22.44</v>
      </c>
      <c r="I621" s="90">
        <v>107.04</v>
      </c>
      <c r="J621" s="76">
        <v>0.105</v>
      </c>
      <c r="K621" s="306">
        <v>16.38</v>
      </c>
      <c r="L621" s="78">
        <f t="shared" si="86"/>
        <v>121.09639057754339</v>
      </c>
      <c r="M621" s="58">
        <f>+VLOOKUP(F621,Material!$H$2:$M$17,6,FALSE)*H621*I621*(1+Material!$K$14)</f>
        <v>901.6176716637093</v>
      </c>
      <c r="N621" s="79" t="str">
        <f t="shared" si="82"/>
        <v>T5.0</v>
      </c>
      <c r="O621" s="80">
        <f>+VLOOKUP(N621,[3]Material!$A$3:$B$58,2,FALSE)</f>
        <v>5000</v>
      </c>
      <c r="P621" s="79" t="s">
        <v>42</v>
      </c>
      <c r="Q621" s="79" t="str">
        <f>+VLOOKUP(F621,[3]Material!$C$2:$E$12,2,FALSE)</f>
        <v>Cal 12</v>
      </c>
      <c r="R621" s="81">
        <f>+IF(P621="ACERO A36",VLOOKUP(Q621,'[3]Velocidades Std 1500 w'!$B$2:$F$15,5,FALSE),IF(P621="INOXIDABLE",VLOOKUP(Q621,'[3]Velocidades Std 1500 w'!$B$17:$F$28,5,FALSE),IF(P621="ALUMINIO",VLOOKUP(Q621,'[3]Velocidades Std 1500 w'!$B$30:$F$38,5,FALSE))))</f>
        <v>4.3859649122807014E-6</v>
      </c>
      <c r="S621" s="82">
        <f t="shared" si="87"/>
        <v>2.1929824561403508E-2</v>
      </c>
      <c r="T621" s="83">
        <f t="shared" si="88"/>
        <v>121.68257684210528</v>
      </c>
      <c r="U621" s="307">
        <f t="shared" si="70"/>
        <v>7706.5632000000014</v>
      </c>
      <c r="V621" s="80">
        <f t="shared" si="93"/>
        <v>169.00357894736845</v>
      </c>
      <c r="W621" s="98">
        <v>20</v>
      </c>
      <c r="X621" s="84">
        <f>+IF(P621="ACERO A36",VLOOKUP(Q621,'[3]Tiempo Objeto'!$B$2:$C$12,2,FALSE),IF(P621="INOXIDABLE",VLOOKUP(Q621,'[3]Tiempo Objeto'!$B$14:$C$22,2,FALSE),IF(P621="ALUMINIO",VLOOKUP(Q621,'[3]Tiempo Objeto'!$B$24:$C$32,2,FALSE))))</f>
        <v>0.6133333333333334</v>
      </c>
      <c r="Y621" s="84">
        <f t="shared" si="89"/>
        <v>12.266666666666667</v>
      </c>
      <c r="Z621" s="80">
        <f t="shared" si="90"/>
        <v>17.037037037037038</v>
      </c>
      <c r="AA621" s="100">
        <v>5</v>
      </c>
      <c r="AB621" s="86">
        <f>+AA621*Analisis!$J$6</f>
        <v>125</v>
      </c>
      <c r="AC621" s="100"/>
      <c r="AD621" s="85">
        <f t="shared" si="91"/>
        <v>0</v>
      </c>
      <c r="AE621" s="86">
        <f>+AC621*Analisis!$J$7</f>
        <v>0</v>
      </c>
      <c r="AF621" s="308">
        <f>+H621*0.0254*I621*0.0254*2*(1+[3]Analisis!$G$2)</f>
        <v>3.8741496710400005</v>
      </c>
      <c r="AG621" s="86">
        <f>+AF621*Analisis!$J$8</f>
        <v>412.78142328342875</v>
      </c>
      <c r="AH621" s="309">
        <f t="shared" si="83"/>
        <v>1625.4397109315435</v>
      </c>
      <c r="AI621" s="86">
        <f>+AH621/(1-Analisis!G626)</f>
        <v>1625.4397109315435</v>
      </c>
      <c r="AJ621" s="86">
        <f t="shared" si="92"/>
        <v>1747.7846354102619</v>
      </c>
      <c r="AK621" s="86">
        <f t="shared" si="84"/>
        <v>0</v>
      </c>
      <c r="AL621" s="310" t="e">
        <f>+VLOOKUP(B621,#REF!,2,FALSE)</f>
        <v>#REF!</v>
      </c>
      <c r="AM621" s="311" t="e">
        <f t="shared" si="79"/>
        <v>#REF!</v>
      </c>
      <c r="AN621" s="312" t="e">
        <f t="shared" si="78"/>
        <v>#REF!</v>
      </c>
    </row>
    <row r="622" spans="1:40" s="73" customFormat="1" x14ac:dyDescent="0.25">
      <c r="A622" s="324"/>
      <c r="B622" s="118" t="s">
        <v>1378</v>
      </c>
      <c r="D622" s="74">
        <f>IFERROR(VLOOKUP(B622,'REQ. PINTADO'!B:C,2,0),0)</f>
        <v>0</v>
      </c>
      <c r="E622" s="305">
        <f t="shared" si="85"/>
        <v>99.573130266528153</v>
      </c>
      <c r="F622" s="103" t="s">
        <v>165</v>
      </c>
      <c r="G622" s="75" t="s">
        <v>147</v>
      </c>
      <c r="H622" s="90">
        <v>10.37</v>
      </c>
      <c r="I622" s="90">
        <v>4.58</v>
      </c>
      <c r="J622" s="76">
        <v>0.105</v>
      </c>
      <c r="K622" s="306">
        <v>16.38</v>
      </c>
      <c r="L622" s="78">
        <f t="shared" si="86"/>
        <v>2.6512744123931626</v>
      </c>
      <c r="M622" s="58">
        <f>+VLOOKUP(F622,Material!$H$2:$M$17,6,FALSE)*H622*I622*(1+Material!$K$14)</f>
        <v>19.739943125</v>
      </c>
      <c r="N622" s="79" t="str">
        <f t="shared" si="82"/>
        <v>T5.0</v>
      </c>
      <c r="O622" s="80">
        <f>+VLOOKUP(N622,[3]Material!$A$3:$B$58,2,FALSE)</f>
        <v>5000</v>
      </c>
      <c r="P622" s="79" t="s">
        <v>42</v>
      </c>
      <c r="Q622" s="79" t="str">
        <f>+VLOOKUP(F622,[3]Material!$C$2:$E$12,2,FALSE)</f>
        <v>Cal 14</v>
      </c>
      <c r="R622" s="81">
        <f>+IF(P622="ACERO A36",VLOOKUP(Q622,'[3]Velocidades Std 1500 w'!$B$2:$F$15,5,FALSE),IF(P622="INOXIDABLE",VLOOKUP(Q622,'[3]Velocidades Std 1500 w'!$B$17:$F$28,5,FALSE),IF(P622="ALUMINIO",VLOOKUP(Q622,'[3]Velocidades Std 1500 w'!$B$30:$F$38,5,FALSE))))</f>
        <v>2.0080321285140564E-6</v>
      </c>
      <c r="S622" s="82">
        <f t="shared" si="87"/>
        <v>1.0040160642570283E-2</v>
      </c>
      <c r="T622" s="83">
        <f t="shared" si="88"/>
        <v>8.0781180722891577</v>
      </c>
      <c r="U622" s="307">
        <f t="shared" si="70"/>
        <v>1117.473</v>
      </c>
      <c r="V622" s="80">
        <f t="shared" si="93"/>
        <v>11.21960843373494</v>
      </c>
      <c r="W622" s="98">
        <v>8</v>
      </c>
      <c r="X622" s="84">
        <f>+IF(P622="ACERO A36",VLOOKUP(Q622,'[3]Tiempo Objeto'!$B$2:$C$12,2,FALSE),IF(P622="INOXIDABLE",VLOOKUP(Q622,'[3]Tiempo Objeto'!$B$14:$C$22,2,FALSE),IF(P622="ALUMINIO",VLOOKUP(Q622,'[3]Tiempo Objeto'!$B$24:$C$32,2,FALSE))))</f>
        <v>0.3133333333333333</v>
      </c>
      <c r="Y622" s="84">
        <f t="shared" si="89"/>
        <v>2.5066666666666664</v>
      </c>
      <c r="Z622" s="80">
        <f t="shared" si="90"/>
        <v>3.481481481481481</v>
      </c>
      <c r="AA622" s="100">
        <v>2</v>
      </c>
      <c r="AB622" s="86">
        <f>+AA622*Analisis!$J$6</f>
        <v>50</v>
      </c>
      <c r="AC622" s="100"/>
      <c r="AD622" s="85">
        <f t="shared" si="91"/>
        <v>0</v>
      </c>
      <c r="AE622" s="86">
        <f>+AC622*Analisis!$J$7</f>
        <v>0</v>
      </c>
      <c r="AF622" s="308">
        <f>+H622*0.0254*I622*0.0254*2*(1+[3]Analisis!$G$2)</f>
        <v>7.6604040339999985E-2</v>
      </c>
      <c r="AG622" s="86">
        <f>+AF622*Analisis!$J$8</f>
        <v>8.1619781076547628</v>
      </c>
      <c r="AH622" s="309">
        <f t="shared" si="83"/>
        <v>92.603011147871172</v>
      </c>
      <c r="AI622" s="86">
        <f>+AH622/(1-Analisis!G627)</f>
        <v>92.603011147871172</v>
      </c>
      <c r="AJ622" s="86">
        <f t="shared" si="92"/>
        <v>99.573130266528153</v>
      </c>
      <c r="AK622" s="86">
        <f t="shared" si="84"/>
        <v>0</v>
      </c>
      <c r="AL622" s="310" t="e">
        <f>+VLOOKUP(B622,#REF!,2,FALSE)</f>
        <v>#REF!</v>
      </c>
      <c r="AM622" s="311" t="e">
        <f t="shared" si="79"/>
        <v>#REF!</v>
      </c>
      <c r="AN622" s="312" t="e">
        <f t="shared" si="78"/>
        <v>#REF!</v>
      </c>
    </row>
    <row r="623" spans="1:40" s="73" customFormat="1" x14ac:dyDescent="0.25">
      <c r="A623" s="324"/>
      <c r="B623" s="118" t="s">
        <v>1379</v>
      </c>
      <c r="D623" s="74">
        <f>IFERROR(VLOOKUP(B623,'REQ. PINTADO'!B:C,2,0),0)</f>
        <v>0</v>
      </c>
      <c r="E623" s="305">
        <f t="shared" si="85"/>
        <v>94.369613060908449</v>
      </c>
      <c r="F623" s="103" t="s">
        <v>165</v>
      </c>
      <c r="G623" s="75" t="s">
        <v>147</v>
      </c>
      <c r="H623" s="90">
        <v>4.58</v>
      </c>
      <c r="I623" s="90">
        <v>8.8699999999999992</v>
      </c>
      <c r="J623" s="76">
        <v>0.105</v>
      </c>
      <c r="K623" s="306">
        <v>16.38</v>
      </c>
      <c r="L623" s="78">
        <f t="shared" si="86"/>
        <v>2.2677728098290602</v>
      </c>
      <c r="M623" s="58">
        <f>+VLOOKUP(F623,Material!$H$2:$M$17,6,FALSE)*H623*I623*(1+Material!$K$14)</f>
        <v>16.884599374999997</v>
      </c>
      <c r="N623" s="79" t="str">
        <f t="shared" si="82"/>
        <v>T5.0</v>
      </c>
      <c r="O623" s="80">
        <f>+VLOOKUP(N623,[3]Material!$A$3:$B$58,2,FALSE)</f>
        <v>5000</v>
      </c>
      <c r="P623" s="79" t="s">
        <v>42</v>
      </c>
      <c r="Q623" s="79" t="str">
        <f>+VLOOKUP(F623,[3]Material!$C$2:$E$12,2,FALSE)</f>
        <v>Cal 14</v>
      </c>
      <c r="R623" s="81">
        <f>+IF(P623="ACERO A36",VLOOKUP(Q623,'[3]Velocidades Std 1500 w'!$B$2:$F$15,5,FALSE),IF(P623="INOXIDABLE",VLOOKUP(Q623,'[3]Velocidades Std 1500 w'!$B$17:$F$28,5,FALSE),IF(P623="ALUMINIO",VLOOKUP(Q623,'[3]Velocidades Std 1500 w'!$B$30:$F$38,5,FALSE))))</f>
        <v>2.0080321285140564E-6</v>
      </c>
      <c r="S623" s="82">
        <f t="shared" si="87"/>
        <v>1.0040160642570283E-2</v>
      </c>
      <c r="T623" s="83">
        <f t="shared" si="88"/>
        <v>7.4997325301204816</v>
      </c>
      <c r="U623" s="307">
        <f t="shared" si="70"/>
        <v>1037.463</v>
      </c>
      <c r="V623" s="80">
        <f t="shared" si="93"/>
        <v>10.416295180722893</v>
      </c>
      <c r="W623" s="98">
        <v>8</v>
      </c>
      <c r="X623" s="84">
        <f>+IF(P623="ACERO A36",VLOOKUP(Q623,'[3]Tiempo Objeto'!$B$2:$C$12,2,FALSE),IF(P623="INOXIDABLE",VLOOKUP(Q623,'[3]Tiempo Objeto'!$B$14:$C$22,2,FALSE),IF(P623="ALUMINIO",VLOOKUP(Q623,'[3]Tiempo Objeto'!$B$24:$C$32,2,FALSE))))</f>
        <v>0.3133333333333333</v>
      </c>
      <c r="Y623" s="84">
        <f t="shared" si="89"/>
        <v>2.5066666666666664</v>
      </c>
      <c r="Z623" s="80">
        <f t="shared" si="90"/>
        <v>3.481481481481481</v>
      </c>
      <c r="AA623" s="100">
        <v>2</v>
      </c>
      <c r="AB623" s="86">
        <f>+AA623*Analisis!$J$6</f>
        <v>50</v>
      </c>
      <c r="AC623" s="100"/>
      <c r="AD623" s="85">
        <f t="shared" si="91"/>
        <v>0</v>
      </c>
      <c r="AE623" s="86">
        <f>+AC623*Analisis!$J$7</f>
        <v>0</v>
      </c>
      <c r="AF623" s="308">
        <f>+H623*0.0254*I623*0.0254*2*(1+[3]Analisis!$G$2)</f>
        <v>6.5523417340000001E-2</v>
      </c>
      <c r="AG623" s="86">
        <f>+AF623*Analisis!$J$8</f>
        <v>6.9813641094404781</v>
      </c>
      <c r="AH623" s="309">
        <f t="shared" si="83"/>
        <v>87.763740146644849</v>
      </c>
      <c r="AI623" s="86">
        <f>+AH623/(1-Analisis!G628)</f>
        <v>87.763740146644849</v>
      </c>
      <c r="AJ623" s="86">
        <f t="shared" si="92"/>
        <v>94.369613060908449</v>
      </c>
      <c r="AK623" s="86">
        <f t="shared" si="84"/>
        <v>0</v>
      </c>
      <c r="AL623" s="310" t="e">
        <f>+VLOOKUP(B623,#REF!,2,FALSE)</f>
        <v>#REF!</v>
      </c>
      <c r="AM623" s="311" t="e">
        <f t="shared" si="79"/>
        <v>#REF!</v>
      </c>
      <c r="AN623" s="312" t="e">
        <f t="shared" si="78"/>
        <v>#REF!</v>
      </c>
    </row>
    <row r="624" spans="1:40" s="73" customFormat="1" x14ac:dyDescent="0.25">
      <c r="A624" s="324"/>
      <c r="B624" s="118" t="s">
        <v>1380</v>
      </c>
      <c r="D624" s="74">
        <f>IFERROR(VLOOKUP(B624,'REQ. PINTADO'!B:C,2,0),0)</f>
        <v>0</v>
      </c>
      <c r="E624" s="305">
        <f t="shared" si="85"/>
        <v>972.10438975258853</v>
      </c>
      <c r="F624" s="103" t="s">
        <v>163</v>
      </c>
      <c r="G624" s="75" t="s">
        <v>147</v>
      </c>
      <c r="H624" s="90">
        <v>10.47</v>
      </c>
      <c r="I624" s="90">
        <v>106.75</v>
      </c>
      <c r="J624" s="76">
        <v>0.105</v>
      </c>
      <c r="K624" s="306">
        <v>16.38</v>
      </c>
      <c r="L624" s="78">
        <f t="shared" si="86"/>
        <v>56.347780094943161</v>
      </c>
      <c r="M624" s="58">
        <f>+VLOOKUP(F624,Material!$H$2:$M$17,6,FALSE)*H624*I624*(1+Material!$K$14)</f>
        <v>419.53483543416769</v>
      </c>
      <c r="N624" s="79" t="str">
        <f t="shared" si="82"/>
        <v>T5.0</v>
      </c>
      <c r="O624" s="80">
        <f>+VLOOKUP(N624,[3]Material!$A$3:$B$58,2,FALSE)</f>
        <v>5000</v>
      </c>
      <c r="P624" s="79" t="s">
        <v>42</v>
      </c>
      <c r="Q624" s="79" t="str">
        <f>+VLOOKUP(F624,[3]Material!$C$2:$E$12,2,FALSE)</f>
        <v>Cal 12</v>
      </c>
      <c r="R624" s="81">
        <f>+IF(P624="ACERO A36",VLOOKUP(Q624,'[3]Velocidades Std 1500 w'!$B$2:$F$15,5,FALSE),IF(P624="INOXIDABLE",VLOOKUP(Q624,'[3]Velocidades Std 1500 w'!$B$17:$F$28,5,FALSE),IF(P624="ALUMINIO",VLOOKUP(Q624,'[3]Velocidades Std 1500 w'!$B$30:$F$38,5,FALSE))))</f>
        <v>4.3859649122807014E-6</v>
      </c>
      <c r="S624" s="82">
        <f t="shared" si="87"/>
        <v>2.1929824561403508E-2</v>
      </c>
      <c r="T624" s="83">
        <f t="shared" si="88"/>
        <v>118.93697052631579</v>
      </c>
      <c r="U624" s="307">
        <f t="shared" si="70"/>
        <v>7532.6747999999998</v>
      </c>
      <c r="V624" s="80">
        <f t="shared" si="93"/>
        <v>165.19023684210524</v>
      </c>
      <c r="W624" s="98">
        <v>32</v>
      </c>
      <c r="X624" s="84">
        <f>+IF(P624="ACERO A36",VLOOKUP(Q624,'[3]Tiempo Objeto'!$B$2:$C$12,2,FALSE),IF(P624="INOXIDABLE",VLOOKUP(Q624,'[3]Tiempo Objeto'!$B$14:$C$22,2,FALSE),IF(P624="ALUMINIO",VLOOKUP(Q624,'[3]Tiempo Objeto'!$B$24:$C$32,2,FALSE))))</f>
        <v>0.6133333333333334</v>
      </c>
      <c r="Y624" s="84">
        <f t="shared" si="89"/>
        <v>19.626666666666669</v>
      </c>
      <c r="Z624" s="80">
        <f t="shared" si="90"/>
        <v>27.259259259259263</v>
      </c>
      <c r="AA624" s="100">
        <v>4</v>
      </c>
      <c r="AB624" s="86">
        <f>+AA624*Analisis!$J$6</f>
        <v>100</v>
      </c>
      <c r="AC624" s="100"/>
      <c r="AD624" s="85">
        <f t="shared" si="91"/>
        <v>0</v>
      </c>
      <c r="AE624" s="86">
        <f>+AC624*Analisis!$J$7</f>
        <v>0</v>
      </c>
      <c r="AF624" s="308">
        <f>+H624*0.0254*I624*0.0254*2*(1+[3]Analisis!$G$2)</f>
        <v>1.80269397525</v>
      </c>
      <c r="AG624" s="86">
        <f>+AF624*Analisis!$J$8</f>
        <v>192.07275093437505</v>
      </c>
      <c r="AH624" s="309">
        <f t="shared" si="83"/>
        <v>904.0570824699073</v>
      </c>
      <c r="AI624" s="86">
        <f>+AH624/(1-Analisis!G629)</f>
        <v>904.0570824699073</v>
      </c>
      <c r="AJ624" s="86">
        <f t="shared" si="92"/>
        <v>972.10438975258853</v>
      </c>
      <c r="AK624" s="86">
        <f t="shared" si="84"/>
        <v>0</v>
      </c>
      <c r="AL624" s="310" t="e">
        <f>+VLOOKUP(B624,#REF!,2,FALSE)</f>
        <v>#REF!</v>
      </c>
      <c r="AM624" s="311" t="e">
        <f t="shared" si="79"/>
        <v>#REF!</v>
      </c>
      <c r="AN624" s="312" t="e">
        <f t="shared" si="78"/>
        <v>#REF!</v>
      </c>
    </row>
    <row r="625" spans="1:40" s="73" customFormat="1" x14ac:dyDescent="0.25">
      <c r="A625" s="324"/>
      <c r="B625" s="118" t="s">
        <v>1381</v>
      </c>
      <c r="D625" s="74">
        <f>IFERROR(VLOOKUP(B625,'REQ. PINTADO'!B:C,2,0),0)</f>
        <v>0</v>
      </c>
      <c r="E625" s="305">
        <f t="shared" si="85"/>
        <v>2348.2212215707655</v>
      </c>
      <c r="F625" s="103" t="s">
        <v>163</v>
      </c>
      <c r="G625" s="75" t="s">
        <v>147</v>
      </c>
      <c r="H625" s="90">
        <v>31.4</v>
      </c>
      <c r="I625" s="90">
        <v>109.61</v>
      </c>
      <c r="J625" s="76">
        <v>0.105</v>
      </c>
      <c r="K625" s="306">
        <v>16.38</v>
      </c>
      <c r="L625" s="78">
        <f t="shared" si="86"/>
        <v>173.51701641839716</v>
      </c>
      <c r="M625" s="58">
        <f>+VLOOKUP(F625,Material!$H$2:$M$17,6,FALSE)*H625*I625*(1+Material!$K$14)</f>
        <v>1291.913058606066</v>
      </c>
      <c r="N625" s="79" t="str">
        <f t="shared" si="82"/>
        <v>T5.0</v>
      </c>
      <c r="O625" s="80">
        <f>+VLOOKUP(N625,[3]Material!$A$3:$B$58,2,FALSE)</f>
        <v>5000</v>
      </c>
      <c r="P625" s="79" t="s">
        <v>42</v>
      </c>
      <c r="Q625" s="79" t="str">
        <f>+VLOOKUP(F625,[3]Material!$C$2:$E$12,2,FALSE)</f>
        <v>Cal 12</v>
      </c>
      <c r="R625" s="81">
        <f>+IF(P625="ACERO A36",VLOOKUP(Q625,'[3]Velocidades Std 1500 w'!$B$2:$F$15,5,FALSE),IF(P625="INOXIDABLE",VLOOKUP(Q625,'[3]Velocidades Std 1500 w'!$B$17:$F$28,5,FALSE),IF(P625="ALUMINIO",VLOOKUP(Q625,'[3]Velocidades Std 1500 w'!$B$30:$F$38,5,FALSE))))</f>
        <v>4.3859649122807014E-6</v>
      </c>
      <c r="S625" s="82">
        <f t="shared" si="87"/>
        <v>2.1929824561403508E-2</v>
      </c>
      <c r="T625" s="83">
        <f t="shared" si="88"/>
        <v>140.86813263157893</v>
      </c>
      <c r="U625" s="307">
        <f t="shared" si="70"/>
        <v>8921.6484</v>
      </c>
      <c r="V625" s="80">
        <f t="shared" si="93"/>
        <v>195.65018421052631</v>
      </c>
      <c r="W625" s="98">
        <v>35</v>
      </c>
      <c r="X625" s="84">
        <f>+IF(P625="ACERO A36",VLOOKUP(Q625,'[3]Tiempo Objeto'!$B$2:$C$12,2,FALSE),IF(P625="INOXIDABLE",VLOOKUP(Q625,'[3]Tiempo Objeto'!$B$14:$C$22,2,FALSE),IF(P625="ALUMINIO",VLOOKUP(Q625,'[3]Tiempo Objeto'!$B$24:$C$32,2,FALSE))))</f>
        <v>0.6133333333333334</v>
      </c>
      <c r="Y625" s="84">
        <f t="shared" si="89"/>
        <v>21.466666666666669</v>
      </c>
      <c r="Z625" s="80">
        <f t="shared" si="90"/>
        <v>29.814814814814817</v>
      </c>
      <c r="AA625" s="100">
        <v>3</v>
      </c>
      <c r="AB625" s="86">
        <f>+AA625*Analisis!$J$6</f>
        <v>75</v>
      </c>
      <c r="AC625" s="100"/>
      <c r="AD625" s="85">
        <f t="shared" si="91"/>
        <v>0</v>
      </c>
      <c r="AE625" s="86">
        <f>+AC625*Analisis!$J$7</f>
        <v>0</v>
      </c>
      <c r="AF625" s="308">
        <f>+H625*0.0254*I625*0.0254*2*(1+[3]Analisis!$G$2)</f>
        <v>5.551205026599999</v>
      </c>
      <c r="AG625" s="86">
        <f>+AF625*Analisis!$J$8</f>
        <v>591.46767842940483</v>
      </c>
      <c r="AH625" s="309">
        <f t="shared" si="83"/>
        <v>2183.8457360608118</v>
      </c>
      <c r="AI625" s="86">
        <f>+AH625/(1-Analisis!G630)</f>
        <v>2183.8457360608118</v>
      </c>
      <c r="AJ625" s="86">
        <f t="shared" si="92"/>
        <v>2348.2212215707655</v>
      </c>
      <c r="AK625" s="86">
        <f t="shared" si="84"/>
        <v>0</v>
      </c>
      <c r="AL625" s="310" t="e">
        <f>+VLOOKUP(B625,#REF!,2,FALSE)</f>
        <v>#REF!</v>
      </c>
      <c r="AM625" s="311" t="e">
        <f t="shared" si="79"/>
        <v>#REF!</v>
      </c>
      <c r="AN625" s="312" t="e">
        <f t="shared" si="78"/>
        <v>#REF!</v>
      </c>
    </row>
    <row r="626" spans="1:40" s="73" customFormat="1" x14ac:dyDescent="0.25">
      <c r="A626" s="324"/>
      <c r="B626" s="118" t="s">
        <v>1382</v>
      </c>
      <c r="D626" s="74">
        <f>IFERROR(VLOOKUP(B626,'REQ. PINTADO'!B:C,2,0),0)</f>
        <v>0</v>
      </c>
      <c r="E626" s="305">
        <f t="shared" si="85"/>
        <v>1745.2829244436207</v>
      </c>
      <c r="F626" s="103" t="s">
        <v>163</v>
      </c>
      <c r="G626" s="75" t="s">
        <v>147</v>
      </c>
      <c r="H626" s="90">
        <v>22.43</v>
      </c>
      <c r="I626" s="90">
        <v>107.04</v>
      </c>
      <c r="J626" s="76">
        <v>0.105</v>
      </c>
      <c r="K626" s="306">
        <v>16.38</v>
      </c>
      <c r="L626" s="78">
        <f t="shared" si="86"/>
        <v>121.04242605411311</v>
      </c>
      <c r="M626" s="58">
        <f>+VLOOKUP(F626,Material!$H$2:$M$17,6,FALSE)*H626*I626*(1+Material!$K$14)</f>
        <v>901.21588125744199</v>
      </c>
      <c r="N626" s="79" t="str">
        <f t="shared" si="82"/>
        <v>T5.0</v>
      </c>
      <c r="O626" s="80">
        <f>+VLOOKUP(N626,[3]Material!$A$3:$B$58,2,FALSE)</f>
        <v>5000</v>
      </c>
      <c r="P626" s="79" t="s">
        <v>42</v>
      </c>
      <c r="Q626" s="79" t="str">
        <f>+VLOOKUP(F626,[3]Material!$C$2:$E$12,2,FALSE)</f>
        <v>Cal 12</v>
      </c>
      <c r="R626" s="81">
        <f>+IF(P626="ACERO A36",VLOOKUP(Q626,'[3]Velocidades Std 1500 w'!$B$2:$F$15,5,FALSE),IF(P626="INOXIDABLE",VLOOKUP(Q626,'[3]Velocidades Std 1500 w'!$B$17:$F$28,5,FALSE),IF(P626="ALUMINIO",VLOOKUP(Q626,'[3]Velocidades Std 1500 w'!$B$30:$F$38,5,FALSE))))</f>
        <v>4.3859649122807014E-6</v>
      </c>
      <c r="S626" s="82">
        <f t="shared" si="87"/>
        <v>2.1929824561403508E-2</v>
      </c>
      <c r="T626" s="83">
        <f t="shared" si="88"/>
        <v>121.04249684210527</v>
      </c>
      <c r="U626" s="307">
        <f t="shared" si="70"/>
        <v>7666.0248000000001</v>
      </c>
      <c r="V626" s="80">
        <f t="shared" si="93"/>
        <v>168.11457894736841</v>
      </c>
      <c r="W626" s="98">
        <v>19</v>
      </c>
      <c r="X626" s="84">
        <f>+IF(P626="ACERO A36",VLOOKUP(Q626,'[3]Tiempo Objeto'!$B$2:$C$12,2,FALSE),IF(P626="INOXIDABLE",VLOOKUP(Q626,'[3]Tiempo Objeto'!$B$14:$C$22,2,FALSE),IF(P626="ALUMINIO",VLOOKUP(Q626,'[3]Tiempo Objeto'!$B$24:$C$32,2,FALSE))))</f>
        <v>0.6133333333333334</v>
      </c>
      <c r="Y626" s="84">
        <f t="shared" si="89"/>
        <v>11.653333333333334</v>
      </c>
      <c r="Z626" s="80">
        <f t="shared" si="90"/>
        <v>16.185185185185187</v>
      </c>
      <c r="AA626" s="100">
        <v>5</v>
      </c>
      <c r="AB626" s="86">
        <f>+AA626*Analisis!$J$6</f>
        <v>125</v>
      </c>
      <c r="AC626" s="100"/>
      <c r="AD626" s="85">
        <f t="shared" si="91"/>
        <v>0</v>
      </c>
      <c r="AE626" s="86">
        <f>+AC626*Analisis!$J$7</f>
        <v>0</v>
      </c>
      <c r="AF626" s="308">
        <f>+H626*0.0254*I626*0.0254*2*(1+[3]Analisis!$G$2)</f>
        <v>3.8724232228799997</v>
      </c>
      <c r="AG626" s="86">
        <f>+AF626*Analisis!$J$8</f>
        <v>412.5974743425715</v>
      </c>
      <c r="AH626" s="309">
        <f t="shared" si="83"/>
        <v>1623.1131197325672</v>
      </c>
      <c r="AI626" s="86">
        <f>+AH626/(1-Analisis!G631)</f>
        <v>1623.1131197325672</v>
      </c>
      <c r="AJ626" s="86">
        <f t="shared" si="92"/>
        <v>1745.2829244436207</v>
      </c>
      <c r="AK626" s="86">
        <f t="shared" si="84"/>
        <v>0</v>
      </c>
      <c r="AL626" s="310" t="e">
        <f>+VLOOKUP(B626,#REF!,2,FALSE)</f>
        <v>#REF!</v>
      </c>
      <c r="AM626" s="311" t="e">
        <f t="shared" si="79"/>
        <v>#REF!</v>
      </c>
      <c r="AN626" s="312" t="e">
        <f t="shared" si="78"/>
        <v>#REF!</v>
      </c>
    </row>
    <row r="627" spans="1:40" s="73" customFormat="1" x14ac:dyDescent="0.25">
      <c r="A627" s="324"/>
      <c r="B627" s="118" t="s">
        <v>1383</v>
      </c>
      <c r="D627" s="74">
        <f>IFERROR(VLOOKUP(B627,'REQ. PINTADO'!B:C,2,0),0)</f>
        <v>0</v>
      </c>
      <c r="E627" s="305">
        <f t="shared" si="85"/>
        <v>3706.6033599214784</v>
      </c>
      <c r="F627" s="103" t="s">
        <v>163</v>
      </c>
      <c r="G627" s="75" t="s">
        <v>147</v>
      </c>
      <c r="H627" s="90">
        <v>108.55</v>
      </c>
      <c r="I627" s="90">
        <v>45.14</v>
      </c>
      <c r="J627" s="76">
        <v>0.105</v>
      </c>
      <c r="K627" s="306">
        <v>16.38</v>
      </c>
      <c r="L627" s="78">
        <f t="shared" si="86"/>
        <v>247.03223532195383</v>
      </c>
      <c r="M627" s="58">
        <f>+VLOOKUP(F627,Material!$H$2:$M$17,6,FALSE)*H627*I627*(1+Material!$K$14)</f>
        <v>1839.2672793516379</v>
      </c>
      <c r="N627" s="79" t="str">
        <f t="shared" si="82"/>
        <v>T5.0</v>
      </c>
      <c r="O627" s="80">
        <f>+VLOOKUP(N627,[3]Material!$A$3:$B$58,2,FALSE)</f>
        <v>5000</v>
      </c>
      <c r="P627" s="79" t="s">
        <v>42</v>
      </c>
      <c r="Q627" s="79" t="str">
        <f>+VLOOKUP(F627,[3]Material!$C$2:$E$12,2,FALSE)</f>
        <v>Cal 12</v>
      </c>
      <c r="R627" s="81">
        <f>+IF(P627="ACERO A36",VLOOKUP(Q627,'[3]Velocidades Std 1500 w'!$B$2:$F$15,5,FALSE),IF(P627="INOXIDABLE",VLOOKUP(Q627,'[3]Velocidades Std 1500 w'!$B$17:$F$28,5,FALSE),IF(P627="ALUMINIO",VLOOKUP(Q627,'[3]Velocidades Std 1500 w'!$B$30:$F$38,5,FALSE))))</f>
        <v>4.3859649122807014E-6</v>
      </c>
      <c r="S627" s="82">
        <f t="shared" si="87"/>
        <v>2.1929824561403508E-2</v>
      </c>
      <c r="T627" s="83">
        <f t="shared" si="88"/>
        <v>325.25328315789466</v>
      </c>
      <c r="U627" s="307">
        <f t="shared" ref="U627:U742" si="94">(+I627*2+H627*2+W627*1.5)*25.4*1.05</f>
        <v>20599.374599999999</v>
      </c>
      <c r="V627" s="80">
        <f t="shared" si="93"/>
        <v>451.74067105263151</v>
      </c>
      <c r="W627" s="98">
        <v>310</v>
      </c>
      <c r="X627" s="84">
        <f>+IF(P627="ACERO A36",VLOOKUP(Q627,'[3]Tiempo Objeto'!$B$2:$C$12,2,FALSE),IF(P627="INOXIDABLE",VLOOKUP(Q627,'[3]Tiempo Objeto'!$B$14:$C$22,2,FALSE),IF(P627="ALUMINIO",VLOOKUP(Q627,'[3]Tiempo Objeto'!$B$24:$C$32,2,FALSE))))</f>
        <v>0.6133333333333334</v>
      </c>
      <c r="Y627" s="84">
        <f t="shared" si="89"/>
        <v>190.13333333333335</v>
      </c>
      <c r="Z627" s="80">
        <f t="shared" si="90"/>
        <v>264.07407407407408</v>
      </c>
      <c r="AA627" s="100">
        <v>2</v>
      </c>
      <c r="AB627" s="86">
        <f>+AA627*Analisis!$J$6</f>
        <v>50</v>
      </c>
      <c r="AC627" s="100"/>
      <c r="AD627" s="85">
        <f t="shared" si="91"/>
        <v>0</v>
      </c>
      <c r="AE627" s="86">
        <f>+AC627*Analisis!$J$7</f>
        <v>0</v>
      </c>
      <c r="AF627" s="308">
        <f>+H627*0.0254*I627*0.0254*2*(1+[3]Analisis!$G$2)</f>
        <v>7.9031245163000001</v>
      </c>
      <c r="AG627" s="86">
        <f>+AF627*Analisis!$J$8</f>
        <v>842.05910024863124</v>
      </c>
      <c r="AH627" s="309">
        <f t="shared" si="83"/>
        <v>3447.1411247269748</v>
      </c>
      <c r="AI627" s="86">
        <f>+AH627/(1-Analisis!G632)</f>
        <v>3447.1411247269748</v>
      </c>
      <c r="AJ627" s="86">
        <f t="shared" si="92"/>
        <v>3706.6033599214784</v>
      </c>
      <c r="AK627" s="86">
        <f t="shared" si="84"/>
        <v>0</v>
      </c>
      <c r="AL627" s="310" t="e">
        <f>+VLOOKUP(B627,#REF!,2,FALSE)</f>
        <v>#REF!</v>
      </c>
      <c r="AM627" s="311" t="e">
        <f t="shared" si="79"/>
        <v>#REF!</v>
      </c>
      <c r="AN627" s="312" t="e">
        <f t="shared" si="78"/>
        <v>#REF!</v>
      </c>
    </row>
    <row r="628" spans="1:40" s="73" customFormat="1" x14ac:dyDescent="0.25">
      <c r="A628" s="324"/>
      <c r="B628" s="118" t="s">
        <v>1384</v>
      </c>
      <c r="D628" s="74">
        <f>IFERROR(VLOOKUP(B628,'REQ. PINTADO'!B:C,2,0),0)</f>
        <v>0</v>
      </c>
      <c r="E628" s="305">
        <f t="shared" si="85"/>
        <v>3706.6033599214784</v>
      </c>
      <c r="F628" s="103" t="s">
        <v>163</v>
      </c>
      <c r="G628" s="75" t="s">
        <v>147</v>
      </c>
      <c r="H628" s="90">
        <v>108.55</v>
      </c>
      <c r="I628" s="90">
        <v>45.14</v>
      </c>
      <c r="J628" s="76">
        <v>0.105</v>
      </c>
      <c r="K628" s="306">
        <v>16.38</v>
      </c>
      <c r="L628" s="78">
        <f t="shared" si="86"/>
        <v>247.03223532195383</v>
      </c>
      <c r="M628" s="58">
        <f>+VLOOKUP(F628,Material!$H$2:$M$17,6,FALSE)*H628*I628*(1+Material!$K$14)</f>
        <v>1839.2672793516379</v>
      </c>
      <c r="N628" s="79" t="str">
        <f t="shared" si="82"/>
        <v>T5.0</v>
      </c>
      <c r="O628" s="80">
        <f>+VLOOKUP(N628,[3]Material!$A$3:$B$58,2,FALSE)</f>
        <v>5000</v>
      </c>
      <c r="P628" s="79" t="s">
        <v>42</v>
      </c>
      <c r="Q628" s="79" t="str">
        <f>+VLOOKUP(F628,[3]Material!$C$2:$E$12,2,FALSE)</f>
        <v>Cal 12</v>
      </c>
      <c r="R628" s="81">
        <f>+IF(P628="ACERO A36",VLOOKUP(Q628,'[3]Velocidades Std 1500 w'!$B$2:$F$15,5,FALSE),IF(P628="INOXIDABLE",VLOOKUP(Q628,'[3]Velocidades Std 1500 w'!$B$17:$F$28,5,FALSE),IF(P628="ALUMINIO",VLOOKUP(Q628,'[3]Velocidades Std 1500 w'!$B$30:$F$38,5,FALSE))))</f>
        <v>4.3859649122807014E-6</v>
      </c>
      <c r="S628" s="82">
        <f t="shared" si="87"/>
        <v>2.1929824561403508E-2</v>
      </c>
      <c r="T628" s="83">
        <f t="shared" si="88"/>
        <v>325.25328315789466</v>
      </c>
      <c r="U628" s="307">
        <f t="shared" si="94"/>
        <v>20599.374599999999</v>
      </c>
      <c r="V628" s="80">
        <f t="shared" si="93"/>
        <v>451.74067105263151</v>
      </c>
      <c r="W628" s="98">
        <v>310</v>
      </c>
      <c r="X628" s="84">
        <f>+IF(P628="ACERO A36",VLOOKUP(Q628,'[3]Tiempo Objeto'!$B$2:$C$12,2,FALSE),IF(P628="INOXIDABLE",VLOOKUP(Q628,'[3]Tiempo Objeto'!$B$14:$C$22,2,FALSE),IF(P628="ALUMINIO",VLOOKUP(Q628,'[3]Tiempo Objeto'!$B$24:$C$32,2,FALSE))))</f>
        <v>0.6133333333333334</v>
      </c>
      <c r="Y628" s="84">
        <f t="shared" si="89"/>
        <v>190.13333333333335</v>
      </c>
      <c r="Z628" s="80">
        <f t="shared" si="90"/>
        <v>264.07407407407408</v>
      </c>
      <c r="AA628" s="100">
        <v>2</v>
      </c>
      <c r="AB628" s="86">
        <f>+AA628*Analisis!$J$6</f>
        <v>50</v>
      </c>
      <c r="AC628" s="100"/>
      <c r="AD628" s="85">
        <f t="shared" si="91"/>
        <v>0</v>
      </c>
      <c r="AE628" s="86">
        <f>+AC628*Analisis!$J$7</f>
        <v>0</v>
      </c>
      <c r="AF628" s="308">
        <f>+H628*0.0254*I628*0.0254*2*(1+[3]Analisis!$G$2)</f>
        <v>7.9031245163000001</v>
      </c>
      <c r="AG628" s="86">
        <f>+AF628*Analisis!$J$8</f>
        <v>842.05910024863124</v>
      </c>
      <c r="AH628" s="309">
        <f t="shared" si="83"/>
        <v>3447.1411247269748</v>
      </c>
      <c r="AI628" s="86">
        <f>+AH628/(1-Analisis!G633)</f>
        <v>3447.1411247269748</v>
      </c>
      <c r="AJ628" s="86">
        <f t="shared" si="92"/>
        <v>3706.6033599214784</v>
      </c>
      <c r="AK628" s="86">
        <f t="shared" si="84"/>
        <v>0</v>
      </c>
      <c r="AL628" s="310" t="e">
        <f>+VLOOKUP(B628,#REF!,2,FALSE)</f>
        <v>#REF!</v>
      </c>
      <c r="AM628" s="311" t="e">
        <f t="shared" si="79"/>
        <v>#REF!</v>
      </c>
      <c r="AN628" s="312" t="e">
        <f t="shared" si="78"/>
        <v>#REF!</v>
      </c>
    </row>
    <row r="629" spans="1:40" s="73" customFormat="1" x14ac:dyDescent="0.25">
      <c r="A629" s="324"/>
      <c r="B629" s="118" t="s">
        <v>1385</v>
      </c>
      <c r="D629" s="74">
        <f>IFERROR(VLOOKUP(B629,'REQ. PINTADO'!B:C,2,0),0)</f>
        <v>0</v>
      </c>
      <c r="E629" s="305">
        <f t="shared" si="85"/>
        <v>196.87302051319301</v>
      </c>
      <c r="F629" s="103" t="s">
        <v>163</v>
      </c>
      <c r="G629" s="75" t="s">
        <v>147</v>
      </c>
      <c r="H629" s="90">
        <v>2</v>
      </c>
      <c r="I629" s="90">
        <v>9</v>
      </c>
      <c r="J629" s="76">
        <v>0.105</v>
      </c>
      <c r="K629" s="306">
        <v>16.38</v>
      </c>
      <c r="L629" s="78">
        <f t="shared" si="86"/>
        <v>0.90747516979166698</v>
      </c>
      <c r="M629" s="58">
        <f>+VLOOKUP(F629,Material!$H$2:$M$17,6,FALSE)*H629*I629*(1+Material!$K$14)</f>
        <v>6.7565651278125021</v>
      </c>
      <c r="N629" s="79" t="str">
        <f t="shared" si="82"/>
        <v>T5.0</v>
      </c>
      <c r="O629" s="80">
        <f>+VLOOKUP(N629,[3]Material!$A$3:$B$58,2,FALSE)</f>
        <v>5000</v>
      </c>
      <c r="P629" s="79" t="s">
        <v>42</v>
      </c>
      <c r="Q629" s="79" t="str">
        <f>+VLOOKUP(F629,[3]Material!$C$2:$E$12,2,FALSE)</f>
        <v>Cal 12</v>
      </c>
      <c r="R629" s="81">
        <f>+IF(P629="ACERO A36",VLOOKUP(Q629,'[3]Velocidades Std 1500 w'!$B$2:$F$15,5,FALSE),IF(P629="INOXIDABLE",VLOOKUP(Q629,'[3]Velocidades Std 1500 w'!$B$17:$F$28,5,FALSE),IF(P629="ALUMINIO",VLOOKUP(Q629,'[3]Velocidades Std 1500 w'!$B$30:$F$38,5,FALSE))))</f>
        <v>4.3859649122807014E-6</v>
      </c>
      <c r="S629" s="82">
        <f t="shared" si="87"/>
        <v>2.1929824561403508E-2</v>
      </c>
      <c r="T629" s="83">
        <f t="shared" si="88"/>
        <v>13.054263157894734</v>
      </c>
      <c r="U629" s="307">
        <f t="shared" si="94"/>
        <v>826.77</v>
      </c>
      <c r="V629" s="80">
        <f t="shared" si="93"/>
        <v>18.130921052631578</v>
      </c>
      <c r="W629" s="98">
        <v>6</v>
      </c>
      <c r="X629" s="84">
        <f>+IF(P629="ACERO A36",VLOOKUP(Q629,'[3]Tiempo Objeto'!$B$2:$C$12,2,FALSE),IF(P629="INOXIDABLE",VLOOKUP(Q629,'[3]Tiempo Objeto'!$B$14:$C$22,2,FALSE),IF(P629="ALUMINIO",VLOOKUP(Q629,'[3]Tiempo Objeto'!$B$24:$C$32,2,FALSE))))</f>
        <v>0.6133333333333334</v>
      </c>
      <c r="Y629" s="84">
        <f t="shared" si="89"/>
        <v>3.6800000000000006</v>
      </c>
      <c r="Z629" s="80">
        <f t="shared" si="90"/>
        <v>5.1111111111111125</v>
      </c>
      <c r="AA629" s="100">
        <v>6</v>
      </c>
      <c r="AB629" s="86">
        <f>+AA629*Analisis!$J$6</f>
        <v>150</v>
      </c>
      <c r="AC629" s="100"/>
      <c r="AD629" s="85">
        <f t="shared" si="91"/>
        <v>0</v>
      </c>
      <c r="AE629" s="86">
        <f>+AC629*Analisis!$J$7</f>
        <v>0</v>
      </c>
      <c r="AF629" s="308">
        <f>+H629*0.0254*I629*0.0254*2*(1+[3]Analisis!$G$2)</f>
        <v>2.9032199999999998E-2</v>
      </c>
      <c r="AG629" s="86">
        <f>+AF629*Analisis!$J$8</f>
        <v>3.0933117857142864</v>
      </c>
      <c r="AH629" s="309">
        <f t="shared" si="83"/>
        <v>183.09190907726949</v>
      </c>
      <c r="AI629" s="86">
        <f>+AH629/(1-Analisis!G634)</f>
        <v>183.09190907726949</v>
      </c>
      <c r="AJ629" s="86">
        <f t="shared" si="92"/>
        <v>196.87302051319301</v>
      </c>
      <c r="AK629" s="86">
        <f t="shared" si="84"/>
        <v>0</v>
      </c>
      <c r="AL629" s="310" t="e">
        <f>+VLOOKUP(B629,#REF!,2,FALSE)</f>
        <v>#REF!</v>
      </c>
      <c r="AM629" s="311" t="e">
        <f t="shared" si="79"/>
        <v>#REF!</v>
      </c>
      <c r="AN629" s="312" t="e">
        <f t="shared" si="78"/>
        <v>#REF!</v>
      </c>
    </row>
    <row r="630" spans="1:40" s="73" customFormat="1" x14ac:dyDescent="0.25">
      <c r="A630" s="324"/>
      <c r="B630" s="118" t="s">
        <v>1386</v>
      </c>
      <c r="D630" s="74">
        <f>IFERROR(VLOOKUP(B630,'REQ. PINTADO'!B:C,2,0),0)</f>
        <v>0</v>
      </c>
      <c r="E630" s="305">
        <f t="shared" si="85"/>
        <v>298.69919588983163</v>
      </c>
      <c r="F630" s="103" t="s">
        <v>163</v>
      </c>
      <c r="G630" s="75" t="s">
        <v>147</v>
      </c>
      <c r="H630" s="90">
        <v>3.07</v>
      </c>
      <c r="I630" s="90">
        <v>81.38</v>
      </c>
      <c r="J630" s="76">
        <v>0.105</v>
      </c>
      <c r="K630" s="306">
        <v>16.38</v>
      </c>
      <c r="L630" s="78">
        <f t="shared" si="86"/>
        <v>12.595583944731823</v>
      </c>
      <c r="M630" s="58">
        <f>+VLOOKUP(F630,Material!$H$2:$M$17,6,FALSE)*H630*I630*(1+Material!$K$14)</f>
        <v>93.779847733957823</v>
      </c>
      <c r="N630" s="79" t="str">
        <f t="shared" si="82"/>
        <v>T5.0</v>
      </c>
      <c r="O630" s="80">
        <f>+VLOOKUP(N630,[3]Material!$A$3:$B$58,2,FALSE)</f>
        <v>5000</v>
      </c>
      <c r="P630" s="79" t="s">
        <v>42</v>
      </c>
      <c r="Q630" s="79" t="str">
        <f>+VLOOKUP(F630,[3]Material!$C$2:$E$12,2,FALSE)</f>
        <v>Cal 12</v>
      </c>
      <c r="R630" s="81">
        <f>+IF(P630="ACERO A36",VLOOKUP(Q630,'[3]Velocidades Std 1500 w'!$B$2:$F$15,5,FALSE),IF(P630="INOXIDABLE",VLOOKUP(Q630,'[3]Velocidades Std 1500 w'!$B$17:$F$28,5,FALSE),IF(P630="ALUMINIO",VLOOKUP(Q630,'[3]Velocidades Std 1500 w'!$B$30:$F$38,5,FALSE))))</f>
        <v>4.3859649122807014E-6</v>
      </c>
      <c r="S630" s="82">
        <f t="shared" si="87"/>
        <v>2.1929824561403508E-2</v>
      </c>
      <c r="T630" s="83">
        <f t="shared" si="88"/>
        <v>77.441257894736822</v>
      </c>
      <c r="U630" s="307">
        <f t="shared" si="94"/>
        <v>4904.6129999999994</v>
      </c>
      <c r="V630" s="80">
        <f t="shared" si="93"/>
        <v>107.55730263157892</v>
      </c>
      <c r="W630" s="98">
        <v>10</v>
      </c>
      <c r="X630" s="84">
        <f>+IF(P630="ACERO A36",VLOOKUP(Q630,'[3]Tiempo Objeto'!$B$2:$C$12,2,FALSE),IF(P630="INOXIDABLE",VLOOKUP(Q630,'[3]Tiempo Objeto'!$B$14:$C$22,2,FALSE),IF(P630="ALUMINIO",VLOOKUP(Q630,'[3]Tiempo Objeto'!$B$24:$C$32,2,FALSE))))</f>
        <v>0.6133333333333334</v>
      </c>
      <c r="Y630" s="84">
        <f t="shared" si="89"/>
        <v>6.1333333333333337</v>
      </c>
      <c r="Z630" s="80">
        <f t="shared" si="90"/>
        <v>8.518518518518519</v>
      </c>
      <c r="AA630" s="100">
        <v>1</v>
      </c>
      <c r="AB630" s="86">
        <f>+AA630*Analisis!$J$6</f>
        <v>25</v>
      </c>
      <c r="AC630" s="100"/>
      <c r="AD630" s="85">
        <f t="shared" si="91"/>
        <v>0</v>
      </c>
      <c r="AE630" s="86">
        <f>+AC630*Analisis!$J$7</f>
        <v>0</v>
      </c>
      <c r="AF630" s="308">
        <f>+H630*0.0254*I630*0.0254*2*(1+[3]Analisis!$G$2)</f>
        <v>0.4029614521399999</v>
      </c>
      <c r="AG630" s="86">
        <f>+AF630*Analisis!$J$8</f>
        <v>42.934583293488096</v>
      </c>
      <c r="AH630" s="309">
        <f t="shared" si="83"/>
        <v>277.79025217754338</v>
      </c>
      <c r="AI630" s="86">
        <f>+AH630/(1-Analisis!G635)</f>
        <v>277.79025217754338</v>
      </c>
      <c r="AJ630" s="86">
        <f t="shared" si="92"/>
        <v>298.69919588983163</v>
      </c>
      <c r="AK630" s="86">
        <f t="shared" si="84"/>
        <v>0</v>
      </c>
      <c r="AL630" s="310" t="e">
        <f>+VLOOKUP(B630,#REF!,2,FALSE)</f>
        <v>#REF!</v>
      </c>
      <c r="AM630" s="311" t="e">
        <f t="shared" si="79"/>
        <v>#REF!</v>
      </c>
      <c r="AN630" s="312" t="e">
        <f t="shared" si="78"/>
        <v>#REF!</v>
      </c>
    </row>
    <row r="631" spans="1:40" s="73" customFormat="1" x14ac:dyDescent="0.25">
      <c r="A631" s="324"/>
      <c r="B631" s="118" t="s">
        <v>1387</v>
      </c>
      <c r="D631" s="74">
        <f>IFERROR(VLOOKUP(B631,'REQ. PINTADO'!B:C,2,0),0)</f>
        <v>0</v>
      </c>
      <c r="E631" s="305">
        <f t="shared" si="85"/>
        <v>314.02009949867931</v>
      </c>
      <c r="F631" s="103" t="s">
        <v>163</v>
      </c>
      <c r="G631" s="75" t="s">
        <v>147</v>
      </c>
      <c r="H631" s="90">
        <v>3.07</v>
      </c>
      <c r="I631" s="90">
        <v>86.38</v>
      </c>
      <c r="J631" s="76">
        <v>0.105</v>
      </c>
      <c r="K631" s="306">
        <v>16.38</v>
      </c>
      <c r="L631" s="78">
        <f t="shared" si="86"/>
        <v>13.36945860341527</v>
      </c>
      <c r="M631" s="58">
        <f>+VLOOKUP(F631,Material!$H$2:$M$17,6,FALSE)*H631*I631*(1+Material!$K$14)</f>
        <v>99.541696329064578</v>
      </c>
      <c r="N631" s="79" t="str">
        <f t="shared" si="82"/>
        <v>T5.0</v>
      </c>
      <c r="O631" s="80">
        <f>+VLOOKUP(N631,[3]Material!$A$3:$B$58,2,FALSE)</f>
        <v>5000</v>
      </c>
      <c r="P631" s="79" t="s">
        <v>42</v>
      </c>
      <c r="Q631" s="79" t="str">
        <f>+VLOOKUP(F631,[3]Material!$C$2:$E$12,2,FALSE)</f>
        <v>Cal 12</v>
      </c>
      <c r="R631" s="81">
        <f>+IF(P631="ACERO A36",VLOOKUP(Q631,'[3]Velocidades Std 1500 w'!$B$2:$F$15,5,FALSE),IF(P631="INOXIDABLE",VLOOKUP(Q631,'[3]Velocidades Std 1500 w'!$B$17:$F$28,5,FALSE),IF(P631="ALUMINIO",VLOOKUP(Q631,'[3]Velocidades Std 1500 w'!$B$30:$F$38,5,FALSE))))</f>
        <v>4.3859649122807014E-6</v>
      </c>
      <c r="S631" s="82">
        <f t="shared" si="87"/>
        <v>2.1929824561403508E-2</v>
      </c>
      <c r="T631" s="83">
        <f t="shared" si="88"/>
        <v>81.652310526315787</v>
      </c>
      <c r="U631" s="307">
        <f t="shared" si="94"/>
        <v>5171.3130000000001</v>
      </c>
      <c r="V631" s="80">
        <f t="shared" si="93"/>
        <v>113.40598684210526</v>
      </c>
      <c r="W631" s="98">
        <v>10</v>
      </c>
      <c r="X631" s="84">
        <f>+IF(P631="ACERO A36",VLOOKUP(Q631,'[3]Tiempo Objeto'!$B$2:$C$12,2,FALSE),IF(P631="INOXIDABLE",VLOOKUP(Q631,'[3]Tiempo Objeto'!$B$14:$C$22,2,FALSE),IF(P631="ALUMINIO",VLOOKUP(Q631,'[3]Tiempo Objeto'!$B$24:$C$32,2,FALSE))))</f>
        <v>0.6133333333333334</v>
      </c>
      <c r="Y631" s="84">
        <f t="shared" si="89"/>
        <v>6.1333333333333337</v>
      </c>
      <c r="Z631" s="80">
        <f t="shared" si="90"/>
        <v>8.518518518518519</v>
      </c>
      <c r="AA631" s="100">
        <v>1</v>
      </c>
      <c r="AB631" s="86">
        <f>+AA631*Analisis!$J$6</f>
        <v>25</v>
      </c>
      <c r="AC631" s="100"/>
      <c r="AD631" s="85">
        <f t="shared" si="91"/>
        <v>0</v>
      </c>
      <c r="AE631" s="86">
        <f>+AC631*Analisis!$J$7</f>
        <v>0</v>
      </c>
      <c r="AF631" s="308">
        <f>+H631*0.0254*I631*0.0254*2*(1+[3]Analisis!$G$2)</f>
        <v>0.42771946713999998</v>
      </c>
      <c r="AG631" s="86">
        <f>+AF631*Analisis!$J$8</f>
        <v>45.572490844083347</v>
      </c>
      <c r="AH631" s="309">
        <f t="shared" si="83"/>
        <v>292.03869253377172</v>
      </c>
      <c r="AI631" s="86">
        <f>+AH631/(1-Analisis!G636)</f>
        <v>292.03869253377172</v>
      </c>
      <c r="AJ631" s="86">
        <f t="shared" si="92"/>
        <v>314.02009949867931</v>
      </c>
      <c r="AK631" s="86">
        <f t="shared" si="84"/>
        <v>0</v>
      </c>
      <c r="AL631" s="310" t="e">
        <f>+VLOOKUP(B631,#REF!,2,FALSE)</f>
        <v>#REF!</v>
      </c>
      <c r="AM631" s="311" t="e">
        <f t="shared" si="79"/>
        <v>#REF!</v>
      </c>
      <c r="AN631" s="312" t="e">
        <f t="shared" si="78"/>
        <v>#REF!</v>
      </c>
    </row>
    <row r="632" spans="1:40" s="73" customFormat="1" x14ac:dyDescent="0.25">
      <c r="A632" s="324"/>
      <c r="B632" s="118" t="s">
        <v>1388</v>
      </c>
      <c r="D632" s="74">
        <f>IFERROR(VLOOKUP(B632,'REQ. PINTADO'!B:C,2,0),0)</f>
        <v>0</v>
      </c>
      <c r="E632" s="305">
        <f t="shared" si="85"/>
        <v>344.66190671637457</v>
      </c>
      <c r="F632" s="103" t="s">
        <v>163</v>
      </c>
      <c r="G632" s="75" t="s">
        <v>147</v>
      </c>
      <c r="H632" s="90">
        <v>3.07</v>
      </c>
      <c r="I632" s="90">
        <v>96.38</v>
      </c>
      <c r="J632" s="76">
        <v>0.105</v>
      </c>
      <c r="K632" s="306">
        <v>16.38</v>
      </c>
      <c r="L632" s="78">
        <f t="shared" si="86"/>
        <v>14.917207920782168</v>
      </c>
      <c r="M632" s="58">
        <f>+VLOOKUP(F632,Material!$H$2:$M$17,6,FALSE)*H632*I632*(1+Material!$K$14)</f>
        <v>111.06539351927813</v>
      </c>
      <c r="N632" s="79" t="str">
        <f t="shared" si="82"/>
        <v>T5.0</v>
      </c>
      <c r="O632" s="80">
        <f>+VLOOKUP(N632,[3]Material!$A$3:$B$58,2,FALSE)</f>
        <v>5000</v>
      </c>
      <c r="P632" s="79" t="s">
        <v>42</v>
      </c>
      <c r="Q632" s="79" t="str">
        <f>+VLOOKUP(F632,[3]Material!$C$2:$E$12,2,FALSE)</f>
        <v>Cal 12</v>
      </c>
      <c r="R632" s="81">
        <f>+IF(P632="ACERO A36",VLOOKUP(Q632,'[3]Velocidades Std 1500 w'!$B$2:$F$15,5,FALSE),IF(P632="INOXIDABLE",VLOOKUP(Q632,'[3]Velocidades Std 1500 w'!$B$17:$F$28,5,FALSE),IF(P632="ALUMINIO",VLOOKUP(Q632,'[3]Velocidades Std 1500 w'!$B$30:$F$38,5,FALSE))))</f>
        <v>4.3859649122807014E-6</v>
      </c>
      <c r="S632" s="82">
        <f t="shared" si="87"/>
        <v>2.1929824561403508E-2</v>
      </c>
      <c r="T632" s="83">
        <f t="shared" si="88"/>
        <v>90.074415789473676</v>
      </c>
      <c r="U632" s="307">
        <f t="shared" si="94"/>
        <v>5704.7129999999997</v>
      </c>
      <c r="V632" s="80">
        <f t="shared" si="93"/>
        <v>125.10335526315788</v>
      </c>
      <c r="W632" s="98">
        <v>10</v>
      </c>
      <c r="X632" s="84">
        <f>+IF(P632="ACERO A36",VLOOKUP(Q632,'[3]Tiempo Objeto'!$B$2:$C$12,2,FALSE),IF(P632="INOXIDABLE",VLOOKUP(Q632,'[3]Tiempo Objeto'!$B$14:$C$22,2,FALSE),IF(P632="ALUMINIO",VLOOKUP(Q632,'[3]Tiempo Objeto'!$B$24:$C$32,2,FALSE))))</f>
        <v>0.6133333333333334</v>
      </c>
      <c r="Y632" s="84">
        <f t="shared" si="89"/>
        <v>6.1333333333333337</v>
      </c>
      <c r="Z632" s="80">
        <f t="shared" si="90"/>
        <v>8.518518518518519</v>
      </c>
      <c r="AA632" s="100">
        <v>1</v>
      </c>
      <c r="AB632" s="86">
        <f>+AA632*Analisis!$J$6</f>
        <v>25</v>
      </c>
      <c r="AC632" s="100"/>
      <c r="AD632" s="85">
        <f t="shared" si="91"/>
        <v>0</v>
      </c>
      <c r="AE632" s="86">
        <f>+AC632*Analisis!$J$7</f>
        <v>0</v>
      </c>
      <c r="AF632" s="308">
        <f>+H632*0.0254*I632*0.0254*2*(1+[3]Analisis!$G$2)</f>
        <v>0.47723549713999996</v>
      </c>
      <c r="AG632" s="86">
        <f>+AF632*Analisis!$J$8</f>
        <v>50.848305945273822</v>
      </c>
      <c r="AH632" s="309">
        <f t="shared" si="83"/>
        <v>320.53557324622835</v>
      </c>
      <c r="AI632" s="86">
        <f>+AH632/(1-Analisis!G637)</f>
        <v>320.53557324622835</v>
      </c>
      <c r="AJ632" s="86">
        <f t="shared" si="92"/>
        <v>344.66190671637457</v>
      </c>
      <c r="AK632" s="86">
        <f t="shared" si="84"/>
        <v>0</v>
      </c>
      <c r="AL632" s="310" t="e">
        <f>+VLOOKUP(B632,#REF!,2,FALSE)</f>
        <v>#REF!</v>
      </c>
      <c r="AM632" s="311" t="e">
        <f t="shared" si="79"/>
        <v>#REF!</v>
      </c>
      <c r="AN632" s="312" t="e">
        <f t="shared" si="78"/>
        <v>#REF!</v>
      </c>
    </row>
    <row r="633" spans="1:40" s="73" customFormat="1" x14ac:dyDescent="0.25">
      <c r="A633" s="324"/>
      <c r="B633" s="118" t="s">
        <v>1389</v>
      </c>
      <c r="D633" s="74">
        <f>IFERROR(VLOOKUP(B633,'REQ. PINTADO'!B:C,2,0),0)</f>
        <v>0</v>
      </c>
      <c r="E633" s="305">
        <f t="shared" si="85"/>
        <v>370.25973596766187</v>
      </c>
      <c r="F633" s="103" t="s">
        <v>163</v>
      </c>
      <c r="G633" s="75" t="s">
        <v>147</v>
      </c>
      <c r="H633" s="90">
        <v>3.79</v>
      </c>
      <c r="I633" s="90">
        <v>81.38</v>
      </c>
      <c r="J633" s="76">
        <v>0.105</v>
      </c>
      <c r="K633" s="306">
        <v>16.38</v>
      </c>
      <c r="L633" s="78">
        <f t="shared" si="86"/>
        <v>15.549597117437655</v>
      </c>
      <c r="M633" s="58">
        <f>+VLOOKUP(F633,Material!$H$2:$M$17,6,FALSE)*H633*I633*(1+Material!$K$14)</f>
        <v>115.77381853801307</v>
      </c>
      <c r="N633" s="79" t="str">
        <f t="shared" si="82"/>
        <v>T5.0</v>
      </c>
      <c r="O633" s="80">
        <f>+VLOOKUP(N633,[3]Material!$A$3:$B$58,2,FALSE)</f>
        <v>5000</v>
      </c>
      <c r="P633" s="79" t="s">
        <v>42</v>
      </c>
      <c r="Q633" s="79" t="str">
        <f>+VLOOKUP(F633,[3]Material!$C$2:$E$12,2,FALSE)</f>
        <v>Cal 12</v>
      </c>
      <c r="R633" s="81">
        <f>+IF(P633="ACERO A36",VLOOKUP(Q633,'[3]Velocidades Std 1500 w'!$B$2:$F$15,5,FALSE),IF(P633="INOXIDABLE",VLOOKUP(Q633,'[3]Velocidades Std 1500 w'!$B$17:$F$28,5,FALSE),IF(P633="ALUMINIO",VLOOKUP(Q633,'[3]Velocidades Std 1500 w'!$B$30:$F$38,5,FALSE))))</f>
        <v>4.3859649122807014E-6</v>
      </c>
      <c r="S633" s="82">
        <f t="shared" si="87"/>
        <v>2.1929824561403508E-2</v>
      </c>
      <c r="T633" s="83">
        <f t="shared" si="88"/>
        <v>81.205938947368395</v>
      </c>
      <c r="U633" s="307">
        <f t="shared" si="94"/>
        <v>5143.0427999999993</v>
      </c>
      <c r="V633" s="80">
        <f t="shared" si="93"/>
        <v>112.78602631578946</v>
      </c>
      <c r="W633" s="98">
        <v>15</v>
      </c>
      <c r="X633" s="84">
        <f>+IF(P633="ACERO A36",VLOOKUP(Q633,'[3]Tiempo Objeto'!$B$2:$C$12,2,FALSE),IF(P633="INOXIDABLE",VLOOKUP(Q633,'[3]Tiempo Objeto'!$B$14:$C$22,2,FALSE),IF(P633="ALUMINIO",VLOOKUP(Q633,'[3]Tiempo Objeto'!$B$24:$C$32,2,FALSE))))</f>
        <v>0.6133333333333334</v>
      </c>
      <c r="Y633" s="84">
        <f t="shared" si="89"/>
        <v>9.2000000000000011</v>
      </c>
      <c r="Z633" s="80">
        <f t="shared" si="90"/>
        <v>12.77777777777778</v>
      </c>
      <c r="AA633" s="100">
        <v>2</v>
      </c>
      <c r="AB633" s="86">
        <f>+AA633*Analisis!$J$6</f>
        <v>50</v>
      </c>
      <c r="AC633" s="100"/>
      <c r="AD633" s="85">
        <f t="shared" si="91"/>
        <v>0</v>
      </c>
      <c r="AE633" s="86">
        <f>+AC633*Analisis!$J$7</f>
        <v>0</v>
      </c>
      <c r="AF633" s="308">
        <f>+H633*0.0254*I633*0.0254*2*(1+[3]Analisis!$G$2)</f>
        <v>0.49746706957999992</v>
      </c>
      <c r="AG633" s="86">
        <f>+AF633*Analisis!$J$8</f>
        <v>53.003931818345244</v>
      </c>
      <c r="AH633" s="309">
        <f t="shared" si="83"/>
        <v>344.34155444992552</v>
      </c>
      <c r="AI633" s="86">
        <f>+AH633/(1-Analisis!G638)</f>
        <v>344.34155444992552</v>
      </c>
      <c r="AJ633" s="86">
        <f t="shared" si="92"/>
        <v>370.25973596766187</v>
      </c>
      <c r="AK633" s="86">
        <f t="shared" si="84"/>
        <v>0</v>
      </c>
      <c r="AL633" s="310" t="e">
        <f>+VLOOKUP(B633,#REF!,2,FALSE)</f>
        <v>#REF!</v>
      </c>
      <c r="AM633" s="311" t="e">
        <f t="shared" si="79"/>
        <v>#REF!</v>
      </c>
      <c r="AN633" s="312" t="e">
        <f t="shared" si="78"/>
        <v>#REF!</v>
      </c>
    </row>
    <row r="634" spans="1:40" s="73" customFormat="1" x14ac:dyDescent="0.25">
      <c r="A634" s="324"/>
      <c r="B634" s="118" t="s">
        <v>1390</v>
      </c>
      <c r="D634" s="74">
        <f>IFERROR(VLOOKUP(B634,'REQ. PINTADO'!B:C,2,0),0)</f>
        <v>0</v>
      </c>
      <c r="E634" s="305">
        <f t="shared" si="85"/>
        <v>387.69889267619271</v>
      </c>
      <c r="F634" s="103" t="s">
        <v>163</v>
      </c>
      <c r="G634" s="75" t="s">
        <v>147</v>
      </c>
      <c r="H634" s="90">
        <v>3.79</v>
      </c>
      <c r="I634" s="90">
        <v>86.38</v>
      </c>
      <c r="J634" s="76">
        <v>0.105</v>
      </c>
      <c r="K634" s="306">
        <v>16.38</v>
      </c>
      <c r="L634" s="78">
        <f t="shared" si="86"/>
        <v>16.504966810079434</v>
      </c>
      <c r="M634" s="58">
        <f>+VLOOKUP(F634,Material!$H$2:$M$17,6,FALSE)*H634*I634*(1+Material!$K$14)</f>
        <v>122.88698015868233</v>
      </c>
      <c r="N634" s="79" t="str">
        <f t="shared" si="82"/>
        <v>T5.0</v>
      </c>
      <c r="O634" s="80">
        <f>+VLOOKUP(N634,[3]Material!$A$3:$B$58,2,FALSE)</f>
        <v>5000</v>
      </c>
      <c r="P634" s="79" t="s">
        <v>42</v>
      </c>
      <c r="Q634" s="79" t="str">
        <f>+VLOOKUP(F634,[3]Material!$C$2:$E$12,2,FALSE)</f>
        <v>Cal 12</v>
      </c>
      <c r="R634" s="81">
        <f>+IF(P634="ACERO A36",VLOOKUP(Q634,'[3]Velocidades Std 1500 w'!$B$2:$F$15,5,FALSE),IF(P634="INOXIDABLE",VLOOKUP(Q634,'[3]Velocidades Std 1500 w'!$B$17:$F$28,5,FALSE),IF(P634="ALUMINIO",VLOOKUP(Q634,'[3]Velocidades Std 1500 w'!$B$30:$F$38,5,FALSE))))</f>
        <v>4.3859649122807014E-6</v>
      </c>
      <c r="S634" s="82">
        <f t="shared" si="87"/>
        <v>2.1929824561403508E-2</v>
      </c>
      <c r="T634" s="83">
        <f t="shared" si="88"/>
        <v>85.416991578947361</v>
      </c>
      <c r="U634" s="307">
        <f t="shared" si="94"/>
        <v>5409.7428</v>
      </c>
      <c r="V634" s="80">
        <f t="shared" si="93"/>
        <v>118.63471052631579</v>
      </c>
      <c r="W634" s="98">
        <v>15</v>
      </c>
      <c r="X634" s="84">
        <f>+IF(P634="ACERO A36",VLOOKUP(Q634,'[3]Tiempo Objeto'!$B$2:$C$12,2,FALSE),IF(P634="INOXIDABLE",VLOOKUP(Q634,'[3]Tiempo Objeto'!$B$14:$C$22,2,FALSE),IF(P634="ALUMINIO",VLOOKUP(Q634,'[3]Tiempo Objeto'!$B$24:$C$32,2,FALSE))))</f>
        <v>0.6133333333333334</v>
      </c>
      <c r="Y634" s="84">
        <f t="shared" si="89"/>
        <v>9.2000000000000011</v>
      </c>
      <c r="Z634" s="80">
        <f t="shared" si="90"/>
        <v>12.77777777777778</v>
      </c>
      <c r="AA634" s="100">
        <v>2</v>
      </c>
      <c r="AB634" s="86">
        <f>+AA634*Analisis!$J$6</f>
        <v>50</v>
      </c>
      <c r="AC634" s="100"/>
      <c r="AD634" s="85">
        <f t="shared" si="91"/>
        <v>0</v>
      </c>
      <c r="AE634" s="86">
        <f>+AC634*Analisis!$J$7</f>
        <v>0</v>
      </c>
      <c r="AF634" s="308">
        <f>+H634*0.0254*I634*0.0254*2*(1+[3]Analisis!$G$2)</f>
        <v>0.5280315245799998</v>
      </c>
      <c r="AG634" s="86">
        <f>+AF634*Analisis!$J$8</f>
        <v>56.260501726083326</v>
      </c>
      <c r="AH634" s="309">
        <f t="shared" si="83"/>
        <v>360.55997018885921</v>
      </c>
      <c r="AI634" s="86">
        <f>+AH634/(1-Analisis!G639)</f>
        <v>360.55997018885921</v>
      </c>
      <c r="AJ634" s="86">
        <f t="shared" si="92"/>
        <v>387.69889267619271</v>
      </c>
      <c r="AK634" s="86">
        <f t="shared" si="84"/>
        <v>0</v>
      </c>
      <c r="AL634" s="310" t="e">
        <f>+VLOOKUP(B634,#REF!,2,FALSE)</f>
        <v>#REF!</v>
      </c>
      <c r="AM634" s="311" t="e">
        <f t="shared" si="79"/>
        <v>#REF!</v>
      </c>
      <c r="AN634" s="312" t="e">
        <f t="shared" si="78"/>
        <v>#REF!</v>
      </c>
    </row>
    <row r="635" spans="1:40" s="73" customFormat="1" x14ac:dyDescent="0.25">
      <c r="A635" s="324"/>
      <c r="B635" s="118" t="s">
        <v>1391</v>
      </c>
      <c r="D635" s="74">
        <f>IFERROR(VLOOKUP(B635,'REQ. PINTADO'!B:C,2,0),0)</f>
        <v>0</v>
      </c>
      <c r="E635" s="305">
        <f t="shared" si="85"/>
        <v>422.5772060932544</v>
      </c>
      <c r="F635" s="103" t="s">
        <v>163</v>
      </c>
      <c r="G635" s="75" t="s">
        <v>147</v>
      </c>
      <c r="H635" s="90">
        <v>3.79</v>
      </c>
      <c r="I635" s="90">
        <v>96.38</v>
      </c>
      <c r="J635" s="76">
        <v>0.105</v>
      </c>
      <c r="K635" s="306">
        <v>16.38</v>
      </c>
      <c r="L635" s="78">
        <f t="shared" si="86"/>
        <v>18.415706195363004</v>
      </c>
      <c r="M635" s="58">
        <f>+VLOOKUP(F635,Material!$H$2:$M$17,6,FALSE)*H635*I635*(1+Material!$K$14)</f>
        <v>137.1133034000209</v>
      </c>
      <c r="N635" s="79" t="str">
        <f t="shared" si="82"/>
        <v>T5.0</v>
      </c>
      <c r="O635" s="80">
        <f>+VLOOKUP(N635,[3]Material!$A$3:$B$58,2,FALSE)</f>
        <v>5000</v>
      </c>
      <c r="P635" s="79" t="s">
        <v>42</v>
      </c>
      <c r="Q635" s="79" t="str">
        <f>+VLOOKUP(F635,[3]Material!$C$2:$E$12,2,FALSE)</f>
        <v>Cal 12</v>
      </c>
      <c r="R635" s="81">
        <f>+IF(P635="ACERO A36",VLOOKUP(Q635,'[3]Velocidades Std 1500 w'!$B$2:$F$15,5,FALSE),IF(P635="INOXIDABLE",VLOOKUP(Q635,'[3]Velocidades Std 1500 w'!$B$17:$F$28,5,FALSE),IF(P635="ALUMINIO",VLOOKUP(Q635,'[3]Velocidades Std 1500 w'!$B$30:$F$38,5,FALSE))))</f>
        <v>4.3859649122807014E-6</v>
      </c>
      <c r="S635" s="82">
        <f t="shared" si="87"/>
        <v>2.1929824561403508E-2</v>
      </c>
      <c r="T635" s="83">
        <f t="shared" si="88"/>
        <v>93.839096842105249</v>
      </c>
      <c r="U635" s="307">
        <f t="shared" si="94"/>
        <v>5943.1427999999996</v>
      </c>
      <c r="V635" s="80">
        <f t="shared" si="93"/>
        <v>130.33207894736842</v>
      </c>
      <c r="W635" s="98">
        <v>15</v>
      </c>
      <c r="X635" s="84">
        <f>+IF(P635="ACERO A36",VLOOKUP(Q635,'[3]Tiempo Objeto'!$B$2:$C$12,2,FALSE),IF(P635="INOXIDABLE",VLOOKUP(Q635,'[3]Tiempo Objeto'!$B$14:$C$22,2,FALSE),IF(P635="ALUMINIO",VLOOKUP(Q635,'[3]Tiempo Objeto'!$B$24:$C$32,2,FALSE))))</f>
        <v>0.6133333333333334</v>
      </c>
      <c r="Y635" s="84">
        <f t="shared" si="89"/>
        <v>9.2000000000000011</v>
      </c>
      <c r="Z635" s="80">
        <f t="shared" si="90"/>
        <v>12.77777777777778</v>
      </c>
      <c r="AA635" s="100">
        <v>2</v>
      </c>
      <c r="AB635" s="86">
        <f>+AA635*Analisis!$J$6</f>
        <v>50</v>
      </c>
      <c r="AC635" s="100"/>
      <c r="AD635" s="85">
        <f t="shared" si="91"/>
        <v>0</v>
      </c>
      <c r="AE635" s="86">
        <f>+AC635*Analisis!$J$7</f>
        <v>0</v>
      </c>
      <c r="AF635" s="308">
        <f>+H635*0.0254*I635*0.0254*2*(1+[3]Analisis!$G$2)</f>
        <v>0.58916043457999989</v>
      </c>
      <c r="AG635" s="86">
        <f>+AF635*Analisis!$J$8</f>
        <v>62.773641541559535</v>
      </c>
      <c r="AH635" s="309">
        <f t="shared" si="83"/>
        <v>392.99680166672658</v>
      </c>
      <c r="AI635" s="86">
        <f>+AH635/(1-Analisis!G640)</f>
        <v>392.99680166672658</v>
      </c>
      <c r="AJ635" s="86">
        <f t="shared" si="92"/>
        <v>422.5772060932544</v>
      </c>
      <c r="AK635" s="86">
        <f t="shared" si="84"/>
        <v>0</v>
      </c>
      <c r="AL635" s="310" t="e">
        <f>+VLOOKUP(B635,#REF!,2,FALSE)</f>
        <v>#REF!</v>
      </c>
      <c r="AM635" s="311" t="e">
        <f t="shared" si="79"/>
        <v>#REF!</v>
      </c>
      <c r="AN635" s="312" t="e">
        <f t="shared" si="78"/>
        <v>#REF!</v>
      </c>
    </row>
    <row r="636" spans="1:40" s="73" customFormat="1" x14ac:dyDescent="0.25">
      <c r="A636" s="324"/>
      <c r="B636" s="118" t="s">
        <v>1392</v>
      </c>
      <c r="D636" s="74">
        <f>IFERROR(VLOOKUP(B636,'REQ. PINTADO'!B:C,2,0),0)</f>
        <v>0</v>
      </c>
      <c r="E636" s="305">
        <f t="shared" si="85"/>
        <v>50.548005706377431</v>
      </c>
      <c r="F636" s="103" t="s">
        <v>163</v>
      </c>
      <c r="G636" s="75" t="s">
        <v>147</v>
      </c>
      <c r="H636" s="90">
        <v>1.7</v>
      </c>
      <c r="I636" s="90">
        <v>3.77</v>
      </c>
      <c r="J636" s="76">
        <v>0.105</v>
      </c>
      <c r="K636" s="306">
        <v>16.38</v>
      </c>
      <c r="L636" s="78">
        <f t="shared" si="86"/>
        <v>0.32311157573304405</v>
      </c>
      <c r="M636" s="58">
        <f>+VLOOKUP(F636,Material!$H$2:$M$17,6,FALSE)*H636*I636*(1+Material!$K$14)</f>
        <v>2.4057125502305734</v>
      </c>
      <c r="N636" s="79" t="str">
        <f t="shared" si="82"/>
        <v>T5.0</v>
      </c>
      <c r="O636" s="80">
        <f>+VLOOKUP(N636,[3]Material!$A$3:$B$58,2,FALSE)</f>
        <v>5000</v>
      </c>
      <c r="P636" s="79" t="s">
        <v>42</v>
      </c>
      <c r="Q636" s="79" t="str">
        <f>+VLOOKUP(F636,[3]Material!$C$2:$E$12,2,FALSE)</f>
        <v>Cal 12</v>
      </c>
      <c r="R636" s="81">
        <f>+IF(P636="ACERO A36",VLOOKUP(Q636,'[3]Velocidades Std 1500 w'!$B$2:$F$15,5,FALSE),IF(P636="INOXIDABLE",VLOOKUP(Q636,'[3]Velocidades Std 1500 w'!$B$17:$F$28,5,FALSE),IF(P636="ALUMINIO",VLOOKUP(Q636,'[3]Velocidades Std 1500 w'!$B$30:$F$38,5,FALSE))))</f>
        <v>4.3859649122807014E-6</v>
      </c>
      <c r="S636" s="82">
        <f t="shared" si="87"/>
        <v>2.1929824561403508E-2</v>
      </c>
      <c r="T636" s="83">
        <f t="shared" si="88"/>
        <v>9.0284968421052607</v>
      </c>
      <c r="U636" s="307">
        <f t="shared" si="94"/>
        <v>571.80479999999989</v>
      </c>
      <c r="V636" s="80">
        <f t="shared" si="93"/>
        <v>12.539578947368417</v>
      </c>
      <c r="W636" s="98">
        <v>7</v>
      </c>
      <c r="X636" s="84">
        <f>+IF(P636="ACERO A36",VLOOKUP(Q636,'[3]Tiempo Objeto'!$B$2:$C$12,2,FALSE),IF(P636="INOXIDABLE",VLOOKUP(Q636,'[3]Tiempo Objeto'!$B$14:$C$22,2,FALSE),IF(P636="ALUMINIO",VLOOKUP(Q636,'[3]Tiempo Objeto'!$B$24:$C$32,2,FALSE))))</f>
        <v>0.6133333333333334</v>
      </c>
      <c r="Y636" s="84">
        <f t="shared" si="89"/>
        <v>4.2933333333333339</v>
      </c>
      <c r="Z636" s="80">
        <f t="shared" si="90"/>
        <v>5.9629629629629637</v>
      </c>
      <c r="AA636" s="100">
        <v>1</v>
      </c>
      <c r="AB636" s="86">
        <f>+AA636*Analisis!$J$6</f>
        <v>25</v>
      </c>
      <c r="AC636" s="100"/>
      <c r="AD636" s="85">
        <f t="shared" si="91"/>
        <v>0</v>
      </c>
      <c r="AE636" s="86">
        <f>+AC636*Analisis!$J$7</f>
        <v>0</v>
      </c>
      <c r="AF636" s="308">
        <f>+H636*0.0254*I636*0.0254*2*(1+[3]Analisis!$G$2)</f>
        <v>1.0337076099999998E-2</v>
      </c>
      <c r="AG636" s="86">
        <f>+AF636*Analisis!$J$8</f>
        <v>1.1013908463690478</v>
      </c>
      <c r="AH636" s="309">
        <f t="shared" si="83"/>
        <v>47.009645306931006</v>
      </c>
      <c r="AI636" s="86">
        <f>+AH636/(1-Analisis!G641)</f>
        <v>47.009645306931006</v>
      </c>
      <c r="AJ636" s="86">
        <f t="shared" si="92"/>
        <v>50.548005706377431</v>
      </c>
      <c r="AK636" s="86">
        <f t="shared" si="84"/>
        <v>0</v>
      </c>
      <c r="AL636" s="310" t="e">
        <f>+VLOOKUP(B636,#REF!,2,FALSE)</f>
        <v>#REF!</v>
      </c>
      <c r="AM636" s="311" t="e">
        <f t="shared" si="79"/>
        <v>#REF!</v>
      </c>
      <c r="AN636" s="312" t="e">
        <f t="shared" si="78"/>
        <v>#REF!</v>
      </c>
    </row>
    <row r="637" spans="1:40" s="73" customFormat="1" x14ac:dyDescent="0.25">
      <c r="A637" s="324"/>
      <c r="B637" s="118" t="s">
        <v>1393</v>
      </c>
      <c r="D637" s="74">
        <f>IFERROR(VLOOKUP(B637,'REQ. PINTADO'!B:C,2,0),0)</f>
        <v>0</v>
      </c>
      <c r="E637" s="305">
        <f t="shared" si="85"/>
        <v>61.113226603777946</v>
      </c>
      <c r="F637" s="103" t="s">
        <v>163</v>
      </c>
      <c r="G637" s="75" t="s">
        <v>147</v>
      </c>
      <c r="H637" s="90">
        <v>2.93</v>
      </c>
      <c r="I637" s="90">
        <v>7.75</v>
      </c>
      <c r="J637" s="76">
        <v>0.105</v>
      </c>
      <c r="K637" s="306">
        <v>16.38</v>
      </c>
      <c r="L637" s="78">
        <f t="shared" si="86"/>
        <v>1.1448051343357932</v>
      </c>
      <c r="M637" s="58">
        <f>+VLOOKUP(F637,Material!$H$2:$M$17,6,FALSE)*H637*I637*(1+Material!$K$14)</f>
        <v>8.5235945911001316</v>
      </c>
      <c r="N637" s="79" t="str">
        <f t="shared" si="82"/>
        <v>T5.0</v>
      </c>
      <c r="O637" s="80">
        <f>+VLOOKUP(N637,[3]Material!$A$3:$B$58,2,FALSE)</f>
        <v>5000</v>
      </c>
      <c r="P637" s="79" t="s">
        <v>42</v>
      </c>
      <c r="Q637" s="79" t="str">
        <f>+VLOOKUP(F637,[3]Material!$C$2:$E$12,2,FALSE)</f>
        <v>Cal 12</v>
      </c>
      <c r="R637" s="81">
        <f>+IF(P637="ACERO A36",VLOOKUP(Q637,'[3]Velocidades Std 1500 w'!$B$2:$F$15,5,FALSE),IF(P637="INOXIDABLE",VLOOKUP(Q637,'[3]Velocidades Std 1500 w'!$B$17:$F$28,5,FALSE),IF(P637="ALUMINIO",VLOOKUP(Q637,'[3]Velocidades Std 1500 w'!$B$30:$F$38,5,FALSE))))</f>
        <v>4.3859649122807014E-6</v>
      </c>
      <c r="S637" s="82">
        <f t="shared" si="87"/>
        <v>2.1929824561403508E-2</v>
      </c>
      <c r="T637" s="83">
        <f t="shared" si="88"/>
        <v>11.521439999999998</v>
      </c>
      <c r="U637" s="307">
        <f t="shared" si="94"/>
        <v>729.69119999999998</v>
      </c>
      <c r="V637" s="80">
        <f t="shared" si="93"/>
        <v>16.001999999999999</v>
      </c>
      <c r="W637" s="98">
        <v>4</v>
      </c>
      <c r="X637" s="84">
        <f>+IF(P637="ACERO A36",VLOOKUP(Q637,'[3]Tiempo Objeto'!$B$2:$C$12,2,FALSE),IF(P637="INOXIDABLE",VLOOKUP(Q637,'[3]Tiempo Objeto'!$B$14:$C$22,2,FALSE),IF(P637="ALUMINIO",VLOOKUP(Q637,'[3]Tiempo Objeto'!$B$24:$C$32,2,FALSE))))</f>
        <v>0.6133333333333334</v>
      </c>
      <c r="Y637" s="84">
        <f t="shared" si="89"/>
        <v>2.4533333333333336</v>
      </c>
      <c r="Z637" s="80">
        <f t="shared" si="90"/>
        <v>3.4074074074074079</v>
      </c>
      <c r="AA637" s="100">
        <v>1</v>
      </c>
      <c r="AB637" s="86">
        <f>+AA637*Analisis!$J$6</f>
        <v>25</v>
      </c>
      <c r="AC637" s="100"/>
      <c r="AD637" s="85">
        <f t="shared" si="91"/>
        <v>0</v>
      </c>
      <c r="AE637" s="86">
        <f>+AC637*Analisis!$J$7</f>
        <v>0</v>
      </c>
      <c r="AF637" s="308">
        <f>+H637*0.0254*I637*0.0254*2*(1+[3]Analisis!$G$2)</f>
        <v>3.6624926749999995E-2</v>
      </c>
      <c r="AG637" s="86">
        <f>+AF637*Analisis!$J$8</f>
        <v>3.9022987430059528</v>
      </c>
      <c r="AH637" s="309">
        <f t="shared" si="83"/>
        <v>56.835300741513485</v>
      </c>
      <c r="AI637" s="86">
        <f>+AH637/(1-Analisis!G642)</f>
        <v>56.835300741513485</v>
      </c>
      <c r="AJ637" s="86">
        <f t="shared" si="92"/>
        <v>61.113226603777946</v>
      </c>
      <c r="AK637" s="86">
        <f t="shared" si="84"/>
        <v>0</v>
      </c>
      <c r="AL637" s="310" t="e">
        <f>+VLOOKUP(B637,#REF!,2,FALSE)</f>
        <v>#REF!</v>
      </c>
      <c r="AM637" s="311" t="e">
        <f t="shared" si="79"/>
        <v>#REF!</v>
      </c>
      <c r="AN637" s="312" t="e">
        <f t="shared" si="78"/>
        <v>#REF!</v>
      </c>
    </row>
    <row r="638" spans="1:40" s="73" customFormat="1" x14ac:dyDescent="0.25">
      <c r="A638" s="324"/>
      <c r="B638" s="118" t="s">
        <v>1394</v>
      </c>
      <c r="D638" s="74">
        <f>IFERROR(VLOOKUP(B638,'REQ. PINTADO'!B:C,2,0),0)</f>
        <v>0</v>
      </c>
      <c r="E638" s="305">
        <f t="shared" si="85"/>
        <v>736.75242484409603</v>
      </c>
      <c r="F638" s="103" t="s">
        <v>163</v>
      </c>
      <c r="G638" s="75" t="s">
        <v>147</v>
      </c>
      <c r="H638" s="90">
        <v>6.99</v>
      </c>
      <c r="I638" s="90">
        <v>91</v>
      </c>
      <c r="J638" s="76">
        <v>0.105</v>
      </c>
      <c r="K638" s="306">
        <v>16.38</v>
      </c>
      <c r="L638" s="78">
        <f t="shared" si="86"/>
        <v>32.06866004182119</v>
      </c>
      <c r="M638" s="58">
        <f>+VLOOKUP(F638,Material!$H$2:$M$17,6,FALSE)*H638*I638*(1+Material!$K$14)</f>
        <v>238.76575067501412</v>
      </c>
      <c r="N638" s="79" t="str">
        <f t="shared" si="82"/>
        <v>T5.0</v>
      </c>
      <c r="O638" s="80">
        <f>+VLOOKUP(N638,[3]Material!$A$3:$B$58,2,FALSE)</f>
        <v>5000</v>
      </c>
      <c r="P638" s="79" t="s">
        <v>42</v>
      </c>
      <c r="Q638" s="79" t="str">
        <f>+VLOOKUP(F638,[3]Material!$C$2:$E$12,2,FALSE)</f>
        <v>Cal 12</v>
      </c>
      <c r="R638" s="81">
        <f>+IF(P638="ACERO A36",VLOOKUP(Q638,'[3]Velocidades Std 1500 w'!$B$2:$F$15,5,FALSE),IF(P638="INOXIDABLE",VLOOKUP(Q638,'[3]Velocidades Std 1500 w'!$B$17:$F$28,5,FALSE),IF(P638="ALUMINIO",VLOOKUP(Q638,'[3]Velocidades Std 1500 w'!$B$30:$F$38,5,FALSE))))</f>
        <v>4.3859649122807014E-6</v>
      </c>
      <c r="S638" s="82">
        <f t="shared" si="87"/>
        <v>2.1929824561403508E-2</v>
      </c>
      <c r="T638" s="83">
        <f t="shared" si="88"/>
        <v>90.739762105263139</v>
      </c>
      <c r="U638" s="307">
        <f t="shared" si="94"/>
        <v>5746.8515999999991</v>
      </c>
      <c r="V638" s="80">
        <f t="shared" si="93"/>
        <v>126.02744736842102</v>
      </c>
      <c r="W638" s="98">
        <v>13</v>
      </c>
      <c r="X638" s="84">
        <f>+IF(P638="ACERO A36",VLOOKUP(Q638,'[3]Tiempo Objeto'!$B$2:$C$12,2,FALSE),IF(P638="INOXIDABLE",VLOOKUP(Q638,'[3]Tiempo Objeto'!$B$14:$C$22,2,FALSE),IF(P638="ALUMINIO",VLOOKUP(Q638,'[3]Tiempo Objeto'!$B$24:$C$32,2,FALSE))))</f>
        <v>0.6133333333333334</v>
      </c>
      <c r="Y638" s="84">
        <f t="shared" si="89"/>
        <v>7.9733333333333345</v>
      </c>
      <c r="Z638" s="80">
        <f t="shared" si="90"/>
        <v>11.074074074074076</v>
      </c>
      <c r="AA638" s="100">
        <v>8</v>
      </c>
      <c r="AB638" s="86">
        <f>+AA638*Analisis!$J$6</f>
        <v>200</v>
      </c>
      <c r="AC638" s="100"/>
      <c r="AD638" s="85">
        <f t="shared" si="91"/>
        <v>0</v>
      </c>
      <c r="AE638" s="86">
        <f>+AC638*Analisis!$J$7</f>
        <v>0</v>
      </c>
      <c r="AF638" s="308">
        <f>+H638*0.0254*I638*0.0254*2*(1+[3]Analisis!$G$2)</f>
        <v>1.025949561</v>
      </c>
      <c r="AG638" s="86">
        <f>+AF638*Analisis!$J$8</f>
        <v>109.31248298750003</v>
      </c>
      <c r="AH638" s="309">
        <f t="shared" si="83"/>
        <v>685.17975510500924</v>
      </c>
      <c r="AI638" s="86">
        <f>+AH638/(1-Analisis!G643)</f>
        <v>685.17975510500924</v>
      </c>
      <c r="AJ638" s="86">
        <f t="shared" si="92"/>
        <v>736.75242484409603</v>
      </c>
      <c r="AK638" s="86">
        <f t="shared" si="84"/>
        <v>0</v>
      </c>
      <c r="AL638" s="310" t="e">
        <f>+VLOOKUP(B638,#REF!,2,FALSE)</f>
        <v>#REF!</v>
      </c>
      <c r="AM638" s="311" t="e">
        <f t="shared" si="79"/>
        <v>#REF!</v>
      </c>
      <c r="AN638" s="312" t="e">
        <f t="shared" si="78"/>
        <v>#REF!</v>
      </c>
    </row>
    <row r="639" spans="1:40" s="73" customFormat="1" x14ac:dyDescent="0.25">
      <c r="A639" s="324"/>
      <c r="B639" s="118" t="s">
        <v>1395</v>
      </c>
      <c r="D639" s="74">
        <f>IFERROR(VLOOKUP(B639,'REQ. PINTADO'!B:C,2,0),0)</f>
        <v>0</v>
      </c>
      <c r="E639" s="305">
        <f t="shared" si="85"/>
        <v>298.2278650441674</v>
      </c>
      <c r="F639" s="103" t="s">
        <v>166</v>
      </c>
      <c r="G639" s="75" t="s">
        <v>147</v>
      </c>
      <c r="H639" s="90">
        <v>9.51</v>
      </c>
      <c r="I639" s="90">
        <v>14.95</v>
      </c>
      <c r="J639" s="76">
        <v>0.105</v>
      </c>
      <c r="K639" s="306">
        <v>16.38</v>
      </c>
      <c r="L639" s="78">
        <f t="shared" si="86"/>
        <v>4.3279842778005504</v>
      </c>
      <c r="M639" s="58">
        <f>+VLOOKUP(F639,Material!$H$2:$M$17,6,FALSE)*H639*I639*(1+Material!$K$14)</f>
        <v>32.223810213805912</v>
      </c>
      <c r="N639" s="79" t="str">
        <f t="shared" si="82"/>
        <v>T5.0</v>
      </c>
      <c r="O639" s="80">
        <f>+VLOOKUP(N639,[3]Material!$A$3:$B$58,2,FALSE)</f>
        <v>5000</v>
      </c>
      <c r="P639" s="79" t="s">
        <v>42</v>
      </c>
      <c r="Q639" s="79" t="str">
        <f>+VLOOKUP(F639,[3]Material!$C$2:$E$12,2,FALSE)</f>
        <v>Cal 16</v>
      </c>
      <c r="R639" s="81">
        <f>+IF(P639="ACERO A36",VLOOKUP(Q639,'[3]Velocidades Std 1500 w'!$B$2:$F$15,5,FALSE),IF(P639="INOXIDABLE",VLOOKUP(Q639,'[3]Velocidades Std 1500 w'!$B$17:$F$28,5,FALSE),IF(P639="ALUMINIO",VLOOKUP(Q639,'[3]Velocidades Std 1500 w'!$B$30:$F$38,5,FALSE))))</f>
        <v>9.1575091575091579E-7</v>
      </c>
      <c r="S639" s="82">
        <f t="shared" si="87"/>
        <v>4.578754578754579E-3</v>
      </c>
      <c r="T639" s="83">
        <f t="shared" si="88"/>
        <v>7.9939661538461548</v>
      </c>
      <c r="U639" s="307">
        <f t="shared" si="94"/>
        <v>2424.8364000000001</v>
      </c>
      <c r="V639" s="80">
        <f t="shared" si="93"/>
        <v>11.102730769230771</v>
      </c>
      <c r="W639" s="98">
        <v>28</v>
      </c>
      <c r="X639" s="84">
        <f>+IF(P639="ACERO A36",VLOOKUP(Q639,'[3]Tiempo Objeto'!$B$2:$C$12,2,FALSE),IF(P639="INOXIDABLE",VLOOKUP(Q639,'[3]Tiempo Objeto'!$B$14:$C$22,2,FALSE),IF(P639="ALUMINIO",VLOOKUP(Q639,'[3]Tiempo Objeto'!$B$24:$C$32,2,FALSE))))</f>
        <v>0.24666666666666667</v>
      </c>
      <c r="Y639" s="84">
        <f t="shared" si="89"/>
        <v>6.9066666666666672</v>
      </c>
      <c r="Z639" s="80">
        <f t="shared" si="90"/>
        <v>9.5925925925925934</v>
      </c>
      <c r="AA639" s="100">
        <v>8</v>
      </c>
      <c r="AB639" s="86">
        <f>+AA639*Analisis!$J$6</f>
        <v>200</v>
      </c>
      <c r="AC639" s="100"/>
      <c r="AD639" s="85">
        <f t="shared" si="91"/>
        <v>0</v>
      </c>
      <c r="AE639" s="86">
        <f>+AC639*Analisis!$J$7</f>
        <v>0</v>
      </c>
      <c r="AF639" s="308">
        <f>+H639*0.0254*I639*0.0254*2*(1+[3]Analisis!$G$2)</f>
        <v>0.22931325104999997</v>
      </c>
      <c r="AG639" s="86">
        <f>+AF639*Analisis!$J$8</f>
        <v>24.432780915446433</v>
      </c>
      <c r="AH639" s="309">
        <f t="shared" si="83"/>
        <v>277.35191449107566</v>
      </c>
      <c r="AI639" s="86">
        <f>+AH639/(1-Analisis!G644)</f>
        <v>277.35191449107566</v>
      </c>
      <c r="AJ639" s="86">
        <f t="shared" si="92"/>
        <v>298.2278650441674</v>
      </c>
      <c r="AK639" s="86">
        <f t="shared" si="84"/>
        <v>0</v>
      </c>
      <c r="AL639" s="310" t="e">
        <f>+VLOOKUP(B639,#REF!,2,FALSE)</f>
        <v>#REF!</v>
      </c>
      <c r="AM639" s="311" t="e">
        <f t="shared" si="79"/>
        <v>#REF!</v>
      </c>
      <c r="AN639" s="312" t="e">
        <f t="shared" si="78"/>
        <v>#REF!</v>
      </c>
    </row>
    <row r="640" spans="1:40" s="73" customFormat="1" x14ac:dyDescent="0.25">
      <c r="A640" s="324"/>
      <c r="B640" s="118" t="s">
        <v>1396</v>
      </c>
      <c r="D640" s="74">
        <f>IFERROR(VLOOKUP(B640,'REQ. PINTADO'!B:C,2,0),0)</f>
        <v>0</v>
      </c>
      <c r="E640" s="305">
        <f t="shared" si="85"/>
        <v>341.60387909045244</v>
      </c>
      <c r="F640" s="103" t="s">
        <v>166</v>
      </c>
      <c r="G640" s="75" t="s">
        <v>147</v>
      </c>
      <c r="H640" s="90">
        <v>9.51</v>
      </c>
      <c r="I640" s="90">
        <v>24.95</v>
      </c>
      <c r="J640" s="76">
        <v>0.105</v>
      </c>
      <c r="K640" s="306">
        <v>16.38</v>
      </c>
      <c r="L640" s="78">
        <f t="shared" si="86"/>
        <v>7.2229570388711526</v>
      </c>
      <c r="M640" s="58">
        <f>+VLOOKUP(F640,Material!$H$2:$M$17,6,FALSE)*H640*I640*(1+Material!$K$14)</f>
        <v>53.778198316686122</v>
      </c>
      <c r="N640" s="79" t="str">
        <f t="shared" si="82"/>
        <v>T5.0</v>
      </c>
      <c r="O640" s="80">
        <f>+VLOOKUP(N640,[3]Material!$A$3:$B$58,2,FALSE)</f>
        <v>5000</v>
      </c>
      <c r="P640" s="79" t="s">
        <v>42</v>
      </c>
      <c r="Q640" s="79" t="str">
        <f>+VLOOKUP(F640,[3]Material!$C$2:$E$12,2,FALSE)</f>
        <v>Cal 16</v>
      </c>
      <c r="R640" s="81">
        <f>+IF(P640="ACERO A36",VLOOKUP(Q640,'[3]Velocidades Std 1500 w'!$B$2:$F$15,5,FALSE),IF(P640="INOXIDABLE",VLOOKUP(Q640,'[3]Velocidades Std 1500 w'!$B$17:$F$28,5,FALSE),IF(P640="ALUMINIO",VLOOKUP(Q640,'[3]Velocidades Std 1500 w'!$B$30:$F$38,5,FALSE))))</f>
        <v>9.1575091575091579E-7</v>
      </c>
      <c r="S640" s="82">
        <f t="shared" si="87"/>
        <v>4.578754578754579E-3</v>
      </c>
      <c r="T640" s="83">
        <f t="shared" si="88"/>
        <v>9.7524276923076947</v>
      </c>
      <c r="U640" s="307">
        <f t="shared" si="94"/>
        <v>2958.2364000000002</v>
      </c>
      <c r="V640" s="80">
        <f t="shared" si="93"/>
        <v>13.545038461538462</v>
      </c>
      <c r="W640" s="98">
        <v>28</v>
      </c>
      <c r="X640" s="84">
        <f>+IF(P640="ACERO A36",VLOOKUP(Q640,'[3]Tiempo Objeto'!$B$2:$C$12,2,FALSE),IF(P640="INOXIDABLE",VLOOKUP(Q640,'[3]Tiempo Objeto'!$B$14:$C$22,2,FALSE),IF(P640="ALUMINIO",VLOOKUP(Q640,'[3]Tiempo Objeto'!$B$24:$C$32,2,FALSE))))</f>
        <v>0.24666666666666667</v>
      </c>
      <c r="Y640" s="84">
        <f t="shared" si="89"/>
        <v>6.9066666666666672</v>
      </c>
      <c r="Z640" s="80">
        <f t="shared" si="90"/>
        <v>9.5925925925925934</v>
      </c>
      <c r="AA640" s="100">
        <v>8</v>
      </c>
      <c r="AB640" s="86">
        <f>+AA640*Analisis!$J$6</f>
        <v>200</v>
      </c>
      <c r="AC640" s="100"/>
      <c r="AD640" s="85">
        <f t="shared" si="91"/>
        <v>0</v>
      </c>
      <c r="AE640" s="86">
        <f>+AC640*Analisis!$J$7</f>
        <v>0</v>
      </c>
      <c r="AF640" s="308">
        <f>+H640*0.0254*I640*0.0254*2*(1+[3]Analisis!$G$2)</f>
        <v>0.38270004104999988</v>
      </c>
      <c r="AG640" s="86">
        <f>+AF640*Analisis!$J$8</f>
        <v>40.775778183303572</v>
      </c>
      <c r="AH640" s="309">
        <f t="shared" si="83"/>
        <v>317.69160755412076</v>
      </c>
      <c r="AI640" s="86">
        <f>+AH640/(1-Analisis!G645)</f>
        <v>317.69160755412076</v>
      </c>
      <c r="AJ640" s="86">
        <f t="shared" si="92"/>
        <v>341.60387909045244</v>
      </c>
      <c r="AK640" s="86">
        <f t="shared" si="84"/>
        <v>0</v>
      </c>
      <c r="AL640" s="310" t="e">
        <f>+VLOOKUP(B640,#REF!,2,FALSE)</f>
        <v>#REF!</v>
      </c>
      <c r="AM640" s="311" t="e">
        <f t="shared" si="79"/>
        <v>#REF!</v>
      </c>
      <c r="AN640" s="312" t="e">
        <f t="shared" si="78"/>
        <v>#REF!</v>
      </c>
    </row>
    <row r="641" spans="1:40" s="73" customFormat="1" x14ac:dyDescent="0.25">
      <c r="A641" s="324"/>
      <c r="B641" s="118" t="s">
        <v>1397</v>
      </c>
      <c r="D641" s="74">
        <f>IFERROR(VLOOKUP(B641,'REQ. PINTADO'!B:C,2,0),0)</f>
        <v>0</v>
      </c>
      <c r="E641" s="305">
        <f t="shared" si="85"/>
        <v>292.17235386959908</v>
      </c>
      <c r="F641" s="103" t="s">
        <v>166</v>
      </c>
      <c r="G641" s="75" t="s">
        <v>147</v>
      </c>
      <c r="H641" s="90">
        <v>7.39</v>
      </c>
      <c r="I641" s="90">
        <v>19.45</v>
      </c>
      <c r="J641" s="76">
        <v>0.105</v>
      </c>
      <c r="K641" s="306">
        <v>16.38</v>
      </c>
      <c r="L641" s="78">
        <f t="shared" si="86"/>
        <v>4.3755032313234858</v>
      </c>
      <c r="M641" s="58">
        <f>+VLOOKUP(F641,Material!$H$2:$M$17,6,FALSE)*H641*I641*(1+Material!$K$14)</f>
        <v>32.577610422308496</v>
      </c>
      <c r="N641" s="79" t="str">
        <f t="shared" si="82"/>
        <v>T5.0</v>
      </c>
      <c r="O641" s="80">
        <f>+VLOOKUP(N641,[3]Material!$A$3:$B$58,2,FALSE)</f>
        <v>5000</v>
      </c>
      <c r="P641" s="79" t="s">
        <v>42</v>
      </c>
      <c r="Q641" s="79" t="str">
        <f>+VLOOKUP(F641,[3]Material!$C$2:$E$12,2,FALSE)</f>
        <v>Cal 16</v>
      </c>
      <c r="R641" s="81">
        <f>+IF(P641="ACERO A36",VLOOKUP(Q641,'[3]Velocidades Std 1500 w'!$B$2:$F$15,5,FALSE),IF(P641="INOXIDABLE",VLOOKUP(Q641,'[3]Velocidades Std 1500 w'!$B$17:$F$28,5,FALSE),IF(P641="ALUMINIO",VLOOKUP(Q641,'[3]Velocidades Std 1500 w'!$B$30:$F$38,5,FALSE))))</f>
        <v>9.1575091575091579E-7</v>
      </c>
      <c r="S641" s="82">
        <f t="shared" si="87"/>
        <v>4.578754578754579E-3</v>
      </c>
      <c r="T641" s="83">
        <f t="shared" si="88"/>
        <v>6.6979800000000003</v>
      </c>
      <c r="U641" s="307">
        <f t="shared" si="94"/>
        <v>2031.7206000000001</v>
      </c>
      <c r="V641" s="80">
        <f t="shared" si="93"/>
        <v>9.3027500000000014</v>
      </c>
      <c r="W641" s="98">
        <v>15</v>
      </c>
      <c r="X641" s="84">
        <f>+IF(P641="ACERO A36",VLOOKUP(Q641,'[3]Tiempo Objeto'!$B$2:$C$12,2,FALSE),IF(P641="INOXIDABLE",VLOOKUP(Q641,'[3]Tiempo Objeto'!$B$14:$C$22,2,FALSE),IF(P641="ALUMINIO",VLOOKUP(Q641,'[3]Tiempo Objeto'!$B$24:$C$32,2,FALSE))))</f>
        <v>0.24666666666666667</v>
      </c>
      <c r="Y641" s="84">
        <f t="shared" si="89"/>
        <v>3.7</v>
      </c>
      <c r="Z641" s="80">
        <f t="shared" si="90"/>
        <v>5.1388888888888893</v>
      </c>
      <c r="AA641" s="100">
        <v>8</v>
      </c>
      <c r="AB641" s="86">
        <f>+AA641*Analisis!$J$6</f>
        <v>200</v>
      </c>
      <c r="AC641" s="100"/>
      <c r="AD641" s="85">
        <f t="shared" si="91"/>
        <v>0</v>
      </c>
      <c r="AE641" s="86">
        <f>+AC641*Analisis!$J$7</f>
        <v>0</v>
      </c>
      <c r="AF641" s="308">
        <f>+H641*0.0254*I641*0.0254*2*(1+[3]Analisis!$G$2)</f>
        <v>0.23183098794999996</v>
      </c>
      <c r="AG641" s="86">
        <f>+AF641*Analisis!$J$8</f>
        <v>24.701039787529766</v>
      </c>
      <c r="AH641" s="309">
        <f t="shared" si="83"/>
        <v>271.72028909872711</v>
      </c>
      <c r="AI641" s="86">
        <f>+AH641/(1-Analisis!G646)</f>
        <v>271.72028909872711</v>
      </c>
      <c r="AJ641" s="86">
        <f t="shared" si="92"/>
        <v>292.17235386959908</v>
      </c>
      <c r="AK641" s="86">
        <f t="shared" si="84"/>
        <v>0</v>
      </c>
      <c r="AL641" s="310" t="e">
        <f>+VLOOKUP(B641,#REF!,2,FALSE)</f>
        <v>#REF!</v>
      </c>
      <c r="AM641" s="311" t="e">
        <f t="shared" si="79"/>
        <v>#REF!</v>
      </c>
      <c r="AN641" s="312" t="e">
        <f t="shared" si="78"/>
        <v>#REF!</v>
      </c>
    </row>
    <row r="642" spans="1:40" s="73" customFormat="1" x14ac:dyDescent="0.25">
      <c r="A642" s="324"/>
      <c r="B642" s="118" t="s">
        <v>1398</v>
      </c>
      <c r="D642" s="74">
        <f>IFERROR(VLOOKUP(B642,'REQ. PINTADO'!B:C,2,0),0)</f>
        <v>0</v>
      </c>
      <c r="E642" s="305">
        <f t="shared" si="85"/>
        <v>326.46427341592783</v>
      </c>
      <c r="F642" s="103" t="s">
        <v>166</v>
      </c>
      <c r="G642" s="75" t="s">
        <v>147</v>
      </c>
      <c r="H642" s="90">
        <v>7.39</v>
      </c>
      <c r="I642" s="90">
        <v>29.45</v>
      </c>
      <c r="J642" s="76">
        <v>0.105</v>
      </c>
      <c r="K642" s="306">
        <v>16.38</v>
      </c>
      <c r="L642" s="78">
        <f t="shared" si="86"/>
        <v>6.625119288559211</v>
      </c>
      <c r="M642" s="58">
        <f>+VLOOKUP(F642,Material!$H$2:$M$17,6,FALSE)*H642*I642*(1+Material!$K$14)</f>
        <v>49.327024521181755</v>
      </c>
      <c r="N642" s="79" t="str">
        <f t="shared" si="82"/>
        <v>T5.0</v>
      </c>
      <c r="O642" s="80">
        <f>+VLOOKUP(N642,[3]Material!$A$3:$B$58,2,FALSE)</f>
        <v>5000</v>
      </c>
      <c r="P642" s="79" t="s">
        <v>42</v>
      </c>
      <c r="Q642" s="79" t="str">
        <f>+VLOOKUP(F642,[3]Material!$C$2:$E$12,2,FALSE)</f>
        <v>Cal 16</v>
      </c>
      <c r="R642" s="81">
        <f>+IF(P642="ACERO A36",VLOOKUP(Q642,'[3]Velocidades Std 1500 w'!$B$2:$F$15,5,FALSE),IF(P642="INOXIDABLE",VLOOKUP(Q642,'[3]Velocidades Std 1500 w'!$B$17:$F$28,5,FALSE),IF(P642="ALUMINIO",VLOOKUP(Q642,'[3]Velocidades Std 1500 w'!$B$30:$F$38,5,FALSE))))</f>
        <v>9.1575091575091579E-7</v>
      </c>
      <c r="S642" s="82">
        <f t="shared" si="87"/>
        <v>4.578754578754579E-3</v>
      </c>
      <c r="T642" s="83">
        <f t="shared" si="88"/>
        <v>8.4564415384615383</v>
      </c>
      <c r="U642" s="307">
        <f t="shared" si="94"/>
        <v>2565.1205999999997</v>
      </c>
      <c r="V642" s="80">
        <f t="shared" si="93"/>
        <v>11.745057692307691</v>
      </c>
      <c r="W642" s="98">
        <v>15</v>
      </c>
      <c r="X642" s="84">
        <f>+IF(P642="ACERO A36",VLOOKUP(Q642,'[3]Tiempo Objeto'!$B$2:$C$12,2,FALSE),IF(P642="INOXIDABLE",VLOOKUP(Q642,'[3]Tiempo Objeto'!$B$14:$C$22,2,FALSE),IF(P642="ALUMINIO",VLOOKUP(Q642,'[3]Tiempo Objeto'!$B$24:$C$32,2,FALSE))))</f>
        <v>0.24666666666666667</v>
      </c>
      <c r="Y642" s="84">
        <f t="shared" si="89"/>
        <v>3.7</v>
      </c>
      <c r="Z642" s="80">
        <f t="shared" si="90"/>
        <v>5.1388888888888893</v>
      </c>
      <c r="AA642" s="100">
        <v>8</v>
      </c>
      <c r="AB642" s="86">
        <f>+AA642*Analisis!$J$6</f>
        <v>200</v>
      </c>
      <c r="AC642" s="100"/>
      <c r="AD642" s="85">
        <f t="shared" si="91"/>
        <v>0</v>
      </c>
      <c r="AE642" s="86">
        <f>+AC642*Analisis!$J$7</f>
        <v>0</v>
      </c>
      <c r="AF642" s="308">
        <f>+H642*0.0254*I642*0.0254*2*(1+[3]Analisis!$G$2)</f>
        <v>0.35102429794999995</v>
      </c>
      <c r="AG642" s="86">
        <f>+AF642*Analisis!$J$8</f>
        <v>37.400803174434529</v>
      </c>
      <c r="AH642" s="309">
        <f t="shared" si="83"/>
        <v>303.61177427681287</v>
      </c>
      <c r="AI642" s="86">
        <f>+AH642/(1-Analisis!G647)</f>
        <v>303.61177427681287</v>
      </c>
      <c r="AJ642" s="86">
        <f t="shared" si="92"/>
        <v>326.46427341592783</v>
      </c>
      <c r="AK642" s="86">
        <f t="shared" si="84"/>
        <v>0</v>
      </c>
      <c r="AL642" s="310" t="e">
        <f>+VLOOKUP(B642,#REF!,2,FALSE)</f>
        <v>#REF!</v>
      </c>
      <c r="AM642" s="311" t="e">
        <f t="shared" si="79"/>
        <v>#REF!</v>
      </c>
      <c r="AN642" s="312" t="e">
        <f t="shared" si="78"/>
        <v>#REF!</v>
      </c>
    </row>
    <row r="643" spans="1:40" s="73" customFormat="1" x14ac:dyDescent="0.25">
      <c r="A643" s="324"/>
      <c r="B643" s="118" t="s">
        <v>1399</v>
      </c>
      <c r="D643" s="74">
        <f>IFERROR(VLOOKUP(B643,'REQ. PINTADO'!B:C,2,0),0)</f>
        <v>0</v>
      </c>
      <c r="E643" s="305">
        <f t="shared" si="85"/>
        <v>620.56973483177103</v>
      </c>
      <c r="F643" s="103" t="s">
        <v>163</v>
      </c>
      <c r="G643" s="75" t="s">
        <v>147</v>
      </c>
      <c r="H643" s="90">
        <v>4.8499999999999996</v>
      </c>
      <c r="I643" s="90">
        <v>103.4</v>
      </c>
      <c r="J643" s="76">
        <v>0.105</v>
      </c>
      <c r="K643" s="306">
        <v>16.38</v>
      </c>
      <c r="L643" s="78">
        <f t="shared" si="86"/>
        <v>25.282762383267947</v>
      </c>
      <c r="M643" s="58">
        <f>+VLOOKUP(F643,Material!$H$2:$M$17,6,FALSE)*H643*I643*(1+Material!$K$14)</f>
        <v>188.24165810814949</v>
      </c>
      <c r="N643" s="79" t="str">
        <f t="shared" si="82"/>
        <v>T5.0</v>
      </c>
      <c r="O643" s="80">
        <f>+VLOOKUP(N643,[3]Material!$A$3:$B$58,2,FALSE)</f>
        <v>5000</v>
      </c>
      <c r="P643" s="79" t="s">
        <v>42</v>
      </c>
      <c r="Q643" s="79" t="str">
        <f>+VLOOKUP(F643,[3]Material!$C$2:$E$12,2,FALSE)</f>
        <v>Cal 12</v>
      </c>
      <c r="R643" s="81">
        <f>+IF(P643="ACERO A36",VLOOKUP(Q643,'[3]Velocidades Std 1500 w'!$B$2:$F$15,5,FALSE),IF(P643="INOXIDABLE",VLOOKUP(Q643,'[3]Velocidades Std 1500 w'!$B$17:$F$28,5,FALSE),IF(P643="ALUMINIO",VLOOKUP(Q643,'[3]Velocidades Std 1500 w'!$B$30:$F$38,5,FALSE))))</f>
        <v>4.3859649122807014E-6</v>
      </c>
      <c r="S643" s="82">
        <f t="shared" si="87"/>
        <v>2.1929824561403508E-2</v>
      </c>
      <c r="T643" s="83">
        <f t="shared" si="88"/>
        <v>118.96223684210527</v>
      </c>
      <c r="U643" s="307">
        <f t="shared" si="94"/>
        <v>7534.2750000000005</v>
      </c>
      <c r="V643" s="80">
        <f t="shared" si="93"/>
        <v>165.22532894736841</v>
      </c>
      <c r="W643" s="98">
        <v>44</v>
      </c>
      <c r="X643" s="84">
        <f>+IF(P643="ACERO A36",VLOOKUP(Q643,'[3]Tiempo Objeto'!$B$2:$C$12,2,FALSE),IF(P643="INOXIDABLE",VLOOKUP(Q643,'[3]Tiempo Objeto'!$B$14:$C$22,2,FALSE),IF(P643="ALUMINIO",VLOOKUP(Q643,'[3]Tiempo Objeto'!$B$24:$C$32,2,FALSE))))</f>
        <v>0.6133333333333334</v>
      </c>
      <c r="Y643" s="84">
        <f t="shared" si="89"/>
        <v>26.986666666666668</v>
      </c>
      <c r="Z643" s="80">
        <f t="shared" si="90"/>
        <v>37.481481481481481</v>
      </c>
      <c r="AA643" s="100">
        <v>4</v>
      </c>
      <c r="AB643" s="86">
        <f>+AA643*Analisis!$J$6</f>
        <v>100</v>
      </c>
      <c r="AC643" s="100"/>
      <c r="AD643" s="85">
        <f t="shared" si="91"/>
        <v>0</v>
      </c>
      <c r="AE643" s="86">
        <f>+AC643*Analisis!$J$7</f>
        <v>0</v>
      </c>
      <c r="AF643" s="308">
        <f>+H643*0.0254*I643*0.0254*2*(1+[3]Analisis!$G$2)</f>
        <v>0.8088532209999999</v>
      </c>
      <c r="AG643" s="86">
        <f>+AF643*Analisis!$J$8</f>
        <v>86.181384856547638</v>
      </c>
      <c r="AH643" s="309">
        <f t="shared" si="83"/>
        <v>577.12985339354702</v>
      </c>
      <c r="AI643" s="86">
        <f>+AH643/(1-Analisis!G648)</f>
        <v>577.12985339354702</v>
      </c>
      <c r="AJ643" s="86">
        <f t="shared" si="92"/>
        <v>620.56973483177103</v>
      </c>
      <c r="AK643" s="86">
        <f t="shared" si="84"/>
        <v>0</v>
      </c>
      <c r="AL643" s="310" t="e">
        <f>+VLOOKUP(B643,#REF!,2,FALSE)</f>
        <v>#REF!</v>
      </c>
      <c r="AM643" s="311" t="e">
        <f t="shared" si="79"/>
        <v>#REF!</v>
      </c>
      <c r="AN643" s="312" t="e">
        <f t="shared" si="78"/>
        <v>#REF!</v>
      </c>
    </row>
    <row r="644" spans="1:40" s="73" customFormat="1" x14ac:dyDescent="0.25">
      <c r="A644" s="324"/>
      <c r="B644" s="118" t="s">
        <v>1400</v>
      </c>
      <c r="D644" s="74">
        <f>IFERROR(VLOOKUP(B644,'REQ. PINTADO'!B:C,2,0),0)</f>
        <v>0</v>
      </c>
      <c r="E644" s="305">
        <f t="shared" si="85"/>
        <v>308.08087011774427</v>
      </c>
      <c r="F644" s="103" t="s">
        <v>165</v>
      </c>
      <c r="G644" s="75" t="s">
        <v>147</v>
      </c>
      <c r="H644" s="90">
        <v>94.4</v>
      </c>
      <c r="I644" s="90">
        <v>3.11</v>
      </c>
      <c r="J644" s="76">
        <v>0.105</v>
      </c>
      <c r="K644" s="306">
        <v>16.38</v>
      </c>
      <c r="L644" s="78">
        <f t="shared" si="86"/>
        <v>16.388636752136755</v>
      </c>
      <c r="M644" s="58">
        <f>+VLOOKUP(F644,Material!$H$2:$M$17,6,FALSE)*H644*I644*(1+Material!$K$14)</f>
        <v>122.02085</v>
      </c>
      <c r="N644" s="79" t="str">
        <f t="shared" ref="N644:N707" si="95">+N643</f>
        <v>T5.0</v>
      </c>
      <c r="O644" s="80">
        <f>+VLOOKUP(N644,[3]Material!$A$3:$B$58,2,FALSE)</f>
        <v>5000</v>
      </c>
      <c r="P644" s="79" t="s">
        <v>42</v>
      </c>
      <c r="Q644" s="79" t="str">
        <f>+VLOOKUP(F644,[3]Material!$C$2:$E$12,2,FALSE)</f>
        <v>Cal 14</v>
      </c>
      <c r="R644" s="81">
        <f>+IF(P644="ACERO A36",VLOOKUP(Q644,'[3]Velocidades Std 1500 w'!$B$2:$F$15,5,FALSE),IF(P644="INOXIDABLE",VLOOKUP(Q644,'[3]Velocidades Std 1500 w'!$B$17:$F$28,5,FALSE),IF(P644="ALUMINIO",VLOOKUP(Q644,'[3]Velocidades Std 1500 w'!$B$30:$F$38,5,FALSE))))</f>
        <v>2.0080321285140564E-6</v>
      </c>
      <c r="S644" s="82">
        <f t="shared" si="87"/>
        <v>1.0040160642570283E-2</v>
      </c>
      <c r="T644" s="83">
        <f t="shared" si="88"/>
        <v>50.323398072289166</v>
      </c>
      <c r="U644" s="307">
        <f t="shared" si="94"/>
        <v>6961.4034000000001</v>
      </c>
      <c r="V644" s="80">
        <f t="shared" si="93"/>
        <v>69.893608433734954</v>
      </c>
      <c r="W644" s="98">
        <v>44</v>
      </c>
      <c r="X644" s="84">
        <f>+IF(P644="ACERO A36",VLOOKUP(Q644,'[3]Tiempo Objeto'!$B$2:$C$12,2,FALSE),IF(P644="INOXIDABLE",VLOOKUP(Q644,'[3]Tiempo Objeto'!$B$14:$C$22,2,FALSE),IF(P644="ALUMINIO",VLOOKUP(Q644,'[3]Tiempo Objeto'!$B$24:$C$32,2,FALSE))))</f>
        <v>0.3133333333333333</v>
      </c>
      <c r="Y644" s="84">
        <f t="shared" si="89"/>
        <v>13.786666666666665</v>
      </c>
      <c r="Z644" s="80">
        <f t="shared" si="90"/>
        <v>19.148148148148145</v>
      </c>
      <c r="AA644" s="100">
        <v>1</v>
      </c>
      <c r="AB644" s="86">
        <f>+AA644*Analisis!$J$6</f>
        <v>25</v>
      </c>
      <c r="AC644" s="100"/>
      <c r="AD644" s="85">
        <f t="shared" si="91"/>
        <v>0</v>
      </c>
      <c r="AE644" s="86">
        <f>+AC644*Analisis!$J$7</f>
        <v>0</v>
      </c>
      <c r="AF644" s="308">
        <f>+H644*0.0254*I644*0.0254*2*(1+[3]Analisis!$G$2)</f>
        <v>0.47352163359999988</v>
      </c>
      <c r="AG644" s="86">
        <f>+AF644*Analisis!$J$8</f>
        <v>50.452602627619051</v>
      </c>
      <c r="AH644" s="309">
        <f t="shared" si="83"/>
        <v>286.51520920950213</v>
      </c>
      <c r="AI644" s="86">
        <f>+AH644/(1-Analisis!G649)</f>
        <v>286.51520920950213</v>
      </c>
      <c r="AJ644" s="86">
        <f t="shared" si="92"/>
        <v>308.08087011774427</v>
      </c>
      <c r="AK644" s="86">
        <f t="shared" si="84"/>
        <v>0</v>
      </c>
      <c r="AL644" s="310" t="e">
        <f>+VLOOKUP(B644,#REF!,2,FALSE)</f>
        <v>#REF!</v>
      </c>
      <c r="AM644" s="311" t="e">
        <f t="shared" si="79"/>
        <v>#REF!</v>
      </c>
      <c r="AN644" s="312" t="e">
        <f t="shared" si="78"/>
        <v>#REF!</v>
      </c>
    </row>
    <row r="645" spans="1:40" s="73" customFormat="1" x14ac:dyDescent="0.25">
      <c r="A645" s="324"/>
      <c r="B645" s="118" t="s">
        <v>1401</v>
      </c>
      <c r="D645" s="74">
        <f>IFERROR(VLOOKUP(B645,'REQ. PINTADO'!B:C,2,0),0)</f>
        <v>0</v>
      </c>
      <c r="E645" s="305">
        <f t="shared" si="85"/>
        <v>92.931378467338007</v>
      </c>
      <c r="F645" s="103" t="s">
        <v>164</v>
      </c>
      <c r="G645" s="75" t="s">
        <v>147</v>
      </c>
      <c r="H645" s="90">
        <v>2.92</v>
      </c>
      <c r="I645" s="90">
        <v>9.84</v>
      </c>
      <c r="J645" s="76">
        <v>0.105</v>
      </c>
      <c r="K645" s="306">
        <v>16.38</v>
      </c>
      <c r="L645" s="78">
        <f t="shared" si="86"/>
        <v>2.6732350427350435</v>
      </c>
      <c r="M645" s="58">
        <f>+VLOOKUP(F645,Material!$H$2:$M$17,6,FALSE)*H645*I645*(1+Material!$K$14)</f>
        <v>19.903450000000003</v>
      </c>
      <c r="N645" s="79" t="str">
        <f t="shared" si="95"/>
        <v>T5.0</v>
      </c>
      <c r="O645" s="80">
        <f>+VLOOKUP(N645,[3]Material!$A$3:$B$58,2,FALSE)</f>
        <v>5000</v>
      </c>
      <c r="P645" s="79" t="s">
        <v>42</v>
      </c>
      <c r="Q645" s="79" t="str">
        <f>+VLOOKUP(F645,[3]Material!$C$2:$E$12,2,FALSE)</f>
        <v>Cal 10</v>
      </c>
      <c r="R645" s="81">
        <f>+IF(P645="ACERO A36",VLOOKUP(Q645,'[3]Velocidades Std 1500 w'!$B$2:$F$15,5,FALSE),IF(P645="INOXIDABLE",VLOOKUP(Q645,'[3]Velocidades Std 1500 w'!$B$17:$F$28,5,FALSE),IF(P645="ALUMINIO",VLOOKUP(Q645,'[3]Velocidades Std 1500 w'!$B$30:$F$38,5,FALSE))))</f>
        <v>6.1728395061728391E-6</v>
      </c>
      <c r="S645" s="82">
        <f t="shared" si="87"/>
        <v>3.0864197530864196E-2</v>
      </c>
      <c r="T645" s="83">
        <f t="shared" si="88"/>
        <v>21.34785333333333</v>
      </c>
      <c r="U645" s="307">
        <f t="shared" si="94"/>
        <v>960.65339999999992</v>
      </c>
      <c r="V645" s="80">
        <f t="shared" si="93"/>
        <v>29.649796296296291</v>
      </c>
      <c r="W645" s="98">
        <v>7</v>
      </c>
      <c r="X645" s="84">
        <f>+IF(P645="ACERO A36",VLOOKUP(Q645,'[3]Tiempo Objeto'!$B$2:$C$12,2,FALSE),IF(P645="INOXIDABLE",VLOOKUP(Q645,'[3]Tiempo Objeto'!$B$14:$C$22,2,FALSE),IF(P645="ALUMINIO",VLOOKUP(Q645,'[3]Tiempo Objeto'!$B$24:$C$32,2,FALSE))))</f>
        <v>0.71333333333333337</v>
      </c>
      <c r="Y645" s="84">
        <f t="shared" si="89"/>
        <v>4.9933333333333341</v>
      </c>
      <c r="Z645" s="80">
        <f t="shared" si="90"/>
        <v>6.9351851851851869</v>
      </c>
      <c r="AA645" s="100">
        <v>1</v>
      </c>
      <c r="AB645" s="86">
        <f>+AA645*Analisis!$J$6</f>
        <v>25</v>
      </c>
      <c r="AC645" s="100"/>
      <c r="AD645" s="85">
        <f t="shared" si="91"/>
        <v>0</v>
      </c>
      <c r="AE645" s="86">
        <f>+AC645*Analisis!$J$7</f>
        <v>0</v>
      </c>
      <c r="AF645" s="308">
        <f>+H645*0.0254*I645*0.0254*2*(1+[3]Analisis!$G$2)</f>
        <v>4.6343133119999998E-2</v>
      </c>
      <c r="AG645" s="86">
        <f>+AF645*Analisis!$J$8</f>
        <v>4.9377504931428584</v>
      </c>
      <c r="AH645" s="309">
        <f t="shared" si="83"/>
        <v>86.426181974624342</v>
      </c>
      <c r="AI645" s="86">
        <f>+AH645/(1-Analisis!G650)</f>
        <v>86.426181974624342</v>
      </c>
      <c r="AJ645" s="86">
        <f t="shared" si="92"/>
        <v>92.931378467338007</v>
      </c>
      <c r="AK645" s="86">
        <f t="shared" si="84"/>
        <v>0</v>
      </c>
      <c r="AL645" s="310" t="e">
        <f>+VLOOKUP(B645,#REF!,2,FALSE)</f>
        <v>#REF!</v>
      </c>
      <c r="AM645" s="311" t="e">
        <f t="shared" si="79"/>
        <v>#REF!</v>
      </c>
      <c r="AN645" s="312" t="e">
        <f t="shared" si="78"/>
        <v>#REF!</v>
      </c>
    </row>
    <row r="646" spans="1:40" s="73" customFormat="1" x14ac:dyDescent="0.25">
      <c r="A646" s="324"/>
      <c r="B646" s="118" t="s">
        <v>1402</v>
      </c>
      <c r="D646" s="74">
        <f>IFERROR(VLOOKUP(B646,'REQ. PINTADO'!B:C,2,0),0)</f>
        <v>0</v>
      </c>
      <c r="E646" s="305">
        <f t="shared" si="85"/>
        <v>348.11331845110561</v>
      </c>
      <c r="F646" s="103" t="s">
        <v>163</v>
      </c>
      <c r="G646" s="75" t="s">
        <v>147</v>
      </c>
      <c r="H646" s="90">
        <v>10.59</v>
      </c>
      <c r="I646" s="90">
        <v>24.14</v>
      </c>
      <c r="J646" s="76">
        <v>0.105</v>
      </c>
      <c r="K646" s="306">
        <v>16.38</v>
      </c>
      <c r="L646" s="78">
        <f t="shared" si="86"/>
        <v>12.888295102276844</v>
      </c>
      <c r="M646" s="58">
        <f>+VLOOKUP(F646,Material!$H$2:$M$17,6,FALSE)*H646*I646*(1+Material!$K$14)</f>
        <v>95.959215352406673</v>
      </c>
      <c r="N646" s="79" t="str">
        <f t="shared" si="95"/>
        <v>T5.0</v>
      </c>
      <c r="O646" s="80">
        <f>+VLOOKUP(N646,[3]Material!$A$3:$B$58,2,FALSE)</f>
        <v>5000</v>
      </c>
      <c r="P646" s="79" t="s">
        <v>42</v>
      </c>
      <c r="Q646" s="79" t="str">
        <f>+VLOOKUP(F646,[3]Material!$C$2:$E$12,2,FALSE)</f>
        <v>Cal 12</v>
      </c>
      <c r="R646" s="81">
        <f>+IF(P646="ACERO A36",VLOOKUP(Q646,'[3]Velocidades Std 1500 w'!$B$2:$F$15,5,FALSE),IF(P646="INOXIDABLE",VLOOKUP(Q646,'[3]Velocidades Std 1500 w'!$B$17:$F$28,5,FALSE),IF(P646="ALUMINIO",VLOOKUP(Q646,'[3]Velocidades Std 1500 w'!$B$30:$F$38,5,FALSE))))</f>
        <v>4.3859649122807014E-6</v>
      </c>
      <c r="S646" s="82">
        <f t="shared" si="87"/>
        <v>2.1929824561403508E-2</v>
      </c>
      <c r="T646" s="83">
        <f t="shared" si="88"/>
        <v>45.041418947368427</v>
      </c>
      <c r="U646" s="307">
        <f t="shared" si="94"/>
        <v>2852.6232000000005</v>
      </c>
      <c r="V646" s="80">
        <f t="shared" si="93"/>
        <v>62.557526315789481</v>
      </c>
      <c r="W646" s="98">
        <v>25</v>
      </c>
      <c r="X646" s="84">
        <f>+IF(P646="ACERO A36",VLOOKUP(Q646,'[3]Tiempo Objeto'!$B$2:$C$12,2,FALSE),IF(P646="INOXIDABLE",VLOOKUP(Q646,'[3]Tiempo Objeto'!$B$14:$C$22,2,FALSE),IF(P646="ALUMINIO",VLOOKUP(Q646,'[3]Tiempo Objeto'!$B$24:$C$32,2,FALSE))))</f>
        <v>0.6133333333333334</v>
      </c>
      <c r="Y646" s="84">
        <f t="shared" si="89"/>
        <v>15.333333333333336</v>
      </c>
      <c r="Z646" s="80">
        <f t="shared" si="90"/>
        <v>21.296296296296298</v>
      </c>
      <c r="AA646" s="100">
        <v>4</v>
      </c>
      <c r="AB646" s="86">
        <f>+AA646*Analisis!$J$6</f>
        <v>100</v>
      </c>
      <c r="AC646" s="100"/>
      <c r="AD646" s="85">
        <f t="shared" si="91"/>
        <v>0</v>
      </c>
      <c r="AE646" s="86">
        <f>+AC646*Analisis!$J$7</f>
        <v>0</v>
      </c>
      <c r="AF646" s="308">
        <f>+H646*0.0254*I646*0.0254*2*(1+[3]Analisis!$G$2)</f>
        <v>0.41232594953999996</v>
      </c>
      <c r="AG646" s="86">
        <f>+AF646*Analisis!$J$8</f>
        <v>43.932348195035722</v>
      </c>
      <c r="AH646" s="309">
        <f t="shared" si="83"/>
        <v>323.74538615952821</v>
      </c>
      <c r="AI646" s="86">
        <f>+AH646/(1-Analisis!G651)</f>
        <v>323.74538615952821</v>
      </c>
      <c r="AJ646" s="86">
        <f t="shared" si="92"/>
        <v>348.11331845110561</v>
      </c>
      <c r="AK646" s="86">
        <f t="shared" si="84"/>
        <v>0</v>
      </c>
      <c r="AL646" s="310" t="e">
        <f>+VLOOKUP(B646,#REF!,2,FALSE)</f>
        <v>#REF!</v>
      </c>
      <c r="AM646" s="311" t="e">
        <f t="shared" si="79"/>
        <v>#REF!</v>
      </c>
      <c r="AN646" s="312" t="e">
        <f t="shared" si="78"/>
        <v>#REF!</v>
      </c>
    </row>
    <row r="647" spans="1:40" s="73" customFormat="1" x14ac:dyDescent="0.25">
      <c r="A647" s="324"/>
      <c r="B647" s="118" t="s">
        <v>1403</v>
      </c>
      <c r="D647" s="74">
        <f>IFERROR(VLOOKUP(B647,'REQ. PINTADO'!B:C,2,0),0)</f>
        <v>0</v>
      </c>
      <c r="E647" s="305">
        <f t="shared" si="85"/>
        <v>423.00307930662746</v>
      </c>
      <c r="F647" s="103" t="s">
        <v>163</v>
      </c>
      <c r="G647" s="75" t="s">
        <v>147</v>
      </c>
      <c r="H647" s="90">
        <v>10.59</v>
      </c>
      <c r="I647" s="90">
        <v>34.14</v>
      </c>
      <c r="J647" s="76">
        <v>0.105</v>
      </c>
      <c r="K647" s="306">
        <v>16.38</v>
      </c>
      <c r="L647" s="78">
        <f t="shared" si="86"/>
        <v>18.227274017884486</v>
      </c>
      <c r="M647" s="58">
        <f>+VLOOKUP(F647,Material!$H$2:$M$17,6,FALSE)*H647*I647*(1+Material!$K$14)</f>
        <v>135.71034018770357</v>
      </c>
      <c r="N647" s="79" t="str">
        <f t="shared" si="95"/>
        <v>T5.0</v>
      </c>
      <c r="O647" s="80">
        <f>+VLOOKUP(N647,[3]Material!$A$3:$B$58,2,FALSE)</f>
        <v>5000</v>
      </c>
      <c r="P647" s="79" t="s">
        <v>42</v>
      </c>
      <c r="Q647" s="79" t="str">
        <f>+VLOOKUP(F647,[3]Material!$C$2:$E$12,2,FALSE)</f>
        <v>Cal 12</v>
      </c>
      <c r="R647" s="81">
        <f>+IF(P647="ACERO A36",VLOOKUP(Q647,'[3]Velocidades Std 1500 w'!$B$2:$F$15,5,FALSE),IF(P647="INOXIDABLE",VLOOKUP(Q647,'[3]Velocidades Std 1500 w'!$B$17:$F$28,5,FALSE),IF(P647="ALUMINIO",VLOOKUP(Q647,'[3]Velocidades Std 1500 w'!$B$30:$F$38,5,FALSE))))</f>
        <v>4.3859649122807014E-6</v>
      </c>
      <c r="S647" s="82">
        <f t="shared" si="87"/>
        <v>2.1929824561403508E-2</v>
      </c>
      <c r="T647" s="83">
        <f t="shared" si="88"/>
        <v>53.463524210526316</v>
      </c>
      <c r="U647" s="307">
        <f t="shared" si="94"/>
        <v>3386.0232000000001</v>
      </c>
      <c r="V647" s="80">
        <f t="shared" si="93"/>
        <v>74.254894736842104</v>
      </c>
      <c r="W647" s="98">
        <v>25</v>
      </c>
      <c r="X647" s="84">
        <f>+IF(P647="ACERO A36",VLOOKUP(Q647,'[3]Tiempo Objeto'!$B$2:$C$12,2,FALSE),IF(P647="INOXIDABLE",VLOOKUP(Q647,'[3]Tiempo Objeto'!$B$14:$C$22,2,FALSE),IF(P647="ALUMINIO",VLOOKUP(Q647,'[3]Tiempo Objeto'!$B$24:$C$32,2,FALSE))))</f>
        <v>0.6133333333333334</v>
      </c>
      <c r="Y647" s="84">
        <f t="shared" si="89"/>
        <v>15.333333333333336</v>
      </c>
      <c r="Z647" s="80">
        <f t="shared" si="90"/>
        <v>21.296296296296298</v>
      </c>
      <c r="AA647" s="100">
        <v>4</v>
      </c>
      <c r="AB647" s="86">
        <f>+AA647*Analisis!$J$6</f>
        <v>100</v>
      </c>
      <c r="AC647" s="100"/>
      <c r="AD647" s="85">
        <f t="shared" si="91"/>
        <v>0</v>
      </c>
      <c r="AE647" s="86">
        <f>+AC647*Analisis!$J$7</f>
        <v>0</v>
      </c>
      <c r="AF647" s="308">
        <f>+H647*0.0254*I647*0.0254*2*(1+[3]Analisis!$G$2)</f>
        <v>0.58313205954000003</v>
      </c>
      <c r="AG647" s="86">
        <f>+AF647*Analisis!$J$8</f>
        <v>62.131332534321452</v>
      </c>
      <c r="AH647" s="309">
        <f t="shared" si="83"/>
        <v>393.39286375516349</v>
      </c>
      <c r="AI647" s="86">
        <f>+AH647/(1-Analisis!G652)</f>
        <v>393.39286375516349</v>
      </c>
      <c r="AJ647" s="86">
        <f t="shared" si="92"/>
        <v>423.00307930662746</v>
      </c>
      <c r="AK647" s="86">
        <f t="shared" si="84"/>
        <v>0</v>
      </c>
      <c r="AL647" s="310" t="e">
        <f>+VLOOKUP(B647,#REF!,2,FALSE)</f>
        <v>#REF!</v>
      </c>
      <c r="AM647" s="311" t="e">
        <f t="shared" si="79"/>
        <v>#REF!</v>
      </c>
      <c r="AN647" s="312" t="e">
        <f t="shared" si="78"/>
        <v>#REF!</v>
      </c>
    </row>
    <row r="648" spans="1:40" s="73" customFormat="1" x14ac:dyDescent="0.25">
      <c r="A648" s="324"/>
      <c r="B648" s="118" t="s">
        <v>1404</v>
      </c>
      <c r="D648" s="74">
        <f>IFERROR(VLOOKUP(B648,'REQ. PINTADO'!B:C,2,0),0)</f>
        <v>0</v>
      </c>
      <c r="E648" s="305">
        <f t="shared" si="85"/>
        <v>0</v>
      </c>
      <c r="F648" s="103" t="s">
        <v>165</v>
      </c>
      <c r="G648" s="75" t="s">
        <v>147</v>
      </c>
      <c r="H648" s="90"/>
      <c r="I648" s="90"/>
      <c r="J648" s="76">
        <v>0.105</v>
      </c>
      <c r="K648" s="306">
        <v>16.38</v>
      </c>
      <c r="L648" s="78">
        <f t="shared" si="86"/>
        <v>0</v>
      </c>
      <c r="M648" s="58">
        <f>+VLOOKUP(F648,Material!$H$2:$M$17,6,FALSE)*H648*I648*(1+Material!$K$14)</f>
        <v>0</v>
      </c>
      <c r="N648" s="79" t="str">
        <f t="shared" si="95"/>
        <v>T5.0</v>
      </c>
      <c r="O648" s="80">
        <f>+VLOOKUP(N648,[3]Material!$A$3:$B$58,2,FALSE)</f>
        <v>5000</v>
      </c>
      <c r="P648" s="79" t="s">
        <v>42</v>
      </c>
      <c r="Q648" s="79" t="str">
        <f>+VLOOKUP(F648,[3]Material!$C$2:$E$12,2,FALSE)</f>
        <v>Cal 14</v>
      </c>
      <c r="R648" s="81">
        <f>+IF(P648="ACERO A36",VLOOKUP(Q648,'[3]Velocidades Std 1500 w'!$B$2:$F$15,5,FALSE),IF(P648="INOXIDABLE",VLOOKUP(Q648,'[3]Velocidades Std 1500 w'!$B$17:$F$28,5,FALSE),IF(P648="ALUMINIO",VLOOKUP(Q648,'[3]Velocidades Std 1500 w'!$B$30:$F$38,5,FALSE))))</f>
        <v>2.0080321285140564E-6</v>
      </c>
      <c r="S648" s="82">
        <f t="shared" si="87"/>
        <v>1.0040160642570283E-2</v>
      </c>
      <c r="T648" s="83">
        <f t="shared" si="88"/>
        <v>0</v>
      </c>
      <c r="U648" s="307">
        <f t="shared" si="94"/>
        <v>0</v>
      </c>
      <c r="V648" s="80">
        <f t="shared" si="93"/>
        <v>0</v>
      </c>
      <c r="W648" s="98"/>
      <c r="X648" s="84">
        <f>+IF(P648="ACERO A36",VLOOKUP(Q648,'[3]Tiempo Objeto'!$B$2:$C$12,2,FALSE),IF(P648="INOXIDABLE",VLOOKUP(Q648,'[3]Tiempo Objeto'!$B$14:$C$22,2,FALSE),IF(P648="ALUMINIO",VLOOKUP(Q648,'[3]Tiempo Objeto'!$B$24:$C$32,2,FALSE))))</f>
        <v>0.3133333333333333</v>
      </c>
      <c r="Y648" s="84">
        <f t="shared" si="89"/>
        <v>0</v>
      </c>
      <c r="Z648" s="80">
        <f t="shared" si="90"/>
        <v>0</v>
      </c>
      <c r="AA648" s="100"/>
      <c r="AB648" s="86">
        <f>+AA648*Analisis!$J$6</f>
        <v>0</v>
      </c>
      <c r="AC648" s="100"/>
      <c r="AD648" s="85">
        <f t="shared" si="91"/>
        <v>0</v>
      </c>
      <c r="AE648" s="86">
        <f>+AC648*Analisis!$J$7</f>
        <v>0</v>
      </c>
      <c r="AF648" s="308">
        <f>+H648*0.0254*I648*0.0254*2*(1+[3]Analisis!$G$2)</f>
        <v>0</v>
      </c>
      <c r="AG648" s="86">
        <f>+AF648*Analisis!$J$8</f>
        <v>0</v>
      </c>
      <c r="AH648" s="309">
        <f t="shared" si="83"/>
        <v>0</v>
      </c>
      <c r="AI648" s="86">
        <f>+AH648/(1-Analisis!G653)</f>
        <v>0</v>
      </c>
      <c r="AJ648" s="86">
        <f t="shared" si="92"/>
        <v>0</v>
      </c>
      <c r="AK648" s="86">
        <f t="shared" si="84"/>
        <v>0</v>
      </c>
      <c r="AL648" s="310" t="e">
        <f>+VLOOKUP(B648,#REF!,2,FALSE)</f>
        <v>#REF!</v>
      </c>
      <c r="AM648" s="311" t="e">
        <f t="shared" si="79"/>
        <v>#REF!</v>
      </c>
      <c r="AN648" s="312" t="e">
        <f t="shared" si="78"/>
        <v>#REF!</v>
      </c>
    </row>
    <row r="649" spans="1:40" s="73" customFormat="1" x14ac:dyDescent="0.25">
      <c r="A649" s="324"/>
      <c r="B649" s="118" t="s">
        <v>1270</v>
      </c>
      <c r="D649" s="74">
        <f>IFERROR(VLOOKUP(B649,'REQ. PINTADO'!B:C,2,0),0)</f>
        <v>0</v>
      </c>
      <c r="E649" s="305">
        <f t="shared" si="85"/>
        <v>398.30927162684202</v>
      </c>
      <c r="F649" s="103" t="s">
        <v>164</v>
      </c>
      <c r="G649" s="75" t="s">
        <v>147</v>
      </c>
      <c r="H649" s="90">
        <v>11.06</v>
      </c>
      <c r="I649" s="90">
        <v>22</v>
      </c>
      <c r="J649" s="76">
        <v>0.105</v>
      </c>
      <c r="K649" s="306">
        <v>16.38</v>
      </c>
      <c r="L649" s="78">
        <f t="shared" si="86"/>
        <v>22.637945156695164</v>
      </c>
      <c r="M649" s="58">
        <f>+VLOOKUP(F649,Material!$H$2:$M$17,6,FALSE)*H649*I649*(1+Material!$K$14)</f>
        <v>168.54979166666669</v>
      </c>
      <c r="N649" s="79" t="str">
        <f t="shared" si="95"/>
        <v>T5.0</v>
      </c>
      <c r="O649" s="80">
        <f>+VLOOKUP(N649,[3]Material!$A$3:$B$58,2,FALSE)</f>
        <v>5000</v>
      </c>
      <c r="P649" s="79" t="s">
        <v>42</v>
      </c>
      <c r="Q649" s="79" t="str">
        <f>+VLOOKUP(F649,[3]Material!$C$2:$E$12,2,FALSE)</f>
        <v>Cal 10</v>
      </c>
      <c r="R649" s="81">
        <f>+IF(P649="ACERO A36",VLOOKUP(Q649,'[3]Velocidades Std 1500 w'!$B$2:$F$15,5,FALSE),IF(P649="INOXIDABLE",VLOOKUP(Q649,'[3]Velocidades Std 1500 w'!$B$17:$F$28,5,FALSE),IF(P649="ALUMINIO",VLOOKUP(Q649,'[3]Velocidades Std 1500 w'!$B$30:$F$38,5,FALSE))))</f>
        <v>6.1728395061728391E-6</v>
      </c>
      <c r="S649" s="82">
        <f t="shared" si="87"/>
        <v>3.0864197530864196E-2</v>
      </c>
      <c r="T649" s="83">
        <f t="shared" si="88"/>
        <v>61.412119999999994</v>
      </c>
      <c r="U649" s="307">
        <f t="shared" si="94"/>
        <v>2763.5454</v>
      </c>
      <c r="V649" s="80">
        <f t="shared" si="93"/>
        <v>85.294611111111109</v>
      </c>
      <c r="W649" s="98">
        <v>25</v>
      </c>
      <c r="X649" s="84">
        <f>+IF(P649="ACERO A36",VLOOKUP(Q649,'[3]Tiempo Objeto'!$B$2:$C$12,2,FALSE),IF(P649="INOXIDABLE",VLOOKUP(Q649,'[3]Tiempo Objeto'!$B$14:$C$22,2,FALSE),IF(P649="ALUMINIO",VLOOKUP(Q649,'[3]Tiempo Objeto'!$B$24:$C$32,2,FALSE))))</f>
        <v>0.71333333333333337</v>
      </c>
      <c r="Y649" s="84">
        <f t="shared" si="89"/>
        <v>17.833333333333336</v>
      </c>
      <c r="Z649" s="80">
        <f t="shared" si="90"/>
        <v>24.768518518518519</v>
      </c>
      <c r="AA649" s="100">
        <v>2</v>
      </c>
      <c r="AB649" s="86">
        <f>+AA649*Analisis!$J$6</f>
        <v>50</v>
      </c>
      <c r="AC649" s="100"/>
      <c r="AD649" s="85">
        <f t="shared" si="91"/>
        <v>0</v>
      </c>
      <c r="AE649" s="86">
        <f>+AC649*Analisis!$J$7</f>
        <v>0</v>
      </c>
      <c r="AF649" s="308">
        <f>+H649*0.0254*I649*0.0254*2*(1+[3]Analisis!$G$2)</f>
        <v>0.39245082799999997</v>
      </c>
      <c r="AG649" s="86">
        <f>+AF649*Analisis!$J$8</f>
        <v>41.814701316666678</v>
      </c>
      <c r="AH649" s="309">
        <f t="shared" si="83"/>
        <v>370.42762261296303</v>
      </c>
      <c r="AI649" s="86">
        <f>+AH649/(1-Analisis!G654)</f>
        <v>370.42762261296303</v>
      </c>
      <c r="AJ649" s="86">
        <f t="shared" si="92"/>
        <v>398.30927162684202</v>
      </c>
      <c r="AK649" s="86">
        <f t="shared" si="84"/>
        <v>0</v>
      </c>
      <c r="AL649" s="310" t="e">
        <f>+VLOOKUP(B649,#REF!,2,FALSE)</f>
        <v>#REF!</v>
      </c>
      <c r="AM649" s="311" t="e">
        <f t="shared" si="79"/>
        <v>#REF!</v>
      </c>
      <c r="AN649" s="312" t="e">
        <f t="shared" si="78"/>
        <v>#REF!</v>
      </c>
    </row>
    <row r="650" spans="1:40" s="73" customFormat="1" x14ac:dyDescent="0.25">
      <c r="A650" s="324"/>
      <c r="B650" s="118" t="s">
        <v>1271</v>
      </c>
      <c r="D650" s="74">
        <f>IFERROR(VLOOKUP(B650,'REQ. PINTADO'!B:C,2,0),0)</f>
        <v>0</v>
      </c>
      <c r="E650" s="305">
        <f t="shared" si="85"/>
        <v>518.82882759060146</v>
      </c>
      <c r="F650" s="103" t="s">
        <v>164</v>
      </c>
      <c r="G650" s="75" t="s">
        <v>147</v>
      </c>
      <c r="H650" s="90">
        <v>11.06</v>
      </c>
      <c r="I650" s="90">
        <v>32</v>
      </c>
      <c r="J650" s="76">
        <v>0.105</v>
      </c>
      <c r="K650" s="306">
        <v>16.38</v>
      </c>
      <c r="L650" s="78">
        <f t="shared" si="86"/>
        <v>32.927920227920239</v>
      </c>
      <c r="M650" s="58">
        <f>+VLOOKUP(F650,Material!$H$2:$M$17,6,FALSE)*H650*I650*(1+Material!$K$14)</f>
        <v>245.16333333333336</v>
      </c>
      <c r="N650" s="79" t="str">
        <f t="shared" si="95"/>
        <v>T5.0</v>
      </c>
      <c r="O650" s="80">
        <f>+VLOOKUP(N650,[3]Material!$A$3:$B$58,2,FALSE)</f>
        <v>5000</v>
      </c>
      <c r="P650" s="79" t="s">
        <v>42</v>
      </c>
      <c r="Q650" s="79" t="str">
        <f>+VLOOKUP(F650,[3]Material!$C$2:$E$12,2,FALSE)</f>
        <v>Cal 10</v>
      </c>
      <c r="R650" s="81">
        <f>+IF(P650="ACERO A36",VLOOKUP(Q650,'[3]Velocidades Std 1500 w'!$B$2:$F$15,5,FALSE),IF(P650="INOXIDABLE",VLOOKUP(Q650,'[3]Velocidades Std 1500 w'!$B$17:$F$28,5,FALSE),IF(P650="ALUMINIO",VLOOKUP(Q650,'[3]Velocidades Std 1500 w'!$B$30:$F$38,5,FALSE))))</f>
        <v>6.1728395061728391E-6</v>
      </c>
      <c r="S650" s="82">
        <f t="shared" si="87"/>
        <v>3.0864197530864196E-2</v>
      </c>
      <c r="T650" s="83">
        <f t="shared" si="88"/>
        <v>73.265453333333326</v>
      </c>
      <c r="U650" s="307">
        <f t="shared" si="94"/>
        <v>3296.9454000000001</v>
      </c>
      <c r="V650" s="80">
        <f t="shared" si="93"/>
        <v>101.75757407407407</v>
      </c>
      <c r="W650" s="98">
        <v>25</v>
      </c>
      <c r="X650" s="84">
        <f>+IF(P650="ACERO A36",VLOOKUP(Q650,'[3]Tiempo Objeto'!$B$2:$C$12,2,FALSE),IF(P650="INOXIDABLE",VLOOKUP(Q650,'[3]Tiempo Objeto'!$B$14:$C$22,2,FALSE),IF(P650="ALUMINIO",VLOOKUP(Q650,'[3]Tiempo Objeto'!$B$24:$C$32,2,FALSE))))</f>
        <v>0.71333333333333337</v>
      </c>
      <c r="Y650" s="84">
        <f t="shared" si="89"/>
        <v>17.833333333333336</v>
      </c>
      <c r="Z650" s="80">
        <f t="shared" si="90"/>
        <v>24.768518518518519</v>
      </c>
      <c r="AA650" s="100">
        <v>2</v>
      </c>
      <c r="AB650" s="86">
        <f>+AA650*Analisis!$J$6</f>
        <v>50</v>
      </c>
      <c r="AC650" s="100"/>
      <c r="AD650" s="85">
        <f t="shared" si="91"/>
        <v>0</v>
      </c>
      <c r="AE650" s="86">
        <f>+AC650*Analisis!$J$7</f>
        <v>0</v>
      </c>
      <c r="AF650" s="308">
        <f>+H650*0.0254*I650*0.0254*2*(1+[3]Analisis!$G$2)</f>
        <v>0.57083756799999996</v>
      </c>
      <c r="AG650" s="86">
        <f>+AF650*Analisis!$J$8</f>
        <v>60.821383733333349</v>
      </c>
      <c r="AH650" s="309">
        <f t="shared" si="83"/>
        <v>482.51080965925928</v>
      </c>
      <c r="AI650" s="86">
        <f>+AH650/(1-Analisis!G655)</f>
        <v>482.51080965925928</v>
      </c>
      <c r="AJ650" s="86">
        <f t="shared" si="92"/>
        <v>518.82882759060146</v>
      </c>
      <c r="AK650" s="86">
        <f t="shared" si="84"/>
        <v>0</v>
      </c>
      <c r="AL650" s="310" t="e">
        <f>+VLOOKUP(B650,#REF!,2,FALSE)</f>
        <v>#REF!</v>
      </c>
      <c r="AM650" s="311" t="e">
        <f t="shared" si="79"/>
        <v>#REF!</v>
      </c>
      <c r="AN650" s="312" t="e">
        <f t="shared" si="78"/>
        <v>#REF!</v>
      </c>
    </row>
    <row r="651" spans="1:40" s="73" customFormat="1" x14ac:dyDescent="0.25">
      <c r="A651" s="324"/>
      <c r="B651" s="118" t="s">
        <v>1272</v>
      </c>
      <c r="D651" s="74">
        <f>IFERROR(VLOOKUP(B651,'REQ. PINTADO'!B:C,2,0),0)</f>
        <v>0</v>
      </c>
      <c r="E651" s="305">
        <f t="shared" si="85"/>
        <v>381.55847513142186</v>
      </c>
      <c r="F651" s="103" t="s">
        <v>164</v>
      </c>
      <c r="G651" s="75" t="s">
        <v>147</v>
      </c>
      <c r="H651" s="90">
        <v>11.06</v>
      </c>
      <c r="I651" s="90">
        <v>22</v>
      </c>
      <c r="J651" s="76">
        <v>0.105</v>
      </c>
      <c r="K651" s="306">
        <v>16.38</v>
      </c>
      <c r="L651" s="78">
        <f t="shared" si="86"/>
        <v>22.637945156695164</v>
      </c>
      <c r="M651" s="58">
        <f>+VLOOKUP(F651,Material!$H$2:$M$17,6,FALSE)*H651*I651*(1+Material!$K$14)</f>
        <v>168.54979166666669</v>
      </c>
      <c r="N651" s="79" t="str">
        <f t="shared" si="95"/>
        <v>T5.0</v>
      </c>
      <c r="O651" s="80">
        <f>+VLOOKUP(N651,[3]Material!$A$3:$B$58,2,FALSE)</f>
        <v>5000</v>
      </c>
      <c r="P651" s="79" t="s">
        <v>42</v>
      </c>
      <c r="Q651" s="79" t="str">
        <f>+VLOOKUP(F651,[3]Material!$C$2:$E$12,2,FALSE)</f>
        <v>Cal 10</v>
      </c>
      <c r="R651" s="81">
        <f>+IF(P651="ACERO A36",VLOOKUP(Q651,'[3]Velocidades Std 1500 w'!$B$2:$F$15,5,FALSE),IF(P651="INOXIDABLE",VLOOKUP(Q651,'[3]Velocidades Std 1500 w'!$B$17:$F$28,5,FALSE),IF(P651="ALUMINIO",VLOOKUP(Q651,'[3]Velocidades Std 1500 w'!$B$30:$F$38,5,FALSE))))</f>
        <v>6.1728395061728391E-6</v>
      </c>
      <c r="S651" s="82">
        <f t="shared" si="87"/>
        <v>3.0864197530864196E-2</v>
      </c>
      <c r="T651" s="83">
        <f t="shared" si="88"/>
        <v>55.189120000000003</v>
      </c>
      <c r="U651" s="307">
        <f t="shared" si="94"/>
        <v>2483.5104000000001</v>
      </c>
      <c r="V651" s="80">
        <f t="shared" si="93"/>
        <v>76.651555555555561</v>
      </c>
      <c r="W651" s="98">
        <v>18</v>
      </c>
      <c r="X651" s="84">
        <f>+IF(P651="ACERO A36",VLOOKUP(Q651,'[3]Tiempo Objeto'!$B$2:$C$12,2,FALSE),IF(P651="INOXIDABLE",VLOOKUP(Q651,'[3]Tiempo Objeto'!$B$14:$C$22,2,FALSE),IF(P651="ALUMINIO",VLOOKUP(Q651,'[3]Tiempo Objeto'!$B$24:$C$32,2,FALSE))))</f>
        <v>0.71333333333333337</v>
      </c>
      <c r="Y651" s="84">
        <f t="shared" si="89"/>
        <v>12.84</v>
      </c>
      <c r="Z651" s="80">
        <f t="shared" si="90"/>
        <v>17.833333333333332</v>
      </c>
      <c r="AA651" s="100">
        <v>2</v>
      </c>
      <c r="AB651" s="86">
        <f>+AA651*Analisis!$J$6</f>
        <v>50</v>
      </c>
      <c r="AC651" s="100"/>
      <c r="AD651" s="85">
        <f t="shared" si="91"/>
        <v>0</v>
      </c>
      <c r="AE651" s="86">
        <f>+AC651*Analisis!$J$7</f>
        <v>0</v>
      </c>
      <c r="AF651" s="308">
        <f>+H651*0.0254*I651*0.0254*2*(1+[3]Analisis!$G$2)</f>
        <v>0.39245082799999997</v>
      </c>
      <c r="AG651" s="86">
        <f>+AF651*Analisis!$J$8</f>
        <v>41.814701316666678</v>
      </c>
      <c r="AH651" s="309">
        <f t="shared" si="83"/>
        <v>354.8493818722223</v>
      </c>
      <c r="AI651" s="86">
        <f>+AH651/(1-Analisis!G656)</f>
        <v>354.8493818722223</v>
      </c>
      <c r="AJ651" s="86">
        <f t="shared" si="92"/>
        <v>381.55847513142186</v>
      </c>
      <c r="AK651" s="86">
        <f t="shared" si="84"/>
        <v>0</v>
      </c>
      <c r="AL651" s="310" t="e">
        <f>+VLOOKUP(B651,#REF!,2,FALSE)</f>
        <v>#REF!</v>
      </c>
      <c r="AM651" s="311" t="e">
        <f t="shared" si="79"/>
        <v>#REF!</v>
      </c>
      <c r="AN651" s="312" t="e">
        <f t="shared" si="78"/>
        <v>#REF!</v>
      </c>
    </row>
    <row r="652" spans="1:40" s="73" customFormat="1" x14ac:dyDescent="0.25">
      <c r="A652" s="324"/>
      <c r="B652" s="118" t="s">
        <v>1273</v>
      </c>
      <c r="D652" s="74">
        <f>IFERROR(VLOOKUP(B652,'REQ. PINTADO'!B:C,2,0),0)</f>
        <v>0</v>
      </c>
      <c r="E652" s="305">
        <f t="shared" si="85"/>
        <v>502.07803109518125</v>
      </c>
      <c r="F652" s="103" t="s">
        <v>164</v>
      </c>
      <c r="G652" s="75" t="s">
        <v>147</v>
      </c>
      <c r="H652" s="90">
        <v>11.06</v>
      </c>
      <c r="I652" s="90">
        <v>32</v>
      </c>
      <c r="J652" s="76">
        <v>0.105</v>
      </c>
      <c r="K652" s="306">
        <v>16.38</v>
      </c>
      <c r="L652" s="78">
        <f t="shared" si="86"/>
        <v>32.927920227920239</v>
      </c>
      <c r="M652" s="58">
        <f>+VLOOKUP(F652,Material!$H$2:$M$17,6,FALSE)*H652*I652*(1+Material!$K$14)</f>
        <v>245.16333333333336</v>
      </c>
      <c r="N652" s="79" t="str">
        <f t="shared" si="95"/>
        <v>T5.0</v>
      </c>
      <c r="O652" s="80">
        <f>+VLOOKUP(N652,[3]Material!$A$3:$B$58,2,FALSE)</f>
        <v>5000</v>
      </c>
      <c r="P652" s="79" t="s">
        <v>42</v>
      </c>
      <c r="Q652" s="79" t="str">
        <f>+VLOOKUP(F652,[3]Material!$C$2:$E$12,2,FALSE)</f>
        <v>Cal 10</v>
      </c>
      <c r="R652" s="81">
        <f>+IF(P652="ACERO A36",VLOOKUP(Q652,'[3]Velocidades Std 1500 w'!$B$2:$F$15,5,FALSE),IF(P652="INOXIDABLE",VLOOKUP(Q652,'[3]Velocidades Std 1500 w'!$B$17:$F$28,5,FALSE),IF(P652="ALUMINIO",VLOOKUP(Q652,'[3]Velocidades Std 1500 w'!$B$30:$F$38,5,FALSE))))</f>
        <v>6.1728395061728391E-6</v>
      </c>
      <c r="S652" s="82">
        <f t="shared" si="87"/>
        <v>3.0864197530864196E-2</v>
      </c>
      <c r="T652" s="83">
        <f t="shared" si="88"/>
        <v>67.042453333333327</v>
      </c>
      <c r="U652" s="307">
        <f t="shared" si="94"/>
        <v>3016.9104000000002</v>
      </c>
      <c r="V652" s="80">
        <f t="shared" si="93"/>
        <v>93.114518518518523</v>
      </c>
      <c r="W652" s="98">
        <v>18</v>
      </c>
      <c r="X652" s="84">
        <f>+IF(P652="ACERO A36",VLOOKUP(Q652,'[3]Tiempo Objeto'!$B$2:$C$12,2,FALSE),IF(P652="INOXIDABLE",VLOOKUP(Q652,'[3]Tiempo Objeto'!$B$14:$C$22,2,FALSE),IF(P652="ALUMINIO",VLOOKUP(Q652,'[3]Tiempo Objeto'!$B$24:$C$32,2,FALSE))))</f>
        <v>0.71333333333333337</v>
      </c>
      <c r="Y652" s="84">
        <f t="shared" si="89"/>
        <v>12.84</v>
      </c>
      <c r="Z652" s="80">
        <f t="shared" si="90"/>
        <v>17.833333333333332</v>
      </c>
      <c r="AA652" s="100">
        <v>2</v>
      </c>
      <c r="AB652" s="86">
        <f>+AA652*Analisis!$J$6</f>
        <v>50</v>
      </c>
      <c r="AC652" s="100"/>
      <c r="AD652" s="85">
        <f t="shared" si="91"/>
        <v>0</v>
      </c>
      <c r="AE652" s="86">
        <f>+AC652*Analisis!$J$7</f>
        <v>0</v>
      </c>
      <c r="AF652" s="308">
        <f>+H652*0.0254*I652*0.0254*2*(1+[3]Analisis!$G$2)</f>
        <v>0.57083756799999996</v>
      </c>
      <c r="AG652" s="86">
        <f>+AF652*Analisis!$J$8</f>
        <v>60.821383733333349</v>
      </c>
      <c r="AH652" s="309">
        <f t="shared" si="83"/>
        <v>466.93256891851854</v>
      </c>
      <c r="AI652" s="86">
        <f>+AH652/(1-Analisis!G657)</f>
        <v>466.93256891851854</v>
      </c>
      <c r="AJ652" s="86">
        <f t="shared" si="92"/>
        <v>502.07803109518125</v>
      </c>
      <c r="AK652" s="86">
        <f t="shared" si="84"/>
        <v>0</v>
      </c>
      <c r="AL652" s="310" t="e">
        <f>+VLOOKUP(B652,#REF!,2,FALSE)</f>
        <v>#REF!</v>
      </c>
      <c r="AM652" s="311" t="e">
        <f t="shared" si="79"/>
        <v>#REF!</v>
      </c>
      <c r="AN652" s="312" t="e">
        <f t="shared" si="78"/>
        <v>#REF!</v>
      </c>
    </row>
    <row r="653" spans="1:40" s="73" customFormat="1" x14ac:dyDescent="0.25">
      <c r="A653" s="324"/>
      <c r="B653" s="118" t="s">
        <v>1283</v>
      </c>
      <c r="D653" s="74">
        <f>IFERROR(VLOOKUP(B653,'REQ. PINTADO'!B:C,2,0),0)</f>
        <v>0</v>
      </c>
      <c r="E653" s="305">
        <f t="shared" si="85"/>
        <v>265.06932497653514</v>
      </c>
      <c r="F653" s="103" t="s">
        <v>163</v>
      </c>
      <c r="G653" s="75" t="s">
        <v>147</v>
      </c>
      <c r="H653" s="90">
        <v>10.5</v>
      </c>
      <c r="I653" s="90">
        <v>23.64</v>
      </c>
      <c r="J653" s="76">
        <v>0.105</v>
      </c>
      <c r="K653" s="306">
        <v>16.38</v>
      </c>
      <c r="L653" s="78">
        <f t="shared" si="86"/>
        <v>12.514082591427089</v>
      </c>
      <c r="M653" s="58">
        <f>+VLOOKUP(F653,Material!$H$2:$M$17,6,FALSE)*H653*I653*(1+Material!$K$14)</f>
        <v>93.173033112534398</v>
      </c>
      <c r="N653" s="79" t="str">
        <f t="shared" si="95"/>
        <v>T5.0</v>
      </c>
      <c r="O653" s="80">
        <f>+VLOOKUP(N653,[3]Material!$A$3:$B$58,2,FALSE)</f>
        <v>5000</v>
      </c>
      <c r="P653" s="79" t="s">
        <v>42</v>
      </c>
      <c r="Q653" s="79" t="str">
        <f>+VLOOKUP(F653,[3]Material!$C$2:$E$12,2,FALSE)</f>
        <v>Cal 12</v>
      </c>
      <c r="R653" s="81">
        <f>+IF(P653="ACERO A36",VLOOKUP(Q653,'[3]Velocidades Std 1500 w'!$B$2:$F$15,5,FALSE),IF(P653="INOXIDABLE",VLOOKUP(Q653,'[3]Velocidades Std 1500 w'!$B$17:$F$28,5,FALSE),IF(P653="ALUMINIO",VLOOKUP(Q653,'[3]Velocidades Std 1500 w'!$B$30:$F$38,5,FALSE))))</f>
        <v>4.3859649122807014E-6</v>
      </c>
      <c r="S653" s="82">
        <f t="shared" si="87"/>
        <v>2.1929824561403508E-2</v>
      </c>
      <c r="T653" s="83">
        <f t="shared" si="88"/>
        <v>36.332962105263157</v>
      </c>
      <c r="U653" s="307">
        <f t="shared" si="94"/>
        <v>2301.0875999999998</v>
      </c>
      <c r="V653" s="80">
        <f t="shared" si="93"/>
        <v>50.462447368421046</v>
      </c>
      <c r="W653" s="98">
        <v>12</v>
      </c>
      <c r="X653" s="84">
        <f>+IF(P653="ACERO A36",VLOOKUP(Q653,'[3]Tiempo Objeto'!$B$2:$C$12,2,FALSE),IF(P653="INOXIDABLE",VLOOKUP(Q653,'[3]Tiempo Objeto'!$B$14:$C$22,2,FALSE),IF(P653="ALUMINIO",VLOOKUP(Q653,'[3]Tiempo Objeto'!$B$24:$C$32,2,FALSE))))</f>
        <v>0.6133333333333334</v>
      </c>
      <c r="Y653" s="84">
        <f t="shared" si="89"/>
        <v>7.3600000000000012</v>
      </c>
      <c r="Z653" s="80">
        <f t="shared" si="90"/>
        <v>10.222222222222225</v>
      </c>
      <c r="AA653" s="100">
        <v>2</v>
      </c>
      <c r="AB653" s="86">
        <f>+AA653*Analisis!$J$6</f>
        <v>50</v>
      </c>
      <c r="AC653" s="100"/>
      <c r="AD653" s="85">
        <f t="shared" si="91"/>
        <v>0</v>
      </c>
      <c r="AE653" s="86">
        <f>+AC653*Analisis!$J$7</f>
        <v>0</v>
      </c>
      <c r="AF653" s="308">
        <f>+H653*0.0254*I653*0.0254*2*(1+[3]Analisis!$G$2)</f>
        <v>0.40035403800000002</v>
      </c>
      <c r="AG653" s="86">
        <f>+AF653*Analisis!$J$8</f>
        <v>42.656769525000016</v>
      </c>
      <c r="AH653" s="309">
        <f t="shared" si="83"/>
        <v>246.51447222817768</v>
      </c>
      <c r="AI653" s="86">
        <f>+AH653/(1-Analisis!G658)</f>
        <v>246.51447222817768</v>
      </c>
      <c r="AJ653" s="86">
        <f t="shared" si="92"/>
        <v>265.06932497653514</v>
      </c>
      <c r="AK653" s="86">
        <f t="shared" si="84"/>
        <v>0</v>
      </c>
      <c r="AL653" s="310" t="e">
        <f>+VLOOKUP(B653,#REF!,2,FALSE)</f>
        <v>#REF!</v>
      </c>
      <c r="AM653" s="311" t="e">
        <f t="shared" si="79"/>
        <v>#REF!</v>
      </c>
      <c r="AN653" s="312" t="e">
        <f t="shared" si="78"/>
        <v>#REF!</v>
      </c>
    </row>
    <row r="654" spans="1:40" s="73" customFormat="1" x14ac:dyDescent="0.25">
      <c r="A654" s="324"/>
      <c r="B654" s="118" t="s">
        <v>1284</v>
      </c>
      <c r="D654" s="74">
        <f>IFERROR(VLOOKUP(B654,'REQ. PINTADO'!B:C,2,0),0)</f>
        <v>0</v>
      </c>
      <c r="E654" s="305">
        <f t="shared" si="85"/>
        <v>339.42952255713612</v>
      </c>
      <c r="F654" s="103" t="s">
        <v>163</v>
      </c>
      <c r="G654" s="75" t="s">
        <v>147</v>
      </c>
      <c r="H654" s="90">
        <v>10.5</v>
      </c>
      <c r="I654" s="90">
        <v>33.64</v>
      </c>
      <c r="J654" s="76">
        <v>0.105</v>
      </c>
      <c r="K654" s="306">
        <v>16.38</v>
      </c>
      <c r="L654" s="78">
        <f t="shared" si="86"/>
        <v>17.807687748545145</v>
      </c>
      <c r="M654" s="58">
        <f>+VLOOKUP(F654,Material!$H$2:$M$17,6,FALSE)*H654*I654*(1+Material!$K$14)</f>
        <v>132.58632969144065</v>
      </c>
      <c r="N654" s="79" t="str">
        <f t="shared" si="95"/>
        <v>T5.0</v>
      </c>
      <c r="O654" s="80">
        <f>+VLOOKUP(N654,[3]Material!$A$3:$B$58,2,FALSE)</f>
        <v>5000</v>
      </c>
      <c r="P654" s="79" t="s">
        <v>42</v>
      </c>
      <c r="Q654" s="79" t="str">
        <f>+VLOOKUP(F654,[3]Material!$C$2:$E$12,2,FALSE)</f>
        <v>Cal 12</v>
      </c>
      <c r="R654" s="81">
        <f>+IF(P654="ACERO A36",VLOOKUP(Q654,'[3]Velocidades Std 1500 w'!$B$2:$F$15,5,FALSE),IF(P654="INOXIDABLE",VLOOKUP(Q654,'[3]Velocidades Std 1500 w'!$B$17:$F$28,5,FALSE),IF(P654="ALUMINIO",VLOOKUP(Q654,'[3]Velocidades Std 1500 w'!$B$30:$F$38,5,FALSE))))</f>
        <v>4.3859649122807014E-6</v>
      </c>
      <c r="S654" s="82">
        <f t="shared" si="87"/>
        <v>2.1929824561403508E-2</v>
      </c>
      <c r="T654" s="83">
        <f t="shared" si="88"/>
        <v>44.755067368421052</v>
      </c>
      <c r="U654" s="307">
        <f t="shared" si="94"/>
        <v>2834.4875999999999</v>
      </c>
      <c r="V654" s="80">
        <f t="shared" si="93"/>
        <v>62.159815789473676</v>
      </c>
      <c r="W654" s="98">
        <v>12</v>
      </c>
      <c r="X654" s="84">
        <f>+IF(P654="ACERO A36",VLOOKUP(Q654,'[3]Tiempo Objeto'!$B$2:$C$12,2,FALSE),IF(P654="INOXIDABLE",VLOOKUP(Q654,'[3]Tiempo Objeto'!$B$14:$C$22,2,FALSE),IF(P654="ALUMINIO",VLOOKUP(Q654,'[3]Tiempo Objeto'!$B$24:$C$32,2,FALSE))))</f>
        <v>0.6133333333333334</v>
      </c>
      <c r="Y654" s="84">
        <f t="shared" si="89"/>
        <v>7.3600000000000012</v>
      </c>
      <c r="Z654" s="80">
        <f t="shared" si="90"/>
        <v>10.222222222222225</v>
      </c>
      <c r="AA654" s="100">
        <v>2</v>
      </c>
      <c r="AB654" s="86">
        <f>+AA654*Analisis!$J$6</f>
        <v>50</v>
      </c>
      <c r="AC654" s="100"/>
      <c r="AD654" s="85">
        <f t="shared" si="91"/>
        <v>0</v>
      </c>
      <c r="AE654" s="86">
        <f>+AC654*Analisis!$J$7</f>
        <v>0</v>
      </c>
      <c r="AF654" s="308">
        <f>+H654*0.0254*I654*0.0254*2*(1+[3]Analisis!$G$2)</f>
        <v>0.56970853799999999</v>
      </c>
      <c r="AG654" s="86">
        <f>+AF654*Analisis!$J$8</f>
        <v>60.701088275000018</v>
      </c>
      <c r="AH654" s="309">
        <f t="shared" si="83"/>
        <v>315.66945597813657</v>
      </c>
      <c r="AI654" s="86">
        <f>+AH654/(1-Analisis!G659)</f>
        <v>315.66945597813657</v>
      </c>
      <c r="AJ654" s="86">
        <f t="shared" si="92"/>
        <v>339.42952255713612</v>
      </c>
      <c r="AK654" s="86">
        <f t="shared" si="84"/>
        <v>0</v>
      </c>
      <c r="AL654" s="310" t="e">
        <f>+VLOOKUP(B654,#REF!,2,FALSE)</f>
        <v>#REF!</v>
      </c>
      <c r="AM654" s="311" t="e">
        <f t="shared" si="79"/>
        <v>#REF!</v>
      </c>
      <c r="AN654" s="312" t="e">
        <f t="shared" si="78"/>
        <v>#REF!</v>
      </c>
    </row>
    <row r="655" spans="1:40" s="73" customFormat="1" x14ac:dyDescent="0.25">
      <c r="A655" s="324"/>
      <c r="B655" s="118" t="s">
        <v>1285</v>
      </c>
      <c r="D655" s="74">
        <f>IFERROR(VLOOKUP(B655,'REQ. PINTADO'!B:C,2,0),0)</f>
        <v>0</v>
      </c>
      <c r="E655" s="305">
        <f t="shared" si="85"/>
        <v>258.3682647545433</v>
      </c>
      <c r="F655" s="103" t="s">
        <v>166</v>
      </c>
      <c r="G655" s="75" t="s">
        <v>147</v>
      </c>
      <c r="H655" s="90">
        <v>13.08</v>
      </c>
      <c r="I655" s="90">
        <v>19</v>
      </c>
      <c r="J655" s="76">
        <v>0.105</v>
      </c>
      <c r="K655" s="306">
        <v>16.38</v>
      </c>
      <c r="L655" s="78">
        <f t="shared" si="86"/>
        <v>7.5652852847662047</v>
      </c>
      <c r="M655" s="58">
        <f>+VLOOKUP(F655,Material!$H$2:$M$17,6,FALSE)*H655*I655*(1+Material!$K$14)</f>
        <v>56.326987711122918</v>
      </c>
      <c r="N655" s="79" t="str">
        <f t="shared" si="95"/>
        <v>T5.0</v>
      </c>
      <c r="O655" s="80">
        <f>+VLOOKUP(N655,[3]Material!$A$3:$B$58,2,FALSE)</f>
        <v>5000</v>
      </c>
      <c r="P655" s="79" t="s">
        <v>42</v>
      </c>
      <c r="Q655" s="79" t="str">
        <f>+VLOOKUP(F655,[3]Material!$C$2:$E$12,2,FALSE)</f>
        <v>Cal 16</v>
      </c>
      <c r="R655" s="81">
        <f>+IF(P655="ACERO A36",VLOOKUP(Q655,'[3]Velocidades Std 1500 w'!$B$2:$F$15,5,FALSE),IF(P655="INOXIDABLE",VLOOKUP(Q655,'[3]Velocidades Std 1500 w'!$B$17:$F$28,5,FALSE),IF(P655="ALUMINIO",VLOOKUP(Q655,'[3]Velocidades Std 1500 w'!$B$30:$F$38,5,FALSE))))</f>
        <v>9.1575091575091579E-7</v>
      </c>
      <c r="S655" s="82">
        <f t="shared" si="87"/>
        <v>4.578754578754579E-3</v>
      </c>
      <c r="T655" s="83">
        <f t="shared" si="88"/>
        <v>7.751298461538461</v>
      </c>
      <c r="U655" s="307">
        <f t="shared" si="94"/>
        <v>2351.2271999999998</v>
      </c>
      <c r="V655" s="80">
        <f t="shared" si="93"/>
        <v>10.765692307692307</v>
      </c>
      <c r="W655" s="98">
        <v>16</v>
      </c>
      <c r="X655" s="84">
        <f>+IF(P655="ACERO A36",VLOOKUP(Q655,'[3]Tiempo Objeto'!$B$2:$C$12,2,FALSE),IF(P655="INOXIDABLE",VLOOKUP(Q655,'[3]Tiempo Objeto'!$B$14:$C$22,2,FALSE),IF(P655="ALUMINIO",VLOOKUP(Q655,'[3]Tiempo Objeto'!$B$24:$C$32,2,FALSE))))</f>
        <v>0.24666666666666667</v>
      </c>
      <c r="Y655" s="84">
        <f t="shared" si="89"/>
        <v>3.9466666666666668</v>
      </c>
      <c r="Z655" s="80">
        <f t="shared" si="90"/>
        <v>5.481481481481481</v>
      </c>
      <c r="AA655" s="100">
        <v>5</v>
      </c>
      <c r="AB655" s="86">
        <f>+AA655*Analisis!$J$6</f>
        <v>125</v>
      </c>
      <c r="AC655" s="100"/>
      <c r="AD655" s="85">
        <f t="shared" si="91"/>
        <v>0</v>
      </c>
      <c r="AE655" s="86">
        <f>+AC655*Analisis!$J$7</f>
        <v>0</v>
      </c>
      <c r="AF655" s="308">
        <f>+H655*0.0254*I655*0.0254*2*(1+[3]Analisis!$G$2)</f>
        <v>0.40083790799999997</v>
      </c>
      <c r="AG655" s="86">
        <f>+AF655*Analisis!$J$8</f>
        <v>42.708324721428582</v>
      </c>
      <c r="AH655" s="309">
        <f t="shared" si="83"/>
        <v>240.28248622172526</v>
      </c>
      <c r="AI655" s="86">
        <f>+AH655/(1-Analisis!G660)</f>
        <v>240.28248622172526</v>
      </c>
      <c r="AJ655" s="86">
        <f t="shared" si="92"/>
        <v>258.3682647545433</v>
      </c>
      <c r="AK655" s="86">
        <f t="shared" si="84"/>
        <v>0</v>
      </c>
      <c r="AL655" s="310" t="e">
        <f>+VLOOKUP(B655,#REF!,2,FALSE)</f>
        <v>#REF!</v>
      </c>
      <c r="AM655" s="311" t="e">
        <f t="shared" si="79"/>
        <v>#REF!</v>
      </c>
      <c r="AN655" s="312" t="e">
        <f t="shared" si="78"/>
        <v>#REF!</v>
      </c>
    </row>
    <row r="656" spans="1:40" s="73" customFormat="1" x14ac:dyDescent="0.25">
      <c r="A656" s="324"/>
      <c r="B656" s="118" t="s">
        <v>1286</v>
      </c>
      <c r="D656" s="74">
        <f>IFERROR(VLOOKUP(B656,'REQ. PINTADO'!B:C,2,0),0)</f>
        <v>0</v>
      </c>
      <c r="E656" s="305">
        <f t="shared" si="85"/>
        <v>317.04155114273584</v>
      </c>
      <c r="F656" s="103" t="s">
        <v>166</v>
      </c>
      <c r="G656" s="75" t="s">
        <v>147</v>
      </c>
      <c r="H656" s="90">
        <v>13.08</v>
      </c>
      <c r="I656" s="90">
        <v>29</v>
      </c>
      <c r="J656" s="76">
        <v>0.105</v>
      </c>
      <c r="K656" s="306">
        <v>16.38</v>
      </c>
      <c r="L656" s="78">
        <f t="shared" si="86"/>
        <v>11.547014382011577</v>
      </c>
      <c r="M656" s="58">
        <f>+VLOOKUP(F656,Material!$H$2:$M$17,6,FALSE)*H656*I656*(1+Material!$K$14)</f>
        <v>85.972770716977095</v>
      </c>
      <c r="N656" s="79" t="str">
        <f t="shared" si="95"/>
        <v>T5.0</v>
      </c>
      <c r="O656" s="80">
        <f>+VLOOKUP(N656,[3]Material!$A$3:$B$58,2,FALSE)</f>
        <v>5000</v>
      </c>
      <c r="P656" s="79" t="s">
        <v>42</v>
      </c>
      <c r="Q656" s="79" t="str">
        <f>+VLOOKUP(F656,[3]Material!$C$2:$E$12,2,FALSE)</f>
        <v>Cal 16</v>
      </c>
      <c r="R656" s="81">
        <f>+IF(P656="ACERO A36",VLOOKUP(Q656,'[3]Velocidades Std 1500 w'!$B$2:$F$15,5,FALSE),IF(P656="INOXIDABLE",VLOOKUP(Q656,'[3]Velocidades Std 1500 w'!$B$17:$F$28,5,FALSE),IF(P656="ALUMINIO",VLOOKUP(Q656,'[3]Velocidades Std 1500 w'!$B$30:$F$38,5,FALSE))))</f>
        <v>9.1575091575091579E-7</v>
      </c>
      <c r="S656" s="82">
        <f t="shared" si="87"/>
        <v>4.578754578754579E-3</v>
      </c>
      <c r="T656" s="83">
        <f t="shared" si="88"/>
        <v>9.50976</v>
      </c>
      <c r="U656" s="307">
        <f t="shared" si="94"/>
        <v>2884.6271999999999</v>
      </c>
      <c r="V656" s="80">
        <f t="shared" si="93"/>
        <v>13.208</v>
      </c>
      <c r="W656" s="98">
        <v>16</v>
      </c>
      <c r="X656" s="84">
        <f>+IF(P656="ACERO A36",VLOOKUP(Q656,'[3]Tiempo Objeto'!$B$2:$C$12,2,FALSE),IF(P656="INOXIDABLE",VLOOKUP(Q656,'[3]Tiempo Objeto'!$B$14:$C$22,2,FALSE),IF(P656="ALUMINIO",VLOOKUP(Q656,'[3]Tiempo Objeto'!$B$24:$C$32,2,FALSE))))</f>
        <v>0.24666666666666667</v>
      </c>
      <c r="Y656" s="84">
        <f t="shared" si="89"/>
        <v>3.9466666666666668</v>
      </c>
      <c r="Z656" s="80">
        <f t="shared" si="90"/>
        <v>5.481481481481481</v>
      </c>
      <c r="AA656" s="100">
        <v>5</v>
      </c>
      <c r="AB656" s="86">
        <f>+AA656*Analisis!$J$6</f>
        <v>125</v>
      </c>
      <c r="AC656" s="100"/>
      <c r="AD656" s="85">
        <f t="shared" si="91"/>
        <v>0</v>
      </c>
      <c r="AE656" s="86">
        <f>+AC656*Analisis!$J$7</f>
        <v>0</v>
      </c>
      <c r="AF656" s="308">
        <f>+H656*0.0254*I656*0.0254*2*(1+[3]Analisis!$G$2)</f>
        <v>0.61180522799999992</v>
      </c>
      <c r="AG656" s="86">
        <f>+AF656*Analisis!$J$8</f>
        <v>65.186390364285728</v>
      </c>
      <c r="AH656" s="309">
        <f t="shared" si="83"/>
        <v>294.84864256274432</v>
      </c>
      <c r="AI656" s="86">
        <f>+AH656/(1-Analisis!G661)</f>
        <v>294.84864256274432</v>
      </c>
      <c r="AJ656" s="86">
        <f t="shared" si="92"/>
        <v>317.04155114273584</v>
      </c>
      <c r="AK656" s="86">
        <f t="shared" si="84"/>
        <v>0</v>
      </c>
      <c r="AL656" s="310" t="e">
        <f>+VLOOKUP(B656,#REF!,2,FALSE)</f>
        <v>#REF!</v>
      </c>
      <c r="AM656" s="311" t="e">
        <f t="shared" si="79"/>
        <v>#REF!</v>
      </c>
      <c r="AN656" s="312" t="e">
        <f t="shared" si="78"/>
        <v>#REF!</v>
      </c>
    </row>
    <row r="657" spans="1:40" s="73" customFormat="1" x14ac:dyDescent="0.25">
      <c r="A657" s="324"/>
      <c r="B657" s="118" t="s">
        <v>1287</v>
      </c>
      <c r="D657" s="74">
        <f>IFERROR(VLOOKUP(B657,'REQ. PINTADO'!B:C,2,0),0)</f>
        <v>0</v>
      </c>
      <c r="E657" s="305">
        <f t="shared" si="85"/>
        <v>258.3682647545433</v>
      </c>
      <c r="F657" s="103" t="s">
        <v>166</v>
      </c>
      <c r="G657" s="75" t="s">
        <v>147</v>
      </c>
      <c r="H657" s="90">
        <v>13.08</v>
      </c>
      <c r="I657" s="90">
        <v>19</v>
      </c>
      <c r="J657" s="76">
        <v>0.105</v>
      </c>
      <c r="K657" s="306">
        <v>16.38</v>
      </c>
      <c r="L657" s="78">
        <f t="shared" si="86"/>
        <v>7.5652852847662047</v>
      </c>
      <c r="M657" s="58">
        <f>+VLOOKUP(F657,Material!$H$2:$M$17,6,FALSE)*H657*I657*(1+Material!$K$14)</f>
        <v>56.326987711122918</v>
      </c>
      <c r="N657" s="79" t="str">
        <f t="shared" si="95"/>
        <v>T5.0</v>
      </c>
      <c r="O657" s="80">
        <f>+VLOOKUP(N657,[3]Material!$A$3:$B$58,2,FALSE)</f>
        <v>5000</v>
      </c>
      <c r="P657" s="79" t="s">
        <v>42</v>
      </c>
      <c r="Q657" s="79" t="str">
        <f>+VLOOKUP(F657,[3]Material!$C$2:$E$12,2,FALSE)</f>
        <v>Cal 16</v>
      </c>
      <c r="R657" s="81">
        <f>+IF(P657="ACERO A36",VLOOKUP(Q657,'[3]Velocidades Std 1500 w'!$B$2:$F$15,5,FALSE),IF(P657="INOXIDABLE",VLOOKUP(Q657,'[3]Velocidades Std 1500 w'!$B$17:$F$28,5,FALSE),IF(P657="ALUMINIO",VLOOKUP(Q657,'[3]Velocidades Std 1500 w'!$B$30:$F$38,5,FALSE))))</f>
        <v>9.1575091575091579E-7</v>
      </c>
      <c r="S657" s="82">
        <f t="shared" si="87"/>
        <v>4.578754578754579E-3</v>
      </c>
      <c r="T657" s="83">
        <f t="shared" si="88"/>
        <v>7.751298461538461</v>
      </c>
      <c r="U657" s="307">
        <f t="shared" si="94"/>
        <v>2351.2271999999998</v>
      </c>
      <c r="V657" s="80">
        <f t="shared" si="93"/>
        <v>10.765692307692307</v>
      </c>
      <c r="W657" s="98">
        <v>16</v>
      </c>
      <c r="X657" s="84">
        <f>+IF(P657="ACERO A36",VLOOKUP(Q657,'[3]Tiempo Objeto'!$B$2:$C$12,2,FALSE),IF(P657="INOXIDABLE",VLOOKUP(Q657,'[3]Tiempo Objeto'!$B$14:$C$22,2,FALSE),IF(P657="ALUMINIO",VLOOKUP(Q657,'[3]Tiempo Objeto'!$B$24:$C$32,2,FALSE))))</f>
        <v>0.24666666666666667</v>
      </c>
      <c r="Y657" s="84">
        <f t="shared" si="89"/>
        <v>3.9466666666666668</v>
      </c>
      <c r="Z657" s="80">
        <f t="shared" si="90"/>
        <v>5.481481481481481</v>
      </c>
      <c r="AA657" s="100">
        <v>5</v>
      </c>
      <c r="AB657" s="86">
        <f>+AA657*Analisis!$J$6</f>
        <v>125</v>
      </c>
      <c r="AC657" s="100"/>
      <c r="AD657" s="85">
        <f t="shared" si="91"/>
        <v>0</v>
      </c>
      <c r="AE657" s="86">
        <f>+AC657*Analisis!$J$7</f>
        <v>0</v>
      </c>
      <c r="AF657" s="308">
        <f>+H657*0.0254*I657*0.0254*2*(1+[3]Analisis!$G$2)</f>
        <v>0.40083790799999997</v>
      </c>
      <c r="AG657" s="86">
        <f>+AF657*Analisis!$J$8</f>
        <v>42.708324721428582</v>
      </c>
      <c r="AH657" s="309">
        <f t="shared" si="83"/>
        <v>240.28248622172526</v>
      </c>
      <c r="AI657" s="86">
        <f>+AH657/(1-Analisis!G662)</f>
        <v>240.28248622172526</v>
      </c>
      <c r="AJ657" s="86">
        <f t="shared" si="92"/>
        <v>258.3682647545433</v>
      </c>
      <c r="AK657" s="86">
        <f t="shared" si="84"/>
        <v>0</v>
      </c>
      <c r="AL657" s="310" t="e">
        <f>+VLOOKUP(B657,#REF!,2,FALSE)</f>
        <v>#REF!</v>
      </c>
      <c r="AM657" s="311" t="e">
        <f t="shared" si="79"/>
        <v>#REF!</v>
      </c>
      <c r="AN657" s="312" t="e">
        <f t="shared" si="78"/>
        <v>#REF!</v>
      </c>
    </row>
    <row r="658" spans="1:40" s="73" customFormat="1" x14ac:dyDescent="0.25">
      <c r="A658" s="324"/>
      <c r="B658" s="118" t="s">
        <v>1288</v>
      </c>
      <c r="D658" s="74">
        <f>IFERROR(VLOOKUP(B658,'REQ. PINTADO'!B:C,2,0),0)</f>
        <v>0</v>
      </c>
      <c r="E658" s="305">
        <f t="shared" si="85"/>
        <v>317.04155114273584</v>
      </c>
      <c r="F658" s="103" t="s">
        <v>166</v>
      </c>
      <c r="G658" s="75" t="s">
        <v>147</v>
      </c>
      <c r="H658" s="90">
        <v>13.08</v>
      </c>
      <c r="I658" s="90">
        <v>29</v>
      </c>
      <c r="J658" s="76">
        <v>0.105</v>
      </c>
      <c r="K658" s="306">
        <v>16.38</v>
      </c>
      <c r="L658" s="78">
        <f t="shared" si="86"/>
        <v>11.547014382011577</v>
      </c>
      <c r="M658" s="58">
        <f>+VLOOKUP(F658,Material!$H$2:$M$17,6,FALSE)*H658*I658*(1+Material!$K$14)</f>
        <v>85.972770716977095</v>
      </c>
      <c r="N658" s="79" t="str">
        <f t="shared" si="95"/>
        <v>T5.0</v>
      </c>
      <c r="O658" s="80">
        <f>+VLOOKUP(N658,[3]Material!$A$3:$B$58,2,FALSE)</f>
        <v>5000</v>
      </c>
      <c r="P658" s="79" t="s">
        <v>42</v>
      </c>
      <c r="Q658" s="79" t="str">
        <f>+VLOOKUP(F658,[3]Material!$C$2:$E$12,2,FALSE)</f>
        <v>Cal 16</v>
      </c>
      <c r="R658" s="81">
        <f>+IF(P658="ACERO A36",VLOOKUP(Q658,'[3]Velocidades Std 1500 w'!$B$2:$F$15,5,FALSE),IF(P658="INOXIDABLE",VLOOKUP(Q658,'[3]Velocidades Std 1500 w'!$B$17:$F$28,5,FALSE),IF(P658="ALUMINIO",VLOOKUP(Q658,'[3]Velocidades Std 1500 w'!$B$30:$F$38,5,FALSE))))</f>
        <v>9.1575091575091579E-7</v>
      </c>
      <c r="S658" s="82">
        <f t="shared" si="87"/>
        <v>4.578754578754579E-3</v>
      </c>
      <c r="T658" s="83">
        <f t="shared" si="88"/>
        <v>9.50976</v>
      </c>
      <c r="U658" s="307">
        <f t="shared" si="94"/>
        <v>2884.6271999999999</v>
      </c>
      <c r="V658" s="80">
        <f t="shared" si="93"/>
        <v>13.208</v>
      </c>
      <c r="W658" s="98">
        <v>16</v>
      </c>
      <c r="X658" s="84">
        <f>+IF(P658="ACERO A36",VLOOKUP(Q658,'[3]Tiempo Objeto'!$B$2:$C$12,2,FALSE),IF(P658="INOXIDABLE",VLOOKUP(Q658,'[3]Tiempo Objeto'!$B$14:$C$22,2,FALSE),IF(P658="ALUMINIO",VLOOKUP(Q658,'[3]Tiempo Objeto'!$B$24:$C$32,2,FALSE))))</f>
        <v>0.24666666666666667</v>
      </c>
      <c r="Y658" s="84">
        <f t="shared" si="89"/>
        <v>3.9466666666666668</v>
      </c>
      <c r="Z658" s="80">
        <f t="shared" si="90"/>
        <v>5.481481481481481</v>
      </c>
      <c r="AA658" s="100">
        <v>5</v>
      </c>
      <c r="AB658" s="86">
        <f>+AA658*Analisis!$J$6</f>
        <v>125</v>
      </c>
      <c r="AC658" s="100"/>
      <c r="AD658" s="85">
        <f t="shared" si="91"/>
        <v>0</v>
      </c>
      <c r="AE658" s="86">
        <f>+AC658*Analisis!$J$7</f>
        <v>0</v>
      </c>
      <c r="AF658" s="308">
        <f>+H658*0.0254*I658*0.0254*2*(1+[3]Analisis!$G$2)</f>
        <v>0.61180522799999992</v>
      </c>
      <c r="AG658" s="86">
        <f>+AF658*Analisis!$J$8</f>
        <v>65.186390364285728</v>
      </c>
      <c r="AH658" s="309">
        <f t="shared" si="83"/>
        <v>294.84864256274432</v>
      </c>
      <c r="AI658" s="86">
        <f>+AH658/(1-Analisis!G663)</f>
        <v>294.84864256274432</v>
      </c>
      <c r="AJ658" s="86">
        <f t="shared" si="92"/>
        <v>317.04155114273584</v>
      </c>
      <c r="AK658" s="86">
        <f t="shared" si="84"/>
        <v>0</v>
      </c>
      <c r="AL658" s="310" t="e">
        <f>+VLOOKUP(B658,#REF!,2,FALSE)</f>
        <v>#REF!</v>
      </c>
      <c r="AM658" s="311" t="e">
        <f t="shared" si="79"/>
        <v>#REF!</v>
      </c>
      <c r="AN658" s="312" t="e">
        <f t="shared" si="78"/>
        <v>#REF!</v>
      </c>
    </row>
    <row r="659" spans="1:40" s="73" customFormat="1" x14ac:dyDescent="0.25">
      <c r="A659" s="324"/>
      <c r="B659" s="118" t="s">
        <v>1289</v>
      </c>
      <c r="D659" s="74">
        <f>IFERROR(VLOOKUP(B659,'REQ. PINTADO'!B:C,2,0),0)</f>
        <v>0</v>
      </c>
      <c r="E659" s="305">
        <f t="shared" si="85"/>
        <v>346.04646355137271</v>
      </c>
      <c r="F659" s="103" t="s">
        <v>166</v>
      </c>
      <c r="G659" s="75" t="s">
        <v>147</v>
      </c>
      <c r="H659" s="90">
        <v>19.829999999999998</v>
      </c>
      <c r="I659" s="90">
        <v>10.1</v>
      </c>
      <c r="J659" s="76">
        <v>0.105</v>
      </c>
      <c r="K659" s="306">
        <v>16.38</v>
      </c>
      <c r="L659" s="78">
        <f t="shared" si="86"/>
        <v>6.096885694064178</v>
      </c>
      <c r="M659" s="58">
        <f>+VLOOKUP(F659,Material!$H$2:$M$17,6,FALSE)*H659*I659*(1+Material!$K$14)</f>
        <v>45.39408530398692</v>
      </c>
      <c r="N659" s="79" t="str">
        <f t="shared" si="95"/>
        <v>T5.0</v>
      </c>
      <c r="O659" s="80">
        <f>+VLOOKUP(N659,[3]Material!$A$3:$B$58,2,FALSE)</f>
        <v>5000</v>
      </c>
      <c r="P659" s="79" t="s">
        <v>42</v>
      </c>
      <c r="Q659" s="79" t="str">
        <f>+VLOOKUP(F659,[3]Material!$C$2:$E$12,2,FALSE)</f>
        <v>Cal 16</v>
      </c>
      <c r="R659" s="81">
        <f>+IF(P659="ACERO A36",VLOOKUP(Q659,'[3]Velocidades Std 1500 w'!$B$2:$F$15,5,FALSE),IF(P659="INOXIDABLE",VLOOKUP(Q659,'[3]Velocidades Std 1500 w'!$B$17:$F$28,5,FALSE),IF(P659="ALUMINIO",VLOOKUP(Q659,'[3]Velocidades Std 1500 w'!$B$30:$F$38,5,FALSE))))</f>
        <v>9.1575091575091579E-7</v>
      </c>
      <c r="S659" s="82">
        <f t="shared" si="87"/>
        <v>4.578754578754579E-3</v>
      </c>
      <c r="T659" s="83">
        <f t="shared" si="88"/>
        <v>13.967460000000003</v>
      </c>
      <c r="U659" s="307">
        <f t="shared" si="94"/>
        <v>4236.7962000000007</v>
      </c>
      <c r="V659" s="80">
        <f t="shared" si="93"/>
        <v>19.399250000000006</v>
      </c>
      <c r="W659" s="98">
        <v>66</v>
      </c>
      <c r="X659" s="84">
        <f>+IF(P659="ACERO A36",VLOOKUP(Q659,'[3]Tiempo Objeto'!$B$2:$C$12,2,FALSE),IF(P659="INOXIDABLE",VLOOKUP(Q659,'[3]Tiempo Objeto'!$B$14:$C$22,2,FALSE),IF(P659="ALUMINIO",VLOOKUP(Q659,'[3]Tiempo Objeto'!$B$24:$C$32,2,FALSE))))</f>
        <v>0.24666666666666667</v>
      </c>
      <c r="Y659" s="84">
        <f t="shared" si="89"/>
        <v>16.28</v>
      </c>
      <c r="Z659" s="80">
        <f t="shared" si="90"/>
        <v>22.611111111111111</v>
      </c>
      <c r="AA659" s="100">
        <v>8</v>
      </c>
      <c r="AB659" s="86">
        <f>+AA659*Analisis!$J$6</f>
        <v>200</v>
      </c>
      <c r="AC659" s="100"/>
      <c r="AD659" s="85">
        <f t="shared" si="91"/>
        <v>0</v>
      </c>
      <c r="AE659" s="86">
        <f>+AC659*Analisis!$J$7</f>
        <v>0</v>
      </c>
      <c r="AF659" s="308">
        <f>+H659*0.0254*I659*0.0254*2*(1+[3]Analisis!$G$2)</f>
        <v>0.32303645069999992</v>
      </c>
      <c r="AG659" s="86">
        <f>+AF659*Analisis!$J$8</f>
        <v>34.418764687678575</v>
      </c>
      <c r="AH659" s="309">
        <f t="shared" si="83"/>
        <v>321.82321110277661</v>
      </c>
      <c r="AI659" s="86">
        <f>+AH659/(1-Analisis!G664)</f>
        <v>321.82321110277661</v>
      </c>
      <c r="AJ659" s="86">
        <f t="shared" si="92"/>
        <v>346.04646355137271</v>
      </c>
      <c r="AK659" s="86">
        <f t="shared" si="84"/>
        <v>0</v>
      </c>
      <c r="AL659" s="310" t="e">
        <f>+VLOOKUP(B659,#REF!,2,FALSE)</f>
        <v>#REF!</v>
      </c>
      <c r="AM659" s="311" t="e">
        <f t="shared" si="79"/>
        <v>#REF!</v>
      </c>
      <c r="AN659" s="312" t="e">
        <f t="shared" si="78"/>
        <v>#REF!</v>
      </c>
    </row>
    <row r="660" spans="1:40" s="73" customFormat="1" x14ac:dyDescent="0.25">
      <c r="A660" s="324"/>
      <c r="B660" s="118" t="s">
        <v>1290</v>
      </c>
      <c r="D660" s="74">
        <f>IFERROR(VLOOKUP(B660,'REQ. PINTADO'!B:C,2,0),0)</f>
        <v>0</v>
      </c>
      <c r="E660" s="305">
        <f t="shared" si="85"/>
        <v>391.95059823679657</v>
      </c>
      <c r="F660" s="103" t="s">
        <v>166</v>
      </c>
      <c r="G660" s="75" t="s">
        <v>147</v>
      </c>
      <c r="H660" s="90">
        <v>29.83</v>
      </c>
      <c r="I660" s="90">
        <v>10.1</v>
      </c>
      <c r="J660" s="76">
        <v>0.105</v>
      </c>
      <c r="K660" s="306">
        <v>16.38</v>
      </c>
      <c r="L660" s="78">
        <f t="shared" si="86"/>
        <v>9.1714624434661847</v>
      </c>
      <c r="M660" s="58">
        <f>+VLOOKUP(F660,Material!$H$2:$M$17,6,FALSE)*H660*I660*(1+Material!$K$14)</f>
        <v>68.285706738170944</v>
      </c>
      <c r="N660" s="79" t="str">
        <f t="shared" si="95"/>
        <v>T5.0</v>
      </c>
      <c r="O660" s="80">
        <f>+VLOOKUP(N660,[3]Material!$A$3:$B$58,2,FALSE)</f>
        <v>5000</v>
      </c>
      <c r="P660" s="79" t="s">
        <v>42</v>
      </c>
      <c r="Q660" s="79" t="str">
        <f>+VLOOKUP(F660,[3]Material!$C$2:$E$12,2,FALSE)</f>
        <v>Cal 16</v>
      </c>
      <c r="R660" s="81">
        <f>+IF(P660="ACERO A36",VLOOKUP(Q660,'[3]Velocidades Std 1500 w'!$B$2:$F$15,5,FALSE),IF(P660="INOXIDABLE",VLOOKUP(Q660,'[3]Velocidades Std 1500 w'!$B$17:$F$28,5,FALSE),IF(P660="ALUMINIO",VLOOKUP(Q660,'[3]Velocidades Std 1500 w'!$B$30:$F$38,5,FALSE))))</f>
        <v>9.1575091575091579E-7</v>
      </c>
      <c r="S660" s="82">
        <f t="shared" si="87"/>
        <v>4.578754578754579E-3</v>
      </c>
      <c r="T660" s="83">
        <f t="shared" si="88"/>
        <v>15.72592153846154</v>
      </c>
      <c r="U660" s="307">
        <f t="shared" si="94"/>
        <v>4770.1962000000003</v>
      </c>
      <c r="V660" s="80">
        <f t="shared" si="93"/>
        <v>21.841557692307696</v>
      </c>
      <c r="W660" s="98">
        <v>66</v>
      </c>
      <c r="X660" s="84">
        <f>+IF(P660="ACERO A36",VLOOKUP(Q660,'[3]Tiempo Objeto'!$B$2:$C$12,2,FALSE),IF(P660="INOXIDABLE",VLOOKUP(Q660,'[3]Tiempo Objeto'!$B$14:$C$22,2,FALSE),IF(P660="ALUMINIO",VLOOKUP(Q660,'[3]Tiempo Objeto'!$B$24:$C$32,2,FALSE))))</f>
        <v>0.24666666666666667</v>
      </c>
      <c r="Y660" s="84">
        <f t="shared" si="89"/>
        <v>16.28</v>
      </c>
      <c r="Z660" s="80">
        <f t="shared" si="90"/>
        <v>22.611111111111111</v>
      </c>
      <c r="AA660" s="100">
        <v>8</v>
      </c>
      <c r="AB660" s="86">
        <f>+AA660*Analisis!$J$6</f>
        <v>200</v>
      </c>
      <c r="AC660" s="100"/>
      <c r="AD660" s="85">
        <f t="shared" si="91"/>
        <v>0</v>
      </c>
      <c r="AE660" s="86">
        <f>+AC660*Analisis!$J$7</f>
        <v>0</v>
      </c>
      <c r="AF660" s="308">
        <f>+H660*0.0254*I660*0.0254*2*(1+[3]Analisis!$G$2)</f>
        <v>0.48593935069999994</v>
      </c>
      <c r="AG660" s="86">
        <f>+AF660*Analisis!$J$8</f>
        <v>51.77568081863096</v>
      </c>
      <c r="AH660" s="309">
        <f t="shared" si="83"/>
        <v>364.51405636022076</v>
      </c>
      <c r="AI660" s="86">
        <f>+AH660/(1-Analisis!G665)</f>
        <v>364.51405636022076</v>
      </c>
      <c r="AJ660" s="86">
        <f t="shared" si="92"/>
        <v>391.95059823679657</v>
      </c>
      <c r="AK660" s="86">
        <f t="shared" si="84"/>
        <v>0</v>
      </c>
      <c r="AL660" s="310" t="e">
        <f>+VLOOKUP(B660,#REF!,2,FALSE)</f>
        <v>#REF!</v>
      </c>
      <c r="AM660" s="311" t="e">
        <f t="shared" si="79"/>
        <v>#REF!</v>
      </c>
      <c r="AN660" s="312" t="e">
        <f t="shared" si="78"/>
        <v>#REF!</v>
      </c>
    </row>
    <row r="661" spans="1:40" s="73" customFormat="1" x14ac:dyDescent="0.25">
      <c r="A661" s="324"/>
      <c r="B661" s="118" t="s">
        <v>1291</v>
      </c>
      <c r="D661" s="74">
        <f>IFERROR(VLOOKUP(B661,'REQ. PINTADO'!B:C,2,0),0)</f>
        <v>0</v>
      </c>
      <c r="E661" s="305">
        <f t="shared" si="85"/>
        <v>244.17716551484176</v>
      </c>
      <c r="F661" s="103" t="s">
        <v>163</v>
      </c>
      <c r="G661" s="75" t="s">
        <v>147</v>
      </c>
      <c r="H661" s="90">
        <v>9</v>
      </c>
      <c r="I661" s="90">
        <v>23.64</v>
      </c>
      <c r="J661" s="76">
        <v>0.105</v>
      </c>
      <c r="K661" s="306">
        <v>16.38</v>
      </c>
      <c r="L661" s="78">
        <f t="shared" si="86"/>
        <v>10.726356506937504</v>
      </c>
      <c r="M661" s="58">
        <f>+VLOOKUP(F661,Material!$H$2:$M$17,6,FALSE)*H661*I661*(1+Material!$K$14)</f>
        <v>79.862599810743774</v>
      </c>
      <c r="N661" s="79" t="str">
        <f t="shared" si="95"/>
        <v>T5.0</v>
      </c>
      <c r="O661" s="80">
        <f>+VLOOKUP(N661,[3]Material!$A$3:$B$58,2,FALSE)</f>
        <v>5000</v>
      </c>
      <c r="P661" s="79" t="s">
        <v>42</v>
      </c>
      <c r="Q661" s="79" t="str">
        <f>+VLOOKUP(F661,[3]Material!$C$2:$E$12,2,FALSE)</f>
        <v>Cal 12</v>
      </c>
      <c r="R661" s="81">
        <f>+IF(P661="ACERO A36",VLOOKUP(Q661,'[3]Velocidades Std 1500 w'!$B$2:$F$15,5,FALSE),IF(P661="INOXIDABLE",VLOOKUP(Q661,'[3]Velocidades Std 1500 w'!$B$17:$F$28,5,FALSE),IF(P661="ALUMINIO",VLOOKUP(Q661,'[3]Velocidades Std 1500 w'!$B$30:$F$38,5,FALSE))))</f>
        <v>4.3859649122807014E-6</v>
      </c>
      <c r="S661" s="82">
        <f t="shared" si="87"/>
        <v>2.1929824561403508E-2</v>
      </c>
      <c r="T661" s="83">
        <f t="shared" si="88"/>
        <v>35.70130421052631</v>
      </c>
      <c r="U661" s="307">
        <f t="shared" si="94"/>
        <v>2261.0825999999997</v>
      </c>
      <c r="V661" s="80">
        <f t="shared" si="93"/>
        <v>49.585144736842096</v>
      </c>
      <c r="W661" s="98">
        <v>13</v>
      </c>
      <c r="X661" s="84">
        <f>+IF(P661="ACERO A36",VLOOKUP(Q661,'[3]Tiempo Objeto'!$B$2:$C$12,2,FALSE),IF(P661="INOXIDABLE",VLOOKUP(Q661,'[3]Tiempo Objeto'!$B$14:$C$22,2,FALSE),IF(P661="ALUMINIO",VLOOKUP(Q661,'[3]Tiempo Objeto'!$B$24:$C$32,2,FALSE))))</f>
        <v>0.6133333333333334</v>
      </c>
      <c r="Y661" s="84">
        <f t="shared" si="89"/>
        <v>7.9733333333333345</v>
      </c>
      <c r="Z661" s="80">
        <f t="shared" si="90"/>
        <v>11.074074074074076</v>
      </c>
      <c r="AA661" s="100">
        <v>2</v>
      </c>
      <c r="AB661" s="86">
        <f>+AA661*Analisis!$J$6</f>
        <v>50</v>
      </c>
      <c r="AC661" s="100"/>
      <c r="AD661" s="85">
        <f t="shared" si="91"/>
        <v>0</v>
      </c>
      <c r="AE661" s="86">
        <f>+AC661*Analisis!$J$7</f>
        <v>0</v>
      </c>
      <c r="AF661" s="308">
        <f>+H661*0.0254*I661*0.0254*2*(1+[3]Analisis!$G$2)</f>
        <v>0.34316060400000004</v>
      </c>
      <c r="AG661" s="86">
        <f>+AF661*Analisis!$J$8</f>
        <v>36.562945307142869</v>
      </c>
      <c r="AH661" s="309">
        <f t="shared" si="83"/>
        <v>227.08476392880283</v>
      </c>
      <c r="AI661" s="86">
        <f>+AH661/(1-Analisis!G666)</f>
        <v>227.08476392880283</v>
      </c>
      <c r="AJ661" s="86">
        <f t="shared" si="92"/>
        <v>244.17716551484176</v>
      </c>
      <c r="AK661" s="86">
        <f t="shared" si="84"/>
        <v>0</v>
      </c>
      <c r="AL661" s="310" t="e">
        <f>+VLOOKUP(B661,#REF!,2,FALSE)</f>
        <v>#REF!</v>
      </c>
      <c r="AM661" s="311" t="e">
        <f t="shared" si="79"/>
        <v>#REF!</v>
      </c>
      <c r="AN661" s="312" t="e">
        <f t="shared" si="78"/>
        <v>#REF!</v>
      </c>
    </row>
    <row r="662" spans="1:40" s="73" customFormat="1" x14ac:dyDescent="0.25">
      <c r="A662" s="324"/>
      <c r="B662" s="118" t="s">
        <v>1292</v>
      </c>
      <c r="D662" s="74">
        <f>IFERROR(VLOOKUP(B662,'REQ. PINTADO'!B:C,2,0),0)</f>
        <v>0</v>
      </c>
      <c r="E662" s="305">
        <f t="shared" si="85"/>
        <v>309.71130851342946</v>
      </c>
      <c r="F662" s="103" t="s">
        <v>163</v>
      </c>
      <c r="G662" s="75" t="s">
        <v>147</v>
      </c>
      <c r="H662" s="90">
        <v>9</v>
      </c>
      <c r="I662" s="90">
        <v>33.64</v>
      </c>
      <c r="J662" s="76">
        <v>0.105</v>
      </c>
      <c r="K662" s="306">
        <v>16.38</v>
      </c>
      <c r="L662" s="78">
        <f t="shared" si="86"/>
        <v>15.26373235589584</v>
      </c>
      <c r="M662" s="58">
        <f>+VLOOKUP(F662,Material!$H$2:$M$17,6,FALSE)*H662*I662*(1+Material!$K$14)</f>
        <v>113.64542544980628</v>
      </c>
      <c r="N662" s="79" t="str">
        <f t="shared" si="95"/>
        <v>T5.0</v>
      </c>
      <c r="O662" s="80">
        <f>+VLOOKUP(N662,[3]Material!$A$3:$B$58,2,FALSE)</f>
        <v>5000</v>
      </c>
      <c r="P662" s="79" t="s">
        <v>42</v>
      </c>
      <c r="Q662" s="79" t="str">
        <f>+VLOOKUP(F662,[3]Material!$C$2:$E$12,2,FALSE)</f>
        <v>Cal 12</v>
      </c>
      <c r="R662" s="81">
        <f>+IF(P662="ACERO A36",VLOOKUP(Q662,'[3]Velocidades Std 1500 w'!$B$2:$F$15,5,FALSE),IF(P662="INOXIDABLE",VLOOKUP(Q662,'[3]Velocidades Std 1500 w'!$B$17:$F$28,5,FALSE),IF(P662="ALUMINIO",VLOOKUP(Q662,'[3]Velocidades Std 1500 w'!$B$30:$F$38,5,FALSE))))</f>
        <v>4.3859649122807014E-6</v>
      </c>
      <c r="S662" s="82">
        <f t="shared" si="87"/>
        <v>2.1929824561403508E-2</v>
      </c>
      <c r="T662" s="83">
        <f t="shared" si="88"/>
        <v>44.123409473684205</v>
      </c>
      <c r="U662" s="307">
        <f t="shared" si="94"/>
        <v>2794.4825999999998</v>
      </c>
      <c r="V662" s="80">
        <f t="shared" si="93"/>
        <v>61.282513157894726</v>
      </c>
      <c r="W662" s="98">
        <v>13</v>
      </c>
      <c r="X662" s="84">
        <f>+IF(P662="ACERO A36",VLOOKUP(Q662,'[3]Tiempo Objeto'!$B$2:$C$12,2,FALSE),IF(P662="INOXIDABLE",VLOOKUP(Q662,'[3]Tiempo Objeto'!$B$14:$C$22,2,FALSE),IF(P662="ALUMINIO",VLOOKUP(Q662,'[3]Tiempo Objeto'!$B$24:$C$32,2,FALSE))))</f>
        <v>0.6133333333333334</v>
      </c>
      <c r="Y662" s="84">
        <f t="shared" si="89"/>
        <v>7.9733333333333345</v>
      </c>
      <c r="Z662" s="80">
        <f t="shared" si="90"/>
        <v>11.074074074074076</v>
      </c>
      <c r="AA662" s="100">
        <v>2</v>
      </c>
      <c r="AB662" s="86">
        <f>+AA662*Analisis!$J$6</f>
        <v>50</v>
      </c>
      <c r="AC662" s="100"/>
      <c r="AD662" s="85">
        <f t="shared" si="91"/>
        <v>0</v>
      </c>
      <c r="AE662" s="86">
        <f>+AC662*Analisis!$J$7</f>
        <v>0</v>
      </c>
      <c r="AF662" s="308">
        <f>+H662*0.0254*I662*0.0254*2*(1+[3]Analisis!$G$2)</f>
        <v>0.48832160399999996</v>
      </c>
      <c r="AG662" s="86">
        <f>+AF662*Analisis!$J$8</f>
        <v>52.029504235714299</v>
      </c>
      <c r="AH662" s="309">
        <f t="shared" si="83"/>
        <v>288.0315169174894</v>
      </c>
      <c r="AI662" s="86">
        <f>+AH662/(1-Analisis!G667)</f>
        <v>288.0315169174894</v>
      </c>
      <c r="AJ662" s="86">
        <f t="shared" si="92"/>
        <v>309.71130851342946</v>
      </c>
      <c r="AK662" s="86">
        <f t="shared" si="84"/>
        <v>0</v>
      </c>
      <c r="AL662" s="310" t="e">
        <f>+VLOOKUP(B662,#REF!,2,FALSE)</f>
        <v>#REF!</v>
      </c>
      <c r="AM662" s="311" t="e">
        <f t="shared" si="79"/>
        <v>#REF!</v>
      </c>
      <c r="AN662" s="312" t="e">
        <f t="shared" si="78"/>
        <v>#REF!</v>
      </c>
    </row>
    <row r="663" spans="1:40" s="73" customFormat="1" x14ac:dyDescent="0.25">
      <c r="A663" s="324"/>
      <c r="B663" s="118" t="s">
        <v>1293</v>
      </c>
      <c r="D663" s="74">
        <f>IFERROR(VLOOKUP(B663,'REQ. PINTADO'!B:C,2,0),0)</f>
        <v>0</v>
      </c>
      <c r="E663" s="305">
        <f t="shared" si="85"/>
        <v>285.24355080823005</v>
      </c>
      <c r="F663" s="103" t="s">
        <v>163</v>
      </c>
      <c r="G663" s="75" t="s">
        <v>147</v>
      </c>
      <c r="H663" s="90">
        <v>14.41</v>
      </c>
      <c r="I663" s="90">
        <v>22</v>
      </c>
      <c r="J663" s="76">
        <v>0.105</v>
      </c>
      <c r="K663" s="306">
        <v>16.38</v>
      </c>
      <c r="L663" s="78">
        <f t="shared" si="86"/>
        <v>15.982654351519681</v>
      </c>
      <c r="M663" s="58">
        <f>+VLOOKUP(F663,Material!$H$2:$M$17,6,FALSE)*H663*I663*(1+Material!$K$14)</f>
        <v>118.99812648995106</v>
      </c>
      <c r="N663" s="79" t="str">
        <f t="shared" si="95"/>
        <v>T5.0</v>
      </c>
      <c r="O663" s="80">
        <f>+VLOOKUP(N663,[3]Material!$A$3:$B$58,2,FALSE)</f>
        <v>5000</v>
      </c>
      <c r="P663" s="79" t="s">
        <v>42</v>
      </c>
      <c r="Q663" s="79" t="str">
        <f>+VLOOKUP(F663,[3]Material!$C$2:$E$12,2,FALSE)</f>
        <v>Cal 12</v>
      </c>
      <c r="R663" s="81">
        <f>+IF(P663="ACERO A36",VLOOKUP(Q663,'[3]Velocidades Std 1500 w'!$B$2:$F$15,5,FALSE),IF(P663="INOXIDABLE",VLOOKUP(Q663,'[3]Velocidades Std 1500 w'!$B$17:$F$28,5,FALSE),IF(P663="ALUMINIO",VLOOKUP(Q663,'[3]Velocidades Std 1500 w'!$B$30:$F$38,5,FALSE))))</f>
        <v>4.3859649122807014E-6</v>
      </c>
      <c r="S663" s="82">
        <f t="shared" si="87"/>
        <v>2.1929824561403508E-2</v>
      </c>
      <c r="T663" s="83">
        <f t="shared" si="88"/>
        <v>39.508095789473678</v>
      </c>
      <c r="U663" s="307">
        <f t="shared" si="94"/>
        <v>2502.1794</v>
      </c>
      <c r="V663" s="80">
        <f t="shared" si="93"/>
        <v>54.872355263157893</v>
      </c>
      <c r="W663" s="98">
        <v>14</v>
      </c>
      <c r="X663" s="84">
        <f>+IF(P663="ACERO A36",VLOOKUP(Q663,'[3]Tiempo Objeto'!$B$2:$C$12,2,FALSE),IF(P663="INOXIDABLE",VLOOKUP(Q663,'[3]Tiempo Objeto'!$B$14:$C$22,2,FALSE),IF(P663="ALUMINIO",VLOOKUP(Q663,'[3]Tiempo Objeto'!$B$24:$C$32,2,FALSE))))</f>
        <v>0.6133333333333334</v>
      </c>
      <c r="Y663" s="84">
        <f t="shared" si="89"/>
        <v>8.5866666666666678</v>
      </c>
      <c r="Z663" s="80">
        <f t="shared" si="90"/>
        <v>11.925925925925927</v>
      </c>
      <c r="AA663" s="100">
        <v>1</v>
      </c>
      <c r="AB663" s="86">
        <f>+AA663*Analisis!$J$6</f>
        <v>25</v>
      </c>
      <c r="AC663" s="100"/>
      <c r="AD663" s="85">
        <f t="shared" si="91"/>
        <v>0</v>
      </c>
      <c r="AE663" s="86">
        <f>+AC663*Analisis!$J$7</f>
        <v>0</v>
      </c>
      <c r="AF663" s="308">
        <f>+H663*0.0254*I663*0.0254*2*(1+[3]Analisis!$G$2)</f>
        <v>0.5113215579999999</v>
      </c>
      <c r="AG663" s="86">
        <f>+AF663*Analisis!$J$8</f>
        <v>54.480094572619052</v>
      </c>
      <c r="AH663" s="309">
        <f t="shared" si="83"/>
        <v>265.27650225165394</v>
      </c>
      <c r="AI663" s="86">
        <f>+AH663/(1-Analisis!G668)</f>
        <v>265.27650225165394</v>
      </c>
      <c r="AJ663" s="86">
        <f t="shared" si="92"/>
        <v>285.24355080823005</v>
      </c>
      <c r="AK663" s="86">
        <f t="shared" si="84"/>
        <v>0</v>
      </c>
      <c r="AL663" s="310" t="e">
        <f>+VLOOKUP(B663,#REF!,2,FALSE)</f>
        <v>#REF!</v>
      </c>
      <c r="AM663" s="311" t="e">
        <f t="shared" si="79"/>
        <v>#REF!</v>
      </c>
      <c r="AN663" s="312" t="e">
        <f t="shared" si="78"/>
        <v>#REF!</v>
      </c>
    </row>
    <row r="664" spans="1:40" s="73" customFormat="1" x14ac:dyDescent="0.25">
      <c r="A664" s="324"/>
      <c r="B664" s="118" t="s">
        <v>1293</v>
      </c>
      <c r="D664" s="74">
        <f>IFERROR(VLOOKUP(B664,'REQ. PINTADO'!B:C,2,0),0)</f>
        <v>0</v>
      </c>
      <c r="E664" s="305">
        <f t="shared" si="85"/>
        <v>382.61033066594558</v>
      </c>
      <c r="F664" s="103" t="s">
        <v>163</v>
      </c>
      <c r="G664" s="75" t="s">
        <v>147</v>
      </c>
      <c r="H664" s="90">
        <v>14.41</v>
      </c>
      <c r="I664" s="90">
        <v>32</v>
      </c>
      <c r="J664" s="76">
        <v>0.105</v>
      </c>
      <c r="K664" s="306">
        <v>16.38</v>
      </c>
      <c r="L664" s="78">
        <f t="shared" si="86"/>
        <v>23.247497238574084</v>
      </c>
      <c r="M664" s="58">
        <f>+VLOOKUP(F664,Material!$H$2:$M$17,6,FALSE)*H664*I664*(1+Material!$K$14)</f>
        <v>173.08818398538338</v>
      </c>
      <c r="N664" s="79" t="str">
        <f t="shared" si="95"/>
        <v>T5.0</v>
      </c>
      <c r="O664" s="80">
        <f>+VLOOKUP(N664,[3]Material!$A$3:$B$58,2,FALSE)</f>
        <v>5000</v>
      </c>
      <c r="P664" s="79" t="s">
        <v>42</v>
      </c>
      <c r="Q664" s="79" t="str">
        <f>+VLOOKUP(F664,[3]Material!$C$2:$E$12,2,FALSE)</f>
        <v>Cal 12</v>
      </c>
      <c r="R664" s="81">
        <f>+IF(P664="ACERO A36",VLOOKUP(Q664,'[3]Velocidades Std 1500 w'!$B$2:$F$15,5,FALSE),IF(P664="INOXIDABLE",VLOOKUP(Q664,'[3]Velocidades Std 1500 w'!$B$17:$F$28,5,FALSE),IF(P664="ALUMINIO",VLOOKUP(Q664,'[3]Velocidades Std 1500 w'!$B$30:$F$38,5,FALSE))))</f>
        <v>4.3859649122807014E-6</v>
      </c>
      <c r="S664" s="82">
        <f t="shared" si="87"/>
        <v>2.1929824561403508E-2</v>
      </c>
      <c r="T664" s="83">
        <f t="shared" si="88"/>
        <v>47.930201052631574</v>
      </c>
      <c r="U664" s="307">
        <f t="shared" si="94"/>
        <v>3035.5794000000001</v>
      </c>
      <c r="V664" s="80">
        <f t="shared" si="93"/>
        <v>66.56972368421053</v>
      </c>
      <c r="W664" s="98">
        <v>14</v>
      </c>
      <c r="X664" s="84">
        <f>+IF(P664="ACERO A36",VLOOKUP(Q664,'[3]Tiempo Objeto'!$B$2:$C$12,2,FALSE),IF(P664="INOXIDABLE",VLOOKUP(Q664,'[3]Tiempo Objeto'!$B$14:$C$22,2,FALSE),IF(P664="ALUMINIO",VLOOKUP(Q664,'[3]Tiempo Objeto'!$B$24:$C$32,2,FALSE))))</f>
        <v>0.6133333333333334</v>
      </c>
      <c r="Y664" s="84">
        <f t="shared" si="89"/>
        <v>8.5866666666666678</v>
      </c>
      <c r="Z664" s="80">
        <f t="shared" si="90"/>
        <v>11.925925925925927</v>
      </c>
      <c r="AA664" s="100">
        <v>1</v>
      </c>
      <c r="AB664" s="86">
        <f>+AA664*Analisis!$J$6</f>
        <v>25</v>
      </c>
      <c r="AC664" s="100"/>
      <c r="AD664" s="85">
        <f t="shared" si="91"/>
        <v>0</v>
      </c>
      <c r="AE664" s="86">
        <f>+AC664*Analisis!$J$7</f>
        <v>0</v>
      </c>
      <c r="AF664" s="308">
        <f>+H664*0.0254*I664*0.0254*2*(1+[3]Analisis!$G$2)</f>
        <v>0.74374044799999994</v>
      </c>
      <c r="AG664" s="86">
        <f>+AF664*Analisis!$J$8</f>
        <v>79.243773923809542</v>
      </c>
      <c r="AH664" s="309">
        <f t="shared" si="83"/>
        <v>355.82760751932938</v>
      </c>
      <c r="AI664" s="86">
        <f>+AH664/(1-Analisis!G669)</f>
        <v>355.82760751932938</v>
      </c>
      <c r="AJ664" s="86">
        <f t="shared" si="92"/>
        <v>382.61033066594558</v>
      </c>
      <c r="AK664" s="86">
        <f t="shared" si="84"/>
        <v>0</v>
      </c>
      <c r="AL664" s="310" t="e">
        <f>+VLOOKUP(B664,#REF!,2,FALSE)</f>
        <v>#REF!</v>
      </c>
      <c r="AM664" s="311" t="e">
        <f t="shared" si="79"/>
        <v>#REF!</v>
      </c>
      <c r="AN664" s="312" t="e">
        <f t="shared" si="78"/>
        <v>#REF!</v>
      </c>
    </row>
    <row r="665" spans="1:40" s="73" customFormat="1" x14ac:dyDescent="0.25">
      <c r="A665" s="324"/>
      <c r="B665" s="118" t="s">
        <v>1295</v>
      </c>
      <c r="D665" s="74">
        <f>IFERROR(VLOOKUP(B665,'REQ. PINTADO'!B:C,2,0),0)</f>
        <v>0</v>
      </c>
      <c r="E665" s="305">
        <f t="shared" si="85"/>
        <v>218.30622933995562</v>
      </c>
      <c r="F665" s="103" t="s">
        <v>163</v>
      </c>
      <c r="G665" s="75" t="s">
        <v>147</v>
      </c>
      <c r="H665" s="90">
        <v>5.28</v>
      </c>
      <c r="I665" s="90">
        <v>21.73</v>
      </c>
      <c r="J665" s="76">
        <v>0.105</v>
      </c>
      <c r="K665" s="306">
        <v>16.38</v>
      </c>
      <c r="L665" s="78">
        <f t="shared" si="86"/>
        <v>5.7843677289413913</v>
      </c>
      <c r="M665" s="58">
        <f>+VLOOKUP(F665,Material!$H$2:$M$17,6,FALSE)*H665*I665*(1+Material!$K$14)</f>
        <v>43.067247000027258</v>
      </c>
      <c r="N665" s="79" t="str">
        <f t="shared" si="95"/>
        <v>T5.0</v>
      </c>
      <c r="O665" s="80">
        <f>+VLOOKUP(N665,[3]Material!$A$3:$B$58,2,FALSE)</f>
        <v>5000</v>
      </c>
      <c r="P665" s="79" t="s">
        <v>42</v>
      </c>
      <c r="Q665" s="79" t="str">
        <f>+VLOOKUP(F665,[3]Material!$C$2:$E$12,2,FALSE)</f>
        <v>Cal 12</v>
      </c>
      <c r="R665" s="81">
        <f>+IF(P665="ACERO A36",VLOOKUP(Q665,'[3]Velocidades Std 1500 w'!$B$2:$F$15,5,FALSE),IF(P665="INOXIDABLE",VLOOKUP(Q665,'[3]Velocidades Std 1500 w'!$B$17:$F$28,5,FALSE),IF(P665="ALUMINIO",VLOOKUP(Q665,'[3]Velocidades Std 1500 w'!$B$30:$F$38,5,FALSE))))</f>
        <v>4.3859649122807014E-6</v>
      </c>
      <c r="S665" s="82">
        <f t="shared" si="87"/>
        <v>2.1929824561403508E-2</v>
      </c>
      <c r="T665" s="83">
        <f t="shared" si="88"/>
        <v>25.906395789473681</v>
      </c>
      <c r="U665" s="307">
        <f t="shared" si="94"/>
        <v>1640.7384</v>
      </c>
      <c r="V665" s="80">
        <f t="shared" si="93"/>
        <v>35.981105263157893</v>
      </c>
      <c r="W665" s="98">
        <v>5</v>
      </c>
      <c r="X665" s="84">
        <f>+IF(P665="ACERO A36",VLOOKUP(Q665,'[3]Tiempo Objeto'!$B$2:$C$12,2,FALSE),IF(P665="INOXIDABLE",VLOOKUP(Q665,'[3]Tiempo Objeto'!$B$14:$C$22,2,FALSE),IF(P665="ALUMINIO",VLOOKUP(Q665,'[3]Tiempo Objeto'!$B$24:$C$32,2,FALSE))))</f>
        <v>0.6133333333333334</v>
      </c>
      <c r="Y665" s="84">
        <f t="shared" si="89"/>
        <v>3.0666666666666669</v>
      </c>
      <c r="Z665" s="80">
        <f t="shared" si="90"/>
        <v>4.2592592592592595</v>
      </c>
      <c r="AA665" s="100">
        <v>4</v>
      </c>
      <c r="AB665" s="86">
        <f>+AA665*Analisis!$J$6</f>
        <v>100</v>
      </c>
      <c r="AC665" s="100"/>
      <c r="AD665" s="85">
        <f t="shared" si="91"/>
        <v>0</v>
      </c>
      <c r="AE665" s="86">
        <f>+AC665*Analisis!$J$7</f>
        <v>0</v>
      </c>
      <c r="AF665" s="308">
        <f>+H665*0.0254*I665*0.0254*2*(1+[3]Analisis!$G$2)</f>
        <v>0.18505511376</v>
      </c>
      <c r="AG665" s="86">
        <f>+AF665*Analisis!$J$8</f>
        <v>19.71718176371429</v>
      </c>
      <c r="AH665" s="309">
        <f t="shared" si="83"/>
        <v>203.02479328615871</v>
      </c>
      <c r="AI665" s="86">
        <f>+AH665/(1-Analisis!G670)</f>
        <v>203.02479328615871</v>
      </c>
      <c r="AJ665" s="86">
        <f t="shared" si="92"/>
        <v>218.30622933995562</v>
      </c>
      <c r="AK665" s="86">
        <f t="shared" si="84"/>
        <v>0</v>
      </c>
      <c r="AL665" s="310" t="e">
        <f>+VLOOKUP(B665,#REF!,2,FALSE)</f>
        <v>#REF!</v>
      </c>
      <c r="AM665" s="311" t="e">
        <f t="shared" si="79"/>
        <v>#REF!</v>
      </c>
      <c r="AN665" s="312" t="e">
        <f t="shared" si="78"/>
        <v>#REF!</v>
      </c>
    </row>
    <row r="666" spans="1:40" s="73" customFormat="1" x14ac:dyDescent="0.25">
      <c r="A666" s="324"/>
      <c r="B666" s="118" t="s">
        <v>1295</v>
      </c>
      <c r="D666" s="74">
        <f>IFERROR(VLOOKUP(B666,'REQ. PINTADO'!B:C,2,0),0)</f>
        <v>0</v>
      </c>
      <c r="E666" s="305">
        <f t="shared" si="85"/>
        <v>261.95175697515049</v>
      </c>
      <c r="F666" s="103" t="s">
        <v>163</v>
      </c>
      <c r="G666" s="75" t="s">
        <v>147</v>
      </c>
      <c r="H666" s="90">
        <v>5.28</v>
      </c>
      <c r="I666" s="90">
        <v>31.73</v>
      </c>
      <c r="J666" s="76">
        <v>0.105</v>
      </c>
      <c r="K666" s="306">
        <v>16.38</v>
      </c>
      <c r="L666" s="78">
        <f t="shared" si="86"/>
        <v>8.4462948936636142</v>
      </c>
      <c r="M666" s="58">
        <f>+VLOOKUP(F666,Material!$H$2:$M$17,6,FALSE)*H666*I666*(1+Material!$K$14)</f>
        <v>62.886504708277265</v>
      </c>
      <c r="N666" s="79" t="str">
        <f t="shared" si="95"/>
        <v>T5.0</v>
      </c>
      <c r="O666" s="80">
        <f>+VLOOKUP(N666,[3]Material!$A$3:$B$58,2,FALSE)</f>
        <v>5000</v>
      </c>
      <c r="P666" s="79" t="s">
        <v>42</v>
      </c>
      <c r="Q666" s="79" t="str">
        <f>+VLOOKUP(F666,[3]Material!$C$2:$E$12,2,FALSE)</f>
        <v>Cal 12</v>
      </c>
      <c r="R666" s="81">
        <f>+IF(P666="ACERO A36",VLOOKUP(Q666,'[3]Velocidades Std 1500 w'!$B$2:$F$15,5,FALSE),IF(P666="INOXIDABLE",VLOOKUP(Q666,'[3]Velocidades Std 1500 w'!$B$17:$F$28,5,FALSE),IF(P666="ALUMINIO",VLOOKUP(Q666,'[3]Velocidades Std 1500 w'!$B$30:$F$38,5,FALSE))))</f>
        <v>4.3859649122807014E-6</v>
      </c>
      <c r="S666" s="82">
        <f t="shared" si="87"/>
        <v>2.1929824561403508E-2</v>
      </c>
      <c r="T666" s="83">
        <f t="shared" si="88"/>
        <v>34.328501052631573</v>
      </c>
      <c r="U666" s="307">
        <f t="shared" si="94"/>
        <v>2174.1383999999998</v>
      </c>
      <c r="V666" s="80">
        <f t="shared" si="93"/>
        <v>47.678473684210523</v>
      </c>
      <c r="W666" s="98">
        <v>5</v>
      </c>
      <c r="X666" s="84">
        <f>+IF(P666="ACERO A36",VLOOKUP(Q666,'[3]Tiempo Objeto'!$B$2:$C$12,2,FALSE),IF(P666="INOXIDABLE",VLOOKUP(Q666,'[3]Tiempo Objeto'!$B$14:$C$22,2,FALSE),IF(P666="ALUMINIO",VLOOKUP(Q666,'[3]Tiempo Objeto'!$B$24:$C$32,2,FALSE))))</f>
        <v>0.6133333333333334</v>
      </c>
      <c r="Y666" s="84">
        <f t="shared" si="89"/>
        <v>3.0666666666666669</v>
      </c>
      <c r="Z666" s="80">
        <f t="shared" si="90"/>
        <v>4.2592592592592595</v>
      </c>
      <c r="AA666" s="100">
        <v>4</v>
      </c>
      <c r="AB666" s="86">
        <f>+AA666*Analisis!$J$6</f>
        <v>100</v>
      </c>
      <c r="AC666" s="100"/>
      <c r="AD666" s="85">
        <f t="shared" si="91"/>
        <v>0</v>
      </c>
      <c r="AE666" s="86">
        <f>+AC666*Analisis!$J$7</f>
        <v>0</v>
      </c>
      <c r="AF666" s="308">
        <f>+H666*0.0254*I666*0.0254*2*(1+[3]Analisis!$G$2)</f>
        <v>0.27021623375999998</v>
      </c>
      <c r="AG666" s="86">
        <f>+AF666*Analisis!$J$8</f>
        <v>28.790896335142865</v>
      </c>
      <c r="AH666" s="309">
        <f t="shared" si="83"/>
        <v>243.61513398688993</v>
      </c>
      <c r="AI666" s="86">
        <f>+AH666/(1-Analisis!G671)</f>
        <v>243.61513398688993</v>
      </c>
      <c r="AJ666" s="86">
        <f t="shared" si="92"/>
        <v>261.95175697515049</v>
      </c>
      <c r="AK666" s="86">
        <f t="shared" si="84"/>
        <v>0</v>
      </c>
      <c r="AL666" s="310" t="e">
        <f>+VLOOKUP(B666,#REF!,2,FALSE)</f>
        <v>#REF!</v>
      </c>
      <c r="AM666" s="311" t="e">
        <f t="shared" si="79"/>
        <v>#REF!</v>
      </c>
      <c r="AN666" s="312" t="e">
        <f t="shared" si="78"/>
        <v>#REF!</v>
      </c>
    </row>
    <row r="667" spans="1:40" s="73" customFormat="1" x14ac:dyDescent="0.25">
      <c r="A667" s="324"/>
      <c r="B667" s="118" t="s">
        <v>1309</v>
      </c>
      <c r="D667" s="74">
        <f>IFERROR(VLOOKUP(B667,'REQ. PINTADO'!B:C,2,0),0)</f>
        <v>0</v>
      </c>
      <c r="E667" s="305">
        <f t="shared" si="85"/>
        <v>80.874232581073585</v>
      </c>
      <c r="F667" s="103" t="s">
        <v>165</v>
      </c>
      <c r="G667" s="75" t="s">
        <v>147</v>
      </c>
      <c r="H667" s="90">
        <v>2.42</v>
      </c>
      <c r="I667" s="90">
        <v>22</v>
      </c>
      <c r="J667" s="76">
        <v>0.105</v>
      </c>
      <c r="K667" s="306">
        <v>16.38</v>
      </c>
      <c r="L667" s="78">
        <f t="shared" si="86"/>
        <v>2.9719978632478634</v>
      </c>
      <c r="M667" s="58">
        <f>+VLOOKUP(F667,Material!$H$2:$M$17,6,FALSE)*H667*I667*(1+Material!$K$14)</f>
        <v>22.127875</v>
      </c>
      <c r="N667" s="79" t="str">
        <f t="shared" si="95"/>
        <v>T5.0</v>
      </c>
      <c r="O667" s="80">
        <f>+VLOOKUP(N667,[3]Material!$A$3:$B$58,2,FALSE)</f>
        <v>5000</v>
      </c>
      <c r="P667" s="79" t="s">
        <v>42</v>
      </c>
      <c r="Q667" s="79" t="str">
        <f>+VLOOKUP(F667,[3]Material!$C$2:$E$12,2,FALSE)</f>
        <v>Cal 14</v>
      </c>
      <c r="R667" s="81">
        <f>+IF(P667="ACERO A36",VLOOKUP(Q667,'[3]Velocidades Std 1500 w'!$B$2:$F$15,5,FALSE),IF(P667="INOXIDABLE",VLOOKUP(Q667,'[3]Velocidades Std 1500 w'!$B$17:$F$28,5,FALSE),IF(P667="ALUMINIO",VLOOKUP(Q667,'[3]Velocidades Std 1500 w'!$B$30:$F$38,5,FALSE))))</f>
        <v>2.0080321285140564E-6</v>
      </c>
      <c r="S667" s="82">
        <f t="shared" si="87"/>
        <v>1.0040160642570283E-2</v>
      </c>
      <c r="T667" s="83">
        <f t="shared" si="88"/>
        <v>11.44046602409639</v>
      </c>
      <c r="U667" s="307">
        <f t="shared" si="94"/>
        <v>1582.5978000000002</v>
      </c>
      <c r="V667" s="80">
        <f t="shared" si="93"/>
        <v>15.889536144578319</v>
      </c>
      <c r="W667" s="98">
        <v>7</v>
      </c>
      <c r="X667" s="84">
        <f>+IF(P667="ACERO A36",VLOOKUP(Q667,'[3]Tiempo Objeto'!$B$2:$C$12,2,FALSE),IF(P667="INOXIDABLE",VLOOKUP(Q667,'[3]Tiempo Objeto'!$B$14:$C$22,2,FALSE),IF(P667="ALUMINIO",VLOOKUP(Q667,'[3]Tiempo Objeto'!$B$24:$C$32,2,FALSE))))</f>
        <v>0.3133333333333333</v>
      </c>
      <c r="Y667" s="84">
        <f t="shared" si="89"/>
        <v>2.1933333333333329</v>
      </c>
      <c r="Z667" s="80">
        <f t="shared" si="90"/>
        <v>3.0462962962962958</v>
      </c>
      <c r="AA667" s="100">
        <v>1</v>
      </c>
      <c r="AB667" s="86">
        <f>+AA667*Analisis!$J$6</f>
        <v>25</v>
      </c>
      <c r="AC667" s="100"/>
      <c r="AD667" s="85">
        <f t="shared" si="91"/>
        <v>0</v>
      </c>
      <c r="AE667" s="86">
        <f>+AC667*Analisis!$J$7</f>
        <v>0</v>
      </c>
      <c r="AF667" s="308">
        <f>+H667*0.0254*I667*0.0254*2*(1+[3]Analisis!$G$2)</f>
        <v>8.5870795999999985E-2</v>
      </c>
      <c r="AG667" s="86">
        <f>+AF667*Analisis!$J$8</f>
        <v>9.1493288595238109</v>
      </c>
      <c r="AH667" s="309">
        <f t="shared" si="83"/>
        <v>75.213036300398429</v>
      </c>
      <c r="AI667" s="86">
        <f>+AH667/(1-Analisis!G672)</f>
        <v>75.213036300398429</v>
      </c>
      <c r="AJ667" s="86">
        <f t="shared" si="92"/>
        <v>80.874232581073585</v>
      </c>
      <c r="AK667" s="86">
        <f t="shared" si="84"/>
        <v>0</v>
      </c>
      <c r="AL667" s="310" t="e">
        <f>+VLOOKUP(B667,#REF!,2,FALSE)</f>
        <v>#REF!</v>
      </c>
      <c r="AM667" s="311" t="e">
        <f t="shared" si="79"/>
        <v>#REF!</v>
      </c>
      <c r="AN667" s="312" t="e">
        <f t="shared" si="78"/>
        <v>#REF!</v>
      </c>
    </row>
    <row r="668" spans="1:40" s="73" customFormat="1" x14ac:dyDescent="0.25">
      <c r="A668" s="324"/>
      <c r="B668" s="118" t="s">
        <v>1310</v>
      </c>
      <c r="D668" s="74">
        <f>IFERROR(VLOOKUP(B668,'REQ. PINTADO'!B:C,2,0),0)</f>
        <v>0</v>
      </c>
      <c r="E668" s="305">
        <f t="shared" si="85"/>
        <v>101.91975143267044</v>
      </c>
      <c r="F668" s="103" t="s">
        <v>165</v>
      </c>
      <c r="G668" s="75" t="s">
        <v>147</v>
      </c>
      <c r="H668" s="90">
        <v>2.42</v>
      </c>
      <c r="I668" s="90">
        <v>32</v>
      </c>
      <c r="J668" s="76">
        <v>0.105</v>
      </c>
      <c r="K668" s="306">
        <v>16.38</v>
      </c>
      <c r="L668" s="78">
        <f t="shared" si="86"/>
        <v>4.3229059829059837</v>
      </c>
      <c r="M668" s="58">
        <f>+VLOOKUP(F668,Material!$H$2:$M$17,6,FALSE)*H668*I668*(1+Material!$K$14)</f>
        <v>32.186</v>
      </c>
      <c r="N668" s="79" t="str">
        <f t="shared" si="95"/>
        <v>T5.0</v>
      </c>
      <c r="O668" s="80">
        <f>+VLOOKUP(N668,[3]Material!$A$3:$B$58,2,FALSE)</f>
        <v>5000</v>
      </c>
      <c r="P668" s="79" t="s">
        <v>42</v>
      </c>
      <c r="Q668" s="79" t="str">
        <f>+VLOOKUP(F668,[3]Material!$C$2:$E$12,2,FALSE)</f>
        <v>Cal 14</v>
      </c>
      <c r="R668" s="81">
        <f>+IF(P668="ACERO A36",VLOOKUP(Q668,'[3]Velocidades Std 1500 w'!$B$2:$F$15,5,FALSE),IF(P668="INOXIDABLE",VLOOKUP(Q668,'[3]Velocidades Std 1500 w'!$B$17:$F$28,5,FALSE),IF(P668="ALUMINIO",VLOOKUP(Q668,'[3]Velocidades Std 1500 w'!$B$30:$F$38,5,FALSE))))</f>
        <v>2.0080321285140564E-6</v>
      </c>
      <c r="S668" s="82">
        <f t="shared" si="87"/>
        <v>1.0040160642570283E-2</v>
      </c>
      <c r="T668" s="83">
        <f t="shared" si="88"/>
        <v>15.296369638554218</v>
      </c>
      <c r="U668" s="307">
        <f t="shared" si="94"/>
        <v>2115.9978000000001</v>
      </c>
      <c r="V668" s="80">
        <f t="shared" si="93"/>
        <v>21.244957831325305</v>
      </c>
      <c r="W668" s="98">
        <v>7</v>
      </c>
      <c r="X668" s="84">
        <f>+IF(P668="ACERO A36",VLOOKUP(Q668,'[3]Tiempo Objeto'!$B$2:$C$12,2,FALSE),IF(P668="INOXIDABLE",VLOOKUP(Q668,'[3]Tiempo Objeto'!$B$14:$C$22,2,FALSE),IF(P668="ALUMINIO",VLOOKUP(Q668,'[3]Tiempo Objeto'!$B$24:$C$32,2,FALSE))))</f>
        <v>0.3133333333333333</v>
      </c>
      <c r="Y668" s="84">
        <f t="shared" si="89"/>
        <v>2.1933333333333329</v>
      </c>
      <c r="Z668" s="80">
        <f t="shared" si="90"/>
        <v>3.0462962962962958</v>
      </c>
      <c r="AA668" s="100">
        <v>1</v>
      </c>
      <c r="AB668" s="86">
        <f>+AA668*Analisis!$J$6</f>
        <v>25</v>
      </c>
      <c r="AC668" s="100"/>
      <c r="AD668" s="85">
        <f t="shared" si="91"/>
        <v>0</v>
      </c>
      <c r="AE668" s="86">
        <f>+AC668*Analisis!$J$7</f>
        <v>0</v>
      </c>
      <c r="AF668" s="308">
        <f>+H668*0.0254*I668*0.0254*2*(1+[3]Analisis!$G$2)</f>
        <v>0.12490297599999999</v>
      </c>
      <c r="AG668" s="86">
        <f>+AF668*Analisis!$J$8</f>
        <v>13.308114704761907</v>
      </c>
      <c r="AH668" s="309">
        <f t="shared" si="83"/>
        <v>94.785368832383497</v>
      </c>
      <c r="AI668" s="86">
        <f>+AH668/(1-Analisis!G673)</f>
        <v>94.785368832383497</v>
      </c>
      <c r="AJ668" s="86">
        <f t="shared" si="92"/>
        <v>101.91975143267044</v>
      </c>
      <c r="AK668" s="86">
        <f t="shared" si="84"/>
        <v>0</v>
      </c>
      <c r="AL668" s="310" t="e">
        <f>+VLOOKUP(B668,#REF!,2,FALSE)</f>
        <v>#REF!</v>
      </c>
      <c r="AM668" s="311" t="e">
        <f t="shared" si="79"/>
        <v>#REF!</v>
      </c>
      <c r="AN668" s="312" t="e">
        <f t="shared" ref="AN668:AN731" si="96">+AM668/AL668</f>
        <v>#REF!</v>
      </c>
    </row>
    <row r="669" spans="1:40" s="73" customFormat="1" x14ac:dyDescent="0.25">
      <c r="A669" s="324"/>
      <c r="B669" s="118" t="s">
        <v>1316</v>
      </c>
      <c r="D669" s="74">
        <f>IFERROR(VLOOKUP(B669,'REQ. PINTADO'!B:C,2,0),0)</f>
        <v>0</v>
      </c>
      <c r="E669" s="305">
        <f t="shared" si="85"/>
        <v>421.45800732466347</v>
      </c>
      <c r="F669" s="103" t="s">
        <v>163</v>
      </c>
      <c r="G669" s="75" t="s">
        <v>147</v>
      </c>
      <c r="H669" s="90">
        <v>20.36</v>
      </c>
      <c r="I669" s="90">
        <v>21.64</v>
      </c>
      <c r="J669" s="76">
        <v>0.105</v>
      </c>
      <c r="K669" s="306">
        <v>16.38</v>
      </c>
      <c r="L669" s="78">
        <f t="shared" si="86"/>
        <v>22.21249155825436</v>
      </c>
      <c r="M669" s="58">
        <f>+VLOOKUP(F669,Material!$H$2:$M$17,6,FALSE)*H669*I669*(1+Material!$K$14)</f>
        <v>165.38209623827561</v>
      </c>
      <c r="N669" s="79" t="str">
        <f t="shared" si="95"/>
        <v>T5.0</v>
      </c>
      <c r="O669" s="80">
        <f>+VLOOKUP(N669,[3]Material!$A$3:$B$58,2,FALSE)</f>
        <v>5000</v>
      </c>
      <c r="P669" s="79" t="s">
        <v>42</v>
      </c>
      <c r="Q669" s="79" t="str">
        <f>+VLOOKUP(F669,[3]Material!$C$2:$E$12,2,FALSE)</f>
        <v>Cal 12</v>
      </c>
      <c r="R669" s="81">
        <f>+IF(P669="ACERO A36",VLOOKUP(Q669,'[3]Velocidades Std 1500 w'!$B$2:$F$15,5,FALSE),IF(P669="INOXIDABLE",VLOOKUP(Q669,'[3]Velocidades Std 1500 w'!$B$17:$F$28,5,FALSE),IF(P669="ALUMINIO",VLOOKUP(Q669,'[3]Velocidades Std 1500 w'!$B$30:$F$38,5,FALSE))))</f>
        <v>4.3859649122807014E-6</v>
      </c>
      <c r="S669" s="82">
        <f t="shared" si="87"/>
        <v>2.1929824561403508E-2</v>
      </c>
      <c r="T669" s="83">
        <f t="shared" si="88"/>
        <v>36.004499999999993</v>
      </c>
      <c r="U669" s="307">
        <f t="shared" si="94"/>
        <v>2280.2849999999999</v>
      </c>
      <c r="V669" s="80">
        <f t="shared" si="93"/>
        <v>50.006249999999994</v>
      </c>
      <c r="W669" s="98">
        <v>1</v>
      </c>
      <c r="X669" s="84">
        <f>+IF(P669="ACERO A36",VLOOKUP(Q669,'[3]Tiempo Objeto'!$B$2:$C$12,2,FALSE),IF(P669="INOXIDABLE",VLOOKUP(Q669,'[3]Tiempo Objeto'!$B$14:$C$22,2,FALSE),IF(P669="ALUMINIO",VLOOKUP(Q669,'[3]Tiempo Objeto'!$B$24:$C$32,2,FALSE))))</f>
        <v>0.6133333333333334</v>
      </c>
      <c r="Y669" s="84">
        <f t="shared" si="89"/>
        <v>0.6133333333333334</v>
      </c>
      <c r="Z669" s="80">
        <f t="shared" si="90"/>
        <v>0.85185185185185197</v>
      </c>
      <c r="AA669" s="100">
        <v>4</v>
      </c>
      <c r="AB669" s="86">
        <f>+AA669*Analisis!$J$6</f>
        <v>100</v>
      </c>
      <c r="AC669" s="100"/>
      <c r="AD669" s="85">
        <f t="shared" si="91"/>
        <v>0</v>
      </c>
      <c r="AE669" s="86">
        <f>+AC669*Analisis!$J$7</f>
        <v>0</v>
      </c>
      <c r="AF669" s="308">
        <f>+H669*0.0254*I669*0.0254*2*(1+[3]Analisis!$G$2)</f>
        <v>0.71062825615999992</v>
      </c>
      <c r="AG669" s="86">
        <f>+AF669*Analisis!$J$8</f>
        <v>75.715748721809533</v>
      </c>
      <c r="AH669" s="309">
        <f t="shared" si="83"/>
        <v>391.955946811937</v>
      </c>
      <c r="AI669" s="86">
        <f>+AH669/(1-Analisis!G674)</f>
        <v>391.955946811937</v>
      </c>
      <c r="AJ669" s="86">
        <f t="shared" si="92"/>
        <v>421.45800732466347</v>
      </c>
      <c r="AK669" s="86">
        <f t="shared" si="84"/>
        <v>0</v>
      </c>
      <c r="AL669" s="310" t="e">
        <f>+VLOOKUP(B669,#REF!,2,FALSE)</f>
        <v>#REF!</v>
      </c>
      <c r="AM669" s="311" t="e">
        <f t="shared" ref="AM669:AM784" si="97">+AL669-E669</f>
        <v>#REF!</v>
      </c>
      <c r="AN669" s="312" t="e">
        <f t="shared" si="96"/>
        <v>#REF!</v>
      </c>
    </row>
    <row r="670" spans="1:40" s="73" customFormat="1" x14ac:dyDescent="0.25">
      <c r="A670" s="324"/>
      <c r="B670" s="118" t="s">
        <v>1316</v>
      </c>
      <c r="D670" s="74">
        <f>IFERROR(VLOOKUP(B670,'REQ. PINTADO'!B:C,2,0),0)</f>
        <v>0</v>
      </c>
      <c r="E670" s="305">
        <f t="shared" si="85"/>
        <v>553.83480369103154</v>
      </c>
      <c r="F670" s="103" t="s">
        <v>163</v>
      </c>
      <c r="G670" s="75" t="s">
        <v>147</v>
      </c>
      <c r="H670" s="90">
        <v>20.36</v>
      </c>
      <c r="I670" s="90">
        <v>31.64</v>
      </c>
      <c r="J670" s="76">
        <v>0.105</v>
      </c>
      <c r="K670" s="306">
        <v>16.38</v>
      </c>
      <c r="L670" s="78">
        <f t="shared" si="86"/>
        <v>32.477044034342327</v>
      </c>
      <c r="M670" s="58">
        <f>+VLOOKUP(F670,Material!$H$2:$M$17,6,FALSE)*H670*I670*(1+Material!$K$14)</f>
        <v>241.80635512842147</v>
      </c>
      <c r="N670" s="79" t="str">
        <f t="shared" si="95"/>
        <v>T5.0</v>
      </c>
      <c r="O670" s="80">
        <f>+VLOOKUP(N670,[3]Material!$A$3:$B$58,2,FALSE)</f>
        <v>5000</v>
      </c>
      <c r="P670" s="79" t="s">
        <v>42</v>
      </c>
      <c r="Q670" s="79" t="str">
        <f>+VLOOKUP(F670,[3]Material!$C$2:$E$12,2,FALSE)</f>
        <v>Cal 12</v>
      </c>
      <c r="R670" s="81">
        <f>+IF(P670="ACERO A36",VLOOKUP(Q670,'[3]Velocidades Std 1500 w'!$B$2:$F$15,5,FALSE),IF(P670="INOXIDABLE",VLOOKUP(Q670,'[3]Velocidades Std 1500 w'!$B$17:$F$28,5,FALSE),IF(P670="ALUMINIO",VLOOKUP(Q670,'[3]Velocidades Std 1500 w'!$B$30:$F$38,5,FALSE))))</f>
        <v>4.3859649122807014E-6</v>
      </c>
      <c r="S670" s="82">
        <f t="shared" si="87"/>
        <v>2.1929824561403508E-2</v>
      </c>
      <c r="T670" s="83">
        <f t="shared" si="88"/>
        <v>44.426605263157889</v>
      </c>
      <c r="U670" s="307">
        <f t="shared" si="94"/>
        <v>2813.6849999999999</v>
      </c>
      <c r="V670" s="80">
        <f t="shared" si="93"/>
        <v>61.703618421052624</v>
      </c>
      <c r="W670" s="98">
        <v>1</v>
      </c>
      <c r="X670" s="84">
        <f>+IF(P670="ACERO A36",VLOOKUP(Q670,'[3]Tiempo Objeto'!$B$2:$C$12,2,FALSE),IF(P670="INOXIDABLE",VLOOKUP(Q670,'[3]Tiempo Objeto'!$B$14:$C$22,2,FALSE),IF(P670="ALUMINIO",VLOOKUP(Q670,'[3]Tiempo Objeto'!$B$24:$C$32,2,FALSE))))</f>
        <v>0.6133333333333334</v>
      </c>
      <c r="Y670" s="84">
        <f t="shared" si="89"/>
        <v>0.6133333333333334</v>
      </c>
      <c r="Z670" s="80">
        <f t="shared" si="90"/>
        <v>0.85185185185185197</v>
      </c>
      <c r="AA670" s="100">
        <v>4</v>
      </c>
      <c r="AB670" s="86">
        <f>+AA670*Analisis!$J$6</f>
        <v>100</v>
      </c>
      <c r="AC670" s="100"/>
      <c r="AD670" s="85">
        <f t="shared" si="91"/>
        <v>0</v>
      </c>
      <c r="AE670" s="86">
        <f>+AC670*Analisis!$J$7</f>
        <v>0</v>
      </c>
      <c r="AF670" s="308">
        <f>+H670*0.0254*I670*0.0254*2*(1+[3]Analisis!$G$2)</f>
        <v>1.0390146961599998</v>
      </c>
      <c r="AG670" s="86">
        <f>+AF670*Analisis!$J$8</f>
        <v>110.70454203133335</v>
      </c>
      <c r="AH670" s="309">
        <f t="shared" si="83"/>
        <v>515.06636743265926</v>
      </c>
      <c r="AI670" s="86">
        <f>+AH670/(1-Analisis!G675)</f>
        <v>515.06636743265926</v>
      </c>
      <c r="AJ670" s="86">
        <f t="shared" si="92"/>
        <v>553.83480369103154</v>
      </c>
      <c r="AK670" s="86">
        <f t="shared" si="84"/>
        <v>0</v>
      </c>
      <c r="AL670" s="310" t="e">
        <f>+VLOOKUP(B670,#REF!,2,FALSE)</f>
        <v>#REF!</v>
      </c>
      <c r="AM670" s="311" t="e">
        <f t="shared" si="97"/>
        <v>#REF!</v>
      </c>
      <c r="AN670" s="312" t="e">
        <f t="shared" si="96"/>
        <v>#REF!</v>
      </c>
    </row>
    <row r="671" spans="1:40" s="73" customFormat="1" x14ac:dyDescent="0.25">
      <c r="A671" s="324"/>
      <c r="B671" s="118" t="s">
        <v>1324</v>
      </c>
      <c r="D671" s="74">
        <f>IFERROR(VLOOKUP(B671,'REQ. PINTADO'!B:C,2,0),0)</f>
        <v>0</v>
      </c>
      <c r="E671" s="305">
        <f t="shared" si="85"/>
        <v>607.47245881441677</v>
      </c>
      <c r="F671" s="103" t="s">
        <v>163</v>
      </c>
      <c r="G671" s="75" t="s">
        <v>147</v>
      </c>
      <c r="H671" s="90">
        <v>20.5</v>
      </c>
      <c r="I671" s="90">
        <v>37.54</v>
      </c>
      <c r="J671" s="76">
        <v>0.105</v>
      </c>
      <c r="K671" s="306">
        <v>16.38</v>
      </c>
      <c r="L671" s="78">
        <f t="shared" si="86"/>
        <v>38.798092578698508</v>
      </c>
      <c r="M671" s="58">
        <f>+VLOOKUP(F671,Material!$H$2:$M$17,6,FALSE)*H671*I671*(1+Material!$K$14)</f>
        <v>288.86943474503704</v>
      </c>
      <c r="N671" s="79" t="str">
        <f t="shared" si="95"/>
        <v>T5.0</v>
      </c>
      <c r="O671" s="80">
        <f>+VLOOKUP(N671,[3]Material!$A$3:$B$58,2,FALSE)</f>
        <v>5000</v>
      </c>
      <c r="P671" s="79" t="s">
        <v>42</v>
      </c>
      <c r="Q671" s="79" t="str">
        <f>+VLOOKUP(F671,[3]Material!$C$2:$E$12,2,FALSE)</f>
        <v>Cal 12</v>
      </c>
      <c r="R671" s="81">
        <f>+IF(P671="ACERO A36",VLOOKUP(Q671,'[3]Velocidades Std 1500 w'!$B$2:$F$15,5,FALSE),IF(P671="INOXIDABLE",VLOOKUP(Q671,'[3]Velocidades Std 1500 w'!$B$17:$F$28,5,FALSE),IF(P671="ALUMINIO",VLOOKUP(Q671,'[3]Velocidades Std 1500 w'!$B$30:$F$38,5,FALSE))))</f>
        <v>4.3859649122807014E-6</v>
      </c>
      <c r="S671" s="82">
        <f t="shared" si="87"/>
        <v>2.1929824561403508E-2</v>
      </c>
      <c r="T671" s="83">
        <f t="shared" si="88"/>
        <v>58.356767368421039</v>
      </c>
      <c r="U671" s="307">
        <f t="shared" si="94"/>
        <v>3695.9285999999993</v>
      </c>
      <c r="V671" s="80">
        <f t="shared" si="93"/>
        <v>81.051065789473668</v>
      </c>
      <c r="W671" s="98">
        <v>15</v>
      </c>
      <c r="X671" s="84">
        <f>+IF(P671="ACERO A36",VLOOKUP(Q671,'[3]Tiempo Objeto'!$B$2:$C$12,2,FALSE),IF(P671="INOXIDABLE",VLOOKUP(Q671,'[3]Tiempo Objeto'!$B$14:$C$22,2,FALSE),IF(P671="ALUMINIO",VLOOKUP(Q671,'[3]Tiempo Objeto'!$B$24:$C$32,2,FALSE))))</f>
        <v>0.6133333333333334</v>
      </c>
      <c r="Y671" s="84">
        <f t="shared" si="89"/>
        <v>9.2000000000000011</v>
      </c>
      <c r="Z671" s="80">
        <f t="shared" si="90"/>
        <v>12.77777777777778</v>
      </c>
      <c r="AA671" s="100">
        <v>2</v>
      </c>
      <c r="AB671" s="86">
        <f>+AA671*Analisis!$J$6</f>
        <v>50</v>
      </c>
      <c r="AC671" s="100"/>
      <c r="AD671" s="85">
        <f t="shared" si="91"/>
        <v>0</v>
      </c>
      <c r="AE671" s="86">
        <f>+AC671*Analisis!$J$7</f>
        <v>0</v>
      </c>
      <c r="AF671" s="308">
        <f>+H671*0.0254*I671*0.0254*2*(1+[3]Analisis!$G$2)</f>
        <v>1.2412394529999999</v>
      </c>
      <c r="AG671" s="86">
        <f>+AF671*Analisis!$J$8</f>
        <v>132.25110838511907</v>
      </c>
      <c r="AH671" s="309">
        <f t="shared" si="83"/>
        <v>564.94938669740759</v>
      </c>
      <c r="AI671" s="86">
        <f>+AH671/(1-Analisis!G676)</f>
        <v>564.94938669740759</v>
      </c>
      <c r="AJ671" s="86">
        <f t="shared" si="92"/>
        <v>607.47245881441677</v>
      </c>
      <c r="AK671" s="86">
        <f t="shared" si="84"/>
        <v>0</v>
      </c>
      <c r="AL671" s="310" t="e">
        <f>+VLOOKUP(B671,#REF!,2,FALSE)</f>
        <v>#REF!</v>
      </c>
      <c r="AM671" s="311" t="e">
        <f t="shared" si="97"/>
        <v>#REF!</v>
      </c>
      <c r="AN671" s="312" t="e">
        <f t="shared" si="96"/>
        <v>#REF!</v>
      </c>
    </row>
    <row r="672" spans="1:40" s="73" customFormat="1" x14ac:dyDescent="0.25">
      <c r="A672" s="324"/>
      <c r="B672" s="118" t="s">
        <v>1325</v>
      </c>
      <c r="D672" s="74">
        <f>IFERROR(VLOOKUP(B672,'REQ. PINTADO'!B:C,2,0),0)</f>
        <v>0</v>
      </c>
      <c r="E672" s="305">
        <f t="shared" si="85"/>
        <v>840.93700032677646</v>
      </c>
      <c r="F672" s="103" t="s">
        <v>163</v>
      </c>
      <c r="G672" s="75" t="s">
        <v>147</v>
      </c>
      <c r="H672" s="90">
        <v>30.5</v>
      </c>
      <c r="I672" s="90">
        <v>37.54</v>
      </c>
      <c r="J672" s="76">
        <v>0.105</v>
      </c>
      <c r="K672" s="306">
        <v>16.38</v>
      </c>
      <c r="L672" s="78">
        <f t="shared" si="86"/>
        <v>57.723991397575823</v>
      </c>
      <c r="M672" s="58">
        <f>+VLOOKUP(F672,Material!$H$2:$M$17,6,FALSE)*H672*I672*(1+Material!$K$14)</f>
        <v>429.78135413285992</v>
      </c>
      <c r="N672" s="79" t="str">
        <f t="shared" si="95"/>
        <v>T5.0</v>
      </c>
      <c r="O672" s="80">
        <f>+VLOOKUP(N672,[3]Material!$A$3:$B$58,2,FALSE)</f>
        <v>5000</v>
      </c>
      <c r="P672" s="79" t="s">
        <v>42</v>
      </c>
      <c r="Q672" s="79" t="str">
        <f>+VLOOKUP(F672,[3]Material!$C$2:$E$12,2,FALSE)</f>
        <v>Cal 12</v>
      </c>
      <c r="R672" s="81">
        <f>+IF(P672="ACERO A36",VLOOKUP(Q672,'[3]Velocidades Std 1500 w'!$B$2:$F$15,5,FALSE),IF(P672="INOXIDABLE",VLOOKUP(Q672,'[3]Velocidades Std 1500 w'!$B$17:$F$28,5,FALSE),IF(P672="ALUMINIO",VLOOKUP(Q672,'[3]Velocidades Std 1500 w'!$B$30:$F$38,5,FALSE))))</f>
        <v>4.3859649122807014E-6</v>
      </c>
      <c r="S672" s="82">
        <f t="shared" si="87"/>
        <v>2.1929824561403508E-2</v>
      </c>
      <c r="T672" s="83">
        <f t="shared" si="88"/>
        <v>66.778872631578935</v>
      </c>
      <c r="U672" s="307">
        <f t="shared" si="94"/>
        <v>4229.3285999999998</v>
      </c>
      <c r="V672" s="80">
        <f t="shared" si="93"/>
        <v>92.748434210526312</v>
      </c>
      <c r="W672" s="98">
        <v>15</v>
      </c>
      <c r="X672" s="84">
        <f>+IF(P672="ACERO A36",VLOOKUP(Q672,'[3]Tiempo Objeto'!$B$2:$C$12,2,FALSE),IF(P672="INOXIDABLE",VLOOKUP(Q672,'[3]Tiempo Objeto'!$B$14:$C$22,2,FALSE),IF(P672="ALUMINIO",VLOOKUP(Q672,'[3]Tiempo Objeto'!$B$24:$C$32,2,FALSE))))</f>
        <v>0.6133333333333334</v>
      </c>
      <c r="Y672" s="84">
        <f t="shared" si="89"/>
        <v>9.2000000000000011</v>
      </c>
      <c r="Z672" s="80">
        <f t="shared" si="90"/>
        <v>12.77777777777778</v>
      </c>
      <c r="AA672" s="100">
        <v>2</v>
      </c>
      <c r="AB672" s="86">
        <f>+AA672*Analisis!$J$6</f>
        <v>50</v>
      </c>
      <c r="AC672" s="100"/>
      <c r="AD672" s="85">
        <f t="shared" si="91"/>
        <v>0</v>
      </c>
      <c r="AE672" s="86">
        <f>+AC672*Analisis!$J$7</f>
        <v>0</v>
      </c>
      <c r="AF672" s="308">
        <f>+H672*0.0254*I672*0.0254*2*(1+[3]Analisis!$G$2)</f>
        <v>1.8467221129999998</v>
      </c>
      <c r="AG672" s="86">
        <f>+AF672*Analisis!$J$8</f>
        <v>196.76384418273813</v>
      </c>
      <c r="AH672" s="309">
        <f t="shared" si="83"/>
        <v>782.0714103039021</v>
      </c>
      <c r="AI672" s="86">
        <f>+AH672/(1-Analisis!G677)</f>
        <v>782.0714103039021</v>
      </c>
      <c r="AJ672" s="86">
        <f t="shared" si="92"/>
        <v>840.93700032677646</v>
      </c>
      <c r="AK672" s="86">
        <f t="shared" si="84"/>
        <v>0</v>
      </c>
      <c r="AL672" s="310" t="e">
        <f>+VLOOKUP(B672,#REF!,2,FALSE)</f>
        <v>#REF!</v>
      </c>
      <c r="AM672" s="311" t="e">
        <f t="shared" si="97"/>
        <v>#REF!</v>
      </c>
      <c r="AN672" s="312" t="e">
        <f t="shared" si="96"/>
        <v>#REF!</v>
      </c>
    </row>
    <row r="673" spans="1:40" s="73" customFormat="1" x14ac:dyDescent="0.25">
      <c r="A673" s="324"/>
      <c r="B673" s="118" t="s">
        <v>1326</v>
      </c>
      <c r="D673" s="74">
        <f>IFERROR(VLOOKUP(B673,'REQ. PINTADO'!B:C,2,0),0)</f>
        <v>0</v>
      </c>
      <c r="E673" s="305">
        <f t="shared" si="85"/>
        <v>540.87217808407206</v>
      </c>
      <c r="F673" s="103" t="s">
        <v>163</v>
      </c>
      <c r="G673" s="75" t="s">
        <v>147</v>
      </c>
      <c r="H673" s="90">
        <v>20.5</v>
      </c>
      <c r="I673" s="90">
        <v>32.54</v>
      </c>
      <c r="J673" s="76">
        <v>0.105</v>
      </c>
      <c r="K673" s="306">
        <v>16.38</v>
      </c>
      <c r="L673" s="78">
        <f t="shared" si="86"/>
        <v>33.630525639607072</v>
      </c>
      <c r="M673" s="58">
        <f>+VLOOKUP(F673,Material!$H$2:$M$17,6,FALSE)*H673*I673*(1+Material!$K$14)</f>
        <v>250.39454998943808</v>
      </c>
      <c r="N673" s="79" t="str">
        <f t="shared" si="95"/>
        <v>T5.0</v>
      </c>
      <c r="O673" s="80">
        <f>+VLOOKUP(N673,[3]Material!$A$3:$B$58,2,FALSE)</f>
        <v>5000</v>
      </c>
      <c r="P673" s="79" t="s">
        <v>42</v>
      </c>
      <c r="Q673" s="79" t="str">
        <f>+VLOOKUP(F673,[3]Material!$C$2:$E$12,2,FALSE)</f>
        <v>Cal 12</v>
      </c>
      <c r="R673" s="81">
        <f>+IF(P673="ACERO A36",VLOOKUP(Q673,'[3]Velocidades Std 1500 w'!$B$2:$F$15,5,FALSE),IF(P673="INOXIDABLE",VLOOKUP(Q673,'[3]Velocidades Std 1500 w'!$B$17:$F$28,5,FALSE),IF(P673="ALUMINIO",VLOOKUP(Q673,'[3]Velocidades Std 1500 w'!$B$30:$F$38,5,FALSE))))</f>
        <v>4.3859649122807014E-6</v>
      </c>
      <c r="S673" s="82">
        <f t="shared" si="87"/>
        <v>2.1929824561403508E-2</v>
      </c>
      <c r="T673" s="83">
        <f t="shared" si="88"/>
        <v>54.145714736842088</v>
      </c>
      <c r="U673" s="307">
        <f t="shared" si="94"/>
        <v>3429.2285999999995</v>
      </c>
      <c r="V673" s="80">
        <f t="shared" si="93"/>
        <v>75.202381578947353</v>
      </c>
      <c r="W673" s="98">
        <v>15</v>
      </c>
      <c r="X673" s="84">
        <f>+IF(P673="ACERO A36",VLOOKUP(Q673,'[3]Tiempo Objeto'!$B$2:$C$12,2,FALSE),IF(P673="INOXIDABLE",VLOOKUP(Q673,'[3]Tiempo Objeto'!$B$14:$C$22,2,FALSE),IF(P673="ALUMINIO",VLOOKUP(Q673,'[3]Tiempo Objeto'!$B$24:$C$32,2,FALSE))))</f>
        <v>0.6133333333333334</v>
      </c>
      <c r="Y673" s="84">
        <f t="shared" si="89"/>
        <v>9.2000000000000011</v>
      </c>
      <c r="Z673" s="80">
        <f t="shared" si="90"/>
        <v>12.77777777777778</v>
      </c>
      <c r="AA673" s="100">
        <v>2</v>
      </c>
      <c r="AB673" s="86">
        <f>+AA673*Analisis!$J$6</f>
        <v>50</v>
      </c>
      <c r="AC673" s="100"/>
      <c r="AD673" s="85">
        <f t="shared" si="91"/>
        <v>0</v>
      </c>
      <c r="AE673" s="86">
        <f>+AC673*Analisis!$J$7</f>
        <v>0</v>
      </c>
      <c r="AF673" s="308">
        <f>+H673*0.0254*I673*0.0254*2*(1+[3]Analisis!$G$2)</f>
        <v>1.0759172029999999</v>
      </c>
      <c r="AG673" s="86">
        <f>+AF673*Analisis!$J$8</f>
        <v>114.63641627202384</v>
      </c>
      <c r="AH673" s="309">
        <f t="shared" si="83"/>
        <v>503.01112561818701</v>
      </c>
      <c r="AI673" s="86">
        <f>+AH673/(1-Analisis!G678)</f>
        <v>503.01112561818701</v>
      </c>
      <c r="AJ673" s="86">
        <f t="shared" si="92"/>
        <v>540.87217808407206</v>
      </c>
      <c r="AK673" s="86">
        <f t="shared" si="84"/>
        <v>0</v>
      </c>
      <c r="AL673" s="310" t="e">
        <f>+VLOOKUP(B673,#REF!,2,FALSE)</f>
        <v>#REF!</v>
      </c>
      <c r="AM673" s="311" t="e">
        <f t="shared" si="97"/>
        <v>#REF!</v>
      </c>
      <c r="AN673" s="312" t="e">
        <f t="shared" si="96"/>
        <v>#REF!</v>
      </c>
    </row>
    <row r="674" spans="1:40" s="73" customFormat="1" x14ac:dyDescent="0.25">
      <c r="A674" s="324"/>
      <c r="B674" s="118" t="s">
        <v>1327</v>
      </c>
      <c r="D674" s="74">
        <f>IFERROR(VLOOKUP(B674,'REQ. PINTADO'!B:C,2,0),0)</f>
        <v>0</v>
      </c>
      <c r="E674" s="305">
        <f t="shared" si="85"/>
        <v>744.91653765638773</v>
      </c>
      <c r="F674" s="103" t="s">
        <v>163</v>
      </c>
      <c r="G674" s="75" t="s">
        <v>147</v>
      </c>
      <c r="H674" s="90">
        <v>30.5</v>
      </c>
      <c r="I674" s="90">
        <v>32.54</v>
      </c>
      <c r="J674" s="76">
        <v>0.105</v>
      </c>
      <c r="K674" s="306">
        <v>16.38</v>
      </c>
      <c r="L674" s="78">
        <f t="shared" si="86"/>
        <v>50.035660097951983</v>
      </c>
      <c r="M674" s="58">
        <f>+VLOOKUP(F674,Material!$H$2:$M$17,6,FALSE)*H674*I674*(1+Material!$K$14)</f>
        <v>372.53823291111519</v>
      </c>
      <c r="N674" s="79" t="str">
        <f t="shared" si="95"/>
        <v>T5.0</v>
      </c>
      <c r="O674" s="80">
        <f>+VLOOKUP(N674,[3]Material!$A$3:$B$58,2,FALSE)</f>
        <v>5000</v>
      </c>
      <c r="P674" s="79" t="s">
        <v>42</v>
      </c>
      <c r="Q674" s="79" t="str">
        <f>+VLOOKUP(F674,[3]Material!$C$2:$E$12,2,FALSE)</f>
        <v>Cal 12</v>
      </c>
      <c r="R674" s="81">
        <f>+IF(P674="ACERO A36",VLOOKUP(Q674,'[3]Velocidades Std 1500 w'!$B$2:$F$15,5,FALSE),IF(P674="INOXIDABLE",VLOOKUP(Q674,'[3]Velocidades Std 1500 w'!$B$17:$F$28,5,FALSE),IF(P674="ALUMINIO",VLOOKUP(Q674,'[3]Velocidades Std 1500 w'!$B$30:$F$38,5,FALSE))))</f>
        <v>4.3859649122807014E-6</v>
      </c>
      <c r="S674" s="82">
        <f t="shared" si="87"/>
        <v>2.1929824561403508E-2</v>
      </c>
      <c r="T674" s="83">
        <f t="shared" si="88"/>
        <v>62.56781999999999</v>
      </c>
      <c r="U674" s="307">
        <f t="shared" si="94"/>
        <v>3962.6285999999996</v>
      </c>
      <c r="V674" s="80">
        <f t="shared" si="93"/>
        <v>86.899749999999983</v>
      </c>
      <c r="W674" s="98">
        <v>15</v>
      </c>
      <c r="X674" s="84">
        <f>+IF(P674="ACERO A36",VLOOKUP(Q674,'[3]Tiempo Objeto'!$B$2:$C$12,2,FALSE),IF(P674="INOXIDABLE",VLOOKUP(Q674,'[3]Tiempo Objeto'!$B$14:$C$22,2,FALSE),IF(P674="ALUMINIO",VLOOKUP(Q674,'[3]Tiempo Objeto'!$B$24:$C$32,2,FALSE))))</f>
        <v>0.6133333333333334</v>
      </c>
      <c r="Y674" s="84">
        <f t="shared" si="89"/>
        <v>9.2000000000000011</v>
      </c>
      <c r="Z674" s="80">
        <f t="shared" si="90"/>
        <v>12.77777777777778</v>
      </c>
      <c r="AA674" s="100">
        <v>2</v>
      </c>
      <c r="AB674" s="86">
        <f>+AA674*Analisis!$J$6</f>
        <v>50</v>
      </c>
      <c r="AC674" s="100"/>
      <c r="AD674" s="85">
        <f t="shared" si="91"/>
        <v>0</v>
      </c>
      <c r="AE674" s="86">
        <f>+AC674*Analisis!$J$7</f>
        <v>0</v>
      </c>
      <c r="AF674" s="308">
        <f>+H674*0.0254*I674*0.0254*2*(1+[3]Analisis!$G$2)</f>
        <v>1.6007548629999999</v>
      </c>
      <c r="AG674" s="86">
        <f>+AF674*Analisis!$J$8</f>
        <v>170.55661933154767</v>
      </c>
      <c r="AH674" s="309">
        <f t="shared" si="83"/>
        <v>692.77238002044055</v>
      </c>
      <c r="AI674" s="86">
        <f>+AH674/(1-Analisis!G679)</f>
        <v>692.77238002044055</v>
      </c>
      <c r="AJ674" s="86">
        <f t="shared" si="92"/>
        <v>744.91653765638773</v>
      </c>
      <c r="AK674" s="86">
        <f t="shared" si="84"/>
        <v>0</v>
      </c>
      <c r="AL674" s="310" t="e">
        <f>+VLOOKUP(B674,#REF!,2,FALSE)</f>
        <v>#REF!</v>
      </c>
      <c r="AM674" s="311" t="e">
        <f t="shared" si="97"/>
        <v>#REF!</v>
      </c>
      <c r="AN674" s="312" t="e">
        <f t="shared" si="96"/>
        <v>#REF!</v>
      </c>
    </row>
    <row r="675" spans="1:40" s="73" customFormat="1" x14ac:dyDescent="0.25">
      <c r="A675" s="324"/>
      <c r="B675" s="118" t="s">
        <v>1395</v>
      </c>
      <c r="D675" s="74">
        <f>IFERROR(VLOOKUP(B675,'REQ. PINTADO'!B:C,2,0),0)</f>
        <v>0</v>
      </c>
      <c r="E675" s="305">
        <f t="shared" si="85"/>
        <v>242.76840589519216</v>
      </c>
      <c r="F675" s="103" t="s">
        <v>166</v>
      </c>
      <c r="G675" s="75" t="s">
        <v>147</v>
      </c>
      <c r="H675" s="90">
        <v>9.51</v>
      </c>
      <c r="I675" s="90">
        <v>14.95</v>
      </c>
      <c r="J675" s="76">
        <v>0.105</v>
      </c>
      <c r="K675" s="306">
        <v>16.38</v>
      </c>
      <c r="L675" s="78">
        <f t="shared" si="86"/>
        <v>4.3279842778005504</v>
      </c>
      <c r="M675" s="58">
        <f>+VLOOKUP(F675,Material!$H$2:$M$17,6,FALSE)*H675*I675*(1+Material!$K$14)</f>
        <v>32.223810213805912</v>
      </c>
      <c r="N675" s="79" t="str">
        <f t="shared" si="95"/>
        <v>T5.0</v>
      </c>
      <c r="O675" s="80">
        <f>+VLOOKUP(N675,[3]Material!$A$3:$B$58,2,FALSE)</f>
        <v>5000</v>
      </c>
      <c r="P675" s="79" t="s">
        <v>42</v>
      </c>
      <c r="Q675" s="79" t="str">
        <f>+VLOOKUP(F675,[3]Material!$C$2:$E$12,2,FALSE)</f>
        <v>Cal 16</v>
      </c>
      <c r="R675" s="81">
        <f>+IF(P675="ACERO A36",VLOOKUP(Q675,'[3]Velocidades Std 1500 w'!$B$2:$F$15,5,FALSE),IF(P675="INOXIDABLE",VLOOKUP(Q675,'[3]Velocidades Std 1500 w'!$B$17:$F$28,5,FALSE),IF(P675="ALUMINIO",VLOOKUP(Q675,'[3]Velocidades Std 1500 w'!$B$30:$F$38,5,FALSE))))</f>
        <v>9.1575091575091579E-7</v>
      </c>
      <c r="S675" s="82">
        <f t="shared" si="87"/>
        <v>4.578754578754579E-3</v>
      </c>
      <c r="T675" s="83">
        <f t="shared" si="88"/>
        <v>7.5983123076923071</v>
      </c>
      <c r="U675" s="307">
        <f t="shared" si="94"/>
        <v>2304.8213999999998</v>
      </c>
      <c r="V675" s="80">
        <f t="shared" si="93"/>
        <v>10.553211538461538</v>
      </c>
      <c r="W675" s="98">
        <v>25</v>
      </c>
      <c r="X675" s="84">
        <f>+IF(P675="ACERO A36",VLOOKUP(Q675,'[3]Tiempo Objeto'!$B$2:$C$12,2,FALSE),IF(P675="INOXIDABLE",VLOOKUP(Q675,'[3]Tiempo Objeto'!$B$14:$C$22,2,FALSE),IF(P675="ALUMINIO",VLOOKUP(Q675,'[3]Tiempo Objeto'!$B$24:$C$32,2,FALSE))))</f>
        <v>0.24666666666666667</v>
      </c>
      <c r="Y675" s="84">
        <f t="shared" si="89"/>
        <v>6.166666666666667</v>
      </c>
      <c r="Z675" s="80">
        <f t="shared" si="90"/>
        <v>8.5648148148148149</v>
      </c>
      <c r="AA675" s="100">
        <v>6</v>
      </c>
      <c r="AB675" s="86">
        <f>+AA675*Analisis!$J$6</f>
        <v>150</v>
      </c>
      <c r="AC675" s="100"/>
      <c r="AD675" s="85">
        <f t="shared" si="91"/>
        <v>0</v>
      </c>
      <c r="AE675" s="86">
        <f>+AC675*Analisis!$J$7</f>
        <v>0</v>
      </c>
      <c r="AF675" s="308">
        <f>+H675*0.0254*I675*0.0254*2*(1+[3]Analisis!$G$2)</f>
        <v>0.22931325104999997</v>
      </c>
      <c r="AG675" s="86">
        <f>+AF675*Analisis!$J$8</f>
        <v>24.432780915446433</v>
      </c>
      <c r="AH675" s="309">
        <f t="shared" si="83"/>
        <v>225.7746174825287</v>
      </c>
      <c r="AI675" s="86">
        <f>+AH675/(1-Analisis!G680)</f>
        <v>225.7746174825287</v>
      </c>
      <c r="AJ675" s="86">
        <f t="shared" si="92"/>
        <v>242.76840589519216</v>
      </c>
      <c r="AK675" s="86">
        <f t="shared" si="84"/>
        <v>0</v>
      </c>
      <c r="AL675" s="310" t="e">
        <f>+VLOOKUP(B675,#REF!,2,FALSE)</f>
        <v>#REF!</v>
      </c>
      <c r="AM675" s="311" t="e">
        <f t="shared" si="97"/>
        <v>#REF!</v>
      </c>
      <c r="AN675" s="312" t="e">
        <f t="shared" si="96"/>
        <v>#REF!</v>
      </c>
    </row>
    <row r="676" spans="1:40" s="73" customFormat="1" x14ac:dyDescent="0.25">
      <c r="A676" s="324"/>
      <c r="B676" s="118" t="s">
        <v>1396</v>
      </c>
      <c r="D676" s="74">
        <f>IFERROR(VLOOKUP(B676,'REQ. PINTADO'!B:C,2,0),0)</f>
        <v>0</v>
      </c>
      <c r="E676" s="305">
        <f t="shared" si="85"/>
        <v>286.14441994147717</v>
      </c>
      <c r="F676" s="103" t="s">
        <v>166</v>
      </c>
      <c r="G676" s="75" t="s">
        <v>147</v>
      </c>
      <c r="H676" s="90">
        <v>9.51</v>
      </c>
      <c r="I676" s="90">
        <v>24.95</v>
      </c>
      <c r="J676" s="76">
        <v>0.105</v>
      </c>
      <c r="K676" s="306">
        <v>16.38</v>
      </c>
      <c r="L676" s="78">
        <f t="shared" si="86"/>
        <v>7.2229570388711526</v>
      </c>
      <c r="M676" s="58">
        <f>+VLOOKUP(F676,Material!$H$2:$M$17,6,FALSE)*H676*I676*(1+Material!$K$14)</f>
        <v>53.778198316686122</v>
      </c>
      <c r="N676" s="79" t="str">
        <f t="shared" si="95"/>
        <v>T5.0</v>
      </c>
      <c r="O676" s="80">
        <f>+VLOOKUP(N676,[3]Material!$A$3:$B$58,2,FALSE)</f>
        <v>5000</v>
      </c>
      <c r="P676" s="79" t="s">
        <v>42</v>
      </c>
      <c r="Q676" s="79" t="str">
        <f>+VLOOKUP(F676,[3]Material!$C$2:$E$12,2,FALSE)</f>
        <v>Cal 16</v>
      </c>
      <c r="R676" s="81">
        <f>+IF(P676="ACERO A36",VLOOKUP(Q676,'[3]Velocidades Std 1500 w'!$B$2:$F$15,5,FALSE),IF(P676="INOXIDABLE",VLOOKUP(Q676,'[3]Velocidades Std 1500 w'!$B$17:$F$28,5,FALSE),IF(P676="ALUMINIO",VLOOKUP(Q676,'[3]Velocidades Std 1500 w'!$B$30:$F$38,5,FALSE))))</f>
        <v>9.1575091575091579E-7</v>
      </c>
      <c r="S676" s="82">
        <f t="shared" si="87"/>
        <v>4.578754578754579E-3</v>
      </c>
      <c r="T676" s="83">
        <f t="shared" si="88"/>
        <v>9.3567738461538461</v>
      </c>
      <c r="U676" s="307">
        <f t="shared" si="94"/>
        <v>2838.2213999999999</v>
      </c>
      <c r="V676" s="80">
        <f t="shared" si="93"/>
        <v>12.995519230769231</v>
      </c>
      <c r="W676" s="98">
        <v>25</v>
      </c>
      <c r="X676" s="84">
        <f>+IF(P676="ACERO A36",VLOOKUP(Q676,'[3]Tiempo Objeto'!$B$2:$C$12,2,FALSE),IF(P676="INOXIDABLE",VLOOKUP(Q676,'[3]Tiempo Objeto'!$B$14:$C$22,2,FALSE),IF(P676="ALUMINIO",VLOOKUP(Q676,'[3]Tiempo Objeto'!$B$24:$C$32,2,FALSE))))</f>
        <v>0.24666666666666667</v>
      </c>
      <c r="Y676" s="84">
        <f t="shared" si="89"/>
        <v>6.166666666666667</v>
      </c>
      <c r="Z676" s="80">
        <f t="shared" si="90"/>
        <v>8.5648148148148149</v>
      </c>
      <c r="AA676" s="100">
        <v>6</v>
      </c>
      <c r="AB676" s="86">
        <f>+AA676*Analisis!$J$6</f>
        <v>150</v>
      </c>
      <c r="AC676" s="100"/>
      <c r="AD676" s="85">
        <f t="shared" si="91"/>
        <v>0</v>
      </c>
      <c r="AE676" s="86">
        <f>+AC676*Analisis!$J$7</f>
        <v>0</v>
      </c>
      <c r="AF676" s="308">
        <f>+H676*0.0254*I676*0.0254*2*(1+[3]Analisis!$G$2)</f>
        <v>0.38270004104999988</v>
      </c>
      <c r="AG676" s="86">
        <f>+AF676*Analisis!$J$8</f>
        <v>40.775778183303572</v>
      </c>
      <c r="AH676" s="309">
        <f t="shared" si="83"/>
        <v>266.11431054557374</v>
      </c>
      <c r="AI676" s="86">
        <f>+AH676/(1-Analisis!G681)</f>
        <v>266.11431054557374</v>
      </c>
      <c r="AJ676" s="86">
        <f t="shared" si="92"/>
        <v>286.14441994147717</v>
      </c>
      <c r="AK676" s="86">
        <f t="shared" si="84"/>
        <v>0</v>
      </c>
      <c r="AL676" s="310" t="e">
        <f>+VLOOKUP(B676,#REF!,2,FALSE)</f>
        <v>#REF!</v>
      </c>
      <c r="AM676" s="311" t="e">
        <f t="shared" si="97"/>
        <v>#REF!</v>
      </c>
      <c r="AN676" s="312" t="e">
        <f t="shared" si="96"/>
        <v>#REF!</v>
      </c>
    </row>
    <row r="677" spans="1:40" s="73" customFormat="1" x14ac:dyDescent="0.25">
      <c r="A677" s="324"/>
      <c r="B677" s="118" t="s">
        <v>1397</v>
      </c>
      <c r="D677" s="74">
        <f>IFERROR(VLOOKUP(B677,'REQ. PINTADO'!B:C,2,0),0)</f>
        <v>0</v>
      </c>
      <c r="E677" s="305">
        <f t="shared" si="85"/>
        <v>238.40891300938404</v>
      </c>
      <c r="F677" s="103" t="s">
        <v>166</v>
      </c>
      <c r="G677" s="75" t="s">
        <v>147</v>
      </c>
      <c r="H677" s="90">
        <v>7.39</v>
      </c>
      <c r="I677" s="90">
        <v>19.45</v>
      </c>
      <c r="J677" s="76">
        <v>0.105</v>
      </c>
      <c r="K677" s="306">
        <v>16.38</v>
      </c>
      <c r="L677" s="78">
        <f t="shared" si="86"/>
        <v>4.3755032313234858</v>
      </c>
      <c r="M677" s="58">
        <f>+VLOOKUP(F677,Material!$H$2:$M$17,6,FALSE)*H677*I677*(1+Material!$K$14)</f>
        <v>32.577610422308496</v>
      </c>
      <c r="N677" s="79" t="str">
        <f t="shared" si="95"/>
        <v>T5.0</v>
      </c>
      <c r="O677" s="80">
        <f>+VLOOKUP(N677,[3]Material!$A$3:$B$58,2,FALSE)</f>
        <v>5000</v>
      </c>
      <c r="P677" s="79" t="s">
        <v>42</v>
      </c>
      <c r="Q677" s="79" t="str">
        <f>+VLOOKUP(F677,[3]Material!$C$2:$E$12,2,FALSE)</f>
        <v>Cal 16</v>
      </c>
      <c r="R677" s="81">
        <f>+IF(P677="ACERO A36",VLOOKUP(Q677,'[3]Velocidades Std 1500 w'!$B$2:$F$15,5,FALSE),IF(P677="INOXIDABLE",VLOOKUP(Q677,'[3]Velocidades Std 1500 w'!$B$17:$F$28,5,FALSE),IF(P677="ALUMINIO",VLOOKUP(Q677,'[3]Velocidades Std 1500 w'!$B$30:$F$38,5,FALSE))))</f>
        <v>9.1575091575091579E-7</v>
      </c>
      <c r="S677" s="82">
        <f t="shared" si="87"/>
        <v>4.578754578754579E-3</v>
      </c>
      <c r="T677" s="83">
        <f t="shared" si="88"/>
        <v>6.6979800000000003</v>
      </c>
      <c r="U677" s="307">
        <f t="shared" si="94"/>
        <v>2031.7206000000001</v>
      </c>
      <c r="V677" s="80">
        <f t="shared" si="93"/>
        <v>9.3027500000000014</v>
      </c>
      <c r="W677" s="98">
        <v>15</v>
      </c>
      <c r="X677" s="84">
        <f>+IF(P677="ACERO A36",VLOOKUP(Q677,'[3]Tiempo Objeto'!$B$2:$C$12,2,FALSE),IF(P677="INOXIDABLE",VLOOKUP(Q677,'[3]Tiempo Objeto'!$B$14:$C$22,2,FALSE),IF(P677="ALUMINIO",VLOOKUP(Q677,'[3]Tiempo Objeto'!$B$24:$C$32,2,FALSE))))</f>
        <v>0.24666666666666667</v>
      </c>
      <c r="Y677" s="84">
        <f t="shared" si="89"/>
        <v>3.7</v>
      </c>
      <c r="Z677" s="80">
        <f t="shared" si="90"/>
        <v>5.1388888888888893</v>
      </c>
      <c r="AA677" s="100">
        <v>6</v>
      </c>
      <c r="AB677" s="86">
        <f>+AA677*Analisis!$J$6</f>
        <v>150</v>
      </c>
      <c r="AC677" s="100"/>
      <c r="AD677" s="85">
        <f t="shared" si="91"/>
        <v>0</v>
      </c>
      <c r="AE677" s="86">
        <f>+AC677*Analisis!$J$7</f>
        <v>0</v>
      </c>
      <c r="AF677" s="308">
        <f>+H677*0.0254*I677*0.0254*2*(1+[3]Analisis!$G$2)</f>
        <v>0.23183098794999996</v>
      </c>
      <c r="AG677" s="86">
        <f>+AF677*Analisis!$J$8</f>
        <v>24.701039787529766</v>
      </c>
      <c r="AH677" s="309">
        <f t="shared" si="83"/>
        <v>221.72028909872714</v>
      </c>
      <c r="AI677" s="86">
        <f>+AH677/(1-Analisis!G682)</f>
        <v>221.72028909872714</v>
      </c>
      <c r="AJ677" s="86">
        <f t="shared" si="92"/>
        <v>238.40891300938404</v>
      </c>
      <c r="AK677" s="86">
        <f t="shared" si="84"/>
        <v>0</v>
      </c>
      <c r="AL677" s="310" t="e">
        <f>+VLOOKUP(B677,#REF!,2,FALSE)</f>
        <v>#REF!</v>
      </c>
      <c r="AM677" s="311" t="e">
        <f t="shared" si="97"/>
        <v>#REF!</v>
      </c>
      <c r="AN677" s="312" t="e">
        <f t="shared" si="96"/>
        <v>#REF!</v>
      </c>
    </row>
    <row r="678" spans="1:40" s="73" customFormat="1" x14ac:dyDescent="0.25">
      <c r="A678" s="324"/>
      <c r="B678" s="118" t="s">
        <v>1398</v>
      </c>
      <c r="D678" s="74">
        <f>IFERROR(VLOOKUP(B678,'REQ. PINTADO'!B:C,2,0),0)</f>
        <v>0</v>
      </c>
      <c r="E678" s="305">
        <f t="shared" si="85"/>
        <v>272.70083255571279</v>
      </c>
      <c r="F678" s="103" t="s">
        <v>166</v>
      </c>
      <c r="G678" s="75" t="s">
        <v>147</v>
      </c>
      <c r="H678" s="90">
        <v>7.39</v>
      </c>
      <c r="I678" s="90">
        <v>29.45</v>
      </c>
      <c r="J678" s="76">
        <v>0.105</v>
      </c>
      <c r="K678" s="306">
        <v>16.38</v>
      </c>
      <c r="L678" s="78">
        <f t="shared" si="86"/>
        <v>6.625119288559211</v>
      </c>
      <c r="M678" s="58">
        <f>+VLOOKUP(F678,Material!$H$2:$M$17,6,FALSE)*H678*I678*(1+Material!$K$14)</f>
        <v>49.327024521181755</v>
      </c>
      <c r="N678" s="79" t="str">
        <f t="shared" si="95"/>
        <v>T5.0</v>
      </c>
      <c r="O678" s="80">
        <f>+VLOOKUP(N678,[3]Material!$A$3:$B$58,2,FALSE)</f>
        <v>5000</v>
      </c>
      <c r="P678" s="79" t="s">
        <v>42</v>
      </c>
      <c r="Q678" s="79" t="str">
        <f>+VLOOKUP(F678,[3]Material!$C$2:$E$12,2,FALSE)</f>
        <v>Cal 16</v>
      </c>
      <c r="R678" s="81">
        <f>+IF(P678="ACERO A36",VLOOKUP(Q678,'[3]Velocidades Std 1500 w'!$B$2:$F$15,5,FALSE),IF(P678="INOXIDABLE",VLOOKUP(Q678,'[3]Velocidades Std 1500 w'!$B$17:$F$28,5,FALSE),IF(P678="ALUMINIO",VLOOKUP(Q678,'[3]Velocidades Std 1500 w'!$B$30:$F$38,5,FALSE))))</f>
        <v>9.1575091575091579E-7</v>
      </c>
      <c r="S678" s="82">
        <f t="shared" si="87"/>
        <v>4.578754578754579E-3</v>
      </c>
      <c r="T678" s="83">
        <f t="shared" si="88"/>
        <v>8.4564415384615383</v>
      </c>
      <c r="U678" s="307">
        <f t="shared" si="94"/>
        <v>2565.1205999999997</v>
      </c>
      <c r="V678" s="80">
        <f t="shared" si="93"/>
        <v>11.745057692307691</v>
      </c>
      <c r="W678" s="98">
        <v>15</v>
      </c>
      <c r="X678" s="84">
        <f>+IF(P678="ACERO A36",VLOOKUP(Q678,'[3]Tiempo Objeto'!$B$2:$C$12,2,FALSE),IF(P678="INOXIDABLE",VLOOKUP(Q678,'[3]Tiempo Objeto'!$B$14:$C$22,2,FALSE),IF(P678="ALUMINIO",VLOOKUP(Q678,'[3]Tiempo Objeto'!$B$24:$C$32,2,FALSE))))</f>
        <v>0.24666666666666667</v>
      </c>
      <c r="Y678" s="84">
        <f t="shared" si="89"/>
        <v>3.7</v>
      </c>
      <c r="Z678" s="80">
        <f t="shared" si="90"/>
        <v>5.1388888888888893</v>
      </c>
      <c r="AA678" s="100">
        <v>6</v>
      </c>
      <c r="AB678" s="86">
        <f>+AA678*Analisis!$J$6</f>
        <v>150</v>
      </c>
      <c r="AC678" s="100"/>
      <c r="AD678" s="85">
        <f t="shared" si="91"/>
        <v>0</v>
      </c>
      <c r="AE678" s="86">
        <f>+AC678*Analisis!$J$7</f>
        <v>0</v>
      </c>
      <c r="AF678" s="308">
        <f>+H678*0.0254*I678*0.0254*2*(1+[3]Analisis!$G$2)</f>
        <v>0.35102429794999995</v>
      </c>
      <c r="AG678" s="86">
        <f>+AF678*Analisis!$J$8</f>
        <v>37.400803174434529</v>
      </c>
      <c r="AH678" s="309">
        <f t="shared" si="83"/>
        <v>253.61177427681287</v>
      </c>
      <c r="AI678" s="86">
        <f>+AH678/(1-Analisis!G683)</f>
        <v>253.61177427681287</v>
      </c>
      <c r="AJ678" s="86">
        <f t="shared" si="92"/>
        <v>272.70083255571279</v>
      </c>
      <c r="AK678" s="86">
        <f t="shared" si="84"/>
        <v>0</v>
      </c>
      <c r="AL678" s="310" t="e">
        <f>+VLOOKUP(B678,#REF!,2,FALSE)</f>
        <v>#REF!</v>
      </c>
      <c r="AM678" s="311" t="e">
        <f t="shared" si="97"/>
        <v>#REF!</v>
      </c>
      <c r="AN678" s="312" t="e">
        <f t="shared" si="96"/>
        <v>#REF!</v>
      </c>
    </row>
    <row r="679" spans="1:40" s="73" customFormat="1" x14ac:dyDescent="0.25">
      <c r="A679" s="324"/>
      <c r="B679" s="118" t="s">
        <v>1402</v>
      </c>
      <c r="D679" s="74">
        <f>IFERROR(VLOOKUP(B679,'REQ. PINTADO'!B:C,2,0),0)</f>
        <v>0</v>
      </c>
      <c r="E679" s="305">
        <f t="shared" si="85"/>
        <v>349.97262434726775</v>
      </c>
      <c r="F679" s="103" t="s">
        <v>163</v>
      </c>
      <c r="G679" s="75" t="s">
        <v>147</v>
      </c>
      <c r="H679" s="90">
        <v>10.59</v>
      </c>
      <c r="I679" s="90">
        <v>24.14</v>
      </c>
      <c r="J679" s="76">
        <v>0.105</v>
      </c>
      <c r="K679" s="306">
        <v>16.38</v>
      </c>
      <c r="L679" s="78">
        <f t="shared" si="86"/>
        <v>12.888295102276844</v>
      </c>
      <c r="M679" s="58">
        <f>+VLOOKUP(F679,Material!$H$2:$M$17,6,FALSE)*H679*I679*(1+Material!$K$14)</f>
        <v>95.959215352406673</v>
      </c>
      <c r="N679" s="79" t="str">
        <f t="shared" si="95"/>
        <v>T5.0</v>
      </c>
      <c r="O679" s="80">
        <f>+VLOOKUP(N679,[3]Material!$A$3:$B$58,2,FALSE)</f>
        <v>5000</v>
      </c>
      <c r="P679" s="79" t="s">
        <v>42</v>
      </c>
      <c r="Q679" s="79" t="str">
        <f>+VLOOKUP(F679,[3]Material!$C$2:$E$12,2,FALSE)</f>
        <v>Cal 12</v>
      </c>
      <c r="R679" s="81">
        <f>+IF(P679="ACERO A36",VLOOKUP(Q679,'[3]Velocidades Std 1500 w'!$B$2:$F$15,5,FALSE),IF(P679="INOXIDABLE",VLOOKUP(Q679,'[3]Velocidades Std 1500 w'!$B$17:$F$28,5,FALSE),IF(P679="ALUMINIO",VLOOKUP(Q679,'[3]Velocidades Std 1500 w'!$B$30:$F$38,5,FALSE))))</f>
        <v>4.3859649122807014E-6</v>
      </c>
      <c r="S679" s="82">
        <f t="shared" si="87"/>
        <v>2.1929824561403508E-2</v>
      </c>
      <c r="T679" s="83">
        <f t="shared" si="88"/>
        <v>45.67307684210526</v>
      </c>
      <c r="U679" s="307">
        <f t="shared" si="94"/>
        <v>2892.6282000000001</v>
      </c>
      <c r="V679" s="80">
        <f t="shared" si="93"/>
        <v>63.434828947368423</v>
      </c>
      <c r="W679" s="98">
        <v>26</v>
      </c>
      <c r="X679" s="84">
        <f>+IF(P679="ACERO A36",VLOOKUP(Q679,'[3]Tiempo Objeto'!$B$2:$C$12,2,FALSE),IF(P679="INOXIDABLE",VLOOKUP(Q679,'[3]Tiempo Objeto'!$B$14:$C$22,2,FALSE),IF(P679="ALUMINIO",VLOOKUP(Q679,'[3]Tiempo Objeto'!$B$24:$C$32,2,FALSE))))</f>
        <v>0.6133333333333334</v>
      </c>
      <c r="Y679" s="84">
        <f t="shared" si="89"/>
        <v>15.946666666666669</v>
      </c>
      <c r="Z679" s="80">
        <f t="shared" si="90"/>
        <v>22.148148148148152</v>
      </c>
      <c r="AA679" s="100">
        <v>4</v>
      </c>
      <c r="AB679" s="86">
        <f>+AA679*Analisis!$J$6</f>
        <v>100</v>
      </c>
      <c r="AC679" s="100"/>
      <c r="AD679" s="85">
        <f t="shared" si="91"/>
        <v>0</v>
      </c>
      <c r="AE679" s="86">
        <f>+AC679*Analisis!$J$7</f>
        <v>0</v>
      </c>
      <c r="AF679" s="308">
        <f>+H679*0.0254*I679*0.0254*2*(1+[3]Analisis!$G$2)</f>
        <v>0.41232594953999996</v>
      </c>
      <c r="AG679" s="86">
        <f>+AF679*Analisis!$J$8</f>
        <v>43.932348195035722</v>
      </c>
      <c r="AH679" s="309">
        <f t="shared" si="83"/>
        <v>325.47454064295897</v>
      </c>
      <c r="AI679" s="86">
        <f>+AH679/(1-Analisis!G684)</f>
        <v>325.47454064295897</v>
      </c>
      <c r="AJ679" s="86">
        <f t="shared" si="92"/>
        <v>349.97262434726775</v>
      </c>
      <c r="AK679" s="86">
        <f t="shared" si="84"/>
        <v>0</v>
      </c>
      <c r="AL679" s="310" t="e">
        <f>+VLOOKUP(B679,#REF!,2,FALSE)</f>
        <v>#REF!</v>
      </c>
      <c r="AM679" s="311" t="e">
        <f t="shared" si="97"/>
        <v>#REF!</v>
      </c>
      <c r="AN679" s="312" t="e">
        <f t="shared" si="96"/>
        <v>#REF!</v>
      </c>
    </row>
    <row r="680" spans="1:40" s="73" customFormat="1" x14ac:dyDescent="0.25">
      <c r="A680" s="324"/>
      <c r="B680" s="118" t="s">
        <v>1403</v>
      </c>
      <c r="D680" s="74">
        <f>IFERROR(VLOOKUP(B680,'REQ. PINTADO'!B:C,2,0),0)</f>
        <v>0</v>
      </c>
      <c r="E680" s="305">
        <f t="shared" si="85"/>
        <v>424.86238520278954</v>
      </c>
      <c r="F680" s="103" t="s">
        <v>163</v>
      </c>
      <c r="G680" s="75" t="s">
        <v>147</v>
      </c>
      <c r="H680" s="90">
        <v>10.59</v>
      </c>
      <c r="I680" s="90">
        <v>34.14</v>
      </c>
      <c r="J680" s="76">
        <v>0.105</v>
      </c>
      <c r="K680" s="306">
        <v>16.38</v>
      </c>
      <c r="L680" s="78">
        <f t="shared" si="86"/>
        <v>18.227274017884486</v>
      </c>
      <c r="M680" s="58">
        <f>+VLOOKUP(F680,Material!$H$2:$M$17,6,FALSE)*H680*I680*(1+Material!$K$14)</f>
        <v>135.71034018770357</v>
      </c>
      <c r="N680" s="79" t="str">
        <f t="shared" si="95"/>
        <v>T5.0</v>
      </c>
      <c r="O680" s="80">
        <f>+VLOOKUP(N680,[3]Material!$A$3:$B$58,2,FALSE)</f>
        <v>5000</v>
      </c>
      <c r="P680" s="79" t="s">
        <v>42</v>
      </c>
      <c r="Q680" s="79" t="str">
        <f>+VLOOKUP(F680,[3]Material!$C$2:$E$12,2,FALSE)</f>
        <v>Cal 12</v>
      </c>
      <c r="R680" s="81">
        <f>+IF(P680="ACERO A36",VLOOKUP(Q680,'[3]Velocidades Std 1500 w'!$B$2:$F$15,5,FALSE),IF(P680="INOXIDABLE",VLOOKUP(Q680,'[3]Velocidades Std 1500 w'!$B$17:$F$28,5,FALSE),IF(P680="ALUMINIO",VLOOKUP(Q680,'[3]Velocidades Std 1500 w'!$B$30:$F$38,5,FALSE))))</f>
        <v>4.3859649122807014E-6</v>
      </c>
      <c r="S680" s="82">
        <f t="shared" si="87"/>
        <v>2.1929824561403508E-2</v>
      </c>
      <c r="T680" s="83">
        <f t="shared" si="88"/>
        <v>54.095182105263156</v>
      </c>
      <c r="U680" s="307">
        <f t="shared" si="94"/>
        <v>3426.0282000000002</v>
      </c>
      <c r="V680" s="80">
        <f t="shared" si="93"/>
        <v>75.132197368421046</v>
      </c>
      <c r="W680" s="98">
        <v>26</v>
      </c>
      <c r="X680" s="84">
        <f>+IF(P680="ACERO A36",VLOOKUP(Q680,'[3]Tiempo Objeto'!$B$2:$C$12,2,FALSE),IF(P680="INOXIDABLE",VLOOKUP(Q680,'[3]Tiempo Objeto'!$B$14:$C$22,2,FALSE),IF(P680="ALUMINIO",VLOOKUP(Q680,'[3]Tiempo Objeto'!$B$24:$C$32,2,FALSE))))</f>
        <v>0.6133333333333334</v>
      </c>
      <c r="Y680" s="84">
        <f t="shared" si="89"/>
        <v>15.946666666666669</v>
      </c>
      <c r="Z680" s="80">
        <f t="shared" si="90"/>
        <v>22.148148148148152</v>
      </c>
      <c r="AA680" s="100">
        <v>4</v>
      </c>
      <c r="AB680" s="86">
        <f>+AA680*Analisis!$J$6</f>
        <v>100</v>
      </c>
      <c r="AC680" s="100"/>
      <c r="AD680" s="85">
        <f t="shared" si="91"/>
        <v>0</v>
      </c>
      <c r="AE680" s="86">
        <f>+AC680*Analisis!$J$7</f>
        <v>0</v>
      </c>
      <c r="AF680" s="308">
        <f>+H680*0.0254*I680*0.0254*2*(1+[3]Analisis!$G$2)</f>
        <v>0.58313205954000003</v>
      </c>
      <c r="AG680" s="86">
        <f>+AF680*Analisis!$J$8</f>
        <v>62.131332534321452</v>
      </c>
      <c r="AH680" s="309">
        <f t="shared" si="83"/>
        <v>395.12201823859425</v>
      </c>
      <c r="AI680" s="86">
        <f>+AH680/(1-Analisis!G685)</f>
        <v>395.12201823859425</v>
      </c>
      <c r="AJ680" s="86">
        <f t="shared" si="92"/>
        <v>424.86238520278954</v>
      </c>
      <c r="AK680" s="86">
        <f t="shared" si="84"/>
        <v>0</v>
      </c>
      <c r="AL680" s="310" t="e">
        <f>+VLOOKUP(B680,#REF!,2,FALSE)</f>
        <v>#REF!</v>
      </c>
      <c r="AM680" s="311" t="e">
        <f t="shared" si="97"/>
        <v>#REF!</v>
      </c>
      <c r="AN680" s="312" t="e">
        <f t="shared" si="96"/>
        <v>#REF!</v>
      </c>
    </row>
    <row r="681" spans="1:40" s="73" customFormat="1" x14ac:dyDescent="0.25">
      <c r="A681" s="324"/>
      <c r="B681" s="118" t="s">
        <v>1212</v>
      </c>
      <c r="D681" s="74">
        <f>IFERROR(VLOOKUP(B681,'REQ. PINTADO'!B:C,2,0),0)</f>
        <v>0</v>
      </c>
      <c r="E681" s="305">
        <f t="shared" si="85"/>
        <v>455.63590191395338</v>
      </c>
      <c r="F681" s="103" t="s">
        <v>163</v>
      </c>
      <c r="G681" s="75" t="s">
        <v>147</v>
      </c>
      <c r="H681" s="90">
        <v>4.0599999999999996</v>
      </c>
      <c r="I681" s="90">
        <v>99.114000000000004</v>
      </c>
      <c r="J681" s="76">
        <v>0.105</v>
      </c>
      <c r="K681" s="306">
        <v>16.38</v>
      </c>
      <c r="L681" s="78">
        <f t="shared" si="86"/>
        <v>20.287254752980498</v>
      </c>
      <c r="M681" s="58">
        <f>+VLOOKUP(F681,Material!$H$2:$M$17,6,FALSE)*H681*I681*(1+Material!$K$14)</f>
        <v>151.04783311537295</v>
      </c>
      <c r="N681" s="79" t="str">
        <f t="shared" si="95"/>
        <v>T5.0</v>
      </c>
      <c r="O681" s="80">
        <f>+VLOOKUP(N681,[3]Material!$A$3:$B$58,2,FALSE)</f>
        <v>5000</v>
      </c>
      <c r="P681" s="79" t="s">
        <v>42</v>
      </c>
      <c r="Q681" s="79" t="str">
        <f>+VLOOKUP(F681,[3]Material!$C$2:$E$12,2,FALSE)</f>
        <v>Cal 12</v>
      </c>
      <c r="R681" s="81">
        <f>+IF(P681="ACERO A36",VLOOKUP(Q681,'[3]Velocidades Std 1500 w'!$B$2:$F$15,5,FALSE),IF(P681="INOXIDABLE",VLOOKUP(Q681,'[3]Velocidades Std 1500 w'!$B$17:$F$28,5,FALSE),IF(P681="ALUMINIO",VLOOKUP(Q681,'[3]Velocidades Std 1500 w'!$B$30:$F$38,5,FALSE))))</f>
        <v>4.3859649122807014E-6</v>
      </c>
      <c r="S681" s="82">
        <f t="shared" si="87"/>
        <v>2.1929824561403508E-2</v>
      </c>
      <c r="T681" s="83">
        <f t="shared" si="88"/>
        <v>98.895728842105257</v>
      </c>
      <c r="U681" s="307">
        <f t="shared" si="94"/>
        <v>6263.3961600000002</v>
      </c>
      <c r="V681" s="80">
        <f t="shared" si="93"/>
        <v>137.35517894736842</v>
      </c>
      <c r="W681" s="98">
        <v>19</v>
      </c>
      <c r="X681" s="84">
        <f>+IF(P681="ACERO A36",VLOOKUP(Q681,'[3]Tiempo Objeto'!$B$2:$C$12,2,FALSE),IF(P681="INOXIDABLE",VLOOKUP(Q681,'[3]Tiempo Objeto'!$B$14:$C$22,2,FALSE),IF(P681="ALUMINIO",VLOOKUP(Q681,'[3]Tiempo Objeto'!$B$24:$C$32,2,FALSE))))</f>
        <v>0.6133333333333334</v>
      </c>
      <c r="Y681" s="84">
        <f t="shared" si="89"/>
        <v>11.653333333333334</v>
      </c>
      <c r="Z681" s="80">
        <f t="shared" si="90"/>
        <v>16.185185185185187</v>
      </c>
      <c r="AA681" s="100">
        <v>2</v>
      </c>
      <c r="AB681" s="86">
        <f>+AA681*Analisis!$J$6</f>
        <v>50</v>
      </c>
      <c r="AC681" s="100"/>
      <c r="AD681" s="85">
        <f t="shared" si="91"/>
        <v>0</v>
      </c>
      <c r="AE681" s="86">
        <f>+AC681*Analisis!$J$7</f>
        <v>0</v>
      </c>
      <c r="AF681" s="308">
        <f>+H681*0.0254*I681*0.0254*2*(1+[3]Analisis!$G$2)</f>
        <v>0.64903554063599989</v>
      </c>
      <c r="AG681" s="86">
        <f>+AF681*Analisis!$J$8</f>
        <v>69.153191532050002</v>
      </c>
      <c r="AH681" s="309">
        <f t="shared" si="83"/>
        <v>423.7413887799766</v>
      </c>
      <c r="AI681" s="86">
        <f>+AH681/(1-Analisis!G686)</f>
        <v>423.7413887799766</v>
      </c>
      <c r="AJ681" s="86">
        <f t="shared" si="92"/>
        <v>455.63590191395338</v>
      </c>
      <c r="AK681" s="86">
        <f t="shared" si="84"/>
        <v>0</v>
      </c>
      <c r="AL681" s="310" t="e">
        <f>+VLOOKUP(B681,#REF!,2,FALSE)</f>
        <v>#REF!</v>
      </c>
      <c r="AM681" s="311" t="e">
        <f t="shared" si="97"/>
        <v>#REF!</v>
      </c>
      <c r="AN681" s="312" t="e">
        <f t="shared" si="96"/>
        <v>#REF!</v>
      </c>
    </row>
    <row r="682" spans="1:40" s="73" customFormat="1" x14ac:dyDescent="0.25">
      <c r="A682" s="324"/>
      <c r="B682" s="118" t="s">
        <v>1405</v>
      </c>
      <c r="D682" s="74">
        <f>IFERROR(VLOOKUP(B682,'REQ. PINTADO'!B:C,2,0),0)</f>
        <v>0</v>
      </c>
      <c r="E682" s="305">
        <f t="shared" si="85"/>
        <v>695.7342268778184</v>
      </c>
      <c r="F682" s="103" t="s">
        <v>163</v>
      </c>
      <c r="G682" s="75" t="s">
        <v>147</v>
      </c>
      <c r="H682" s="90">
        <v>23.327000000000002</v>
      </c>
      <c r="I682" s="90">
        <v>33.023000000000003</v>
      </c>
      <c r="J682" s="76">
        <v>0.105</v>
      </c>
      <c r="K682" s="306">
        <v>16.38</v>
      </c>
      <c r="L682" s="78">
        <f t="shared" si="86"/>
        <v>38.836283217481615</v>
      </c>
      <c r="M682" s="58">
        <f>+VLOOKUP(F682,Material!$H$2:$M$17,6,FALSE)*H682*I682*(1+Material!$K$14)</f>
        <v>289.1537814101585</v>
      </c>
      <c r="N682" s="79" t="str">
        <f t="shared" si="95"/>
        <v>T5.0</v>
      </c>
      <c r="O682" s="80">
        <f>+VLOOKUP(N682,[3]Material!$A$3:$B$58,2,FALSE)</f>
        <v>5000</v>
      </c>
      <c r="P682" s="79" t="s">
        <v>42</v>
      </c>
      <c r="Q682" s="79" t="str">
        <f>+VLOOKUP(F682,[3]Material!$C$2:$E$12,2,FALSE)</f>
        <v>Cal 12</v>
      </c>
      <c r="R682" s="81">
        <f>+IF(P682="ACERO A36",VLOOKUP(Q682,'[3]Velocidades Std 1500 w'!$B$2:$F$15,5,FALSE),IF(P682="INOXIDABLE",VLOOKUP(Q682,'[3]Velocidades Std 1500 w'!$B$17:$F$28,5,FALSE),IF(P682="ALUMINIO",VLOOKUP(Q682,'[3]Velocidades Std 1500 w'!$B$30:$F$38,5,FALSE))))</f>
        <v>4.3859649122807014E-6</v>
      </c>
      <c r="S682" s="82">
        <f t="shared" si="87"/>
        <v>2.1929824561403508E-2</v>
      </c>
      <c r="T682" s="83">
        <f t="shared" si="88"/>
        <v>60.091721052631584</v>
      </c>
      <c r="U682" s="307">
        <f t="shared" si="94"/>
        <v>3805.8090000000007</v>
      </c>
      <c r="V682" s="80">
        <f t="shared" si="93"/>
        <v>83.460723684210535</v>
      </c>
      <c r="W682" s="98">
        <v>20</v>
      </c>
      <c r="X682" s="84">
        <f>+IF(P682="ACERO A36",VLOOKUP(Q682,'[3]Tiempo Objeto'!$B$2:$C$12,2,FALSE),IF(P682="INOXIDABLE",VLOOKUP(Q682,'[3]Tiempo Objeto'!$B$14:$C$22,2,FALSE),IF(P682="ALUMINIO",VLOOKUP(Q682,'[3]Tiempo Objeto'!$B$24:$C$32,2,FALSE))))</f>
        <v>0.6133333333333334</v>
      </c>
      <c r="Y682" s="84">
        <f t="shared" si="89"/>
        <v>12.266666666666667</v>
      </c>
      <c r="Z682" s="80">
        <f t="shared" si="90"/>
        <v>17.037037037037038</v>
      </c>
      <c r="AA682" s="100">
        <v>5</v>
      </c>
      <c r="AB682" s="86">
        <f>+AA682*Analisis!$J$6</f>
        <v>125</v>
      </c>
      <c r="AC682" s="100"/>
      <c r="AD682" s="85">
        <f t="shared" si="91"/>
        <v>0</v>
      </c>
      <c r="AE682" s="86">
        <f>+AC682*Analisis!$J$7</f>
        <v>0</v>
      </c>
      <c r="AF682" s="308">
        <f>+H682*0.0254*I682*0.0254*2*(1+[3]Analisis!$G$2)</f>
        <v>1.2424612586208998</v>
      </c>
      <c r="AG682" s="86">
        <f>+AF682*Analisis!$J$8</f>
        <v>132.38128886496497</v>
      </c>
      <c r="AH682" s="309">
        <f t="shared" si="83"/>
        <v>647.0328309963711</v>
      </c>
      <c r="AI682" s="86">
        <f>+AH682/(1-Analisis!G687)</f>
        <v>647.0328309963711</v>
      </c>
      <c r="AJ682" s="86">
        <f t="shared" si="92"/>
        <v>695.7342268778184</v>
      </c>
      <c r="AK682" s="86">
        <f t="shared" si="84"/>
        <v>0</v>
      </c>
      <c r="AL682" s="310" t="e">
        <f>+VLOOKUP(B682,#REF!,2,FALSE)</f>
        <v>#REF!</v>
      </c>
      <c r="AM682" s="311" t="e">
        <f t="shared" si="97"/>
        <v>#REF!</v>
      </c>
      <c r="AN682" s="312" t="e">
        <f t="shared" si="96"/>
        <v>#REF!</v>
      </c>
    </row>
    <row r="683" spans="1:40" s="73" customFormat="1" x14ac:dyDescent="0.25">
      <c r="A683" s="324"/>
      <c r="B683" s="118" t="s">
        <v>1020</v>
      </c>
      <c r="D683" s="74">
        <f>IFERROR(VLOOKUP(B683,'REQ. PINTADO'!B:C,2,0),0)</f>
        <v>0</v>
      </c>
      <c r="E683" s="305">
        <f t="shared" si="85"/>
        <v>44.908429918725183</v>
      </c>
      <c r="F683" s="103" t="s">
        <v>163</v>
      </c>
      <c r="G683" s="75" t="s">
        <v>147</v>
      </c>
      <c r="H683" s="90">
        <v>1.5</v>
      </c>
      <c r="I683" s="90">
        <v>4.0659999999999998</v>
      </c>
      <c r="J683" s="76">
        <v>0.105</v>
      </c>
      <c r="K683" s="306">
        <v>16.38</v>
      </c>
      <c r="L683" s="78">
        <f t="shared" si="86"/>
        <v>0.30748283669774312</v>
      </c>
      <c r="M683" s="58">
        <f>+VLOOKUP(F683,Material!$H$2:$M$17,6,FALSE)*H683*I683*(1+Material!$K$14)</f>
        <v>2.2893494841404691</v>
      </c>
      <c r="N683" s="79" t="str">
        <f t="shared" si="95"/>
        <v>T5.0</v>
      </c>
      <c r="O683" s="80">
        <f>+VLOOKUP(N683,[3]Material!$A$3:$B$58,2,FALSE)</f>
        <v>5000</v>
      </c>
      <c r="P683" s="79" t="s">
        <v>42</v>
      </c>
      <c r="Q683" s="79" t="str">
        <f>+VLOOKUP(F683,[3]Material!$C$2:$E$12,2,FALSE)</f>
        <v>Cal 12</v>
      </c>
      <c r="R683" s="81">
        <f>+IF(P683="ACERO A36",VLOOKUP(Q683,'[3]Velocidades Std 1500 w'!$B$2:$F$15,5,FALSE),IF(P683="INOXIDABLE",VLOOKUP(Q683,'[3]Velocidades Std 1500 w'!$B$17:$F$28,5,FALSE),IF(P683="ALUMINIO",VLOOKUP(Q683,'[3]Velocidades Std 1500 w'!$B$30:$F$38,5,FALSE))))</f>
        <v>4.3859649122807014E-6</v>
      </c>
      <c r="S683" s="82">
        <f t="shared" si="87"/>
        <v>2.1929824561403508E-2</v>
      </c>
      <c r="T683" s="83">
        <f t="shared" si="88"/>
        <v>7.2143753684210505</v>
      </c>
      <c r="U683" s="307">
        <f t="shared" si="94"/>
        <v>456.91043999999994</v>
      </c>
      <c r="V683" s="80">
        <f t="shared" si="93"/>
        <v>10.019965789473682</v>
      </c>
      <c r="W683" s="98">
        <v>4</v>
      </c>
      <c r="X683" s="84">
        <f>+IF(P683="ACERO A36",VLOOKUP(Q683,'[3]Tiempo Objeto'!$B$2:$C$12,2,FALSE),IF(P683="INOXIDABLE",VLOOKUP(Q683,'[3]Tiempo Objeto'!$B$14:$C$22,2,FALSE),IF(P683="ALUMINIO",VLOOKUP(Q683,'[3]Tiempo Objeto'!$B$24:$C$32,2,FALSE))))</f>
        <v>0.6133333333333334</v>
      </c>
      <c r="Y683" s="84">
        <f t="shared" si="89"/>
        <v>2.4533333333333336</v>
      </c>
      <c r="Z683" s="80">
        <f t="shared" si="90"/>
        <v>3.4074074074074079</v>
      </c>
      <c r="AA683" s="100">
        <v>1</v>
      </c>
      <c r="AB683" s="86">
        <f>+AA683*Analisis!$J$6</f>
        <v>25</v>
      </c>
      <c r="AC683" s="100"/>
      <c r="AD683" s="85">
        <f t="shared" si="91"/>
        <v>0</v>
      </c>
      <c r="AE683" s="86">
        <f>+AC683*Analisis!$J$7</f>
        <v>0</v>
      </c>
      <c r="AF683" s="308">
        <f>+H683*0.0254*I683*0.0254*2*(1+[3]Analisis!$G$2)</f>
        <v>9.8370770999999992E-3</v>
      </c>
      <c r="AG683" s="86">
        <f>+AF683*Analisis!$J$8</f>
        <v>1.0481171433928573</v>
      </c>
      <c r="AH683" s="309">
        <f t="shared" si="83"/>
        <v>41.764839824414416</v>
      </c>
      <c r="AI683" s="86">
        <f>+AH683/(1-Analisis!G688)</f>
        <v>41.764839824414416</v>
      </c>
      <c r="AJ683" s="86">
        <f t="shared" si="92"/>
        <v>44.908429918725183</v>
      </c>
      <c r="AK683" s="86">
        <f t="shared" si="84"/>
        <v>0</v>
      </c>
      <c r="AL683" s="310" t="e">
        <f>+VLOOKUP(B683,#REF!,2,FALSE)</f>
        <v>#REF!</v>
      </c>
      <c r="AM683" s="311" t="e">
        <f t="shared" si="97"/>
        <v>#REF!</v>
      </c>
      <c r="AN683" s="312" t="e">
        <f t="shared" si="96"/>
        <v>#REF!</v>
      </c>
    </row>
    <row r="684" spans="1:40" s="73" customFormat="1" x14ac:dyDescent="0.25">
      <c r="A684" s="324"/>
      <c r="B684" s="118" t="s">
        <v>991</v>
      </c>
      <c r="D684" s="74">
        <f>IFERROR(VLOOKUP(B684,'REQ. PINTADO'!B:C,2,0),0)</f>
        <v>0</v>
      </c>
      <c r="E684" s="305">
        <f t="shared" si="85"/>
        <v>254.42554780855465</v>
      </c>
      <c r="F684" s="103" t="s">
        <v>165</v>
      </c>
      <c r="G684" s="75" t="s">
        <v>147</v>
      </c>
      <c r="H684" s="90">
        <v>8</v>
      </c>
      <c r="I684" s="90">
        <v>31.61</v>
      </c>
      <c r="J684" s="76">
        <v>0.105</v>
      </c>
      <c r="K684" s="306">
        <v>16.38</v>
      </c>
      <c r="L684" s="78">
        <f t="shared" si="86"/>
        <v>14.116431623931629</v>
      </c>
      <c r="M684" s="58">
        <f>+VLOOKUP(F684,Material!$H$2:$M$17,6,FALSE)*H684*I684*(1+Material!$K$14)</f>
        <v>105.10325000000002</v>
      </c>
      <c r="N684" s="79" t="str">
        <f t="shared" si="95"/>
        <v>T5.0</v>
      </c>
      <c r="O684" s="80">
        <f>+VLOOKUP(N684,[3]Material!$A$3:$B$58,2,FALSE)</f>
        <v>5000</v>
      </c>
      <c r="P684" s="79" t="s">
        <v>42</v>
      </c>
      <c r="Q684" s="79" t="str">
        <f>+VLOOKUP(F684,[3]Material!$C$2:$E$12,2,FALSE)</f>
        <v>Cal 14</v>
      </c>
      <c r="R684" s="81">
        <f>+IF(P684="ACERO A36",VLOOKUP(Q684,'[3]Velocidades Std 1500 w'!$B$2:$F$15,5,FALSE),IF(P684="INOXIDABLE",VLOOKUP(Q684,'[3]Velocidades Std 1500 w'!$B$17:$F$28,5,FALSE),IF(P684="ALUMINIO",VLOOKUP(Q684,'[3]Velocidades Std 1500 w'!$B$30:$F$38,5,FALSE))))</f>
        <v>2.0080321285140564E-6</v>
      </c>
      <c r="S684" s="82">
        <f t="shared" si="87"/>
        <v>1.0040160642570283E-2</v>
      </c>
      <c r="T684" s="83">
        <f t="shared" si="88"/>
        <v>29.732872771084335</v>
      </c>
      <c r="U684" s="307">
        <f t="shared" si="94"/>
        <v>4113.0473999999995</v>
      </c>
      <c r="V684" s="80">
        <f t="shared" si="93"/>
        <v>41.295656626506023</v>
      </c>
      <c r="W684" s="98">
        <v>50</v>
      </c>
      <c r="X684" s="84">
        <f>+IF(P684="ACERO A36",VLOOKUP(Q684,'[3]Tiempo Objeto'!$B$2:$C$12,2,FALSE),IF(P684="INOXIDABLE",VLOOKUP(Q684,'[3]Tiempo Objeto'!$B$14:$C$22,2,FALSE),IF(P684="ALUMINIO",VLOOKUP(Q684,'[3]Tiempo Objeto'!$B$24:$C$32,2,FALSE))))</f>
        <v>0.3133333333333333</v>
      </c>
      <c r="Y684" s="84">
        <f t="shared" si="89"/>
        <v>15.666666666666664</v>
      </c>
      <c r="Z684" s="80">
        <f t="shared" si="90"/>
        <v>21.75925925925926</v>
      </c>
      <c r="AA684" s="100">
        <v>1</v>
      </c>
      <c r="AB684" s="86">
        <f>+AA684*Analisis!$J$6</f>
        <v>25</v>
      </c>
      <c r="AC684" s="100"/>
      <c r="AD684" s="85">
        <f t="shared" si="91"/>
        <v>0</v>
      </c>
      <c r="AE684" s="86">
        <f>+AC684*Analisis!$J$7</f>
        <v>0</v>
      </c>
      <c r="AF684" s="308">
        <f>+H684*0.0254*I684*0.0254*2*(1+[3]Analisis!$G$2)</f>
        <v>0.40787015199999999</v>
      </c>
      <c r="AG684" s="86">
        <f>+AF684*Analisis!$J$8</f>
        <v>43.45759357619049</v>
      </c>
      <c r="AH684" s="309">
        <f t="shared" si="83"/>
        <v>236.6157594619558</v>
      </c>
      <c r="AI684" s="86">
        <f>+AH684/(1-Analisis!G689)</f>
        <v>236.6157594619558</v>
      </c>
      <c r="AJ684" s="86">
        <f t="shared" si="92"/>
        <v>254.42554780855465</v>
      </c>
      <c r="AK684" s="86">
        <f t="shared" si="84"/>
        <v>0</v>
      </c>
      <c r="AL684" s="310" t="e">
        <f>+VLOOKUP(B684,#REF!,2,FALSE)</f>
        <v>#REF!</v>
      </c>
      <c r="AM684" s="311" t="e">
        <f t="shared" si="97"/>
        <v>#REF!</v>
      </c>
      <c r="AN684" s="312" t="e">
        <f t="shared" si="96"/>
        <v>#REF!</v>
      </c>
    </row>
    <row r="685" spans="1:40" s="73" customFormat="1" x14ac:dyDescent="0.25">
      <c r="A685" s="324"/>
      <c r="B685" s="118" t="s">
        <v>1044</v>
      </c>
      <c r="D685" s="74">
        <f>IFERROR(VLOOKUP(B685,'REQ. PINTADO'!B:C,2,0),0)</f>
        <v>0</v>
      </c>
      <c r="E685" s="305">
        <f t="shared" si="85"/>
        <v>0</v>
      </c>
      <c r="F685" s="103" t="s">
        <v>165</v>
      </c>
      <c r="G685" s="75" t="s">
        <v>147</v>
      </c>
      <c r="H685" s="90"/>
      <c r="I685" s="90"/>
      <c r="J685" s="76">
        <v>0.105</v>
      </c>
      <c r="K685" s="306">
        <v>16.38</v>
      </c>
      <c r="L685" s="78">
        <f t="shared" si="86"/>
        <v>0</v>
      </c>
      <c r="M685" s="58">
        <f>+VLOOKUP(F685,Material!$H$2:$M$17,6,FALSE)*H685*I685*(1+Material!$K$14)</f>
        <v>0</v>
      </c>
      <c r="N685" s="79" t="str">
        <f t="shared" si="95"/>
        <v>T5.0</v>
      </c>
      <c r="O685" s="80">
        <f>+VLOOKUP(N685,[3]Material!$A$3:$B$58,2,FALSE)</f>
        <v>5000</v>
      </c>
      <c r="P685" s="79" t="s">
        <v>42</v>
      </c>
      <c r="Q685" s="79" t="str">
        <f>+VLOOKUP(F685,[3]Material!$C$2:$E$12,2,FALSE)</f>
        <v>Cal 14</v>
      </c>
      <c r="R685" s="81">
        <f>+IF(P685="ACERO A36",VLOOKUP(Q685,'[3]Velocidades Std 1500 w'!$B$2:$F$15,5,FALSE),IF(P685="INOXIDABLE",VLOOKUP(Q685,'[3]Velocidades Std 1500 w'!$B$17:$F$28,5,FALSE),IF(P685="ALUMINIO",VLOOKUP(Q685,'[3]Velocidades Std 1500 w'!$B$30:$F$38,5,FALSE))))</f>
        <v>2.0080321285140564E-6</v>
      </c>
      <c r="S685" s="82">
        <f t="shared" si="87"/>
        <v>1.0040160642570283E-2</v>
      </c>
      <c r="T685" s="83">
        <f t="shared" si="88"/>
        <v>0</v>
      </c>
      <c r="U685" s="307">
        <f t="shared" si="94"/>
        <v>0</v>
      </c>
      <c r="V685" s="80">
        <f t="shared" si="93"/>
        <v>0</v>
      </c>
      <c r="W685" s="98"/>
      <c r="X685" s="84">
        <f>+IF(P685="ACERO A36",VLOOKUP(Q685,'[3]Tiempo Objeto'!$B$2:$C$12,2,FALSE),IF(P685="INOXIDABLE",VLOOKUP(Q685,'[3]Tiempo Objeto'!$B$14:$C$22,2,FALSE),IF(P685="ALUMINIO",VLOOKUP(Q685,'[3]Tiempo Objeto'!$B$24:$C$32,2,FALSE))))</f>
        <v>0.3133333333333333</v>
      </c>
      <c r="Y685" s="84">
        <f t="shared" si="89"/>
        <v>0</v>
      </c>
      <c r="Z685" s="80">
        <f t="shared" si="90"/>
        <v>0</v>
      </c>
      <c r="AA685" s="100"/>
      <c r="AB685" s="86">
        <f>+AA685*Analisis!$J$6</f>
        <v>0</v>
      </c>
      <c r="AC685" s="100"/>
      <c r="AD685" s="85">
        <f t="shared" si="91"/>
        <v>0</v>
      </c>
      <c r="AE685" s="86">
        <f>+AC685*Analisis!$J$7</f>
        <v>0</v>
      </c>
      <c r="AF685" s="308">
        <f>+H685*0.0254*I685*0.0254*2*(1+[3]Analisis!$G$2)</f>
        <v>0</v>
      </c>
      <c r="AG685" s="86">
        <f>+AF685*Analisis!$J$8</f>
        <v>0</v>
      </c>
      <c r="AH685" s="309">
        <f t="shared" si="83"/>
        <v>0</v>
      </c>
      <c r="AI685" s="86">
        <f>+AH685/(1-Analisis!G690)</f>
        <v>0</v>
      </c>
      <c r="AJ685" s="86">
        <f t="shared" si="92"/>
        <v>0</v>
      </c>
      <c r="AK685" s="86">
        <f t="shared" si="84"/>
        <v>0</v>
      </c>
      <c r="AL685" s="310" t="e">
        <f>+VLOOKUP(B685,#REF!,2,FALSE)</f>
        <v>#REF!</v>
      </c>
      <c r="AM685" s="311" t="e">
        <f t="shared" si="97"/>
        <v>#REF!</v>
      </c>
      <c r="AN685" s="312" t="e">
        <f t="shared" si="96"/>
        <v>#REF!</v>
      </c>
    </row>
    <row r="686" spans="1:40" s="73" customFormat="1" x14ac:dyDescent="0.25">
      <c r="A686" s="324"/>
      <c r="B686" s="118" t="s">
        <v>992</v>
      </c>
      <c r="D686" s="74">
        <f>IFERROR(VLOOKUP(B686,'REQ. PINTADO'!B:C,2,0),0)</f>
        <v>0</v>
      </c>
      <c r="E686" s="305">
        <f t="shared" si="85"/>
        <v>0</v>
      </c>
      <c r="F686" s="103" t="s">
        <v>165</v>
      </c>
      <c r="G686" s="75" t="s">
        <v>147</v>
      </c>
      <c r="H686" s="90"/>
      <c r="I686" s="90"/>
      <c r="J686" s="76">
        <v>0.105</v>
      </c>
      <c r="K686" s="306">
        <v>16.38</v>
      </c>
      <c r="L686" s="78">
        <f t="shared" si="86"/>
        <v>0</v>
      </c>
      <c r="M686" s="58">
        <f>+VLOOKUP(F686,Material!$H$2:$M$17,6,FALSE)*H686*I686*(1+Material!$K$14)</f>
        <v>0</v>
      </c>
      <c r="N686" s="79" t="str">
        <f t="shared" si="95"/>
        <v>T5.0</v>
      </c>
      <c r="O686" s="80">
        <f>+VLOOKUP(N686,[3]Material!$A$3:$B$58,2,FALSE)</f>
        <v>5000</v>
      </c>
      <c r="P686" s="79" t="s">
        <v>42</v>
      </c>
      <c r="Q686" s="79" t="str">
        <f>+VLOOKUP(F686,[3]Material!$C$2:$E$12,2,FALSE)</f>
        <v>Cal 14</v>
      </c>
      <c r="R686" s="81">
        <f>+IF(P686="ACERO A36",VLOOKUP(Q686,'[3]Velocidades Std 1500 w'!$B$2:$F$15,5,FALSE),IF(P686="INOXIDABLE",VLOOKUP(Q686,'[3]Velocidades Std 1500 w'!$B$17:$F$28,5,FALSE),IF(P686="ALUMINIO",VLOOKUP(Q686,'[3]Velocidades Std 1500 w'!$B$30:$F$38,5,FALSE))))</f>
        <v>2.0080321285140564E-6</v>
      </c>
      <c r="S686" s="82">
        <f t="shared" si="87"/>
        <v>1.0040160642570283E-2</v>
      </c>
      <c r="T686" s="83">
        <f t="shared" si="88"/>
        <v>0</v>
      </c>
      <c r="U686" s="307">
        <f t="shared" si="94"/>
        <v>0</v>
      </c>
      <c r="V686" s="80">
        <f t="shared" si="93"/>
        <v>0</v>
      </c>
      <c r="W686" s="98"/>
      <c r="X686" s="84">
        <f>+IF(P686="ACERO A36",VLOOKUP(Q686,'[3]Tiempo Objeto'!$B$2:$C$12,2,FALSE),IF(P686="INOXIDABLE",VLOOKUP(Q686,'[3]Tiempo Objeto'!$B$14:$C$22,2,FALSE),IF(P686="ALUMINIO",VLOOKUP(Q686,'[3]Tiempo Objeto'!$B$24:$C$32,2,FALSE))))</f>
        <v>0.3133333333333333</v>
      </c>
      <c r="Y686" s="84">
        <f t="shared" si="89"/>
        <v>0</v>
      </c>
      <c r="Z686" s="80">
        <f t="shared" si="90"/>
        <v>0</v>
      </c>
      <c r="AA686" s="100"/>
      <c r="AB686" s="86">
        <f>+AA686*Analisis!$J$6</f>
        <v>0</v>
      </c>
      <c r="AC686" s="100"/>
      <c r="AD686" s="85">
        <f t="shared" si="91"/>
        <v>0</v>
      </c>
      <c r="AE686" s="86">
        <f>+AC686*Analisis!$J$7</f>
        <v>0</v>
      </c>
      <c r="AF686" s="308">
        <f>+H686*0.0254*I686*0.0254*2*(1+[3]Analisis!$G$2)</f>
        <v>0</v>
      </c>
      <c r="AG686" s="86">
        <f>+AF686*Analisis!$J$8</f>
        <v>0</v>
      </c>
      <c r="AH686" s="309">
        <f t="shared" si="83"/>
        <v>0</v>
      </c>
      <c r="AI686" s="86">
        <f>+AH686/(1-Analisis!G691)</f>
        <v>0</v>
      </c>
      <c r="AJ686" s="86">
        <f t="shared" si="92"/>
        <v>0</v>
      </c>
      <c r="AK686" s="86">
        <f t="shared" si="84"/>
        <v>0</v>
      </c>
      <c r="AL686" s="310" t="e">
        <f>+VLOOKUP(B686,#REF!,2,FALSE)</f>
        <v>#REF!</v>
      </c>
      <c r="AM686" s="311" t="e">
        <f t="shared" si="97"/>
        <v>#REF!</v>
      </c>
      <c r="AN686" s="312" t="e">
        <f t="shared" si="96"/>
        <v>#REF!</v>
      </c>
    </row>
    <row r="687" spans="1:40" s="73" customFormat="1" x14ac:dyDescent="0.25">
      <c r="A687" s="313"/>
      <c r="B687" s="314" t="s">
        <v>1406</v>
      </c>
      <c r="D687" s="74">
        <f>IFERROR(VLOOKUP(B687,'REQ. PINTADO'!B:C,2,0),0)</f>
        <v>0</v>
      </c>
      <c r="E687" s="305">
        <f t="shared" si="85"/>
        <v>930.70087358433068</v>
      </c>
      <c r="F687" s="103" t="s">
        <v>165</v>
      </c>
      <c r="G687" s="75" t="s">
        <v>147</v>
      </c>
      <c r="H687" s="90">
        <v>38.090000000000003</v>
      </c>
      <c r="I687" s="90">
        <v>14.26</v>
      </c>
      <c r="J687" s="76">
        <v>0.105</v>
      </c>
      <c r="K687" s="306">
        <v>16.38</v>
      </c>
      <c r="L687" s="78">
        <f t="shared" si="86"/>
        <v>30.320820138888894</v>
      </c>
      <c r="M687" s="58">
        <f>+VLOOKUP(F687,Material!$H$2:$M$17,6,FALSE)*H687*I687*(1+Material!$K$14)</f>
        <v>225.75228812500001</v>
      </c>
      <c r="N687" s="79" t="str">
        <f t="shared" si="95"/>
        <v>T5.0</v>
      </c>
      <c r="O687" s="80">
        <f>+VLOOKUP(N687,[3]Material!$A$3:$B$58,2,FALSE)</f>
        <v>5000</v>
      </c>
      <c r="P687" s="79" t="s">
        <v>42</v>
      </c>
      <c r="Q687" s="79" t="str">
        <f>+VLOOKUP(F687,[3]Material!$C$2:$E$12,2,FALSE)</f>
        <v>Cal 14</v>
      </c>
      <c r="R687" s="81">
        <f>+IF(P687="ACERO A36",VLOOKUP(Q687,'[3]Velocidades Std 1500 w'!$B$2:$F$15,5,FALSE),IF(P687="INOXIDABLE",VLOOKUP(Q687,'[3]Velocidades Std 1500 w'!$B$17:$F$28,5,FALSE),IF(P687="ALUMINIO",VLOOKUP(Q687,'[3]Velocidades Std 1500 w'!$B$30:$F$38,5,FALSE))))</f>
        <v>2.0080321285140564E-6</v>
      </c>
      <c r="S687" s="82">
        <f t="shared" si="87"/>
        <v>1.0040160642570283E-2</v>
      </c>
      <c r="T687" s="83">
        <f t="shared" si="88"/>
        <v>164.78204096385545</v>
      </c>
      <c r="U687" s="307">
        <f t="shared" si="94"/>
        <v>22794.849000000002</v>
      </c>
      <c r="V687" s="80">
        <f t="shared" si="93"/>
        <v>228.86394578313258</v>
      </c>
      <c r="W687" s="98">
        <v>500</v>
      </c>
      <c r="X687" s="84">
        <f>+IF(P687="ACERO A36",VLOOKUP(Q687,'[3]Tiempo Objeto'!$B$2:$C$12,2,FALSE),IF(P687="INOXIDABLE",VLOOKUP(Q687,'[3]Tiempo Objeto'!$B$14:$C$22,2,FALSE),IF(P687="ALUMINIO",VLOOKUP(Q687,'[3]Tiempo Objeto'!$B$24:$C$32,2,FALSE))))</f>
        <v>0.3133333333333333</v>
      </c>
      <c r="Y687" s="84">
        <f t="shared" si="89"/>
        <v>156.66666666666666</v>
      </c>
      <c r="Z687" s="80">
        <f t="shared" si="90"/>
        <v>217.59259259259258</v>
      </c>
      <c r="AA687" s="100">
        <v>4</v>
      </c>
      <c r="AB687" s="86">
        <f>+AA687*Analisis!$J$6</f>
        <v>100</v>
      </c>
      <c r="AC687" s="100"/>
      <c r="AD687" s="85">
        <f t="shared" si="91"/>
        <v>0</v>
      </c>
      <c r="AE687" s="86">
        <f>+AC687*Analisis!$J$7</f>
        <v>0</v>
      </c>
      <c r="AF687" s="308">
        <f>+H687*0.0254*I687*0.0254*2*(1+[3]Analisis!$G$2)</f>
        <v>0.87606824786000004</v>
      </c>
      <c r="AG687" s="86">
        <f>+AF687*Analisis!$J$8</f>
        <v>93.342985932702419</v>
      </c>
      <c r="AH687" s="309">
        <f t="shared" si="83"/>
        <v>865.55181243342747</v>
      </c>
      <c r="AI687" s="86">
        <f>+AH687/(1-Analisis!G692)</f>
        <v>865.55181243342747</v>
      </c>
      <c r="AJ687" s="86">
        <f t="shared" si="92"/>
        <v>930.70087358433068</v>
      </c>
      <c r="AK687" s="86">
        <f t="shared" si="84"/>
        <v>0</v>
      </c>
      <c r="AL687" s="310" t="e">
        <f>+VLOOKUP(B687,#REF!,2,FALSE)</f>
        <v>#REF!</v>
      </c>
      <c r="AM687" s="311" t="e">
        <f t="shared" si="97"/>
        <v>#REF!</v>
      </c>
      <c r="AN687" s="312" t="e">
        <f t="shared" si="96"/>
        <v>#REF!</v>
      </c>
    </row>
    <row r="688" spans="1:40" s="73" customFormat="1" x14ac:dyDescent="0.25">
      <c r="A688" s="313"/>
      <c r="B688" s="314" t="s">
        <v>1407</v>
      </c>
      <c r="D688" s="74">
        <f>IFERROR(VLOOKUP(B688,'REQ. PINTADO'!B:C,2,0),0)</f>
        <v>0</v>
      </c>
      <c r="E688" s="305">
        <f t="shared" si="85"/>
        <v>1244.7712363827686</v>
      </c>
      <c r="F688" s="103" t="s">
        <v>163</v>
      </c>
      <c r="G688" s="75" t="s">
        <v>147</v>
      </c>
      <c r="H688" s="90">
        <v>45.825000000000003</v>
      </c>
      <c r="I688" s="90">
        <v>33.020000000000003</v>
      </c>
      <c r="J688" s="76">
        <v>0.105</v>
      </c>
      <c r="K688" s="306">
        <v>16.38</v>
      </c>
      <c r="L688" s="78">
        <f t="shared" si="86"/>
        <v>76.285463312850993</v>
      </c>
      <c r="M688" s="58">
        <f>+VLOOKUP(F688,Material!$H$2:$M$17,6,FALSE)*H688*I688*(1+Material!$K$14)</f>
        <v>567.97994957477238</v>
      </c>
      <c r="N688" s="79" t="str">
        <f t="shared" si="95"/>
        <v>T5.0</v>
      </c>
      <c r="O688" s="80">
        <f>+VLOOKUP(N688,[3]Material!$A$3:$B$58,2,FALSE)</f>
        <v>5000</v>
      </c>
      <c r="P688" s="79" t="s">
        <v>42</v>
      </c>
      <c r="Q688" s="79" t="str">
        <f>+VLOOKUP(F688,[3]Material!$C$2:$E$12,2,FALSE)</f>
        <v>Cal 12</v>
      </c>
      <c r="R688" s="81">
        <f>+IF(P688="ACERO A36",VLOOKUP(Q688,'[3]Velocidades Std 1500 w'!$B$2:$F$15,5,FALSE),IF(P688="INOXIDABLE",VLOOKUP(Q688,'[3]Velocidades Std 1500 w'!$B$17:$F$28,5,FALSE),IF(P688="ALUMINIO",VLOOKUP(Q688,'[3]Velocidades Std 1500 w'!$B$30:$F$38,5,FALSE))))</f>
        <v>4.3859649122807014E-6</v>
      </c>
      <c r="S688" s="82">
        <f t="shared" si="87"/>
        <v>2.1929824561403508E-2</v>
      </c>
      <c r="T688" s="83">
        <f t="shared" si="88"/>
        <v>107.46185210526315</v>
      </c>
      <c r="U688" s="307">
        <f t="shared" si="94"/>
        <v>6805.9173000000001</v>
      </c>
      <c r="V688" s="80">
        <f t="shared" si="93"/>
        <v>149.25257236842106</v>
      </c>
      <c r="W688" s="98">
        <v>65</v>
      </c>
      <c r="X688" s="84">
        <f>+IF(P688="ACERO A36",VLOOKUP(Q688,'[3]Tiempo Objeto'!$B$2:$C$12,2,FALSE),IF(P688="INOXIDABLE",VLOOKUP(Q688,'[3]Tiempo Objeto'!$B$14:$C$22,2,FALSE),IF(P688="ALUMINIO",VLOOKUP(Q688,'[3]Tiempo Objeto'!$B$24:$C$32,2,FALSE))))</f>
        <v>0.6133333333333334</v>
      </c>
      <c r="Y688" s="84">
        <f t="shared" si="89"/>
        <v>39.866666666666674</v>
      </c>
      <c r="Z688" s="80">
        <f t="shared" si="90"/>
        <v>55.370370370370381</v>
      </c>
      <c r="AA688" s="100">
        <v>5</v>
      </c>
      <c r="AB688" s="86">
        <f>+AA688*Analisis!$J$6</f>
        <v>125</v>
      </c>
      <c r="AC688" s="100"/>
      <c r="AD688" s="85">
        <f t="shared" si="91"/>
        <v>0</v>
      </c>
      <c r="AE688" s="86">
        <f>+AC688*Analisis!$J$7</f>
        <v>0</v>
      </c>
      <c r="AF688" s="308">
        <f>+H688*0.0254*I688*0.0254*2*(1+[3]Analisis!$G$2)</f>
        <v>2.4405459253500004</v>
      </c>
      <c r="AG688" s="86">
        <f>+AF688*Analisis!$J$8</f>
        <v>260.03435752241086</v>
      </c>
      <c r="AH688" s="309">
        <f t="shared" si="83"/>
        <v>1157.6372498359747</v>
      </c>
      <c r="AI688" s="86">
        <f>+AH688/(1-Analisis!G693)</f>
        <v>1157.6372498359747</v>
      </c>
      <c r="AJ688" s="86">
        <f t="shared" si="92"/>
        <v>1244.7712363827686</v>
      </c>
      <c r="AK688" s="86">
        <f t="shared" si="84"/>
        <v>0</v>
      </c>
      <c r="AL688" s="310" t="e">
        <f>+VLOOKUP(B688,#REF!,2,FALSE)</f>
        <v>#REF!</v>
      </c>
      <c r="AM688" s="311" t="e">
        <f t="shared" si="97"/>
        <v>#REF!</v>
      </c>
      <c r="AN688" s="312" t="e">
        <f t="shared" si="96"/>
        <v>#REF!</v>
      </c>
    </row>
    <row r="689" spans="1:40" s="73" customFormat="1" x14ac:dyDescent="0.25">
      <c r="A689" s="313"/>
      <c r="B689" s="314" t="s">
        <v>1408</v>
      </c>
      <c r="D689" s="74">
        <f>IFERROR(VLOOKUP(B689,'REQ. PINTADO'!B:C,2,0),0)</f>
        <v>0</v>
      </c>
      <c r="E689" s="305">
        <f t="shared" si="85"/>
        <v>639.58339177042251</v>
      </c>
      <c r="F689" s="103" t="s">
        <v>165</v>
      </c>
      <c r="G689" s="75" t="s">
        <v>147</v>
      </c>
      <c r="H689" s="90">
        <v>39.94</v>
      </c>
      <c r="I689" s="90">
        <v>23.44</v>
      </c>
      <c r="J689" s="76">
        <v>0.105</v>
      </c>
      <c r="K689" s="306">
        <v>16.38</v>
      </c>
      <c r="L689" s="78">
        <f t="shared" si="86"/>
        <v>52.260807264957265</v>
      </c>
      <c r="M689" s="58">
        <f>+VLOOKUP(F689,Material!$H$2:$M$17,6,FALSE)*H689*I689*(1+Material!$K$14)</f>
        <v>389.10546499999998</v>
      </c>
      <c r="N689" s="79" t="str">
        <f t="shared" si="95"/>
        <v>T5.0</v>
      </c>
      <c r="O689" s="80">
        <f>+VLOOKUP(N689,[3]Material!$A$3:$B$58,2,FALSE)</f>
        <v>5000</v>
      </c>
      <c r="P689" s="79" t="s">
        <v>42</v>
      </c>
      <c r="Q689" s="79" t="str">
        <f>+VLOOKUP(F689,[3]Material!$C$2:$E$12,2,FALSE)</f>
        <v>Cal 14</v>
      </c>
      <c r="R689" s="81">
        <f>+IF(P689="ACERO A36",VLOOKUP(Q689,'[3]Velocidades Std 1500 w'!$B$2:$F$15,5,FALSE),IF(P689="INOXIDABLE",VLOOKUP(Q689,'[3]Velocidades Std 1500 w'!$B$17:$F$28,5,FALSE),IF(P689="ALUMINIO",VLOOKUP(Q689,'[3]Velocidades Std 1500 w'!$B$30:$F$38,5,FALSE))))</f>
        <v>2.0080321285140564E-6</v>
      </c>
      <c r="S689" s="82">
        <f t="shared" si="87"/>
        <v>1.0040160642570283E-2</v>
      </c>
      <c r="T689" s="83">
        <f t="shared" si="88"/>
        <v>28.198223132530117</v>
      </c>
      <c r="U689" s="307">
        <f t="shared" si="94"/>
        <v>3900.7541999999994</v>
      </c>
      <c r="V689" s="80">
        <f t="shared" si="93"/>
        <v>39.164198795180724</v>
      </c>
      <c r="W689" s="98">
        <v>13</v>
      </c>
      <c r="X689" s="84">
        <f>+IF(P689="ACERO A36",VLOOKUP(Q689,'[3]Tiempo Objeto'!$B$2:$C$12,2,FALSE),IF(P689="INOXIDABLE",VLOOKUP(Q689,'[3]Tiempo Objeto'!$B$14:$C$22,2,FALSE),IF(P689="ALUMINIO",VLOOKUP(Q689,'[3]Tiempo Objeto'!$B$24:$C$32,2,FALSE))))</f>
        <v>0.3133333333333333</v>
      </c>
      <c r="Y689" s="84">
        <f t="shared" si="89"/>
        <v>4.0733333333333333</v>
      </c>
      <c r="Z689" s="80">
        <f t="shared" si="90"/>
        <v>5.6574074074074074</v>
      </c>
      <c r="AA689" s="100">
        <v>0</v>
      </c>
      <c r="AB689" s="86">
        <f>+AA689*Analisis!$J$6</f>
        <v>0</v>
      </c>
      <c r="AC689" s="100"/>
      <c r="AD689" s="85">
        <f t="shared" si="91"/>
        <v>0</v>
      </c>
      <c r="AE689" s="86">
        <f>+AC689*Analisis!$J$7</f>
        <v>0</v>
      </c>
      <c r="AF689" s="308">
        <f>+H689*0.0254*I689*0.0254*2*(1+[3]Analisis!$G$2)</f>
        <v>1.50998665744</v>
      </c>
      <c r="AG689" s="86">
        <f>+AF689*Analisis!$J$8</f>
        <v>160.88548314390482</v>
      </c>
      <c r="AH689" s="309">
        <f t="shared" si="83"/>
        <v>594.8125543464929</v>
      </c>
      <c r="AI689" s="86">
        <f>+AH689/(1-Analisis!G694)</f>
        <v>594.8125543464929</v>
      </c>
      <c r="AJ689" s="86">
        <f t="shared" si="92"/>
        <v>639.58339177042251</v>
      </c>
      <c r="AK689" s="86">
        <f t="shared" si="84"/>
        <v>0</v>
      </c>
      <c r="AL689" s="310" t="e">
        <f>+VLOOKUP(B689,#REF!,2,FALSE)</f>
        <v>#REF!</v>
      </c>
      <c r="AM689" s="311" t="e">
        <f t="shared" si="97"/>
        <v>#REF!</v>
      </c>
      <c r="AN689" s="312" t="e">
        <f t="shared" si="96"/>
        <v>#REF!</v>
      </c>
    </row>
    <row r="690" spans="1:40" s="73" customFormat="1" x14ac:dyDescent="0.25">
      <c r="A690" s="313"/>
      <c r="B690" s="314" t="s">
        <v>1409</v>
      </c>
      <c r="D690" s="74">
        <f>IFERROR(VLOOKUP(B690,'REQ. PINTADO'!B:C,2,0),0)</f>
        <v>0</v>
      </c>
      <c r="E690" s="305">
        <f t="shared" si="85"/>
        <v>897.64059413456425</v>
      </c>
      <c r="F690" s="103" t="s">
        <v>165</v>
      </c>
      <c r="G690" s="75" t="s">
        <v>147</v>
      </c>
      <c r="H690" s="90">
        <v>39.94</v>
      </c>
      <c r="I690" s="90">
        <v>33.44</v>
      </c>
      <c r="J690" s="76">
        <v>0.105</v>
      </c>
      <c r="K690" s="306">
        <v>16.38</v>
      </c>
      <c r="L690" s="78">
        <f t="shared" si="86"/>
        <v>74.556373504273509</v>
      </c>
      <c r="M690" s="58">
        <f>+VLOOKUP(F690,Material!$H$2:$M$17,6,FALSE)*H690*I690*(1+Material!$K$14)</f>
        <v>555.10608999999999</v>
      </c>
      <c r="N690" s="79" t="str">
        <f t="shared" si="95"/>
        <v>T5.0</v>
      </c>
      <c r="O690" s="80">
        <f>+VLOOKUP(N690,[3]Material!$A$3:$B$58,2,FALSE)</f>
        <v>5000</v>
      </c>
      <c r="P690" s="79" t="s">
        <v>42</v>
      </c>
      <c r="Q690" s="79" t="str">
        <f>+VLOOKUP(F690,[3]Material!$C$2:$E$12,2,FALSE)</f>
        <v>Cal 14</v>
      </c>
      <c r="R690" s="81">
        <f>+IF(P690="ACERO A36",VLOOKUP(Q690,'[3]Velocidades Std 1500 w'!$B$2:$F$15,5,FALSE),IF(P690="INOXIDABLE",VLOOKUP(Q690,'[3]Velocidades Std 1500 w'!$B$17:$F$28,5,FALSE),IF(P690="ALUMINIO",VLOOKUP(Q690,'[3]Velocidades Std 1500 w'!$B$30:$F$38,5,FALSE))))</f>
        <v>2.0080321285140564E-6</v>
      </c>
      <c r="S690" s="82">
        <f t="shared" si="87"/>
        <v>1.0040160642570283E-2</v>
      </c>
      <c r="T690" s="83">
        <f t="shared" si="88"/>
        <v>32.054126746987954</v>
      </c>
      <c r="U690" s="307">
        <f t="shared" si="94"/>
        <v>4434.1541999999999</v>
      </c>
      <c r="V690" s="80">
        <f t="shared" si="93"/>
        <v>44.519620481927717</v>
      </c>
      <c r="W690" s="98">
        <v>13</v>
      </c>
      <c r="X690" s="84">
        <f>+IF(P690="ACERO A36",VLOOKUP(Q690,'[3]Tiempo Objeto'!$B$2:$C$12,2,FALSE),IF(P690="INOXIDABLE",VLOOKUP(Q690,'[3]Tiempo Objeto'!$B$14:$C$22,2,FALSE),IF(P690="ALUMINIO",VLOOKUP(Q690,'[3]Tiempo Objeto'!$B$24:$C$32,2,FALSE))))</f>
        <v>0.3133333333333333</v>
      </c>
      <c r="Y690" s="84">
        <f t="shared" si="89"/>
        <v>4.0733333333333333</v>
      </c>
      <c r="Z690" s="80">
        <f t="shared" si="90"/>
        <v>5.6574074074074074</v>
      </c>
      <c r="AA690" s="100">
        <v>0</v>
      </c>
      <c r="AB690" s="86">
        <f>+AA690*Analisis!$J$6</f>
        <v>0</v>
      </c>
      <c r="AC690" s="100"/>
      <c r="AD690" s="85">
        <f t="shared" si="91"/>
        <v>0</v>
      </c>
      <c r="AE690" s="86">
        <f>+AC690*Analisis!$J$7</f>
        <v>0</v>
      </c>
      <c r="AF690" s="308">
        <f>+H690*0.0254*I690*0.0254*2*(1+[3]Analisis!$G$2)</f>
        <v>2.1541789174399999</v>
      </c>
      <c r="AG690" s="86">
        <f>+AF690*Analisis!$J$8</f>
        <v>229.52263465580958</v>
      </c>
      <c r="AH690" s="309">
        <f t="shared" si="83"/>
        <v>834.80575254514474</v>
      </c>
      <c r="AI690" s="86">
        <f>+AH690/(1-Analisis!G695)</f>
        <v>834.80575254514474</v>
      </c>
      <c r="AJ690" s="86">
        <f t="shared" si="92"/>
        <v>897.64059413456425</v>
      </c>
      <c r="AK690" s="86">
        <f t="shared" si="84"/>
        <v>0</v>
      </c>
      <c r="AL690" s="310" t="e">
        <f>+VLOOKUP(B690,#REF!,2,FALSE)</f>
        <v>#REF!</v>
      </c>
      <c r="AM690" s="311" t="e">
        <f t="shared" si="97"/>
        <v>#REF!</v>
      </c>
      <c r="AN690" s="312" t="e">
        <f t="shared" si="96"/>
        <v>#REF!</v>
      </c>
    </row>
    <row r="691" spans="1:40" s="73" customFormat="1" x14ac:dyDescent="0.25">
      <c r="A691" s="313"/>
      <c r="B691" s="314" t="s">
        <v>1410</v>
      </c>
      <c r="D691" s="74">
        <f>IFERROR(VLOOKUP(B691,'REQ. PINTADO'!B:C,2,0),0)</f>
        <v>0</v>
      </c>
      <c r="E691" s="305">
        <f t="shared" si="85"/>
        <v>1155.6977964987059</v>
      </c>
      <c r="F691" s="103" t="s">
        <v>165</v>
      </c>
      <c r="G691" s="75" t="s">
        <v>147</v>
      </c>
      <c r="H691" s="90">
        <v>39.94</v>
      </c>
      <c r="I691" s="90">
        <v>43.44</v>
      </c>
      <c r="J691" s="76">
        <v>0.105</v>
      </c>
      <c r="K691" s="306">
        <v>16.38</v>
      </c>
      <c r="L691" s="78">
        <f t="shared" si="86"/>
        <v>96.851939743589753</v>
      </c>
      <c r="M691" s="58">
        <f>+VLOOKUP(F691,Material!$H$2:$M$17,6,FALSE)*H691*I691*(1+Material!$K$14)</f>
        <v>721.10671499999989</v>
      </c>
      <c r="N691" s="79" t="str">
        <f t="shared" si="95"/>
        <v>T5.0</v>
      </c>
      <c r="O691" s="80">
        <f>+VLOOKUP(N691,[3]Material!$A$3:$B$58,2,FALSE)</f>
        <v>5000</v>
      </c>
      <c r="P691" s="79" t="s">
        <v>42</v>
      </c>
      <c r="Q691" s="79" t="str">
        <f>+VLOOKUP(F691,[3]Material!$C$2:$E$12,2,FALSE)</f>
        <v>Cal 14</v>
      </c>
      <c r="R691" s="81">
        <f>+IF(P691="ACERO A36",VLOOKUP(Q691,'[3]Velocidades Std 1500 w'!$B$2:$F$15,5,FALSE),IF(P691="INOXIDABLE",VLOOKUP(Q691,'[3]Velocidades Std 1500 w'!$B$17:$F$28,5,FALSE),IF(P691="ALUMINIO",VLOOKUP(Q691,'[3]Velocidades Std 1500 w'!$B$30:$F$38,5,FALSE))))</f>
        <v>2.0080321285140564E-6</v>
      </c>
      <c r="S691" s="82">
        <f t="shared" si="87"/>
        <v>1.0040160642570283E-2</v>
      </c>
      <c r="T691" s="83">
        <f t="shared" si="88"/>
        <v>35.910030361445791</v>
      </c>
      <c r="U691" s="307">
        <f t="shared" si="94"/>
        <v>4967.5542000000005</v>
      </c>
      <c r="V691" s="80">
        <f t="shared" si="93"/>
        <v>49.87504216867471</v>
      </c>
      <c r="W691" s="98">
        <v>13</v>
      </c>
      <c r="X691" s="84">
        <f>+IF(P691="ACERO A36",VLOOKUP(Q691,'[3]Tiempo Objeto'!$B$2:$C$12,2,FALSE),IF(P691="INOXIDABLE",VLOOKUP(Q691,'[3]Tiempo Objeto'!$B$14:$C$22,2,FALSE),IF(P691="ALUMINIO",VLOOKUP(Q691,'[3]Tiempo Objeto'!$B$24:$C$32,2,FALSE))))</f>
        <v>0.3133333333333333</v>
      </c>
      <c r="Y691" s="84">
        <f t="shared" si="89"/>
        <v>4.0733333333333333</v>
      </c>
      <c r="Z691" s="80">
        <f t="shared" si="90"/>
        <v>5.6574074074074074</v>
      </c>
      <c r="AA691" s="100">
        <v>0</v>
      </c>
      <c r="AB691" s="86">
        <f>+AA691*Analisis!$J$6</f>
        <v>0</v>
      </c>
      <c r="AC691" s="100"/>
      <c r="AD691" s="85">
        <f t="shared" si="91"/>
        <v>0</v>
      </c>
      <c r="AE691" s="86">
        <f>+AC691*Analisis!$J$7</f>
        <v>0</v>
      </c>
      <c r="AF691" s="308">
        <f>+H691*0.0254*I691*0.0254*2*(1+[3]Analisis!$G$2)</f>
        <v>2.7983711774399995</v>
      </c>
      <c r="AG691" s="86">
        <f>+AF691*Analisis!$J$8</f>
        <v>298.15978616771434</v>
      </c>
      <c r="AH691" s="309">
        <f t="shared" ref="AH691:AH754" si="98">+AE691+AB691+Z691+V691+M691+AG691</f>
        <v>1074.7989507437965</v>
      </c>
      <c r="AI691" s="86">
        <f>+AH691/(1-Analisis!G696)</f>
        <v>1074.7989507437965</v>
      </c>
      <c r="AJ691" s="86">
        <f t="shared" si="92"/>
        <v>1155.6977964987059</v>
      </c>
      <c r="AK691" s="86">
        <f t="shared" ref="AK691:AK754" si="99">+AJ691*D691</f>
        <v>0</v>
      </c>
      <c r="AL691" s="310" t="e">
        <f>+VLOOKUP(B691,#REF!,2,FALSE)</f>
        <v>#REF!</v>
      </c>
      <c r="AM691" s="311" t="e">
        <f t="shared" si="97"/>
        <v>#REF!</v>
      </c>
      <c r="AN691" s="312" t="e">
        <f t="shared" si="96"/>
        <v>#REF!</v>
      </c>
    </row>
    <row r="692" spans="1:40" s="73" customFormat="1" x14ac:dyDescent="0.25">
      <c r="A692" s="313"/>
      <c r="B692" s="314" t="s">
        <v>1411</v>
      </c>
      <c r="D692" s="74">
        <f>IFERROR(VLOOKUP(B692,'REQ. PINTADO'!B:C,2,0),0)</f>
        <v>0</v>
      </c>
      <c r="E692" s="305">
        <f t="shared" si="85"/>
        <v>1026.6691953166351</v>
      </c>
      <c r="F692" s="103" t="s">
        <v>165</v>
      </c>
      <c r="G692" s="75" t="s">
        <v>147</v>
      </c>
      <c r="H692" s="90">
        <v>39.94</v>
      </c>
      <c r="I692" s="90">
        <v>38.44</v>
      </c>
      <c r="J692" s="76">
        <v>0.105</v>
      </c>
      <c r="K692" s="306">
        <v>16.38</v>
      </c>
      <c r="L692" s="78">
        <f t="shared" si="86"/>
        <v>85.704156623931624</v>
      </c>
      <c r="M692" s="58">
        <f>+VLOOKUP(F692,Material!$H$2:$M$17,6,FALSE)*H692*I692*(1+Material!$K$14)</f>
        <v>638.10640249999994</v>
      </c>
      <c r="N692" s="79" t="str">
        <f t="shared" si="95"/>
        <v>T5.0</v>
      </c>
      <c r="O692" s="80">
        <f>+VLOOKUP(N692,[3]Material!$A$3:$B$58,2,FALSE)</f>
        <v>5000</v>
      </c>
      <c r="P692" s="79" t="s">
        <v>42</v>
      </c>
      <c r="Q692" s="79" t="str">
        <f>+VLOOKUP(F692,[3]Material!$C$2:$E$12,2,FALSE)</f>
        <v>Cal 14</v>
      </c>
      <c r="R692" s="81">
        <f>+IF(P692="ACERO A36",VLOOKUP(Q692,'[3]Velocidades Std 1500 w'!$B$2:$F$15,5,FALSE),IF(P692="INOXIDABLE",VLOOKUP(Q692,'[3]Velocidades Std 1500 w'!$B$17:$F$28,5,FALSE),IF(P692="ALUMINIO",VLOOKUP(Q692,'[3]Velocidades Std 1500 w'!$B$30:$F$38,5,FALSE))))</f>
        <v>2.0080321285140564E-6</v>
      </c>
      <c r="S692" s="82">
        <f t="shared" si="87"/>
        <v>1.0040160642570283E-2</v>
      </c>
      <c r="T692" s="83">
        <f t="shared" si="88"/>
        <v>33.982078554216869</v>
      </c>
      <c r="U692" s="307">
        <f t="shared" si="94"/>
        <v>4700.8541999999998</v>
      </c>
      <c r="V692" s="80">
        <f t="shared" si="93"/>
        <v>47.197331325301214</v>
      </c>
      <c r="W692" s="98">
        <v>13</v>
      </c>
      <c r="X692" s="84">
        <f>+IF(P692="ACERO A36",VLOOKUP(Q692,'[3]Tiempo Objeto'!$B$2:$C$12,2,FALSE),IF(P692="INOXIDABLE",VLOOKUP(Q692,'[3]Tiempo Objeto'!$B$14:$C$22,2,FALSE),IF(P692="ALUMINIO",VLOOKUP(Q692,'[3]Tiempo Objeto'!$B$24:$C$32,2,FALSE))))</f>
        <v>0.3133333333333333</v>
      </c>
      <c r="Y692" s="84">
        <f t="shared" si="89"/>
        <v>4.0733333333333333</v>
      </c>
      <c r="Z692" s="80">
        <f t="shared" si="90"/>
        <v>5.6574074074074074</v>
      </c>
      <c r="AA692" s="100">
        <v>0</v>
      </c>
      <c r="AB692" s="86">
        <f>+AA692*Analisis!$J$6</f>
        <v>0</v>
      </c>
      <c r="AC692" s="100"/>
      <c r="AD692" s="85">
        <f t="shared" si="91"/>
        <v>0</v>
      </c>
      <c r="AE692" s="86">
        <f>+AC692*Analisis!$J$7</f>
        <v>0</v>
      </c>
      <c r="AF692" s="308">
        <f>+H692*0.0254*I692*0.0254*2*(1+[3]Analisis!$G$2)</f>
        <v>2.4762750474399993</v>
      </c>
      <c r="AG692" s="86">
        <f>+AF692*Analisis!$J$8</f>
        <v>263.84121041176189</v>
      </c>
      <c r="AH692" s="309">
        <f t="shared" si="98"/>
        <v>954.80235164447049</v>
      </c>
      <c r="AI692" s="86">
        <f>+AH692/(1-Analisis!G697)</f>
        <v>954.80235164447049</v>
      </c>
      <c r="AJ692" s="86">
        <f t="shared" si="92"/>
        <v>1026.6691953166351</v>
      </c>
      <c r="AK692" s="86">
        <f t="shared" si="99"/>
        <v>0</v>
      </c>
      <c r="AL692" s="310" t="e">
        <f>+VLOOKUP(B692,#REF!,2,FALSE)</f>
        <v>#REF!</v>
      </c>
      <c r="AM692" s="311" t="e">
        <f t="shared" si="97"/>
        <v>#REF!</v>
      </c>
      <c r="AN692" s="312" t="e">
        <f t="shared" si="96"/>
        <v>#REF!</v>
      </c>
    </row>
    <row r="693" spans="1:40" s="73" customFormat="1" x14ac:dyDescent="0.25">
      <c r="A693" s="313"/>
      <c r="B693" s="314" t="s">
        <v>1412</v>
      </c>
      <c r="D693" s="74">
        <f>IFERROR(VLOOKUP(B693,'REQ. PINTADO'!B:C,2,0),0)</f>
        <v>0</v>
      </c>
      <c r="E693" s="305">
        <f t="shared" si="85"/>
        <v>108.73119784319755</v>
      </c>
      <c r="F693" s="103" t="s">
        <v>163</v>
      </c>
      <c r="G693" s="75" t="s">
        <v>147</v>
      </c>
      <c r="H693" s="90">
        <v>12.98</v>
      </c>
      <c r="I693" s="90">
        <v>6.3209999999999997</v>
      </c>
      <c r="J693" s="76">
        <v>0.105</v>
      </c>
      <c r="K693" s="306">
        <v>16.38</v>
      </c>
      <c r="L693" s="78">
        <f t="shared" si="86"/>
        <v>4.1364018953514226</v>
      </c>
      <c r="M693" s="58">
        <f>+VLOOKUP(F693,Material!$H$2:$M$17,6,FALSE)*H693*I693*(1+Material!$K$14)</f>
        <v>30.797392293571036</v>
      </c>
      <c r="N693" s="79" t="str">
        <f t="shared" si="95"/>
        <v>T5.0</v>
      </c>
      <c r="O693" s="80">
        <f>+VLOOKUP(N693,[3]Material!$A$3:$B$58,2,FALSE)</f>
        <v>5000</v>
      </c>
      <c r="P693" s="79" t="s">
        <v>42</v>
      </c>
      <c r="Q693" s="79" t="str">
        <f>+VLOOKUP(F693,[3]Material!$C$2:$E$12,2,FALSE)</f>
        <v>Cal 12</v>
      </c>
      <c r="R693" s="81">
        <f>+IF(P693="ACERO A36",VLOOKUP(Q693,'[3]Velocidades Std 1500 w'!$B$2:$F$15,5,FALSE),IF(P693="INOXIDABLE",VLOOKUP(Q693,'[3]Velocidades Std 1500 w'!$B$17:$F$28,5,FALSE),IF(P693="ALUMINIO",VLOOKUP(Q693,'[3]Velocidades Std 1500 w'!$B$30:$F$38,5,FALSE))))</f>
        <v>4.3859649122807014E-6</v>
      </c>
      <c r="S693" s="82">
        <f t="shared" si="87"/>
        <v>2.1929824561403508E-2</v>
      </c>
      <c r="T693" s="83">
        <f t="shared" si="88"/>
        <v>19.413794842105261</v>
      </c>
      <c r="U693" s="307">
        <f t="shared" si="94"/>
        <v>1229.54034</v>
      </c>
      <c r="V693" s="80">
        <f t="shared" si="93"/>
        <v>26.963603947368419</v>
      </c>
      <c r="W693" s="98">
        <v>5</v>
      </c>
      <c r="X693" s="84">
        <f>+IF(P693="ACERO A36",VLOOKUP(Q693,'[3]Tiempo Objeto'!$B$2:$C$12,2,FALSE),IF(P693="INOXIDABLE",VLOOKUP(Q693,'[3]Tiempo Objeto'!$B$14:$C$22,2,FALSE),IF(P693="ALUMINIO",VLOOKUP(Q693,'[3]Tiempo Objeto'!$B$24:$C$32,2,FALSE))))</f>
        <v>0.6133333333333334</v>
      </c>
      <c r="Y693" s="84">
        <f t="shared" si="89"/>
        <v>3.0666666666666669</v>
      </c>
      <c r="Z693" s="80">
        <f t="shared" si="90"/>
        <v>4.2592592592592595</v>
      </c>
      <c r="AA693" s="100">
        <v>1</v>
      </c>
      <c r="AB693" s="86">
        <f>+AA693*Analisis!$J$6</f>
        <v>25</v>
      </c>
      <c r="AC693" s="100"/>
      <c r="AD693" s="85">
        <f t="shared" si="91"/>
        <v>0</v>
      </c>
      <c r="AE693" s="86">
        <f>+AC693*Analisis!$J$7</f>
        <v>0</v>
      </c>
      <c r="AF693" s="308">
        <f>+H693*0.0254*I693*0.0254*2*(1+[3]Analisis!$G$2)</f>
        <v>0.13233292888199999</v>
      </c>
      <c r="AG693" s="86">
        <f>+AF693*Analisis!$J$8</f>
        <v>14.099758493975003</v>
      </c>
      <c r="AH693" s="309">
        <f t="shared" si="98"/>
        <v>101.12001399417372</v>
      </c>
      <c r="AI693" s="86">
        <f>+AH693/(1-Analisis!G698)</f>
        <v>101.12001399417372</v>
      </c>
      <c r="AJ693" s="86">
        <f t="shared" si="92"/>
        <v>108.73119784319755</v>
      </c>
      <c r="AK693" s="86">
        <f t="shared" si="99"/>
        <v>0</v>
      </c>
      <c r="AL693" s="310" t="e">
        <f>+VLOOKUP(B693,#REF!,2,FALSE)</f>
        <v>#REF!</v>
      </c>
      <c r="AM693" s="311" t="e">
        <f t="shared" si="97"/>
        <v>#REF!</v>
      </c>
      <c r="AN693" s="312" t="e">
        <f t="shared" si="96"/>
        <v>#REF!</v>
      </c>
    </row>
    <row r="694" spans="1:40" s="73" customFormat="1" x14ac:dyDescent="0.25">
      <c r="A694" s="313"/>
      <c r="B694" s="314" t="s">
        <v>1413</v>
      </c>
      <c r="D694" s="74">
        <f>IFERROR(VLOOKUP(B694,'REQ. PINTADO'!B:C,2,0),0)</f>
        <v>0</v>
      </c>
      <c r="E694" s="305">
        <f t="shared" si="85"/>
        <v>1022.9353969051748</v>
      </c>
      <c r="F694" s="103" t="s">
        <v>165</v>
      </c>
      <c r="G694" s="75" t="s">
        <v>147</v>
      </c>
      <c r="H694" s="90">
        <v>39.94</v>
      </c>
      <c r="I694" s="90">
        <v>11.52</v>
      </c>
      <c r="J694" s="76">
        <v>0.105</v>
      </c>
      <c r="K694" s="306">
        <v>16.38</v>
      </c>
      <c r="L694" s="78">
        <f t="shared" si="86"/>
        <v>25.68449230769231</v>
      </c>
      <c r="M694" s="58">
        <f>+VLOOKUP(F694,Material!$H$2:$M$17,6,FALSE)*H694*I694*(1+Material!$K$14)</f>
        <v>191.23272</v>
      </c>
      <c r="N694" s="79" t="str">
        <f t="shared" si="95"/>
        <v>T5.0</v>
      </c>
      <c r="O694" s="80">
        <f>+VLOOKUP(N694,[3]Material!$A$3:$B$58,2,FALSE)</f>
        <v>5000</v>
      </c>
      <c r="P694" s="79" t="s">
        <v>42</v>
      </c>
      <c r="Q694" s="79" t="str">
        <f>+VLOOKUP(F694,[3]Material!$C$2:$E$12,2,FALSE)</f>
        <v>Cal 14</v>
      </c>
      <c r="R694" s="81">
        <f>+IF(P694="ACERO A36",VLOOKUP(Q694,'[3]Velocidades Std 1500 w'!$B$2:$F$15,5,FALSE),IF(P694="INOXIDABLE",VLOOKUP(Q694,'[3]Velocidades Std 1500 w'!$B$17:$F$28,5,FALSE),IF(P694="ALUMINIO",VLOOKUP(Q694,'[3]Velocidades Std 1500 w'!$B$30:$F$38,5,FALSE))))</f>
        <v>2.0080321285140564E-6</v>
      </c>
      <c r="S694" s="82">
        <f t="shared" si="87"/>
        <v>1.0040160642570283E-2</v>
      </c>
      <c r="T694" s="83">
        <f t="shared" si="88"/>
        <v>237.02625108433736</v>
      </c>
      <c r="U694" s="307">
        <f t="shared" si="94"/>
        <v>32788.631399999998</v>
      </c>
      <c r="V694" s="80">
        <f t="shared" si="93"/>
        <v>329.20312650602415</v>
      </c>
      <c r="W694" s="98">
        <v>751</v>
      </c>
      <c r="X694" s="84">
        <f>+IF(P694="ACERO A36",VLOOKUP(Q694,'[3]Tiempo Objeto'!$B$2:$C$12,2,FALSE),IF(P694="INOXIDABLE",VLOOKUP(Q694,'[3]Tiempo Objeto'!$B$14:$C$22,2,FALSE),IF(P694="ALUMINIO",VLOOKUP(Q694,'[3]Tiempo Objeto'!$B$24:$C$32,2,FALSE))))</f>
        <v>0.3133333333333333</v>
      </c>
      <c r="Y694" s="84">
        <f t="shared" si="89"/>
        <v>235.3133333333333</v>
      </c>
      <c r="Z694" s="80">
        <f t="shared" si="90"/>
        <v>326.82407407407402</v>
      </c>
      <c r="AA694" s="100">
        <v>1</v>
      </c>
      <c r="AB694" s="86">
        <f>+AA694*Analisis!$J$6</f>
        <v>25</v>
      </c>
      <c r="AC694" s="100"/>
      <c r="AD694" s="85">
        <f t="shared" si="91"/>
        <v>0</v>
      </c>
      <c r="AE694" s="86">
        <f>+AC694*Analisis!$J$7</f>
        <v>0</v>
      </c>
      <c r="AF694" s="308">
        <f>+H694*0.0254*I694*0.0254*2*(1+[3]Analisis!$G$2)</f>
        <v>0.74210948351999995</v>
      </c>
      <c r="AG694" s="86">
        <f>+AF694*Analisis!$J$8</f>
        <v>79.069998541714298</v>
      </c>
      <c r="AH694" s="309">
        <f t="shared" si="98"/>
        <v>951.32991912181251</v>
      </c>
      <c r="AI694" s="86">
        <f>+AH694/(1-Analisis!G699)</f>
        <v>951.32991912181251</v>
      </c>
      <c r="AJ694" s="86">
        <f t="shared" si="92"/>
        <v>1022.9353969051748</v>
      </c>
      <c r="AK694" s="86">
        <f t="shared" si="99"/>
        <v>0</v>
      </c>
      <c r="AL694" s="310" t="e">
        <f>+VLOOKUP(B694,#REF!,2,FALSE)</f>
        <v>#REF!</v>
      </c>
      <c r="AM694" s="311" t="e">
        <f t="shared" si="97"/>
        <v>#REF!</v>
      </c>
      <c r="AN694" s="312" t="e">
        <f t="shared" si="96"/>
        <v>#REF!</v>
      </c>
    </row>
    <row r="695" spans="1:40" s="73" customFormat="1" x14ac:dyDescent="0.25">
      <c r="A695" s="313"/>
      <c r="B695" s="314" t="s">
        <v>1414</v>
      </c>
      <c r="D695" s="74">
        <f>IFERROR(VLOOKUP(B695,'REQ. PINTADO'!B:C,2,0),0)</f>
        <v>0</v>
      </c>
      <c r="E695" s="305">
        <f t="shared" si="85"/>
        <v>1341.40309598163</v>
      </c>
      <c r="F695" s="103" t="s">
        <v>163</v>
      </c>
      <c r="G695" s="75" t="s">
        <v>147</v>
      </c>
      <c r="H695" s="90">
        <v>39.938000000000002</v>
      </c>
      <c r="I695" s="90">
        <v>16.602</v>
      </c>
      <c r="J695" s="76">
        <v>0.105</v>
      </c>
      <c r="K695" s="306">
        <v>16.38</v>
      </c>
      <c r="L695" s="78">
        <f t="shared" si="86"/>
        <v>33.427890265754421</v>
      </c>
      <c r="M695" s="58">
        <f>+VLOOKUP(F695,Material!$H$2:$M$17,6,FALSE)*H695*I695*(1+Material!$K$14)</f>
        <v>248.88583752411699</v>
      </c>
      <c r="N695" s="79" t="str">
        <f t="shared" si="95"/>
        <v>T5.0</v>
      </c>
      <c r="O695" s="80">
        <f>+VLOOKUP(N695,[3]Material!$A$3:$B$58,2,FALSE)</f>
        <v>5000</v>
      </c>
      <c r="P695" s="79" t="s">
        <v>42</v>
      </c>
      <c r="Q695" s="79" t="str">
        <f>+VLOOKUP(F695,[3]Material!$C$2:$E$12,2,FALSE)</f>
        <v>Cal 12</v>
      </c>
      <c r="R695" s="81">
        <f>+IF(P695="ACERO A36",VLOOKUP(Q695,'[3]Velocidades Std 1500 w'!$B$2:$F$15,5,FALSE),IF(P695="INOXIDABLE",VLOOKUP(Q695,'[3]Velocidades Std 1500 w'!$B$17:$F$28,5,FALSE),IF(P695="ALUMINIO",VLOOKUP(Q695,'[3]Velocidades Std 1500 w'!$B$30:$F$38,5,FALSE))))</f>
        <v>4.3859649122807014E-6</v>
      </c>
      <c r="S695" s="82">
        <f t="shared" si="87"/>
        <v>2.1929824561403508E-2</v>
      </c>
      <c r="T695" s="83">
        <f t="shared" si="88"/>
        <v>319.23147789473683</v>
      </c>
      <c r="U695" s="307">
        <f t="shared" si="94"/>
        <v>20217.993600000002</v>
      </c>
      <c r="V695" s="80">
        <f t="shared" si="93"/>
        <v>443.37705263157898</v>
      </c>
      <c r="W695" s="98">
        <v>430</v>
      </c>
      <c r="X695" s="84">
        <f>+IF(P695="ACERO A36",VLOOKUP(Q695,'[3]Tiempo Objeto'!$B$2:$C$12,2,FALSE),IF(P695="INOXIDABLE",VLOOKUP(Q695,'[3]Tiempo Objeto'!$B$14:$C$22,2,FALSE),IF(P695="ALUMINIO",VLOOKUP(Q695,'[3]Tiempo Objeto'!$B$24:$C$32,2,FALSE))))</f>
        <v>0.6133333333333334</v>
      </c>
      <c r="Y695" s="84">
        <f t="shared" si="89"/>
        <v>263.73333333333335</v>
      </c>
      <c r="Z695" s="80">
        <f t="shared" si="90"/>
        <v>366.2962962962963</v>
      </c>
      <c r="AA695" s="100">
        <v>3</v>
      </c>
      <c r="AB695" s="86">
        <f>+AA695*Analisis!$J$6</f>
        <v>75</v>
      </c>
      <c r="AC695" s="100"/>
      <c r="AD695" s="85">
        <f t="shared" si="91"/>
        <v>0</v>
      </c>
      <c r="AE695" s="86">
        <f>+AC695*Analisis!$J$7</f>
        <v>0</v>
      </c>
      <c r="AF695" s="308">
        <f>+H695*0.0254*I695*0.0254*2*(1+[3]Analisis!$G$2)</f>
        <v>1.0694344353203999</v>
      </c>
      <c r="AG695" s="86">
        <f>+AF695*Analisis!$J$8</f>
        <v>113.9456928109236</v>
      </c>
      <c r="AH695" s="309">
        <f t="shared" si="98"/>
        <v>1247.5048792629159</v>
      </c>
      <c r="AI695" s="86">
        <f>+AH695/(1-Analisis!G700)</f>
        <v>1247.5048792629159</v>
      </c>
      <c r="AJ695" s="86">
        <f t="shared" si="92"/>
        <v>1341.40309598163</v>
      </c>
      <c r="AK695" s="86">
        <f t="shared" si="99"/>
        <v>0</v>
      </c>
      <c r="AL695" s="310" t="e">
        <f>+VLOOKUP(B695,#REF!,2,FALSE)</f>
        <v>#REF!</v>
      </c>
      <c r="AM695" s="311" t="e">
        <f t="shared" si="97"/>
        <v>#REF!</v>
      </c>
      <c r="AN695" s="312" t="e">
        <f t="shared" si="96"/>
        <v>#REF!</v>
      </c>
    </row>
    <row r="696" spans="1:40" s="73" customFormat="1" x14ac:dyDescent="0.25">
      <c r="A696" s="313"/>
      <c r="B696" s="314" t="s">
        <v>1415</v>
      </c>
      <c r="D696" s="74">
        <f>IFERROR(VLOOKUP(B696,'REQ. PINTADO'!B:C,2,0),0)</f>
        <v>0</v>
      </c>
      <c r="E696" s="305">
        <f t="shared" si="85"/>
        <v>138.91525158199812</v>
      </c>
      <c r="F696" s="103" t="s">
        <v>165</v>
      </c>
      <c r="G696" s="75" t="s">
        <v>147</v>
      </c>
      <c r="H696" s="90">
        <v>5.37</v>
      </c>
      <c r="I696" s="90">
        <v>17.25</v>
      </c>
      <c r="J696" s="76">
        <v>0.105</v>
      </c>
      <c r="K696" s="306">
        <v>16.38</v>
      </c>
      <c r="L696" s="78">
        <f t="shared" si="86"/>
        <v>5.170991586538463</v>
      </c>
      <c r="M696" s="58">
        <f>+VLOOKUP(F696,Material!$H$2:$M$17,6,FALSE)*H696*I696*(1+Material!$K$14)</f>
        <v>38.500382812500007</v>
      </c>
      <c r="N696" s="79" t="str">
        <f t="shared" si="95"/>
        <v>T5.0</v>
      </c>
      <c r="O696" s="80">
        <f>+VLOOKUP(N696,[3]Material!$A$3:$B$58,2,FALSE)</f>
        <v>5000</v>
      </c>
      <c r="P696" s="79" t="s">
        <v>42</v>
      </c>
      <c r="Q696" s="79" t="str">
        <f>+VLOOKUP(F696,[3]Material!$C$2:$E$12,2,FALSE)</f>
        <v>Cal 14</v>
      </c>
      <c r="R696" s="81">
        <f>+IF(P696="ACERO A36",VLOOKUP(Q696,'[3]Velocidades Std 1500 w'!$B$2:$F$15,5,FALSE),IF(P696="INOXIDABLE",VLOOKUP(Q696,'[3]Velocidades Std 1500 w'!$B$17:$F$28,5,FALSE),IF(P696="ALUMINIO",VLOOKUP(Q696,'[3]Velocidades Std 1500 w'!$B$30:$F$38,5,FALSE))))</f>
        <v>2.0080321285140564E-6</v>
      </c>
      <c r="S696" s="82">
        <f t="shared" si="87"/>
        <v>1.0040160642570283E-2</v>
      </c>
      <c r="T696" s="83">
        <f t="shared" si="88"/>
        <v>21.735728674698802</v>
      </c>
      <c r="U696" s="307">
        <f t="shared" si="94"/>
        <v>3006.7758000000003</v>
      </c>
      <c r="V696" s="80">
        <f t="shared" si="93"/>
        <v>30.188512048192781</v>
      </c>
      <c r="W696" s="98">
        <v>45</v>
      </c>
      <c r="X696" s="84">
        <f>+IF(P696="ACERO A36",VLOOKUP(Q696,'[3]Tiempo Objeto'!$B$2:$C$12,2,FALSE),IF(P696="INOXIDABLE",VLOOKUP(Q696,'[3]Tiempo Objeto'!$B$14:$C$22,2,FALSE),IF(P696="ALUMINIO",VLOOKUP(Q696,'[3]Tiempo Objeto'!$B$24:$C$32,2,FALSE))))</f>
        <v>0.3133333333333333</v>
      </c>
      <c r="Y696" s="84">
        <f t="shared" si="89"/>
        <v>14.099999999999998</v>
      </c>
      <c r="Z696" s="80">
        <f t="shared" si="90"/>
        <v>19.583333333333329</v>
      </c>
      <c r="AA696" s="100">
        <v>1</v>
      </c>
      <c r="AB696" s="86">
        <f>+AA696*Analisis!$J$6</f>
        <v>25</v>
      </c>
      <c r="AC696" s="100"/>
      <c r="AD696" s="85">
        <f t="shared" si="91"/>
        <v>0</v>
      </c>
      <c r="AE696" s="86">
        <f>+AC696*Analisis!$J$7</f>
        <v>0</v>
      </c>
      <c r="AF696" s="308">
        <f>+H696*0.0254*I696*0.0254*2*(1+[3]Analisis!$G$2)</f>
        <v>0.14940695925</v>
      </c>
      <c r="AG696" s="86">
        <f>+AF696*Analisis!$J$8</f>
        <v>15.918955777232147</v>
      </c>
      <c r="AH696" s="309">
        <f t="shared" si="98"/>
        <v>129.19118397125825</v>
      </c>
      <c r="AI696" s="86">
        <f>+AH696/(1-Analisis!G701)</f>
        <v>129.19118397125825</v>
      </c>
      <c r="AJ696" s="86">
        <f t="shared" si="92"/>
        <v>138.91525158199812</v>
      </c>
      <c r="AK696" s="86">
        <f t="shared" si="99"/>
        <v>0</v>
      </c>
      <c r="AL696" s="310" t="e">
        <f>+VLOOKUP(B696,#REF!,2,FALSE)</f>
        <v>#REF!</v>
      </c>
      <c r="AM696" s="311" t="e">
        <f t="shared" si="97"/>
        <v>#REF!</v>
      </c>
      <c r="AN696" s="312" t="e">
        <f t="shared" si="96"/>
        <v>#REF!</v>
      </c>
    </row>
    <row r="697" spans="1:40" s="73" customFormat="1" x14ac:dyDescent="0.25">
      <c r="A697" s="313"/>
      <c r="B697" s="314" t="s">
        <v>1416</v>
      </c>
      <c r="D697" s="74">
        <f>IFERROR(VLOOKUP(B697,'REQ. PINTADO'!B:C,2,0),0)</f>
        <v>0</v>
      </c>
      <c r="E697" s="305">
        <f t="shared" si="85"/>
        <v>138.91525158199812</v>
      </c>
      <c r="F697" s="103" t="s">
        <v>165</v>
      </c>
      <c r="G697" s="75" t="s">
        <v>147</v>
      </c>
      <c r="H697" s="90">
        <v>5.37</v>
      </c>
      <c r="I697" s="90">
        <v>17.25</v>
      </c>
      <c r="J697" s="76">
        <v>0.105</v>
      </c>
      <c r="K697" s="306">
        <v>16.38</v>
      </c>
      <c r="L697" s="78">
        <f t="shared" si="86"/>
        <v>5.170991586538463</v>
      </c>
      <c r="M697" s="58">
        <f>+VLOOKUP(F697,Material!$H$2:$M$17,6,FALSE)*H697*I697*(1+Material!$K$14)</f>
        <v>38.500382812500007</v>
      </c>
      <c r="N697" s="79" t="str">
        <f t="shared" si="95"/>
        <v>T5.0</v>
      </c>
      <c r="O697" s="80">
        <f>+VLOOKUP(N697,[3]Material!$A$3:$B$58,2,FALSE)</f>
        <v>5000</v>
      </c>
      <c r="P697" s="79" t="s">
        <v>42</v>
      </c>
      <c r="Q697" s="79" t="str">
        <f>+VLOOKUP(F697,[3]Material!$C$2:$E$12,2,FALSE)</f>
        <v>Cal 14</v>
      </c>
      <c r="R697" s="81">
        <f>+IF(P697="ACERO A36",VLOOKUP(Q697,'[3]Velocidades Std 1500 w'!$B$2:$F$15,5,FALSE),IF(P697="INOXIDABLE",VLOOKUP(Q697,'[3]Velocidades Std 1500 w'!$B$17:$F$28,5,FALSE),IF(P697="ALUMINIO",VLOOKUP(Q697,'[3]Velocidades Std 1500 w'!$B$30:$F$38,5,FALSE))))</f>
        <v>2.0080321285140564E-6</v>
      </c>
      <c r="S697" s="82">
        <f t="shared" si="87"/>
        <v>1.0040160642570283E-2</v>
      </c>
      <c r="T697" s="83">
        <f t="shared" si="88"/>
        <v>21.735728674698802</v>
      </c>
      <c r="U697" s="307">
        <f t="shared" si="94"/>
        <v>3006.7758000000003</v>
      </c>
      <c r="V697" s="80">
        <f t="shared" si="93"/>
        <v>30.188512048192781</v>
      </c>
      <c r="W697" s="98">
        <v>45</v>
      </c>
      <c r="X697" s="84">
        <f>+IF(P697="ACERO A36",VLOOKUP(Q697,'[3]Tiempo Objeto'!$B$2:$C$12,2,FALSE),IF(P697="INOXIDABLE",VLOOKUP(Q697,'[3]Tiempo Objeto'!$B$14:$C$22,2,FALSE),IF(P697="ALUMINIO",VLOOKUP(Q697,'[3]Tiempo Objeto'!$B$24:$C$32,2,FALSE))))</f>
        <v>0.3133333333333333</v>
      </c>
      <c r="Y697" s="84">
        <f t="shared" si="89"/>
        <v>14.099999999999998</v>
      </c>
      <c r="Z697" s="80">
        <f t="shared" si="90"/>
        <v>19.583333333333329</v>
      </c>
      <c r="AA697" s="100">
        <v>1</v>
      </c>
      <c r="AB697" s="86">
        <f>+AA697*Analisis!$J$6</f>
        <v>25</v>
      </c>
      <c r="AC697" s="100"/>
      <c r="AD697" s="85">
        <f t="shared" si="91"/>
        <v>0</v>
      </c>
      <c r="AE697" s="86">
        <f>+AC697*Analisis!$J$7</f>
        <v>0</v>
      </c>
      <c r="AF697" s="308">
        <f>+H697*0.0254*I697*0.0254*2*(1+[3]Analisis!$G$2)</f>
        <v>0.14940695925</v>
      </c>
      <c r="AG697" s="86">
        <f>+AF697*Analisis!$J$8</f>
        <v>15.918955777232147</v>
      </c>
      <c r="AH697" s="309">
        <f t="shared" si="98"/>
        <v>129.19118397125825</v>
      </c>
      <c r="AI697" s="86">
        <f>+AH697/(1-Analisis!G702)</f>
        <v>129.19118397125825</v>
      </c>
      <c r="AJ697" s="86">
        <f t="shared" si="92"/>
        <v>138.91525158199812</v>
      </c>
      <c r="AK697" s="86">
        <f t="shared" si="99"/>
        <v>0</v>
      </c>
      <c r="AL697" s="310" t="e">
        <f>+VLOOKUP(B697,#REF!,2,FALSE)</f>
        <v>#REF!</v>
      </c>
      <c r="AM697" s="311" t="e">
        <f t="shared" si="97"/>
        <v>#REF!</v>
      </c>
      <c r="AN697" s="312" t="e">
        <f t="shared" si="96"/>
        <v>#REF!</v>
      </c>
    </row>
    <row r="698" spans="1:40" s="73" customFormat="1" x14ac:dyDescent="0.25">
      <c r="A698" s="313"/>
      <c r="B698" s="314" t="s">
        <v>1417</v>
      </c>
      <c r="D698" s="74">
        <f>IFERROR(VLOOKUP(B698,'REQ. PINTADO'!B:C,2,0),0)</f>
        <v>0</v>
      </c>
      <c r="E698" s="305">
        <f t="shared" si="85"/>
        <v>138.91525158199812</v>
      </c>
      <c r="F698" s="103" t="s">
        <v>165</v>
      </c>
      <c r="G698" s="75" t="s">
        <v>147</v>
      </c>
      <c r="H698" s="90">
        <v>5.37</v>
      </c>
      <c r="I698" s="90">
        <v>17.25</v>
      </c>
      <c r="J698" s="76">
        <v>0.105</v>
      </c>
      <c r="K698" s="306">
        <v>16.38</v>
      </c>
      <c r="L698" s="78">
        <f t="shared" si="86"/>
        <v>5.170991586538463</v>
      </c>
      <c r="M698" s="58">
        <f>+VLOOKUP(F698,Material!$H$2:$M$17,6,FALSE)*H698*I698*(1+Material!$K$14)</f>
        <v>38.500382812500007</v>
      </c>
      <c r="N698" s="79" t="str">
        <f t="shared" si="95"/>
        <v>T5.0</v>
      </c>
      <c r="O698" s="80">
        <f>+VLOOKUP(N698,[3]Material!$A$3:$B$58,2,FALSE)</f>
        <v>5000</v>
      </c>
      <c r="P698" s="79" t="s">
        <v>42</v>
      </c>
      <c r="Q698" s="79" t="str">
        <f>+VLOOKUP(F698,[3]Material!$C$2:$E$12,2,FALSE)</f>
        <v>Cal 14</v>
      </c>
      <c r="R698" s="81">
        <f>+IF(P698="ACERO A36",VLOOKUP(Q698,'[3]Velocidades Std 1500 w'!$B$2:$F$15,5,FALSE),IF(P698="INOXIDABLE",VLOOKUP(Q698,'[3]Velocidades Std 1500 w'!$B$17:$F$28,5,FALSE),IF(P698="ALUMINIO",VLOOKUP(Q698,'[3]Velocidades Std 1500 w'!$B$30:$F$38,5,FALSE))))</f>
        <v>2.0080321285140564E-6</v>
      </c>
      <c r="S698" s="82">
        <f t="shared" si="87"/>
        <v>1.0040160642570283E-2</v>
      </c>
      <c r="T698" s="83">
        <f t="shared" si="88"/>
        <v>21.735728674698802</v>
      </c>
      <c r="U698" s="307">
        <f t="shared" si="94"/>
        <v>3006.7758000000003</v>
      </c>
      <c r="V698" s="80">
        <f t="shared" si="93"/>
        <v>30.188512048192781</v>
      </c>
      <c r="W698" s="98">
        <v>45</v>
      </c>
      <c r="X698" s="84">
        <f>+IF(P698="ACERO A36",VLOOKUP(Q698,'[3]Tiempo Objeto'!$B$2:$C$12,2,FALSE),IF(P698="INOXIDABLE",VLOOKUP(Q698,'[3]Tiempo Objeto'!$B$14:$C$22,2,FALSE),IF(P698="ALUMINIO",VLOOKUP(Q698,'[3]Tiempo Objeto'!$B$24:$C$32,2,FALSE))))</f>
        <v>0.3133333333333333</v>
      </c>
      <c r="Y698" s="84">
        <f t="shared" si="89"/>
        <v>14.099999999999998</v>
      </c>
      <c r="Z698" s="80">
        <f t="shared" si="90"/>
        <v>19.583333333333329</v>
      </c>
      <c r="AA698" s="100">
        <v>1</v>
      </c>
      <c r="AB698" s="86">
        <f>+AA698*Analisis!$J$6</f>
        <v>25</v>
      </c>
      <c r="AC698" s="100"/>
      <c r="AD698" s="85">
        <f t="shared" si="91"/>
        <v>0</v>
      </c>
      <c r="AE698" s="86">
        <f>+AC698*Analisis!$J$7</f>
        <v>0</v>
      </c>
      <c r="AF698" s="308">
        <f>+H698*0.0254*I698*0.0254*2*(1+[3]Analisis!$G$2)</f>
        <v>0.14940695925</v>
      </c>
      <c r="AG698" s="86">
        <f>+AF698*Analisis!$J$8</f>
        <v>15.918955777232147</v>
      </c>
      <c r="AH698" s="309">
        <f t="shared" si="98"/>
        <v>129.19118397125825</v>
      </c>
      <c r="AI698" s="86">
        <f>+AH698/(1-Analisis!G703)</f>
        <v>129.19118397125825</v>
      </c>
      <c r="AJ698" s="86">
        <f t="shared" si="92"/>
        <v>138.91525158199812</v>
      </c>
      <c r="AK698" s="86">
        <f t="shared" si="99"/>
        <v>0</v>
      </c>
      <c r="AL698" s="310" t="e">
        <f>+VLOOKUP(B698,#REF!,2,FALSE)</f>
        <v>#REF!</v>
      </c>
      <c r="AM698" s="311" t="e">
        <f t="shared" si="97"/>
        <v>#REF!</v>
      </c>
      <c r="AN698" s="312" t="e">
        <f t="shared" si="96"/>
        <v>#REF!</v>
      </c>
    </row>
    <row r="699" spans="1:40" s="73" customFormat="1" x14ac:dyDescent="0.25">
      <c r="A699" s="313"/>
      <c r="B699" s="314" t="s">
        <v>1418</v>
      </c>
      <c r="D699" s="74">
        <f>IFERROR(VLOOKUP(B699,'REQ. PINTADO'!B:C,2,0),0)</f>
        <v>0</v>
      </c>
      <c r="E699" s="305">
        <f t="shared" si="85"/>
        <v>138.91525158199812</v>
      </c>
      <c r="F699" s="103" t="s">
        <v>165</v>
      </c>
      <c r="G699" s="75" t="s">
        <v>147</v>
      </c>
      <c r="H699" s="90">
        <v>5.37</v>
      </c>
      <c r="I699" s="90">
        <v>17.25</v>
      </c>
      <c r="J699" s="76">
        <v>0.105</v>
      </c>
      <c r="K699" s="306">
        <v>16.38</v>
      </c>
      <c r="L699" s="78">
        <f t="shared" si="86"/>
        <v>5.170991586538463</v>
      </c>
      <c r="M699" s="58">
        <f>+VLOOKUP(F699,Material!$H$2:$M$17,6,FALSE)*H699*I699*(1+Material!$K$14)</f>
        <v>38.500382812500007</v>
      </c>
      <c r="N699" s="79" t="str">
        <f t="shared" si="95"/>
        <v>T5.0</v>
      </c>
      <c r="O699" s="80">
        <f>+VLOOKUP(N699,[3]Material!$A$3:$B$58,2,FALSE)</f>
        <v>5000</v>
      </c>
      <c r="P699" s="79" t="s">
        <v>42</v>
      </c>
      <c r="Q699" s="79" t="str">
        <f>+VLOOKUP(F699,[3]Material!$C$2:$E$12,2,FALSE)</f>
        <v>Cal 14</v>
      </c>
      <c r="R699" s="81">
        <f>+IF(P699="ACERO A36",VLOOKUP(Q699,'[3]Velocidades Std 1500 w'!$B$2:$F$15,5,FALSE),IF(P699="INOXIDABLE",VLOOKUP(Q699,'[3]Velocidades Std 1500 w'!$B$17:$F$28,5,FALSE),IF(P699="ALUMINIO",VLOOKUP(Q699,'[3]Velocidades Std 1500 w'!$B$30:$F$38,5,FALSE))))</f>
        <v>2.0080321285140564E-6</v>
      </c>
      <c r="S699" s="82">
        <f t="shared" si="87"/>
        <v>1.0040160642570283E-2</v>
      </c>
      <c r="T699" s="83">
        <f t="shared" si="88"/>
        <v>21.735728674698802</v>
      </c>
      <c r="U699" s="307">
        <f t="shared" si="94"/>
        <v>3006.7758000000003</v>
      </c>
      <c r="V699" s="80">
        <f t="shared" si="93"/>
        <v>30.188512048192781</v>
      </c>
      <c r="W699" s="98">
        <v>45</v>
      </c>
      <c r="X699" s="84">
        <f>+IF(P699="ACERO A36",VLOOKUP(Q699,'[3]Tiempo Objeto'!$B$2:$C$12,2,FALSE),IF(P699="INOXIDABLE",VLOOKUP(Q699,'[3]Tiempo Objeto'!$B$14:$C$22,2,FALSE),IF(P699="ALUMINIO",VLOOKUP(Q699,'[3]Tiempo Objeto'!$B$24:$C$32,2,FALSE))))</f>
        <v>0.3133333333333333</v>
      </c>
      <c r="Y699" s="84">
        <f t="shared" si="89"/>
        <v>14.099999999999998</v>
      </c>
      <c r="Z699" s="80">
        <f t="shared" si="90"/>
        <v>19.583333333333329</v>
      </c>
      <c r="AA699" s="100">
        <v>1</v>
      </c>
      <c r="AB699" s="86">
        <f>+AA699*Analisis!$J$6</f>
        <v>25</v>
      </c>
      <c r="AC699" s="100"/>
      <c r="AD699" s="85">
        <f t="shared" si="91"/>
        <v>0</v>
      </c>
      <c r="AE699" s="86">
        <f>+AC699*Analisis!$J$7</f>
        <v>0</v>
      </c>
      <c r="AF699" s="308">
        <f>+H699*0.0254*I699*0.0254*2*(1+[3]Analisis!$G$2)</f>
        <v>0.14940695925</v>
      </c>
      <c r="AG699" s="86">
        <f>+AF699*Analisis!$J$8</f>
        <v>15.918955777232147</v>
      </c>
      <c r="AH699" s="309">
        <f t="shared" si="98"/>
        <v>129.19118397125825</v>
      </c>
      <c r="AI699" s="86">
        <f>+AH699/(1-Analisis!G704)</f>
        <v>129.19118397125825</v>
      </c>
      <c r="AJ699" s="86">
        <f t="shared" si="92"/>
        <v>138.91525158199812</v>
      </c>
      <c r="AK699" s="86">
        <f t="shared" si="99"/>
        <v>0</v>
      </c>
      <c r="AL699" s="310" t="e">
        <f>+VLOOKUP(B699,#REF!,2,FALSE)</f>
        <v>#REF!</v>
      </c>
      <c r="AM699" s="311" t="e">
        <f t="shared" si="97"/>
        <v>#REF!</v>
      </c>
      <c r="AN699" s="312" t="e">
        <f t="shared" si="96"/>
        <v>#REF!</v>
      </c>
    </row>
    <row r="700" spans="1:40" s="73" customFormat="1" x14ac:dyDescent="0.25">
      <c r="A700" s="313"/>
      <c r="B700" s="314" t="s">
        <v>1419</v>
      </c>
      <c r="D700" s="74">
        <f>IFERROR(VLOOKUP(B700,'REQ. PINTADO'!B:C,2,0),0)</f>
        <v>0</v>
      </c>
      <c r="E700" s="305">
        <f t="shared" si="85"/>
        <v>138.91525158199812</v>
      </c>
      <c r="F700" s="103" t="s">
        <v>165</v>
      </c>
      <c r="G700" s="75" t="s">
        <v>147</v>
      </c>
      <c r="H700" s="90">
        <v>5.37</v>
      </c>
      <c r="I700" s="90">
        <v>17.25</v>
      </c>
      <c r="J700" s="76">
        <v>0.105</v>
      </c>
      <c r="K700" s="306">
        <v>16.38</v>
      </c>
      <c r="L700" s="78">
        <f t="shared" si="86"/>
        <v>5.170991586538463</v>
      </c>
      <c r="M700" s="58">
        <f>+VLOOKUP(F700,Material!$H$2:$M$17,6,FALSE)*H700*I700*(1+Material!$K$14)</f>
        <v>38.500382812500007</v>
      </c>
      <c r="N700" s="79" t="str">
        <f t="shared" si="95"/>
        <v>T5.0</v>
      </c>
      <c r="O700" s="80">
        <f>+VLOOKUP(N700,[3]Material!$A$3:$B$58,2,FALSE)</f>
        <v>5000</v>
      </c>
      <c r="P700" s="79" t="s">
        <v>42</v>
      </c>
      <c r="Q700" s="79" t="str">
        <f>+VLOOKUP(F700,[3]Material!$C$2:$E$12,2,FALSE)</f>
        <v>Cal 14</v>
      </c>
      <c r="R700" s="81">
        <f>+IF(P700="ACERO A36",VLOOKUP(Q700,'[3]Velocidades Std 1500 w'!$B$2:$F$15,5,FALSE),IF(P700="INOXIDABLE",VLOOKUP(Q700,'[3]Velocidades Std 1500 w'!$B$17:$F$28,5,FALSE),IF(P700="ALUMINIO",VLOOKUP(Q700,'[3]Velocidades Std 1500 w'!$B$30:$F$38,5,FALSE))))</f>
        <v>2.0080321285140564E-6</v>
      </c>
      <c r="S700" s="82">
        <f t="shared" si="87"/>
        <v>1.0040160642570283E-2</v>
      </c>
      <c r="T700" s="83">
        <f t="shared" si="88"/>
        <v>21.735728674698802</v>
      </c>
      <c r="U700" s="307">
        <f t="shared" si="94"/>
        <v>3006.7758000000003</v>
      </c>
      <c r="V700" s="80">
        <f t="shared" si="93"/>
        <v>30.188512048192781</v>
      </c>
      <c r="W700" s="98">
        <v>45</v>
      </c>
      <c r="X700" s="84">
        <f>+IF(P700="ACERO A36",VLOOKUP(Q700,'[3]Tiempo Objeto'!$B$2:$C$12,2,FALSE),IF(P700="INOXIDABLE",VLOOKUP(Q700,'[3]Tiempo Objeto'!$B$14:$C$22,2,FALSE),IF(P700="ALUMINIO",VLOOKUP(Q700,'[3]Tiempo Objeto'!$B$24:$C$32,2,FALSE))))</f>
        <v>0.3133333333333333</v>
      </c>
      <c r="Y700" s="84">
        <f t="shared" si="89"/>
        <v>14.099999999999998</v>
      </c>
      <c r="Z700" s="80">
        <f t="shared" si="90"/>
        <v>19.583333333333329</v>
      </c>
      <c r="AA700" s="100">
        <v>1</v>
      </c>
      <c r="AB700" s="86">
        <f>+AA700*Analisis!$J$6</f>
        <v>25</v>
      </c>
      <c r="AC700" s="100"/>
      <c r="AD700" s="85">
        <f t="shared" si="91"/>
        <v>0</v>
      </c>
      <c r="AE700" s="86">
        <f>+AC700*Analisis!$J$7</f>
        <v>0</v>
      </c>
      <c r="AF700" s="308">
        <f>+H700*0.0254*I700*0.0254*2*(1+[3]Analisis!$G$2)</f>
        <v>0.14940695925</v>
      </c>
      <c r="AG700" s="86">
        <f>+AF700*Analisis!$J$8</f>
        <v>15.918955777232147</v>
      </c>
      <c r="AH700" s="309">
        <f t="shared" si="98"/>
        <v>129.19118397125825</v>
      </c>
      <c r="AI700" s="86">
        <f>+AH700/(1-Analisis!G705)</f>
        <v>129.19118397125825</v>
      </c>
      <c r="AJ700" s="86">
        <f t="shared" si="92"/>
        <v>138.91525158199812</v>
      </c>
      <c r="AK700" s="86">
        <f t="shared" si="99"/>
        <v>0</v>
      </c>
      <c r="AL700" s="310" t="e">
        <f>+VLOOKUP(B700,#REF!,2,FALSE)</f>
        <v>#REF!</v>
      </c>
      <c r="AM700" s="311" t="e">
        <f t="shared" si="97"/>
        <v>#REF!</v>
      </c>
      <c r="AN700" s="312" t="e">
        <f t="shared" si="96"/>
        <v>#REF!</v>
      </c>
    </row>
    <row r="701" spans="1:40" s="73" customFormat="1" x14ac:dyDescent="0.25">
      <c r="A701" s="313"/>
      <c r="B701" s="314" t="s">
        <v>1420</v>
      </c>
      <c r="D701" s="74">
        <f>IFERROR(VLOOKUP(B701,'REQ. PINTADO'!B:C,2,0),0)</f>
        <v>0</v>
      </c>
      <c r="E701" s="305">
        <f t="shared" si="85"/>
        <v>138.91525158199812</v>
      </c>
      <c r="F701" s="103" t="s">
        <v>165</v>
      </c>
      <c r="G701" s="75" t="s">
        <v>147</v>
      </c>
      <c r="H701" s="90">
        <v>5.37</v>
      </c>
      <c r="I701" s="90">
        <v>17.25</v>
      </c>
      <c r="J701" s="76">
        <v>0.105</v>
      </c>
      <c r="K701" s="306">
        <v>16.38</v>
      </c>
      <c r="L701" s="78">
        <f t="shared" si="86"/>
        <v>5.170991586538463</v>
      </c>
      <c r="M701" s="58">
        <f>+VLOOKUP(F701,Material!$H$2:$M$17,6,FALSE)*H701*I701*(1+Material!$K$14)</f>
        <v>38.500382812500007</v>
      </c>
      <c r="N701" s="79" t="str">
        <f t="shared" si="95"/>
        <v>T5.0</v>
      </c>
      <c r="O701" s="80">
        <f>+VLOOKUP(N701,[3]Material!$A$3:$B$58,2,FALSE)</f>
        <v>5000</v>
      </c>
      <c r="P701" s="79" t="s">
        <v>42</v>
      </c>
      <c r="Q701" s="79" t="str">
        <f>+VLOOKUP(F701,[3]Material!$C$2:$E$12,2,FALSE)</f>
        <v>Cal 14</v>
      </c>
      <c r="R701" s="81">
        <f>+IF(P701="ACERO A36",VLOOKUP(Q701,'[3]Velocidades Std 1500 w'!$B$2:$F$15,5,FALSE),IF(P701="INOXIDABLE",VLOOKUP(Q701,'[3]Velocidades Std 1500 w'!$B$17:$F$28,5,FALSE),IF(P701="ALUMINIO",VLOOKUP(Q701,'[3]Velocidades Std 1500 w'!$B$30:$F$38,5,FALSE))))</f>
        <v>2.0080321285140564E-6</v>
      </c>
      <c r="S701" s="82">
        <f t="shared" si="87"/>
        <v>1.0040160642570283E-2</v>
      </c>
      <c r="T701" s="83">
        <f t="shared" si="88"/>
        <v>21.735728674698802</v>
      </c>
      <c r="U701" s="307">
        <f t="shared" si="94"/>
        <v>3006.7758000000003</v>
      </c>
      <c r="V701" s="80">
        <f t="shared" si="93"/>
        <v>30.188512048192781</v>
      </c>
      <c r="W701" s="98">
        <v>45</v>
      </c>
      <c r="X701" s="84">
        <f>+IF(P701="ACERO A36",VLOOKUP(Q701,'[3]Tiempo Objeto'!$B$2:$C$12,2,FALSE),IF(P701="INOXIDABLE",VLOOKUP(Q701,'[3]Tiempo Objeto'!$B$14:$C$22,2,FALSE),IF(P701="ALUMINIO",VLOOKUP(Q701,'[3]Tiempo Objeto'!$B$24:$C$32,2,FALSE))))</f>
        <v>0.3133333333333333</v>
      </c>
      <c r="Y701" s="84">
        <f t="shared" si="89"/>
        <v>14.099999999999998</v>
      </c>
      <c r="Z701" s="80">
        <f t="shared" si="90"/>
        <v>19.583333333333329</v>
      </c>
      <c r="AA701" s="100">
        <v>1</v>
      </c>
      <c r="AB701" s="86">
        <f>+AA701*Analisis!$J$6</f>
        <v>25</v>
      </c>
      <c r="AC701" s="100"/>
      <c r="AD701" s="85">
        <f t="shared" si="91"/>
        <v>0</v>
      </c>
      <c r="AE701" s="86">
        <f>+AC701*Analisis!$J$7</f>
        <v>0</v>
      </c>
      <c r="AF701" s="308">
        <f>+H701*0.0254*I701*0.0254*2*(1+[3]Analisis!$G$2)</f>
        <v>0.14940695925</v>
      </c>
      <c r="AG701" s="86">
        <f>+AF701*Analisis!$J$8</f>
        <v>15.918955777232147</v>
      </c>
      <c r="AH701" s="309">
        <f t="shared" si="98"/>
        <v>129.19118397125825</v>
      </c>
      <c r="AI701" s="86">
        <f>+AH701/(1-Analisis!G706)</f>
        <v>129.19118397125825</v>
      </c>
      <c r="AJ701" s="86">
        <f t="shared" si="92"/>
        <v>138.91525158199812</v>
      </c>
      <c r="AK701" s="86">
        <f t="shared" si="99"/>
        <v>0</v>
      </c>
      <c r="AL701" s="310" t="e">
        <f>+VLOOKUP(B701,#REF!,2,FALSE)</f>
        <v>#REF!</v>
      </c>
      <c r="AM701" s="311" t="e">
        <f t="shared" si="97"/>
        <v>#REF!</v>
      </c>
      <c r="AN701" s="312" t="e">
        <f t="shared" si="96"/>
        <v>#REF!</v>
      </c>
    </row>
    <row r="702" spans="1:40" s="73" customFormat="1" x14ac:dyDescent="0.25">
      <c r="A702" s="313"/>
      <c r="B702" s="314" t="s">
        <v>1421</v>
      </c>
      <c r="D702" s="74">
        <f>IFERROR(VLOOKUP(B702,'REQ. PINTADO'!B:C,2,0),0)</f>
        <v>0</v>
      </c>
      <c r="E702" s="305">
        <f t="shared" ref="E702:E765" si="100">+AJ702</f>
        <v>138.91525158199812</v>
      </c>
      <c r="F702" s="103" t="s">
        <v>165</v>
      </c>
      <c r="G702" s="75" t="s">
        <v>147</v>
      </c>
      <c r="H702" s="90">
        <v>5.37</v>
      </c>
      <c r="I702" s="90">
        <v>17.25</v>
      </c>
      <c r="J702" s="76">
        <v>0.105</v>
      </c>
      <c r="K702" s="306">
        <v>16.38</v>
      </c>
      <c r="L702" s="78">
        <f t="shared" ref="L702:L765" si="101">+M702*2.2/K702</f>
        <v>5.170991586538463</v>
      </c>
      <c r="M702" s="58">
        <f>+VLOOKUP(F702,Material!$H$2:$M$17,6,FALSE)*H702*I702*(1+Material!$K$14)</f>
        <v>38.500382812500007</v>
      </c>
      <c r="N702" s="79" t="str">
        <f t="shared" si="95"/>
        <v>T5.0</v>
      </c>
      <c r="O702" s="80">
        <f>+VLOOKUP(N702,[3]Material!$A$3:$B$58,2,FALSE)</f>
        <v>5000</v>
      </c>
      <c r="P702" s="79" t="s">
        <v>42</v>
      </c>
      <c r="Q702" s="79" t="str">
        <f>+VLOOKUP(F702,[3]Material!$C$2:$E$12,2,FALSE)</f>
        <v>Cal 14</v>
      </c>
      <c r="R702" s="81">
        <f>+IF(P702="ACERO A36",VLOOKUP(Q702,'[3]Velocidades Std 1500 w'!$B$2:$F$15,5,FALSE),IF(P702="INOXIDABLE",VLOOKUP(Q702,'[3]Velocidades Std 1500 w'!$B$17:$F$28,5,FALSE),IF(P702="ALUMINIO",VLOOKUP(Q702,'[3]Velocidades Std 1500 w'!$B$30:$F$38,5,FALSE))))</f>
        <v>2.0080321285140564E-6</v>
      </c>
      <c r="S702" s="82">
        <f t="shared" ref="S702:S765" si="102">+R702*O702</f>
        <v>1.0040160642570283E-2</v>
      </c>
      <c r="T702" s="83">
        <f t="shared" ref="T702:T765" si="103">+R702*U702*3600</f>
        <v>21.735728674698802</v>
      </c>
      <c r="U702" s="307">
        <f t="shared" si="94"/>
        <v>3006.7758000000003</v>
      </c>
      <c r="V702" s="80">
        <f t="shared" si="93"/>
        <v>30.188512048192781</v>
      </c>
      <c r="W702" s="98">
        <v>45</v>
      </c>
      <c r="X702" s="84">
        <f>+IF(P702="ACERO A36",VLOOKUP(Q702,'[3]Tiempo Objeto'!$B$2:$C$12,2,FALSE),IF(P702="INOXIDABLE",VLOOKUP(Q702,'[3]Tiempo Objeto'!$B$14:$C$22,2,FALSE),IF(P702="ALUMINIO",VLOOKUP(Q702,'[3]Tiempo Objeto'!$B$24:$C$32,2,FALSE))))</f>
        <v>0.3133333333333333</v>
      </c>
      <c r="Y702" s="84">
        <f t="shared" ref="Y702:Y765" si="104">+X702*W702</f>
        <v>14.099999999999998</v>
      </c>
      <c r="Z702" s="80">
        <f t="shared" ref="Z702:Z765" si="105">+Y702*O702/3600</f>
        <v>19.583333333333329</v>
      </c>
      <c r="AA702" s="100">
        <v>1</v>
      </c>
      <c r="AB702" s="86">
        <f>+AA702*Analisis!$J$6</f>
        <v>25</v>
      </c>
      <c r="AC702" s="100"/>
      <c r="AD702" s="85">
        <f t="shared" ref="AD702:AD765" si="106">30*AC702+AC702*$D702*1.5</f>
        <v>0</v>
      </c>
      <c r="AE702" s="86">
        <f>+AC702*Analisis!$J$7</f>
        <v>0</v>
      </c>
      <c r="AF702" s="308">
        <f>+H702*0.0254*I702*0.0254*2*(1+[3]Analisis!$G$2)</f>
        <v>0.14940695925</v>
      </c>
      <c r="AG702" s="86">
        <f>+AF702*Analisis!$J$8</f>
        <v>15.918955777232147</v>
      </c>
      <c r="AH702" s="309">
        <f t="shared" si="98"/>
        <v>129.19118397125825</v>
      </c>
      <c r="AI702" s="86">
        <f>+AH702/(1-Analisis!G707)</f>
        <v>129.19118397125825</v>
      </c>
      <c r="AJ702" s="86">
        <f t="shared" ref="AJ702:AJ765" si="107">+AI702/(1-0.07)</f>
        <v>138.91525158199812</v>
      </c>
      <c r="AK702" s="86">
        <f t="shared" si="99"/>
        <v>0</v>
      </c>
      <c r="AL702" s="310" t="e">
        <f>+VLOOKUP(B702,#REF!,2,FALSE)</f>
        <v>#REF!</v>
      </c>
      <c r="AM702" s="311" t="e">
        <f t="shared" si="97"/>
        <v>#REF!</v>
      </c>
      <c r="AN702" s="312" t="e">
        <f t="shared" si="96"/>
        <v>#REF!</v>
      </c>
    </row>
    <row r="703" spans="1:40" s="73" customFormat="1" x14ac:dyDescent="0.25">
      <c r="A703" s="313"/>
      <c r="B703" s="314" t="s">
        <v>1422</v>
      </c>
      <c r="D703" s="74">
        <f>IFERROR(VLOOKUP(B703,'REQ. PINTADO'!B:C,2,0),0)</f>
        <v>0</v>
      </c>
      <c r="E703" s="305">
        <f t="shared" si="100"/>
        <v>138.91525158199812</v>
      </c>
      <c r="F703" s="103" t="s">
        <v>165</v>
      </c>
      <c r="G703" s="75" t="s">
        <v>147</v>
      </c>
      <c r="H703" s="90">
        <v>5.37</v>
      </c>
      <c r="I703" s="90">
        <v>17.25</v>
      </c>
      <c r="J703" s="76">
        <v>0.105</v>
      </c>
      <c r="K703" s="306">
        <v>16.38</v>
      </c>
      <c r="L703" s="78">
        <f t="shared" si="101"/>
        <v>5.170991586538463</v>
      </c>
      <c r="M703" s="58">
        <f>+VLOOKUP(F703,Material!$H$2:$M$17,6,FALSE)*H703*I703*(1+Material!$K$14)</f>
        <v>38.500382812500007</v>
      </c>
      <c r="N703" s="79" t="str">
        <f t="shared" si="95"/>
        <v>T5.0</v>
      </c>
      <c r="O703" s="80">
        <f>+VLOOKUP(N703,[3]Material!$A$3:$B$58,2,FALSE)</f>
        <v>5000</v>
      </c>
      <c r="P703" s="79" t="s">
        <v>42</v>
      </c>
      <c r="Q703" s="79" t="str">
        <f>+VLOOKUP(F703,[3]Material!$C$2:$E$12,2,FALSE)</f>
        <v>Cal 14</v>
      </c>
      <c r="R703" s="81">
        <f>+IF(P703="ACERO A36",VLOOKUP(Q703,'[3]Velocidades Std 1500 w'!$B$2:$F$15,5,FALSE),IF(P703="INOXIDABLE",VLOOKUP(Q703,'[3]Velocidades Std 1500 w'!$B$17:$F$28,5,FALSE),IF(P703="ALUMINIO",VLOOKUP(Q703,'[3]Velocidades Std 1500 w'!$B$30:$F$38,5,FALSE))))</f>
        <v>2.0080321285140564E-6</v>
      </c>
      <c r="S703" s="82">
        <f t="shared" si="102"/>
        <v>1.0040160642570283E-2</v>
      </c>
      <c r="T703" s="83">
        <f t="shared" si="103"/>
        <v>21.735728674698802</v>
      </c>
      <c r="U703" s="307">
        <f t="shared" si="94"/>
        <v>3006.7758000000003</v>
      </c>
      <c r="V703" s="80">
        <f t="shared" si="93"/>
        <v>30.188512048192781</v>
      </c>
      <c r="W703" s="98">
        <v>45</v>
      </c>
      <c r="X703" s="84">
        <f>+IF(P703="ACERO A36",VLOOKUP(Q703,'[3]Tiempo Objeto'!$B$2:$C$12,2,FALSE),IF(P703="INOXIDABLE",VLOOKUP(Q703,'[3]Tiempo Objeto'!$B$14:$C$22,2,FALSE),IF(P703="ALUMINIO",VLOOKUP(Q703,'[3]Tiempo Objeto'!$B$24:$C$32,2,FALSE))))</f>
        <v>0.3133333333333333</v>
      </c>
      <c r="Y703" s="84">
        <f t="shared" si="104"/>
        <v>14.099999999999998</v>
      </c>
      <c r="Z703" s="80">
        <f t="shared" si="105"/>
        <v>19.583333333333329</v>
      </c>
      <c r="AA703" s="100">
        <v>1</v>
      </c>
      <c r="AB703" s="86">
        <f>+AA703*Analisis!$J$6</f>
        <v>25</v>
      </c>
      <c r="AC703" s="100"/>
      <c r="AD703" s="85">
        <f t="shared" si="106"/>
        <v>0</v>
      </c>
      <c r="AE703" s="86">
        <f>+AC703*Analisis!$J$7</f>
        <v>0</v>
      </c>
      <c r="AF703" s="308">
        <f>+H703*0.0254*I703*0.0254*2*(1+[3]Analisis!$G$2)</f>
        <v>0.14940695925</v>
      </c>
      <c r="AG703" s="86">
        <f>+AF703*Analisis!$J$8</f>
        <v>15.918955777232147</v>
      </c>
      <c r="AH703" s="309">
        <f t="shared" si="98"/>
        <v>129.19118397125825</v>
      </c>
      <c r="AI703" s="86">
        <f>+AH703/(1-Analisis!G708)</f>
        <v>129.19118397125825</v>
      </c>
      <c r="AJ703" s="86">
        <f t="shared" si="107"/>
        <v>138.91525158199812</v>
      </c>
      <c r="AK703" s="86">
        <f t="shared" si="99"/>
        <v>0</v>
      </c>
      <c r="AL703" s="310" t="e">
        <f>+VLOOKUP(B703,#REF!,2,FALSE)</f>
        <v>#REF!</v>
      </c>
      <c r="AM703" s="311" t="e">
        <f t="shared" si="97"/>
        <v>#REF!</v>
      </c>
      <c r="AN703" s="312" t="e">
        <f t="shared" si="96"/>
        <v>#REF!</v>
      </c>
    </row>
    <row r="704" spans="1:40" s="73" customFormat="1" x14ac:dyDescent="0.25">
      <c r="A704" s="313"/>
      <c r="B704" s="314" t="s">
        <v>1423</v>
      </c>
      <c r="D704" s="74">
        <f>IFERROR(VLOOKUP(B704,'REQ. PINTADO'!B:C,2,0),0)</f>
        <v>0</v>
      </c>
      <c r="E704" s="305">
        <f t="shared" si="100"/>
        <v>138.91525158199812</v>
      </c>
      <c r="F704" s="103" t="s">
        <v>165</v>
      </c>
      <c r="G704" s="75" t="s">
        <v>147</v>
      </c>
      <c r="H704" s="90">
        <v>5.37</v>
      </c>
      <c r="I704" s="90">
        <v>17.25</v>
      </c>
      <c r="J704" s="76">
        <v>0.105</v>
      </c>
      <c r="K704" s="306">
        <v>16.38</v>
      </c>
      <c r="L704" s="78">
        <f t="shared" si="101"/>
        <v>5.170991586538463</v>
      </c>
      <c r="M704" s="58">
        <f>+VLOOKUP(F704,Material!$H$2:$M$17,6,FALSE)*H704*I704*(1+Material!$K$14)</f>
        <v>38.500382812500007</v>
      </c>
      <c r="N704" s="79" t="str">
        <f t="shared" si="95"/>
        <v>T5.0</v>
      </c>
      <c r="O704" s="80">
        <f>+VLOOKUP(N704,[3]Material!$A$3:$B$58,2,FALSE)</f>
        <v>5000</v>
      </c>
      <c r="P704" s="79" t="s">
        <v>42</v>
      </c>
      <c r="Q704" s="79" t="str">
        <f>+VLOOKUP(F704,[3]Material!$C$2:$E$12,2,FALSE)</f>
        <v>Cal 14</v>
      </c>
      <c r="R704" s="81">
        <f>+IF(P704="ACERO A36",VLOOKUP(Q704,'[3]Velocidades Std 1500 w'!$B$2:$F$15,5,FALSE),IF(P704="INOXIDABLE",VLOOKUP(Q704,'[3]Velocidades Std 1500 w'!$B$17:$F$28,5,FALSE),IF(P704="ALUMINIO",VLOOKUP(Q704,'[3]Velocidades Std 1500 w'!$B$30:$F$38,5,FALSE))))</f>
        <v>2.0080321285140564E-6</v>
      </c>
      <c r="S704" s="82">
        <f t="shared" si="102"/>
        <v>1.0040160642570283E-2</v>
      </c>
      <c r="T704" s="83">
        <f t="shared" si="103"/>
        <v>21.735728674698802</v>
      </c>
      <c r="U704" s="307">
        <f t="shared" si="94"/>
        <v>3006.7758000000003</v>
      </c>
      <c r="V704" s="80">
        <f t="shared" si="93"/>
        <v>30.188512048192781</v>
      </c>
      <c r="W704" s="98">
        <v>45</v>
      </c>
      <c r="X704" s="84">
        <f>+IF(P704="ACERO A36",VLOOKUP(Q704,'[3]Tiempo Objeto'!$B$2:$C$12,2,FALSE),IF(P704="INOXIDABLE",VLOOKUP(Q704,'[3]Tiempo Objeto'!$B$14:$C$22,2,FALSE),IF(P704="ALUMINIO",VLOOKUP(Q704,'[3]Tiempo Objeto'!$B$24:$C$32,2,FALSE))))</f>
        <v>0.3133333333333333</v>
      </c>
      <c r="Y704" s="84">
        <f t="shared" si="104"/>
        <v>14.099999999999998</v>
      </c>
      <c r="Z704" s="80">
        <f t="shared" si="105"/>
        <v>19.583333333333329</v>
      </c>
      <c r="AA704" s="100">
        <v>1</v>
      </c>
      <c r="AB704" s="86">
        <f>+AA704*Analisis!$J$6</f>
        <v>25</v>
      </c>
      <c r="AC704" s="100"/>
      <c r="AD704" s="85">
        <f t="shared" si="106"/>
        <v>0</v>
      </c>
      <c r="AE704" s="86">
        <f>+AC704*Analisis!$J$7</f>
        <v>0</v>
      </c>
      <c r="AF704" s="308">
        <f>+H704*0.0254*I704*0.0254*2*(1+[3]Analisis!$G$2)</f>
        <v>0.14940695925</v>
      </c>
      <c r="AG704" s="86">
        <f>+AF704*Analisis!$J$8</f>
        <v>15.918955777232147</v>
      </c>
      <c r="AH704" s="309">
        <f t="shared" si="98"/>
        <v>129.19118397125825</v>
      </c>
      <c r="AI704" s="86">
        <f>+AH704/(1-Analisis!G709)</f>
        <v>129.19118397125825</v>
      </c>
      <c r="AJ704" s="86">
        <f t="shared" si="107"/>
        <v>138.91525158199812</v>
      </c>
      <c r="AK704" s="86">
        <f t="shared" si="99"/>
        <v>0</v>
      </c>
      <c r="AL704" s="310" t="e">
        <f>+VLOOKUP(B704,#REF!,2,FALSE)</f>
        <v>#REF!</v>
      </c>
      <c r="AM704" s="311" t="e">
        <f t="shared" si="97"/>
        <v>#REF!</v>
      </c>
      <c r="AN704" s="312" t="e">
        <f t="shared" si="96"/>
        <v>#REF!</v>
      </c>
    </row>
    <row r="705" spans="1:40" s="73" customFormat="1" x14ac:dyDescent="0.25">
      <c r="A705" s="313"/>
      <c r="B705" s="314" t="s">
        <v>1424</v>
      </c>
      <c r="D705" s="74">
        <f>IFERROR(VLOOKUP(B705,'REQ. PINTADO'!B:C,2,0),0)</f>
        <v>0</v>
      </c>
      <c r="E705" s="305">
        <f t="shared" si="100"/>
        <v>138.91525158199812</v>
      </c>
      <c r="F705" s="103" t="s">
        <v>165</v>
      </c>
      <c r="G705" s="75" t="s">
        <v>147</v>
      </c>
      <c r="H705" s="90">
        <v>5.37</v>
      </c>
      <c r="I705" s="90">
        <v>17.25</v>
      </c>
      <c r="J705" s="76">
        <v>0.105</v>
      </c>
      <c r="K705" s="306">
        <v>16.38</v>
      </c>
      <c r="L705" s="78">
        <f t="shared" si="101"/>
        <v>5.170991586538463</v>
      </c>
      <c r="M705" s="58">
        <f>+VLOOKUP(F705,Material!$H$2:$M$17,6,FALSE)*H705*I705*(1+Material!$K$14)</f>
        <v>38.500382812500007</v>
      </c>
      <c r="N705" s="79" t="str">
        <f t="shared" si="95"/>
        <v>T5.0</v>
      </c>
      <c r="O705" s="80">
        <f>+VLOOKUP(N705,[3]Material!$A$3:$B$58,2,FALSE)</f>
        <v>5000</v>
      </c>
      <c r="P705" s="79" t="s">
        <v>42</v>
      </c>
      <c r="Q705" s="79" t="str">
        <f>+VLOOKUP(F705,[3]Material!$C$2:$E$12,2,FALSE)</f>
        <v>Cal 14</v>
      </c>
      <c r="R705" s="81">
        <f>+IF(P705="ACERO A36",VLOOKUP(Q705,'[3]Velocidades Std 1500 w'!$B$2:$F$15,5,FALSE),IF(P705="INOXIDABLE",VLOOKUP(Q705,'[3]Velocidades Std 1500 w'!$B$17:$F$28,5,FALSE),IF(P705="ALUMINIO",VLOOKUP(Q705,'[3]Velocidades Std 1500 w'!$B$30:$F$38,5,FALSE))))</f>
        <v>2.0080321285140564E-6</v>
      </c>
      <c r="S705" s="82">
        <f t="shared" si="102"/>
        <v>1.0040160642570283E-2</v>
      </c>
      <c r="T705" s="83">
        <f t="shared" si="103"/>
        <v>21.735728674698802</v>
      </c>
      <c r="U705" s="307">
        <f t="shared" si="94"/>
        <v>3006.7758000000003</v>
      </c>
      <c r="V705" s="80">
        <f t="shared" ref="V705:V768" si="108">+U705*S705</f>
        <v>30.188512048192781</v>
      </c>
      <c r="W705" s="98">
        <v>45</v>
      </c>
      <c r="X705" s="84">
        <f>+IF(P705="ACERO A36",VLOOKUP(Q705,'[3]Tiempo Objeto'!$B$2:$C$12,2,FALSE),IF(P705="INOXIDABLE",VLOOKUP(Q705,'[3]Tiempo Objeto'!$B$14:$C$22,2,FALSE),IF(P705="ALUMINIO",VLOOKUP(Q705,'[3]Tiempo Objeto'!$B$24:$C$32,2,FALSE))))</f>
        <v>0.3133333333333333</v>
      </c>
      <c r="Y705" s="84">
        <f t="shared" si="104"/>
        <v>14.099999999999998</v>
      </c>
      <c r="Z705" s="80">
        <f t="shared" si="105"/>
        <v>19.583333333333329</v>
      </c>
      <c r="AA705" s="100">
        <v>1</v>
      </c>
      <c r="AB705" s="86">
        <f>+AA705*Analisis!$J$6</f>
        <v>25</v>
      </c>
      <c r="AC705" s="100"/>
      <c r="AD705" s="85">
        <f t="shared" si="106"/>
        <v>0</v>
      </c>
      <c r="AE705" s="86">
        <f>+AC705*Analisis!$J$7</f>
        <v>0</v>
      </c>
      <c r="AF705" s="308">
        <f>+H705*0.0254*I705*0.0254*2*(1+[3]Analisis!$G$2)</f>
        <v>0.14940695925</v>
      </c>
      <c r="AG705" s="86">
        <f>+AF705*Analisis!$J$8</f>
        <v>15.918955777232147</v>
      </c>
      <c r="AH705" s="309">
        <f t="shared" si="98"/>
        <v>129.19118397125825</v>
      </c>
      <c r="AI705" s="86">
        <f>+AH705/(1-Analisis!G710)</f>
        <v>129.19118397125825</v>
      </c>
      <c r="AJ705" s="86">
        <f t="shared" si="107"/>
        <v>138.91525158199812</v>
      </c>
      <c r="AK705" s="86">
        <f t="shared" si="99"/>
        <v>0</v>
      </c>
      <c r="AL705" s="310" t="e">
        <f>+VLOOKUP(B705,#REF!,2,FALSE)</f>
        <v>#REF!</v>
      </c>
      <c r="AM705" s="311" t="e">
        <f t="shared" si="97"/>
        <v>#REF!</v>
      </c>
      <c r="AN705" s="312" t="e">
        <f t="shared" si="96"/>
        <v>#REF!</v>
      </c>
    </row>
    <row r="706" spans="1:40" s="73" customFormat="1" x14ac:dyDescent="0.25">
      <c r="A706" s="313"/>
      <c r="B706" s="314" t="s">
        <v>1425</v>
      </c>
      <c r="D706" s="74">
        <f>IFERROR(VLOOKUP(B706,'REQ. PINTADO'!B:C,2,0),0)</f>
        <v>0</v>
      </c>
      <c r="E706" s="305">
        <f t="shared" si="100"/>
        <v>138.91525158199812</v>
      </c>
      <c r="F706" s="103" t="s">
        <v>165</v>
      </c>
      <c r="G706" s="75" t="s">
        <v>147</v>
      </c>
      <c r="H706" s="90">
        <v>5.37</v>
      </c>
      <c r="I706" s="90">
        <v>17.25</v>
      </c>
      <c r="J706" s="76">
        <v>0.105</v>
      </c>
      <c r="K706" s="306">
        <v>16.38</v>
      </c>
      <c r="L706" s="78">
        <f t="shared" si="101"/>
        <v>5.170991586538463</v>
      </c>
      <c r="M706" s="58">
        <f>+VLOOKUP(F706,Material!$H$2:$M$17,6,FALSE)*H706*I706*(1+Material!$K$14)</f>
        <v>38.500382812500007</v>
      </c>
      <c r="N706" s="79" t="str">
        <f t="shared" si="95"/>
        <v>T5.0</v>
      </c>
      <c r="O706" s="80">
        <f>+VLOOKUP(N706,[3]Material!$A$3:$B$58,2,FALSE)</f>
        <v>5000</v>
      </c>
      <c r="P706" s="79" t="s">
        <v>42</v>
      </c>
      <c r="Q706" s="79" t="str">
        <f>+VLOOKUP(F706,[3]Material!$C$2:$E$12,2,FALSE)</f>
        <v>Cal 14</v>
      </c>
      <c r="R706" s="81">
        <f>+IF(P706="ACERO A36",VLOOKUP(Q706,'[3]Velocidades Std 1500 w'!$B$2:$F$15,5,FALSE),IF(P706="INOXIDABLE",VLOOKUP(Q706,'[3]Velocidades Std 1500 w'!$B$17:$F$28,5,FALSE),IF(P706="ALUMINIO",VLOOKUP(Q706,'[3]Velocidades Std 1500 w'!$B$30:$F$38,5,FALSE))))</f>
        <v>2.0080321285140564E-6</v>
      </c>
      <c r="S706" s="82">
        <f t="shared" si="102"/>
        <v>1.0040160642570283E-2</v>
      </c>
      <c r="T706" s="83">
        <f t="shared" si="103"/>
        <v>21.735728674698802</v>
      </c>
      <c r="U706" s="307">
        <f t="shared" si="94"/>
        <v>3006.7758000000003</v>
      </c>
      <c r="V706" s="80">
        <f t="shared" si="108"/>
        <v>30.188512048192781</v>
      </c>
      <c r="W706" s="98">
        <v>45</v>
      </c>
      <c r="X706" s="84">
        <f>+IF(P706="ACERO A36",VLOOKUP(Q706,'[3]Tiempo Objeto'!$B$2:$C$12,2,FALSE),IF(P706="INOXIDABLE",VLOOKUP(Q706,'[3]Tiempo Objeto'!$B$14:$C$22,2,FALSE),IF(P706="ALUMINIO",VLOOKUP(Q706,'[3]Tiempo Objeto'!$B$24:$C$32,2,FALSE))))</f>
        <v>0.3133333333333333</v>
      </c>
      <c r="Y706" s="84">
        <f t="shared" si="104"/>
        <v>14.099999999999998</v>
      </c>
      <c r="Z706" s="80">
        <f t="shared" si="105"/>
        <v>19.583333333333329</v>
      </c>
      <c r="AA706" s="100">
        <v>1</v>
      </c>
      <c r="AB706" s="86">
        <f>+AA706*Analisis!$J$6</f>
        <v>25</v>
      </c>
      <c r="AC706" s="100"/>
      <c r="AD706" s="85">
        <f t="shared" si="106"/>
        <v>0</v>
      </c>
      <c r="AE706" s="86">
        <f>+AC706*Analisis!$J$7</f>
        <v>0</v>
      </c>
      <c r="AF706" s="308">
        <f>+H706*0.0254*I706*0.0254*2*(1+[3]Analisis!$G$2)</f>
        <v>0.14940695925</v>
      </c>
      <c r="AG706" s="86">
        <f>+AF706*Analisis!$J$8</f>
        <v>15.918955777232147</v>
      </c>
      <c r="AH706" s="309">
        <f t="shared" si="98"/>
        <v>129.19118397125825</v>
      </c>
      <c r="AI706" s="86">
        <f>+AH706/(1-Analisis!G711)</f>
        <v>129.19118397125825</v>
      </c>
      <c r="AJ706" s="86">
        <f t="shared" si="107"/>
        <v>138.91525158199812</v>
      </c>
      <c r="AK706" s="86">
        <f t="shared" si="99"/>
        <v>0</v>
      </c>
      <c r="AL706" s="310" t="e">
        <f>+VLOOKUP(B706,#REF!,2,FALSE)</f>
        <v>#REF!</v>
      </c>
      <c r="AM706" s="311" t="e">
        <f t="shared" si="97"/>
        <v>#REF!</v>
      </c>
      <c r="AN706" s="312" t="e">
        <f t="shared" si="96"/>
        <v>#REF!</v>
      </c>
    </row>
    <row r="707" spans="1:40" s="73" customFormat="1" x14ac:dyDescent="0.25">
      <c r="A707" s="313"/>
      <c r="B707" s="314" t="s">
        <v>1426</v>
      </c>
      <c r="D707" s="74">
        <f>IFERROR(VLOOKUP(B707,'REQ. PINTADO'!B:C,2,0),0)</f>
        <v>0</v>
      </c>
      <c r="E707" s="305">
        <f t="shared" si="100"/>
        <v>138.91525158199812</v>
      </c>
      <c r="F707" s="103" t="s">
        <v>165</v>
      </c>
      <c r="G707" s="75" t="s">
        <v>147</v>
      </c>
      <c r="H707" s="90">
        <v>5.37</v>
      </c>
      <c r="I707" s="90">
        <v>17.25</v>
      </c>
      <c r="J707" s="76">
        <v>0.105</v>
      </c>
      <c r="K707" s="306">
        <v>16.38</v>
      </c>
      <c r="L707" s="78">
        <f t="shared" si="101"/>
        <v>5.170991586538463</v>
      </c>
      <c r="M707" s="58">
        <f>+VLOOKUP(F707,Material!$H$2:$M$17,6,FALSE)*H707*I707*(1+Material!$K$14)</f>
        <v>38.500382812500007</v>
      </c>
      <c r="N707" s="79" t="str">
        <f t="shared" si="95"/>
        <v>T5.0</v>
      </c>
      <c r="O707" s="80">
        <f>+VLOOKUP(N707,[3]Material!$A$3:$B$58,2,FALSE)</f>
        <v>5000</v>
      </c>
      <c r="P707" s="79" t="s">
        <v>42</v>
      </c>
      <c r="Q707" s="79" t="str">
        <f>+VLOOKUP(F707,[3]Material!$C$2:$E$12,2,FALSE)</f>
        <v>Cal 14</v>
      </c>
      <c r="R707" s="81">
        <f>+IF(P707="ACERO A36",VLOOKUP(Q707,'[3]Velocidades Std 1500 w'!$B$2:$F$15,5,FALSE),IF(P707="INOXIDABLE",VLOOKUP(Q707,'[3]Velocidades Std 1500 w'!$B$17:$F$28,5,FALSE),IF(P707="ALUMINIO",VLOOKUP(Q707,'[3]Velocidades Std 1500 w'!$B$30:$F$38,5,FALSE))))</f>
        <v>2.0080321285140564E-6</v>
      </c>
      <c r="S707" s="82">
        <f t="shared" si="102"/>
        <v>1.0040160642570283E-2</v>
      </c>
      <c r="T707" s="83">
        <f t="shared" si="103"/>
        <v>21.735728674698802</v>
      </c>
      <c r="U707" s="307">
        <f t="shared" si="94"/>
        <v>3006.7758000000003</v>
      </c>
      <c r="V707" s="80">
        <f t="shared" si="108"/>
        <v>30.188512048192781</v>
      </c>
      <c r="W707" s="98">
        <v>45</v>
      </c>
      <c r="X707" s="84">
        <f>+IF(P707="ACERO A36",VLOOKUP(Q707,'[3]Tiempo Objeto'!$B$2:$C$12,2,FALSE),IF(P707="INOXIDABLE",VLOOKUP(Q707,'[3]Tiempo Objeto'!$B$14:$C$22,2,FALSE),IF(P707="ALUMINIO",VLOOKUP(Q707,'[3]Tiempo Objeto'!$B$24:$C$32,2,FALSE))))</f>
        <v>0.3133333333333333</v>
      </c>
      <c r="Y707" s="84">
        <f t="shared" si="104"/>
        <v>14.099999999999998</v>
      </c>
      <c r="Z707" s="80">
        <f t="shared" si="105"/>
        <v>19.583333333333329</v>
      </c>
      <c r="AA707" s="100">
        <v>1</v>
      </c>
      <c r="AB707" s="86">
        <f>+AA707*Analisis!$J$6</f>
        <v>25</v>
      </c>
      <c r="AC707" s="100"/>
      <c r="AD707" s="85">
        <f t="shared" si="106"/>
        <v>0</v>
      </c>
      <c r="AE707" s="86">
        <f>+AC707*Analisis!$J$7</f>
        <v>0</v>
      </c>
      <c r="AF707" s="308">
        <f>+H707*0.0254*I707*0.0254*2*(1+[3]Analisis!$G$2)</f>
        <v>0.14940695925</v>
      </c>
      <c r="AG707" s="86">
        <f>+AF707*Analisis!$J$8</f>
        <v>15.918955777232147</v>
      </c>
      <c r="AH707" s="309">
        <f t="shared" si="98"/>
        <v>129.19118397125825</v>
      </c>
      <c r="AI707" s="86">
        <f>+AH707/(1-Analisis!G712)</f>
        <v>129.19118397125825</v>
      </c>
      <c r="AJ707" s="86">
        <f t="shared" si="107"/>
        <v>138.91525158199812</v>
      </c>
      <c r="AK707" s="86">
        <f t="shared" si="99"/>
        <v>0</v>
      </c>
      <c r="AL707" s="310" t="e">
        <f>+VLOOKUP(B707,#REF!,2,FALSE)</f>
        <v>#REF!</v>
      </c>
      <c r="AM707" s="311" t="e">
        <f t="shared" si="97"/>
        <v>#REF!</v>
      </c>
      <c r="AN707" s="312" t="e">
        <f t="shared" si="96"/>
        <v>#REF!</v>
      </c>
    </row>
    <row r="708" spans="1:40" s="73" customFormat="1" x14ac:dyDescent="0.25">
      <c r="A708" s="313"/>
      <c r="B708" s="314" t="s">
        <v>1427</v>
      </c>
      <c r="D708" s="74">
        <f>IFERROR(VLOOKUP(B708,'REQ. PINTADO'!B:C,2,0),0)</f>
        <v>0</v>
      </c>
      <c r="E708" s="305">
        <f t="shared" si="100"/>
        <v>138.91525158199812</v>
      </c>
      <c r="F708" s="103" t="s">
        <v>165</v>
      </c>
      <c r="G708" s="75" t="s">
        <v>147</v>
      </c>
      <c r="H708" s="90">
        <v>5.37</v>
      </c>
      <c r="I708" s="90">
        <v>17.25</v>
      </c>
      <c r="J708" s="76">
        <v>0.105</v>
      </c>
      <c r="K708" s="306">
        <v>16.38</v>
      </c>
      <c r="L708" s="78">
        <f t="shared" si="101"/>
        <v>5.170991586538463</v>
      </c>
      <c r="M708" s="58">
        <f>+VLOOKUP(F708,Material!$H$2:$M$17,6,FALSE)*H708*I708*(1+Material!$K$14)</f>
        <v>38.500382812500007</v>
      </c>
      <c r="N708" s="79" t="str">
        <f t="shared" ref="N708:N771" si="109">+N707</f>
        <v>T5.0</v>
      </c>
      <c r="O708" s="80">
        <f>+VLOOKUP(N708,[3]Material!$A$3:$B$58,2,FALSE)</f>
        <v>5000</v>
      </c>
      <c r="P708" s="79" t="s">
        <v>42</v>
      </c>
      <c r="Q708" s="79" t="str">
        <f>+VLOOKUP(F708,[3]Material!$C$2:$E$12,2,FALSE)</f>
        <v>Cal 14</v>
      </c>
      <c r="R708" s="81">
        <f>+IF(P708="ACERO A36",VLOOKUP(Q708,'[3]Velocidades Std 1500 w'!$B$2:$F$15,5,FALSE),IF(P708="INOXIDABLE",VLOOKUP(Q708,'[3]Velocidades Std 1500 w'!$B$17:$F$28,5,FALSE),IF(P708="ALUMINIO",VLOOKUP(Q708,'[3]Velocidades Std 1500 w'!$B$30:$F$38,5,FALSE))))</f>
        <v>2.0080321285140564E-6</v>
      </c>
      <c r="S708" s="82">
        <f t="shared" si="102"/>
        <v>1.0040160642570283E-2</v>
      </c>
      <c r="T708" s="83">
        <f t="shared" si="103"/>
        <v>21.735728674698802</v>
      </c>
      <c r="U708" s="307">
        <f t="shared" si="94"/>
        <v>3006.7758000000003</v>
      </c>
      <c r="V708" s="80">
        <f t="shared" si="108"/>
        <v>30.188512048192781</v>
      </c>
      <c r="W708" s="98">
        <v>45</v>
      </c>
      <c r="X708" s="84">
        <f>+IF(P708="ACERO A36",VLOOKUP(Q708,'[3]Tiempo Objeto'!$B$2:$C$12,2,FALSE),IF(P708="INOXIDABLE",VLOOKUP(Q708,'[3]Tiempo Objeto'!$B$14:$C$22,2,FALSE),IF(P708="ALUMINIO",VLOOKUP(Q708,'[3]Tiempo Objeto'!$B$24:$C$32,2,FALSE))))</f>
        <v>0.3133333333333333</v>
      </c>
      <c r="Y708" s="84">
        <f t="shared" si="104"/>
        <v>14.099999999999998</v>
      </c>
      <c r="Z708" s="80">
        <f t="shared" si="105"/>
        <v>19.583333333333329</v>
      </c>
      <c r="AA708" s="100">
        <v>1</v>
      </c>
      <c r="AB708" s="86">
        <f>+AA708*Analisis!$J$6</f>
        <v>25</v>
      </c>
      <c r="AC708" s="100"/>
      <c r="AD708" s="85">
        <f t="shared" si="106"/>
        <v>0</v>
      </c>
      <c r="AE708" s="86">
        <f>+AC708*Analisis!$J$7</f>
        <v>0</v>
      </c>
      <c r="AF708" s="308">
        <f>+H708*0.0254*I708*0.0254*2*(1+[3]Analisis!$G$2)</f>
        <v>0.14940695925</v>
      </c>
      <c r="AG708" s="86">
        <f>+AF708*Analisis!$J$8</f>
        <v>15.918955777232147</v>
      </c>
      <c r="AH708" s="309">
        <f t="shared" si="98"/>
        <v>129.19118397125825</v>
      </c>
      <c r="AI708" s="86">
        <f>+AH708/(1-Analisis!G713)</f>
        <v>129.19118397125825</v>
      </c>
      <c r="AJ708" s="86">
        <f t="shared" si="107"/>
        <v>138.91525158199812</v>
      </c>
      <c r="AK708" s="86">
        <f t="shared" si="99"/>
        <v>0</v>
      </c>
      <c r="AL708" s="310" t="e">
        <f>+VLOOKUP(B708,#REF!,2,FALSE)</f>
        <v>#REF!</v>
      </c>
      <c r="AM708" s="311" t="e">
        <f t="shared" si="97"/>
        <v>#REF!</v>
      </c>
      <c r="AN708" s="312" t="e">
        <f t="shared" si="96"/>
        <v>#REF!</v>
      </c>
    </row>
    <row r="709" spans="1:40" s="73" customFormat="1" x14ac:dyDescent="0.25">
      <c r="A709" s="313"/>
      <c r="B709" s="314" t="s">
        <v>1428</v>
      </c>
      <c r="D709" s="74">
        <f>IFERROR(VLOOKUP(B709,'REQ. PINTADO'!B:C,2,0),0)</f>
        <v>0</v>
      </c>
      <c r="E709" s="305">
        <f t="shared" si="100"/>
        <v>138.91525158199812</v>
      </c>
      <c r="F709" s="103" t="s">
        <v>165</v>
      </c>
      <c r="G709" s="75" t="s">
        <v>147</v>
      </c>
      <c r="H709" s="90">
        <v>5.37</v>
      </c>
      <c r="I709" s="90">
        <v>17.25</v>
      </c>
      <c r="J709" s="76">
        <v>0.105</v>
      </c>
      <c r="K709" s="306">
        <v>16.38</v>
      </c>
      <c r="L709" s="78">
        <f t="shared" si="101"/>
        <v>5.170991586538463</v>
      </c>
      <c r="M709" s="58">
        <f>+VLOOKUP(F709,Material!$H$2:$M$17,6,FALSE)*H709*I709*(1+Material!$K$14)</f>
        <v>38.500382812500007</v>
      </c>
      <c r="N709" s="79" t="str">
        <f t="shared" si="109"/>
        <v>T5.0</v>
      </c>
      <c r="O709" s="80">
        <f>+VLOOKUP(N709,[3]Material!$A$3:$B$58,2,FALSE)</f>
        <v>5000</v>
      </c>
      <c r="P709" s="79" t="s">
        <v>42</v>
      </c>
      <c r="Q709" s="79" t="str">
        <f>+VLOOKUP(F709,[3]Material!$C$2:$E$12,2,FALSE)</f>
        <v>Cal 14</v>
      </c>
      <c r="R709" s="81">
        <f>+IF(P709="ACERO A36",VLOOKUP(Q709,'[3]Velocidades Std 1500 w'!$B$2:$F$15,5,FALSE),IF(P709="INOXIDABLE",VLOOKUP(Q709,'[3]Velocidades Std 1500 w'!$B$17:$F$28,5,FALSE),IF(P709="ALUMINIO",VLOOKUP(Q709,'[3]Velocidades Std 1500 w'!$B$30:$F$38,5,FALSE))))</f>
        <v>2.0080321285140564E-6</v>
      </c>
      <c r="S709" s="82">
        <f t="shared" si="102"/>
        <v>1.0040160642570283E-2</v>
      </c>
      <c r="T709" s="83">
        <f t="shared" si="103"/>
        <v>21.735728674698802</v>
      </c>
      <c r="U709" s="307">
        <f t="shared" si="94"/>
        <v>3006.7758000000003</v>
      </c>
      <c r="V709" s="80">
        <f t="shared" si="108"/>
        <v>30.188512048192781</v>
      </c>
      <c r="W709" s="98">
        <v>45</v>
      </c>
      <c r="X709" s="84">
        <f>+IF(P709="ACERO A36",VLOOKUP(Q709,'[3]Tiempo Objeto'!$B$2:$C$12,2,FALSE),IF(P709="INOXIDABLE",VLOOKUP(Q709,'[3]Tiempo Objeto'!$B$14:$C$22,2,FALSE),IF(P709="ALUMINIO",VLOOKUP(Q709,'[3]Tiempo Objeto'!$B$24:$C$32,2,FALSE))))</f>
        <v>0.3133333333333333</v>
      </c>
      <c r="Y709" s="84">
        <f t="shared" si="104"/>
        <v>14.099999999999998</v>
      </c>
      <c r="Z709" s="80">
        <f t="shared" si="105"/>
        <v>19.583333333333329</v>
      </c>
      <c r="AA709" s="100">
        <v>1</v>
      </c>
      <c r="AB709" s="86">
        <f>+AA709*Analisis!$J$6</f>
        <v>25</v>
      </c>
      <c r="AC709" s="100"/>
      <c r="AD709" s="85">
        <f t="shared" si="106"/>
        <v>0</v>
      </c>
      <c r="AE709" s="86">
        <f>+AC709*Analisis!$J$7</f>
        <v>0</v>
      </c>
      <c r="AF709" s="308">
        <f>+H709*0.0254*I709*0.0254*2*(1+[3]Analisis!$G$2)</f>
        <v>0.14940695925</v>
      </c>
      <c r="AG709" s="86">
        <f>+AF709*Analisis!$J$8</f>
        <v>15.918955777232147</v>
      </c>
      <c r="AH709" s="309">
        <f t="shared" si="98"/>
        <v>129.19118397125825</v>
      </c>
      <c r="AI709" s="86">
        <f>+AH709/(1-Analisis!G714)</f>
        <v>129.19118397125825</v>
      </c>
      <c r="AJ709" s="86">
        <f t="shared" si="107"/>
        <v>138.91525158199812</v>
      </c>
      <c r="AK709" s="86">
        <f t="shared" si="99"/>
        <v>0</v>
      </c>
      <c r="AL709" s="310" t="e">
        <f>+VLOOKUP(B709,#REF!,2,FALSE)</f>
        <v>#REF!</v>
      </c>
      <c r="AM709" s="311" t="e">
        <f t="shared" si="97"/>
        <v>#REF!</v>
      </c>
      <c r="AN709" s="312" t="e">
        <f t="shared" si="96"/>
        <v>#REF!</v>
      </c>
    </row>
    <row r="710" spans="1:40" s="73" customFormat="1" x14ac:dyDescent="0.25">
      <c r="A710" s="313"/>
      <c r="B710" s="314" t="s">
        <v>1429</v>
      </c>
      <c r="D710" s="74">
        <f>IFERROR(VLOOKUP(B710,'REQ. PINTADO'!B:C,2,0),0)</f>
        <v>0</v>
      </c>
      <c r="E710" s="305">
        <f t="shared" si="100"/>
        <v>138.91525158199812</v>
      </c>
      <c r="F710" s="103" t="s">
        <v>165</v>
      </c>
      <c r="G710" s="75" t="s">
        <v>147</v>
      </c>
      <c r="H710" s="90">
        <v>5.37</v>
      </c>
      <c r="I710" s="90">
        <v>17.25</v>
      </c>
      <c r="J710" s="76">
        <v>0.105</v>
      </c>
      <c r="K710" s="306">
        <v>16.38</v>
      </c>
      <c r="L710" s="78">
        <f t="shared" si="101"/>
        <v>5.170991586538463</v>
      </c>
      <c r="M710" s="58">
        <f>+VLOOKUP(F710,Material!$H$2:$M$17,6,FALSE)*H710*I710*(1+Material!$K$14)</f>
        <v>38.500382812500007</v>
      </c>
      <c r="N710" s="79" t="str">
        <f t="shared" si="109"/>
        <v>T5.0</v>
      </c>
      <c r="O710" s="80">
        <f>+VLOOKUP(N710,[3]Material!$A$3:$B$58,2,FALSE)</f>
        <v>5000</v>
      </c>
      <c r="P710" s="79" t="s">
        <v>42</v>
      </c>
      <c r="Q710" s="79" t="str">
        <f>+VLOOKUP(F710,[3]Material!$C$2:$E$12,2,FALSE)</f>
        <v>Cal 14</v>
      </c>
      <c r="R710" s="81">
        <f>+IF(P710="ACERO A36",VLOOKUP(Q710,'[3]Velocidades Std 1500 w'!$B$2:$F$15,5,FALSE),IF(P710="INOXIDABLE",VLOOKUP(Q710,'[3]Velocidades Std 1500 w'!$B$17:$F$28,5,FALSE),IF(P710="ALUMINIO",VLOOKUP(Q710,'[3]Velocidades Std 1500 w'!$B$30:$F$38,5,FALSE))))</f>
        <v>2.0080321285140564E-6</v>
      </c>
      <c r="S710" s="82">
        <f t="shared" si="102"/>
        <v>1.0040160642570283E-2</v>
      </c>
      <c r="T710" s="83">
        <f t="shared" si="103"/>
        <v>21.735728674698802</v>
      </c>
      <c r="U710" s="307">
        <f t="shared" si="94"/>
        <v>3006.7758000000003</v>
      </c>
      <c r="V710" s="80">
        <f t="shared" si="108"/>
        <v>30.188512048192781</v>
      </c>
      <c r="W710" s="98">
        <v>45</v>
      </c>
      <c r="X710" s="84">
        <f>+IF(P710="ACERO A36",VLOOKUP(Q710,'[3]Tiempo Objeto'!$B$2:$C$12,2,FALSE),IF(P710="INOXIDABLE",VLOOKUP(Q710,'[3]Tiempo Objeto'!$B$14:$C$22,2,FALSE),IF(P710="ALUMINIO",VLOOKUP(Q710,'[3]Tiempo Objeto'!$B$24:$C$32,2,FALSE))))</f>
        <v>0.3133333333333333</v>
      </c>
      <c r="Y710" s="84">
        <f t="shared" si="104"/>
        <v>14.099999999999998</v>
      </c>
      <c r="Z710" s="80">
        <f t="shared" si="105"/>
        <v>19.583333333333329</v>
      </c>
      <c r="AA710" s="100">
        <v>1</v>
      </c>
      <c r="AB710" s="86">
        <f>+AA710*Analisis!$J$6</f>
        <v>25</v>
      </c>
      <c r="AC710" s="100"/>
      <c r="AD710" s="85">
        <f t="shared" si="106"/>
        <v>0</v>
      </c>
      <c r="AE710" s="86">
        <f>+AC710*Analisis!$J$7</f>
        <v>0</v>
      </c>
      <c r="AF710" s="308">
        <f>+H710*0.0254*I710*0.0254*2*(1+[3]Analisis!$G$2)</f>
        <v>0.14940695925</v>
      </c>
      <c r="AG710" s="86">
        <f>+AF710*Analisis!$J$8</f>
        <v>15.918955777232147</v>
      </c>
      <c r="AH710" s="309">
        <f t="shared" si="98"/>
        <v>129.19118397125825</v>
      </c>
      <c r="AI710" s="86">
        <f>+AH710/(1-Analisis!G715)</f>
        <v>129.19118397125825</v>
      </c>
      <c r="AJ710" s="86">
        <f t="shared" si="107"/>
        <v>138.91525158199812</v>
      </c>
      <c r="AK710" s="86">
        <f t="shared" si="99"/>
        <v>0</v>
      </c>
      <c r="AL710" s="310" t="e">
        <f>+VLOOKUP(B710,#REF!,2,FALSE)</f>
        <v>#REF!</v>
      </c>
      <c r="AM710" s="311" t="e">
        <f t="shared" si="97"/>
        <v>#REF!</v>
      </c>
      <c r="AN710" s="312" t="e">
        <f t="shared" si="96"/>
        <v>#REF!</v>
      </c>
    </row>
    <row r="711" spans="1:40" s="73" customFormat="1" x14ac:dyDescent="0.25">
      <c r="A711" s="313"/>
      <c r="B711" s="314" t="s">
        <v>1430</v>
      </c>
      <c r="D711" s="74">
        <f>IFERROR(VLOOKUP(B711,'REQ. PINTADO'!B:C,2,0),0)</f>
        <v>0</v>
      </c>
      <c r="E711" s="305">
        <f t="shared" si="100"/>
        <v>138.91525158199812</v>
      </c>
      <c r="F711" s="103" t="s">
        <v>165</v>
      </c>
      <c r="G711" s="75" t="s">
        <v>147</v>
      </c>
      <c r="H711" s="90">
        <v>5.37</v>
      </c>
      <c r="I711" s="90">
        <v>17.25</v>
      </c>
      <c r="J711" s="76">
        <v>0.105</v>
      </c>
      <c r="K711" s="306">
        <v>16.38</v>
      </c>
      <c r="L711" s="78">
        <f t="shared" si="101"/>
        <v>5.170991586538463</v>
      </c>
      <c r="M711" s="58">
        <f>+VLOOKUP(F711,Material!$H$2:$M$17,6,FALSE)*H711*I711*(1+Material!$K$14)</f>
        <v>38.500382812500007</v>
      </c>
      <c r="N711" s="79" t="str">
        <f t="shared" si="109"/>
        <v>T5.0</v>
      </c>
      <c r="O711" s="80">
        <f>+VLOOKUP(N711,[3]Material!$A$3:$B$58,2,FALSE)</f>
        <v>5000</v>
      </c>
      <c r="P711" s="79" t="s">
        <v>42</v>
      </c>
      <c r="Q711" s="79" t="str">
        <f>+VLOOKUP(F711,[3]Material!$C$2:$E$12,2,FALSE)</f>
        <v>Cal 14</v>
      </c>
      <c r="R711" s="81">
        <f>+IF(P711="ACERO A36",VLOOKUP(Q711,'[3]Velocidades Std 1500 w'!$B$2:$F$15,5,FALSE),IF(P711="INOXIDABLE",VLOOKUP(Q711,'[3]Velocidades Std 1500 w'!$B$17:$F$28,5,FALSE),IF(P711="ALUMINIO",VLOOKUP(Q711,'[3]Velocidades Std 1500 w'!$B$30:$F$38,5,FALSE))))</f>
        <v>2.0080321285140564E-6</v>
      </c>
      <c r="S711" s="82">
        <f t="shared" si="102"/>
        <v>1.0040160642570283E-2</v>
      </c>
      <c r="T711" s="83">
        <f t="shared" si="103"/>
        <v>21.735728674698802</v>
      </c>
      <c r="U711" s="307">
        <f t="shared" si="94"/>
        <v>3006.7758000000003</v>
      </c>
      <c r="V711" s="80">
        <f t="shared" si="108"/>
        <v>30.188512048192781</v>
      </c>
      <c r="W711" s="98">
        <v>45</v>
      </c>
      <c r="X711" s="84">
        <f>+IF(P711="ACERO A36",VLOOKUP(Q711,'[3]Tiempo Objeto'!$B$2:$C$12,2,FALSE),IF(P711="INOXIDABLE",VLOOKUP(Q711,'[3]Tiempo Objeto'!$B$14:$C$22,2,FALSE),IF(P711="ALUMINIO",VLOOKUP(Q711,'[3]Tiempo Objeto'!$B$24:$C$32,2,FALSE))))</f>
        <v>0.3133333333333333</v>
      </c>
      <c r="Y711" s="84">
        <f t="shared" si="104"/>
        <v>14.099999999999998</v>
      </c>
      <c r="Z711" s="80">
        <f t="shared" si="105"/>
        <v>19.583333333333329</v>
      </c>
      <c r="AA711" s="100">
        <v>1</v>
      </c>
      <c r="AB711" s="86">
        <f>+AA711*Analisis!$J$6</f>
        <v>25</v>
      </c>
      <c r="AC711" s="100"/>
      <c r="AD711" s="85">
        <f t="shared" si="106"/>
        <v>0</v>
      </c>
      <c r="AE711" s="86">
        <f>+AC711*Analisis!$J$7</f>
        <v>0</v>
      </c>
      <c r="AF711" s="308">
        <f>+H711*0.0254*I711*0.0254*2*(1+[3]Analisis!$G$2)</f>
        <v>0.14940695925</v>
      </c>
      <c r="AG711" s="86">
        <f>+AF711*Analisis!$J$8</f>
        <v>15.918955777232147</v>
      </c>
      <c r="AH711" s="309">
        <f t="shared" si="98"/>
        <v>129.19118397125825</v>
      </c>
      <c r="AI711" s="86">
        <f>+AH711/(1-Analisis!G716)</f>
        <v>129.19118397125825</v>
      </c>
      <c r="AJ711" s="86">
        <f t="shared" si="107"/>
        <v>138.91525158199812</v>
      </c>
      <c r="AK711" s="86">
        <f t="shared" si="99"/>
        <v>0</v>
      </c>
      <c r="AL711" s="310" t="e">
        <f>+VLOOKUP(B711,#REF!,2,FALSE)</f>
        <v>#REF!</v>
      </c>
      <c r="AM711" s="311" t="e">
        <f t="shared" si="97"/>
        <v>#REF!</v>
      </c>
      <c r="AN711" s="312" t="e">
        <f t="shared" si="96"/>
        <v>#REF!</v>
      </c>
    </row>
    <row r="712" spans="1:40" s="73" customFormat="1" x14ac:dyDescent="0.25">
      <c r="A712" s="313"/>
      <c r="B712" s="314" t="s">
        <v>1431</v>
      </c>
      <c r="D712" s="74">
        <f>IFERROR(VLOOKUP(B712,'REQ. PINTADO'!B:C,2,0),0)</f>
        <v>0</v>
      </c>
      <c r="E712" s="305">
        <f t="shared" si="100"/>
        <v>138.91525158199812</v>
      </c>
      <c r="F712" s="103" t="s">
        <v>165</v>
      </c>
      <c r="G712" s="75" t="s">
        <v>147</v>
      </c>
      <c r="H712" s="90">
        <v>5.37</v>
      </c>
      <c r="I712" s="90">
        <v>17.25</v>
      </c>
      <c r="J712" s="76">
        <v>0.105</v>
      </c>
      <c r="K712" s="306">
        <v>16.38</v>
      </c>
      <c r="L712" s="78">
        <f t="shared" si="101"/>
        <v>5.170991586538463</v>
      </c>
      <c r="M712" s="58">
        <f>+VLOOKUP(F712,Material!$H$2:$M$17,6,FALSE)*H712*I712*(1+Material!$K$14)</f>
        <v>38.500382812500007</v>
      </c>
      <c r="N712" s="79" t="str">
        <f t="shared" si="109"/>
        <v>T5.0</v>
      </c>
      <c r="O712" s="80">
        <f>+VLOOKUP(N712,[3]Material!$A$3:$B$58,2,FALSE)</f>
        <v>5000</v>
      </c>
      <c r="P712" s="79" t="s">
        <v>42</v>
      </c>
      <c r="Q712" s="79" t="str">
        <f>+VLOOKUP(F712,[3]Material!$C$2:$E$12,2,FALSE)</f>
        <v>Cal 14</v>
      </c>
      <c r="R712" s="81">
        <f>+IF(P712="ACERO A36",VLOOKUP(Q712,'[3]Velocidades Std 1500 w'!$B$2:$F$15,5,FALSE),IF(P712="INOXIDABLE",VLOOKUP(Q712,'[3]Velocidades Std 1500 w'!$B$17:$F$28,5,FALSE),IF(P712="ALUMINIO",VLOOKUP(Q712,'[3]Velocidades Std 1500 w'!$B$30:$F$38,5,FALSE))))</f>
        <v>2.0080321285140564E-6</v>
      </c>
      <c r="S712" s="82">
        <f t="shared" si="102"/>
        <v>1.0040160642570283E-2</v>
      </c>
      <c r="T712" s="83">
        <f t="shared" si="103"/>
        <v>21.735728674698802</v>
      </c>
      <c r="U712" s="307">
        <f t="shared" si="94"/>
        <v>3006.7758000000003</v>
      </c>
      <c r="V712" s="80">
        <f t="shared" si="108"/>
        <v>30.188512048192781</v>
      </c>
      <c r="W712" s="98">
        <v>45</v>
      </c>
      <c r="X712" s="84">
        <f>+IF(P712="ACERO A36",VLOOKUP(Q712,'[3]Tiempo Objeto'!$B$2:$C$12,2,FALSE),IF(P712="INOXIDABLE",VLOOKUP(Q712,'[3]Tiempo Objeto'!$B$14:$C$22,2,FALSE),IF(P712="ALUMINIO",VLOOKUP(Q712,'[3]Tiempo Objeto'!$B$24:$C$32,2,FALSE))))</f>
        <v>0.3133333333333333</v>
      </c>
      <c r="Y712" s="84">
        <f t="shared" si="104"/>
        <v>14.099999999999998</v>
      </c>
      <c r="Z712" s="80">
        <f t="shared" si="105"/>
        <v>19.583333333333329</v>
      </c>
      <c r="AA712" s="100">
        <v>1</v>
      </c>
      <c r="AB712" s="86">
        <f>+AA712*Analisis!$J$6</f>
        <v>25</v>
      </c>
      <c r="AC712" s="100"/>
      <c r="AD712" s="85">
        <f t="shared" si="106"/>
        <v>0</v>
      </c>
      <c r="AE712" s="86">
        <f>+AC712*Analisis!$J$7</f>
        <v>0</v>
      </c>
      <c r="AF712" s="308">
        <f>+H712*0.0254*I712*0.0254*2*(1+[3]Analisis!$G$2)</f>
        <v>0.14940695925</v>
      </c>
      <c r="AG712" s="86">
        <f>+AF712*Analisis!$J$8</f>
        <v>15.918955777232147</v>
      </c>
      <c r="AH712" s="309">
        <f t="shared" si="98"/>
        <v>129.19118397125825</v>
      </c>
      <c r="AI712" s="86">
        <f>+AH712/(1-Analisis!G717)</f>
        <v>129.19118397125825</v>
      </c>
      <c r="AJ712" s="86">
        <f t="shared" si="107"/>
        <v>138.91525158199812</v>
      </c>
      <c r="AK712" s="86">
        <f t="shared" si="99"/>
        <v>0</v>
      </c>
      <c r="AL712" s="310" t="e">
        <f>+VLOOKUP(B712,#REF!,2,FALSE)</f>
        <v>#REF!</v>
      </c>
      <c r="AM712" s="311" t="e">
        <f t="shared" si="97"/>
        <v>#REF!</v>
      </c>
      <c r="AN712" s="312" t="e">
        <f t="shared" si="96"/>
        <v>#REF!</v>
      </c>
    </row>
    <row r="713" spans="1:40" s="73" customFormat="1" x14ac:dyDescent="0.25">
      <c r="A713" s="313"/>
      <c r="B713" s="314" t="s">
        <v>1432</v>
      </c>
      <c r="D713" s="74">
        <f>IFERROR(VLOOKUP(B713,'REQ. PINTADO'!B:C,2,0),0)</f>
        <v>0</v>
      </c>
      <c r="E713" s="305">
        <f t="shared" si="100"/>
        <v>138.91525158199812</v>
      </c>
      <c r="F713" s="103" t="s">
        <v>165</v>
      </c>
      <c r="G713" s="75" t="s">
        <v>147</v>
      </c>
      <c r="H713" s="90">
        <v>5.37</v>
      </c>
      <c r="I713" s="90">
        <v>17.25</v>
      </c>
      <c r="J713" s="76">
        <v>0.105</v>
      </c>
      <c r="K713" s="306">
        <v>16.38</v>
      </c>
      <c r="L713" s="78">
        <f t="shared" si="101"/>
        <v>5.170991586538463</v>
      </c>
      <c r="M713" s="58">
        <f>+VLOOKUP(F713,Material!$H$2:$M$17,6,FALSE)*H713*I713*(1+Material!$K$14)</f>
        <v>38.500382812500007</v>
      </c>
      <c r="N713" s="79" t="str">
        <f t="shared" si="109"/>
        <v>T5.0</v>
      </c>
      <c r="O713" s="80">
        <f>+VLOOKUP(N713,[3]Material!$A$3:$B$58,2,FALSE)</f>
        <v>5000</v>
      </c>
      <c r="P713" s="79" t="s">
        <v>42</v>
      </c>
      <c r="Q713" s="79" t="str">
        <f>+VLOOKUP(F713,[3]Material!$C$2:$E$12,2,FALSE)</f>
        <v>Cal 14</v>
      </c>
      <c r="R713" s="81">
        <f>+IF(P713="ACERO A36",VLOOKUP(Q713,'[3]Velocidades Std 1500 w'!$B$2:$F$15,5,FALSE),IF(P713="INOXIDABLE",VLOOKUP(Q713,'[3]Velocidades Std 1500 w'!$B$17:$F$28,5,FALSE),IF(P713="ALUMINIO",VLOOKUP(Q713,'[3]Velocidades Std 1500 w'!$B$30:$F$38,5,FALSE))))</f>
        <v>2.0080321285140564E-6</v>
      </c>
      <c r="S713" s="82">
        <f t="shared" si="102"/>
        <v>1.0040160642570283E-2</v>
      </c>
      <c r="T713" s="83">
        <f t="shared" si="103"/>
        <v>21.735728674698802</v>
      </c>
      <c r="U713" s="307">
        <f t="shared" si="94"/>
        <v>3006.7758000000003</v>
      </c>
      <c r="V713" s="80">
        <f t="shared" si="108"/>
        <v>30.188512048192781</v>
      </c>
      <c r="W713" s="98">
        <v>45</v>
      </c>
      <c r="X713" s="84">
        <f>+IF(P713="ACERO A36",VLOOKUP(Q713,'[3]Tiempo Objeto'!$B$2:$C$12,2,FALSE),IF(P713="INOXIDABLE",VLOOKUP(Q713,'[3]Tiempo Objeto'!$B$14:$C$22,2,FALSE),IF(P713="ALUMINIO",VLOOKUP(Q713,'[3]Tiempo Objeto'!$B$24:$C$32,2,FALSE))))</f>
        <v>0.3133333333333333</v>
      </c>
      <c r="Y713" s="84">
        <f t="shared" si="104"/>
        <v>14.099999999999998</v>
      </c>
      <c r="Z713" s="80">
        <f t="shared" si="105"/>
        <v>19.583333333333329</v>
      </c>
      <c r="AA713" s="100">
        <v>1</v>
      </c>
      <c r="AB713" s="86">
        <f>+AA713*Analisis!$J$6</f>
        <v>25</v>
      </c>
      <c r="AC713" s="100"/>
      <c r="AD713" s="85">
        <f t="shared" si="106"/>
        <v>0</v>
      </c>
      <c r="AE713" s="86">
        <f>+AC713*Analisis!$J$7</f>
        <v>0</v>
      </c>
      <c r="AF713" s="308">
        <f>+H713*0.0254*I713*0.0254*2*(1+[3]Analisis!$G$2)</f>
        <v>0.14940695925</v>
      </c>
      <c r="AG713" s="86">
        <f>+AF713*Analisis!$J$8</f>
        <v>15.918955777232147</v>
      </c>
      <c r="AH713" s="309">
        <f t="shared" si="98"/>
        <v>129.19118397125825</v>
      </c>
      <c r="AI713" s="86">
        <f>+AH713/(1-Analisis!G718)</f>
        <v>129.19118397125825</v>
      </c>
      <c r="AJ713" s="86">
        <f t="shared" si="107"/>
        <v>138.91525158199812</v>
      </c>
      <c r="AK713" s="86">
        <f t="shared" si="99"/>
        <v>0</v>
      </c>
      <c r="AL713" s="310" t="e">
        <f>+VLOOKUP(B713,#REF!,2,FALSE)</f>
        <v>#REF!</v>
      </c>
      <c r="AM713" s="311" t="e">
        <f t="shared" si="97"/>
        <v>#REF!</v>
      </c>
      <c r="AN713" s="312" t="e">
        <f t="shared" si="96"/>
        <v>#REF!</v>
      </c>
    </row>
    <row r="714" spans="1:40" s="73" customFormat="1" x14ac:dyDescent="0.25">
      <c r="A714" s="313"/>
      <c r="B714" s="314" t="s">
        <v>1433</v>
      </c>
      <c r="D714" s="74">
        <f>IFERROR(VLOOKUP(B714,'REQ. PINTADO'!B:C,2,0),0)</f>
        <v>0</v>
      </c>
      <c r="E714" s="305">
        <f t="shared" si="100"/>
        <v>138.91525158199812</v>
      </c>
      <c r="F714" s="103" t="s">
        <v>165</v>
      </c>
      <c r="G714" s="75" t="s">
        <v>147</v>
      </c>
      <c r="H714" s="90">
        <v>5.37</v>
      </c>
      <c r="I714" s="90">
        <v>17.25</v>
      </c>
      <c r="J714" s="76">
        <v>0.105</v>
      </c>
      <c r="K714" s="306">
        <v>16.38</v>
      </c>
      <c r="L714" s="78">
        <f t="shared" si="101"/>
        <v>5.170991586538463</v>
      </c>
      <c r="M714" s="58">
        <f>+VLOOKUP(F714,Material!$H$2:$M$17,6,FALSE)*H714*I714*(1+Material!$K$14)</f>
        <v>38.500382812500007</v>
      </c>
      <c r="N714" s="79" t="str">
        <f t="shared" si="109"/>
        <v>T5.0</v>
      </c>
      <c r="O714" s="80">
        <f>+VLOOKUP(N714,[3]Material!$A$3:$B$58,2,FALSE)</f>
        <v>5000</v>
      </c>
      <c r="P714" s="79" t="s">
        <v>42</v>
      </c>
      <c r="Q714" s="79" t="str">
        <f>+VLOOKUP(F714,[3]Material!$C$2:$E$12,2,FALSE)</f>
        <v>Cal 14</v>
      </c>
      <c r="R714" s="81">
        <f>+IF(P714="ACERO A36",VLOOKUP(Q714,'[3]Velocidades Std 1500 w'!$B$2:$F$15,5,FALSE),IF(P714="INOXIDABLE",VLOOKUP(Q714,'[3]Velocidades Std 1500 w'!$B$17:$F$28,5,FALSE),IF(P714="ALUMINIO",VLOOKUP(Q714,'[3]Velocidades Std 1500 w'!$B$30:$F$38,5,FALSE))))</f>
        <v>2.0080321285140564E-6</v>
      </c>
      <c r="S714" s="82">
        <f t="shared" si="102"/>
        <v>1.0040160642570283E-2</v>
      </c>
      <c r="T714" s="83">
        <f t="shared" si="103"/>
        <v>21.735728674698802</v>
      </c>
      <c r="U714" s="307">
        <f t="shared" si="94"/>
        <v>3006.7758000000003</v>
      </c>
      <c r="V714" s="80">
        <f t="shared" si="108"/>
        <v>30.188512048192781</v>
      </c>
      <c r="W714" s="98">
        <v>45</v>
      </c>
      <c r="X714" s="84">
        <f>+IF(P714="ACERO A36",VLOOKUP(Q714,'[3]Tiempo Objeto'!$B$2:$C$12,2,FALSE),IF(P714="INOXIDABLE",VLOOKUP(Q714,'[3]Tiempo Objeto'!$B$14:$C$22,2,FALSE),IF(P714="ALUMINIO",VLOOKUP(Q714,'[3]Tiempo Objeto'!$B$24:$C$32,2,FALSE))))</f>
        <v>0.3133333333333333</v>
      </c>
      <c r="Y714" s="84">
        <f t="shared" si="104"/>
        <v>14.099999999999998</v>
      </c>
      <c r="Z714" s="80">
        <f t="shared" si="105"/>
        <v>19.583333333333329</v>
      </c>
      <c r="AA714" s="100">
        <v>1</v>
      </c>
      <c r="AB714" s="86">
        <f>+AA714*Analisis!$J$6</f>
        <v>25</v>
      </c>
      <c r="AC714" s="100"/>
      <c r="AD714" s="85">
        <f t="shared" si="106"/>
        <v>0</v>
      </c>
      <c r="AE714" s="86">
        <f>+AC714*Analisis!$J$7</f>
        <v>0</v>
      </c>
      <c r="AF714" s="308">
        <f>+H714*0.0254*I714*0.0254*2*(1+[3]Analisis!$G$2)</f>
        <v>0.14940695925</v>
      </c>
      <c r="AG714" s="86">
        <f>+AF714*Analisis!$J$8</f>
        <v>15.918955777232147</v>
      </c>
      <c r="AH714" s="309">
        <f t="shared" si="98"/>
        <v>129.19118397125825</v>
      </c>
      <c r="AI714" s="86">
        <f>+AH714/(1-Analisis!G719)</f>
        <v>129.19118397125825</v>
      </c>
      <c r="AJ714" s="86">
        <f t="shared" si="107"/>
        <v>138.91525158199812</v>
      </c>
      <c r="AK714" s="86">
        <f t="shared" si="99"/>
        <v>0</v>
      </c>
      <c r="AL714" s="310" t="e">
        <f>+VLOOKUP(B714,#REF!,2,FALSE)</f>
        <v>#REF!</v>
      </c>
      <c r="AM714" s="311" t="e">
        <f t="shared" si="97"/>
        <v>#REF!</v>
      </c>
      <c r="AN714" s="312" t="e">
        <f t="shared" si="96"/>
        <v>#REF!</v>
      </c>
    </row>
    <row r="715" spans="1:40" s="73" customFormat="1" x14ac:dyDescent="0.25">
      <c r="A715" s="313"/>
      <c r="B715" s="314" t="s">
        <v>1434</v>
      </c>
      <c r="D715" s="74">
        <f>IFERROR(VLOOKUP(B715,'REQ. PINTADO'!B:C,2,0),0)</f>
        <v>0</v>
      </c>
      <c r="E715" s="305">
        <f t="shared" si="100"/>
        <v>138.91525158199812</v>
      </c>
      <c r="F715" s="103" t="s">
        <v>165</v>
      </c>
      <c r="G715" s="75" t="s">
        <v>147</v>
      </c>
      <c r="H715" s="90">
        <v>5.37</v>
      </c>
      <c r="I715" s="90">
        <v>17.25</v>
      </c>
      <c r="J715" s="76">
        <v>0.105</v>
      </c>
      <c r="K715" s="306">
        <v>16.38</v>
      </c>
      <c r="L715" s="78">
        <f t="shared" si="101"/>
        <v>5.170991586538463</v>
      </c>
      <c r="M715" s="58">
        <f>+VLOOKUP(F715,Material!$H$2:$M$17,6,FALSE)*H715*I715*(1+Material!$K$14)</f>
        <v>38.500382812500007</v>
      </c>
      <c r="N715" s="79" t="str">
        <f t="shared" si="109"/>
        <v>T5.0</v>
      </c>
      <c r="O715" s="80">
        <f>+VLOOKUP(N715,[3]Material!$A$3:$B$58,2,FALSE)</f>
        <v>5000</v>
      </c>
      <c r="P715" s="79" t="s">
        <v>42</v>
      </c>
      <c r="Q715" s="79" t="str">
        <f>+VLOOKUP(F715,[3]Material!$C$2:$E$12,2,FALSE)</f>
        <v>Cal 14</v>
      </c>
      <c r="R715" s="81">
        <f>+IF(P715="ACERO A36",VLOOKUP(Q715,'[3]Velocidades Std 1500 w'!$B$2:$F$15,5,FALSE),IF(P715="INOXIDABLE",VLOOKUP(Q715,'[3]Velocidades Std 1500 w'!$B$17:$F$28,5,FALSE),IF(P715="ALUMINIO",VLOOKUP(Q715,'[3]Velocidades Std 1500 w'!$B$30:$F$38,5,FALSE))))</f>
        <v>2.0080321285140564E-6</v>
      </c>
      <c r="S715" s="82">
        <f t="shared" si="102"/>
        <v>1.0040160642570283E-2</v>
      </c>
      <c r="T715" s="83">
        <f t="shared" si="103"/>
        <v>21.735728674698802</v>
      </c>
      <c r="U715" s="307">
        <f t="shared" si="94"/>
        <v>3006.7758000000003</v>
      </c>
      <c r="V715" s="80">
        <f t="shared" si="108"/>
        <v>30.188512048192781</v>
      </c>
      <c r="W715" s="98">
        <v>45</v>
      </c>
      <c r="X715" s="84">
        <f>+IF(P715="ACERO A36",VLOOKUP(Q715,'[3]Tiempo Objeto'!$B$2:$C$12,2,FALSE),IF(P715="INOXIDABLE",VLOOKUP(Q715,'[3]Tiempo Objeto'!$B$14:$C$22,2,FALSE),IF(P715="ALUMINIO",VLOOKUP(Q715,'[3]Tiempo Objeto'!$B$24:$C$32,2,FALSE))))</f>
        <v>0.3133333333333333</v>
      </c>
      <c r="Y715" s="84">
        <f t="shared" si="104"/>
        <v>14.099999999999998</v>
      </c>
      <c r="Z715" s="80">
        <f t="shared" si="105"/>
        <v>19.583333333333329</v>
      </c>
      <c r="AA715" s="100">
        <v>1</v>
      </c>
      <c r="AB715" s="86">
        <f>+AA715*Analisis!$J$6</f>
        <v>25</v>
      </c>
      <c r="AC715" s="100"/>
      <c r="AD715" s="85">
        <f t="shared" si="106"/>
        <v>0</v>
      </c>
      <c r="AE715" s="86">
        <f>+AC715*Analisis!$J$7</f>
        <v>0</v>
      </c>
      <c r="AF715" s="308">
        <f>+H715*0.0254*I715*0.0254*2*(1+[3]Analisis!$G$2)</f>
        <v>0.14940695925</v>
      </c>
      <c r="AG715" s="86">
        <f>+AF715*Analisis!$J$8</f>
        <v>15.918955777232147</v>
      </c>
      <c r="AH715" s="309">
        <f t="shared" si="98"/>
        <v>129.19118397125825</v>
      </c>
      <c r="AI715" s="86">
        <f>+AH715/(1-Analisis!G720)</f>
        <v>129.19118397125825</v>
      </c>
      <c r="AJ715" s="86">
        <f t="shared" si="107"/>
        <v>138.91525158199812</v>
      </c>
      <c r="AK715" s="86">
        <f t="shared" si="99"/>
        <v>0</v>
      </c>
      <c r="AL715" s="310" t="e">
        <f>+VLOOKUP(B715,#REF!,2,FALSE)</f>
        <v>#REF!</v>
      </c>
      <c r="AM715" s="311" t="e">
        <f t="shared" si="97"/>
        <v>#REF!</v>
      </c>
      <c r="AN715" s="312" t="e">
        <f t="shared" si="96"/>
        <v>#REF!</v>
      </c>
    </row>
    <row r="716" spans="1:40" s="73" customFormat="1" x14ac:dyDescent="0.25">
      <c r="A716" s="313"/>
      <c r="B716" s="314" t="s">
        <v>1435</v>
      </c>
      <c r="D716" s="74">
        <f>IFERROR(VLOOKUP(B716,'REQ. PINTADO'!B:C,2,0),0)</f>
        <v>0</v>
      </c>
      <c r="E716" s="305">
        <f t="shared" si="100"/>
        <v>138.91525158199812</v>
      </c>
      <c r="F716" s="103" t="s">
        <v>165</v>
      </c>
      <c r="G716" s="75" t="s">
        <v>147</v>
      </c>
      <c r="H716" s="90">
        <v>5.37</v>
      </c>
      <c r="I716" s="90">
        <v>17.25</v>
      </c>
      <c r="J716" s="76">
        <v>0.105</v>
      </c>
      <c r="K716" s="306">
        <v>16.38</v>
      </c>
      <c r="L716" s="78">
        <f t="shared" si="101"/>
        <v>5.170991586538463</v>
      </c>
      <c r="M716" s="58">
        <f>+VLOOKUP(F716,Material!$H$2:$M$17,6,FALSE)*H716*I716*(1+Material!$K$14)</f>
        <v>38.500382812500007</v>
      </c>
      <c r="N716" s="79" t="str">
        <f t="shared" si="109"/>
        <v>T5.0</v>
      </c>
      <c r="O716" s="80">
        <f>+VLOOKUP(N716,[3]Material!$A$3:$B$58,2,FALSE)</f>
        <v>5000</v>
      </c>
      <c r="P716" s="79" t="s">
        <v>42</v>
      </c>
      <c r="Q716" s="79" t="str">
        <f>+VLOOKUP(F716,[3]Material!$C$2:$E$12,2,FALSE)</f>
        <v>Cal 14</v>
      </c>
      <c r="R716" s="81">
        <f>+IF(P716="ACERO A36",VLOOKUP(Q716,'[3]Velocidades Std 1500 w'!$B$2:$F$15,5,FALSE),IF(P716="INOXIDABLE",VLOOKUP(Q716,'[3]Velocidades Std 1500 w'!$B$17:$F$28,5,FALSE),IF(P716="ALUMINIO",VLOOKUP(Q716,'[3]Velocidades Std 1500 w'!$B$30:$F$38,5,FALSE))))</f>
        <v>2.0080321285140564E-6</v>
      </c>
      <c r="S716" s="82">
        <f t="shared" si="102"/>
        <v>1.0040160642570283E-2</v>
      </c>
      <c r="T716" s="83">
        <f t="shared" si="103"/>
        <v>21.735728674698802</v>
      </c>
      <c r="U716" s="307">
        <f t="shared" si="94"/>
        <v>3006.7758000000003</v>
      </c>
      <c r="V716" s="80">
        <f t="shared" si="108"/>
        <v>30.188512048192781</v>
      </c>
      <c r="W716" s="98">
        <v>45</v>
      </c>
      <c r="X716" s="84">
        <f>+IF(P716="ACERO A36",VLOOKUP(Q716,'[3]Tiempo Objeto'!$B$2:$C$12,2,FALSE),IF(P716="INOXIDABLE",VLOOKUP(Q716,'[3]Tiempo Objeto'!$B$14:$C$22,2,FALSE),IF(P716="ALUMINIO",VLOOKUP(Q716,'[3]Tiempo Objeto'!$B$24:$C$32,2,FALSE))))</f>
        <v>0.3133333333333333</v>
      </c>
      <c r="Y716" s="84">
        <f t="shared" si="104"/>
        <v>14.099999999999998</v>
      </c>
      <c r="Z716" s="80">
        <f t="shared" si="105"/>
        <v>19.583333333333329</v>
      </c>
      <c r="AA716" s="100">
        <v>1</v>
      </c>
      <c r="AB716" s="86">
        <f>+AA716*Analisis!$J$6</f>
        <v>25</v>
      </c>
      <c r="AC716" s="100"/>
      <c r="AD716" s="85">
        <f t="shared" si="106"/>
        <v>0</v>
      </c>
      <c r="AE716" s="86">
        <f>+AC716*Analisis!$J$7</f>
        <v>0</v>
      </c>
      <c r="AF716" s="308">
        <f>+H716*0.0254*I716*0.0254*2*(1+[3]Analisis!$G$2)</f>
        <v>0.14940695925</v>
      </c>
      <c r="AG716" s="86">
        <f>+AF716*Analisis!$J$8</f>
        <v>15.918955777232147</v>
      </c>
      <c r="AH716" s="309">
        <f t="shared" si="98"/>
        <v>129.19118397125825</v>
      </c>
      <c r="AI716" s="86">
        <f>+AH716/(1-Analisis!G721)</f>
        <v>129.19118397125825</v>
      </c>
      <c r="AJ716" s="86">
        <f t="shared" si="107"/>
        <v>138.91525158199812</v>
      </c>
      <c r="AK716" s="86">
        <f t="shared" si="99"/>
        <v>0</v>
      </c>
      <c r="AL716" s="310" t="e">
        <f>+VLOOKUP(B716,#REF!,2,FALSE)</f>
        <v>#REF!</v>
      </c>
      <c r="AM716" s="311" t="e">
        <f t="shared" si="97"/>
        <v>#REF!</v>
      </c>
      <c r="AN716" s="312" t="e">
        <f t="shared" si="96"/>
        <v>#REF!</v>
      </c>
    </row>
    <row r="717" spans="1:40" s="73" customFormat="1" x14ac:dyDescent="0.25">
      <c r="A717" s="313"/>
      <c r="B717" s="314" t="s">
        <v>1436</v>
      </c>
      <c r="D717" s="74">
        <f>IFERROR(VLOOKUP(B717,'REQ. PINTADO'!B:C,2,0),0)</f>
        <v>0</v>
      </c>
      <c r="E717" s="305">
        <f t="shared" si="100"/>
        <v>138.91525158199812</v>
      </c>
      <c r="F717" s="103" t="s">
        <v>165</v>
      </c>
      <c r="G717" s="75" t="s">
        <v>147</v>
      </c>
      <c r="H717" s="90">
        <v>5.37</v>
      </c>
      <c r="I717" s="90">
        <v>17.25</v>
      </c>
      <c r="J717" s="76">
        <v>0.105</v>
      </c>
      <c r="K717" s="306">
        <v>16.38</v>
      </c>
      <c r="L717" s="78">
        <f t="shared" si="101"/>
        <v>5.170991586538463</v>
      </c>
      <c r="M717" s="58">
        <f>+VLOOKUP(F717,Material!$H$2:$M$17,6,FALSE)*H717*I717*(1+Material!$K$14)</f>
        <v>38.500382812500007</v>
      </c>
      <c r="N717" s="79" t="str">
        <f t="shared" si="109"/>
        <v>T5.0</v>
      </c>
      <c r="O717" s="80">
        <f>+VLOOKUP(N717,[3]Material!$A$3:$B$58,2,FALSE)</f>
        <v>5000</v>
      </c>
      <c r="P717" s="79" t="s">
        <v>42</v>
      </c>
      <c r="Q717" s="79" t="str">
        <f>+VLOOKUP(F717,[3]Material!$C$2:$E$12,2,FALSE)</f>
        <v>Cal 14</v>
      </c>
      <c r="R717" s="81">
        <f>+IF(P717="ACERO A36",VLOOKUP(Q717,'[3]Velocidades Std 1500 w'!$B$2:$F$15,5,FALSE),IF(P717="INOXIDABLE",VLOOKUP(Q717,'[3]Velocidades Std 1500 w'!$B$17:$F$28,5,FALSE),IF(P717="ALUMINIO",VLOOKUP(Q717,'[3]Velocidades Std 1500 w'!$B$30:$F$38,5,FALSE))))</f>
        <v>2.0080321285140564E-6</v>
      </c>
      <c r="S717" s="82">
        <f t="shared" si="102"/>
        <v>1.0040160642570283E-2</v>
      </c>
      <c r="T717" s="83">
        <f t="shared" si="103"/>
        <v>21.735728674698802</v>
      </c>
      <c r="U717" s="307">
        <f t="shared" si="94"/>
        <v>3006.7758000000003</v>
      </c>
      <c r="V717" s="80">
        <f t="shared" si="108"/>
        <v>30.188512048192781</v>
      </c>
      <c r="W717" s="98">
        <v>45</v>
      </c>
      <c r="X717" s="84">
        <f>+IF(P717="ACERO A36",VLOOKUP(Q717,'[3]Tiempo Objeto'!$B$2:$C$12,2,FALSE),IF(P717="INOXIDABLE",VLOOKUP(Q717,'[3]Tiempo Objeto'!$B$14:$C$22,2,FALSE),IF(P717="ALUMINIO",VLOOKUP(Q717,'[3]Tiempo Objeto'!$B$24:$C$32,2,FALSE))))</f>
        <v>0.3133333333333333</v>
      </c>
      <c r="Y717" s="84">
        <f t="shared" si="104"/>
        <v>14.099999999999998</v>
      </c>
      <c r="Z717" s="80">
        <f t="shared" si="105"/>
        <v>19.583333333333329</v>
      </c>
      <c r="AA717" s="100">
        <v>1</v>
      </c>
      <c r="AB717" s="86">
        <f>+AA717*Analisis!$J$6</f>
        <v>25</v>
      </c>
      <c r="AC717" s="100"/>
      <c r="AD717" s="85">
        <f t="shared" si="106"/>
        <v>0</v>
      </c>
      <c r="AE717" s="86">
        <f>+AC717*Analisis!$J$7</f>
        <v>0</v>
      </c>
      <c r="AF717" s="308">
        <f>+H717*0.0254*I717*0.0254*2*(1+[3]Analisis!$G$2)</f>
        <v>0.14940695925</v>
      </c>
      <c r="AG717" s="86">
        <f>+AF717*Analisis!$J$8</f>
        <v>15.918955777232147</v>
      </c>
      <c r="AH717" s="309">
        <f t="shared" si="98"/>
        <v>129.19118397125825</v>
      </c>
      <c r="AI717" s="86">
        <f>+AH717/(1-Analisis!G722)</f>
        <v>129.19118397125825</v>
      </c>
      <c r="AJ717" s="86">
        <f t="shared" si="107"/>
        <v>138.91525158199812</v>
      </c>
      <c r="AK717" s="86">
        <f t="shared" si="99"/>
        <v>0</v>
      </c>
      <c r="AL717" s="310" t="e">
        <f>+VLOOKUP(B717,#REF!,2,FALSE)</f>
        <v>#REF!</v>
      </c>
      <c r="AM717" s="311" t="e">
        <f t="shared" si="97"/>
        <v>#REF!</v>
      </c>
      <c r="AN717" s="312" t="e">
        <f t="shared" si="96"/>
        <v>#REF!</v>
      </c>
    </row>
    <row r="718" spans="1:40" s="73" customFormat="1" x14ac:dyDescent="0.25">
      <c r="A718" s="313"/>
      <c r="B718" s="314" t="s">
        <v>1437</v>
      </c>
      <c r="D718" s="74">
        <f>IFERROR(VLOOKUP(B718,'REQ. PINTADO'!B:C,2,0),0)</f>
        <v>0</v>
      </c>
      <c r="E718" s="305">
        <f t="shared" si="100"/>
        <v>138.91525158199812</v>
      </c>
      <c r="F718" s="103" t="s">
        <v>165</v>
      </c>
      <c r="G718" s="75" t="s">
        <v>147</v>
      </c>
      <c r="H718" s="90">
        <v>5.37</v>
      </c>
      <c r="I718" s="90">
        <v>17.25</v>
      </c>
      <c r="J718" s="76">
        <v>0.105</v>
      </c>
      <c r="K718" s="306">
        <v>16.38</v>
      </c>
      <c r="L718" s="78">
        <f t="shared" si="101"/>
        <v>5.170991586538463</v>
      </c>
      <c r="M718" s="58">
        <f>+VLOOKUP(F718,Material!$H$2:$M$17,6,FALSE)*H718*I718*(1+Material!$K$14)</f>
        <v>38.500382812500007</v>
      </c>
      <c r="N718" s="79" t="str">
        <f t="shared" si="109"/>
        <v>T5.0</v>
      </c>
      <c r="O718" s="80">
        <f>+VLOOKUP(N718,[3]Material!$A$3:$B$58,2,FALSE)</f>
        <v>5000</v>
      </c>
      <c r="P718" s="79" t="s">
        <v>42</v>
      </c>
      <c r="Q718" s="79" t="str">
        <f>+VLOOKUP(F718,[3]Material!$C$2:$E$12,2,FALSE)</f>
        <v>Cal 14</v>
      </c>
      <c r="R718" s="81">
        <f>+IF(P718="ACERO A36",VLOOKUP(Q718,'[3]Velocidades Std 1500 w'!$B$2:$F$15,5,FALSE),IF(P718="INOXIDABLE",VLOOKUP(Q718,'[3]Velocidades Std 1500 w'!$B$17:$F$28,5,FALSE),IF(P718="ALUMINIO",VLOOKUP(Q718,'[3]Velocidades Std 1500 w'!$B$30:$F$38,5,FALSE))))</f>
        <v>2.0080321285140564E-6</v>
      </c>
      <c r="S718" s="82">
        <f t="shared" si="102"/>
        <v>1.0040160642570283E-2</v>
      </c>
      <c r="T718" s="83">
        <f t="shared" si="103"/>
        <v>21.735728674698802</v>
      </c>
      <c r="U718" s="307">
        <f t="shared" si="94"/>
        <v>3006.7758000000003</v>
      </c>
      <c r="V718" s="80">
        <f t="shared" si="108"/>
        <v>30.188512048192781</v>
      </c>
      <c r="W718" s="98">
        <v>45</v>
      </c>
      <c r="X718" s="84">
        <f>+IF(P718="ACERO A36",VLOOKUP(Q718,'[3]Tiempo Objeto'!$B$2:$C$12,2,FALSE),IF(P718="INOXIDABLE",VLOOKUP(Q718,'[3]Tiempo Objeto'!$B$14:$C$22,2,FALSE),IF(P718="ALUMINIO",VLOOKUP(Q718,'[3]Tiempo Objeto'!$B$24:$C$32,2,FALSE))))</f>
        <v>0.3133333333333333</v>
      </c>
      <c r="Y718" s="84">
        <f t="shared" si="104"/>
        <v>14.099999999999998</v>
      </c>
      <c r="Z718" s="80">
        <f t="shared" si="105"/>
        <v>19.583333333333329</v>
      </c>
      <c r="AA718" s="100">
        <v>1</v>
      </c>
      <c r="AB718" s="86">
        <f>+AA718*Analisis!$J$6</f>
        <v>25</v>
      </c>
      <c r="AC718" s="100"/>
      <c r="AD718" s="85">
        <f t="shared" si="106"/>
        <v>0</v>
      </c>
      <c r="AE718" s="86">
        <f>+AC718*Analisis!$J$7</f>
        <v>0</v>
      </c>
      <c r="AF718" s="308">
        <f>+H718*0.0254*I718*0.0254*2*(1+[3]Analisis!$G$2)</f>
        <v>0.14940695925</v>
      </c>
      <c r="AG718" s="86">
        <f>+AF718*Analisis!$J$8</f>
        <v>15.918955777232147</v>
      </c>
      <c r="AH718" s="309">
        <f t="shared" si="98"/>
        <v>129.19118397125825</v>
      </c>
      <c r="AI718" s="86">
        <f>+AH718/(1-Analisis!G723)</f>
        <v>129.19118397125825</v>
      </c>
      <c r="AJ718" s="86">
        <f t="shared" si="107"/>
        <v>138.91525158199812</v>
      </c>
      <c r="AK718" s="86">
        <f t="shared" si="99"/>
        <v>0</v>
      </c>
      <c r="AL718" s="310" t="e">
        <f>+VLOOKUP(B718,#REF!,2,FALSE)</f>
        <v>#REF!</v>
      </c>
      <c r="AM718" s="311" t="e">
        <f t="shared" si="97"/>
        <v>#REF!</v>
      </c>
      <c r="AN718" s="312" t="e">
        <f t="shared" si="96"/>
        <v>#REF!</v>
      </c>
    </row>
    <row r="719" spans="1:40" s="73" customFormat="1" x14ac:dyDescent="0.25">
      <c r="A719" s="313"/>
      <c r="B719" s="314" t="s">
        <v>1438</v>
      </c>
      <c r="D719" s="74">
        <f>IFERROR(VLOOKUP(B719,'REQ. PINTADO'!B:C,2,0),0)</f>
        <v>0</v>
      </c>
      <c r="E719" s="305">
        <f t="shared" si="100"/>
        <v>138.91525158199812</v>
      </c>
      <c r="F719" s="103" t="s">
        <v>165</v>
      </c>
      <c r="G719" s="75" t="s">
        <v>147</v>
      </c>
      <c r="H719" s="90">
        <v>5.37</v>
      </c>
      <c r="I719" s="90">
        <v>17.25</v>
      </c>
      <c r="J719" s="76">
        <v>0.105</v>
      </c>
      <c r="K719" s="306">
        <v>16.38</v>
      </c>
      <c r="L719" s="78">
        <f t="shared" si="101"/>
        <v>5.170991586538463</v>
      </c>
      <c r="M719" s="58">
        <f>+VLOOKUP(F719,Material!$H$2:$M$17,6,FALSE)*H719*I719*(1+Material!$K$14)</f>
        <v>38.500382812500007</v>
      </c>
      <c r="N719" s="79" t="str">
        <f t="shared" si="109"/>
        <v>T5.0</v>
      </c>
      <c r="O719" s="80">
        <f>+VLOOKUP(N719,[3]Material!$A$3:$B$58,2,FALSE)</f>
        <v>5000</v>
      </c>
      <c r="P719" s="79" t="s">
        <v>42</v>
      </c>
      <c r="Q719" s="79" t="str">
        <f>+VLOOKUP(F719,[3]Material!$C$2:$E$12,2,FALSE)</f>
        <v>Cal 14</v>
      </c>
      <c r="R719" s="81">
        <f>+IF(P719="ACERO A36",VLOOKUP(Q719,'[3]Velocidades Std 1500 w'!$B$2:$F$15,5,FALSE),IF(P719="INOXIDABLE",VLOOKUP(Q719,'[3]Velocidades Std 1500 w'!$B$17:$F$28,5,FALSE),IF(P719="ALUMINIO",VLOOKUP(Q719,'[3]Velocidades Std 1500 w'!$B$30:$F$38,5,FALSE))))</f>
        <v>2.0080321285140564E-6</v>
      </c>
      <c r="S719" s="82">
        <f t="shared" si="102"/>
        <v>1.0040160642570283E-2</v>
      </c>
      <c r="T719" s="83">
        <f t="shared" si="103"/>
        <v>21.735728674698802</v>
      </c>
      <c r="U719" s="307">
        <f t="shared" si="94"/>
        <v>3006.7758000000003</v>
      </c>
      <c r="V719" s="80">
        <f t="shared" si="108"/>
        <v>30.188512048192781</v>
      </c>
      <c r="W719" s="98">
        <v>45</v>
      </c>
      <c r="X719" s="84">
        <f>+IF(P719="ACERO A36",VLOOKUP(Q719,'[3]Tiempo Objeto'!$B$2:$C$12,2,FALSE),IF(P719="INOXIDABLE",VLOOKUP(Q719,'[3]Tiempo Objeto'!$B$14:$C$22,2,FALSE),IF(P719="ALUMINIO",VLOOKUP(Q719,'[3]Tiempo Objeto'!$B$24:$C$32,2,FALSE))))</f>
        <v>0.3133333333333333</v>
      </c>
      <c r="Y719" s="84">
        <f t="shared" si="104"/>
        <v>14.099999999999998</v>
      </c>
      <c r="Z719" s="80">
        <f t="shared" si="105"/>
        <v>19.583333333333329</v>
      </c>
      <c r="AA719" s="100">
        <v>1</v>
      </c>
      <c r="AB719" s="86">
        <f>+AA719*Analisis!$J$6</f>
        <v>25</v>
      </c>
      <c r="AC719" s="100"/>
      <c r="AD719" s="85">
        <f t="shared" si="106"/>
        <v>0</v>
      </c>
      <c r="AE719" s="86">
        <f>+AC719*Analisis!$J$7</f>
        <v>0</v>
      </c>
      <c r="AF719" s="308">
        <f>+H719*0.0254*I719*0.0254*2*(1+[3]Analisis!$G$2)</f>
        <v>0.14940695925</v>
      </c>
      <c r="AG719" s="86">
        <f>+AF719*Analisis!$J$8</f>
        <v>15.918955777232147</v>
      </c>
      <c r="AH719" s="309">
        <f t="shared" si="98"/>
        <v>129.19118397125825</v>
      </c>
      <c r="AI719" s="86">
        <f>+AH719/(1-Analisis!G724)</f>
        <v>129.19118397125825</v>
      </c>
      <c r="AJ719" s="86">
        <f t="shared" si="107"/>
        <v>138.91525158199812</v>
      </c>
      <c r="AK719" s="86">
        <f t="shared" si="99"/>
        <v>0</v>
      </c>
      <c r="AL719" s="310" t="e">
        <f>+VLOOKUP(B719,#REF!,2,FALSE)</f>
        <v>#REF!</v>
      </c>
      <c r="AM719" s="311" t="e">
        <f t="shared" si="97"/>
        <v>#REF!</v>
      </c>
      <c r="AN719" s="312" t="e">
        <f t="shared" si="96"/>
        <v>#REF!</v>
      </c>
    </row>
    <row r="720" spans="1:40" s="73" customFormat="1" x14ac:dyDescent="0.25">
      <c r="A720" s="313"/>
      <c r="B720" s="314" t="s">
        <v>1439</v>
      </c>
      <c r="D720" s="74">
        <f>IFERROR(VLOOKUP(B720,'REQ. PINTADO'!B:C,2,0),0)</f>
        <v>0</v>
      </c>
      <c r="E720" s="305">
        <f t="shared" si="100"/>
        <v>138.91525158199812</v>
      </c>
      <c r="F720" s="103" t="s">
        <v>165</v>
      </c>
      <c r="G720" s="75" t="s">
        <v>147</v>
      </c>
      <c r="H720" s="90">
        <v>5.37</v>
      </c>
      <c r="I720" s="90">
        <v>17.25</v>
      </c>
      <c r="J720" s="76">
        <v>0.105</v>
      </c>
      <c r="K720" s="306">
        <v>16.38</v>
      </c>
      <c r="L720" s="78">
        <f t="shared" si="101"/>
        <v>5.170991586538463</v>
      </c>
      <c r="M720" s="58">
        <f>+VLOOKUP(F720,Material!$H$2:$M$17,6,FALSE)*H720*I720*(1+Material!$K$14)</f>
        <v>38.500382812500007</v>
      </c>
      <c r="N720" s="79" t="str">
        <f t="shared" si="109"/>
        <v>T5.0</v>
      </c>
      <c r="O720" s="80">
        <f>+VLOOKUP(N720,[3]Material!$A$3:$B$58,2,FALSE)</f>
        <v>5000</v>
      </c>
      <c r="P720" s="79" t="s">
        <v>42</v>
      </c>
      <c r="Q720" s="79" t="str">
        <f>+VLOOKUP(F720,[3]Material!$C$2:$E$12,2,FALSE)</f>
        <v>Cal 14</v>
      </c>
      <c r="R720" s="81">
        <f>+IF(P720="ACERO A36",VLOOKUP(Q720,'[3]Velocidades Std 1500 w'!$B$2:$F$15,5,FALSE),IF(P720="INOXIDABLE",VLOOKUP(Q720,'[3]Velocidades Std 1500 w'!$B$17:$F$28,5,FALSE),IF(P720="ALUMINIO",VLOOKUP(Q720,'[3]Velocidades Std 1500 w'!$B$30:$F$38,5,FALSE))))</f>
        <v>2.0080321285140564E-6</v>
      </c>
      <c r="S720" s="82">
        <f t="shared" si="102"/>
        <v>1.0040160642570283E-2</v>
      </c>
      <c r="T720" s="83">
        <f t="shared" si="103"/>
        <v>21.735728674698802</v>
      </c>
      <c r="U720" s="307">
        <f t="shared" si="94"/>
        <v>3006.7758000000003</v>
      </c>
      <c r="V720" s="80">
        <f t="shared" si="108"/>
        <v>30.188512048192781</v>
      </c>
      <c r="W720" s="98">
        <v>45</v>
      </c>
      <c r="X720" s="84">
        <f>+IF(P720="ACERO A36",VLOOKUP(Q720,'[3]Tiempo Objeto'!$B$2:$C$12,2,FALSE),IF(P720="INOXIDABLE",VLOOKUP(Q720,'[3]Tiempo Objeto'!$B$14:$C$22,2,FALSE),IF(P720="ALUMINIO",VLOOKUP(Q720,'[3]Tiempo Objeto'!$B$24:$C$32,2,FALSE))))</f>
        <v>0.3133333333333333</v>
      </c>
      <c r="Y720" s="84">
        <f t="shared" si="104"/>
        <v>14.099999999999998</v>
      </c>
      <c r="Z720" s="80">
        <f t="shared" si="105"/>
        <v>19.583333333333329</v>
      </c>
      <c r="AA720" s="100">
        <v>1</v>
      </c>
      <c r="AB720" s="86">
        <f>+AA720*Analisis!$J$6</f>
        <v>25</v>
      </c>
      <c r="AC720" s="100"/>
      <c r="AD720" s="85">
        <f t="shared" si="106"/>
        <v>0</v>
      </c>
      <c r="AE720" s="86">
        <f>+AC720*Analisis!$J$7</f>
        <v>0</v>
      </c>
      <c r="AF720" s="308">
        <f>+H720*0.0254*I720*0.0254*2*(1+[3]Analisis!$G$2)</f>
        <v>0.14940695925</v>
      </c>
      <c r="AG720" s="86">
        <f>+AF720*Analisis!$J$8</f>
        <v>15.918955777232147</v>
      </c>
      <c r="AH720" s="309">
        <f t="shared" si="98"/>
        <v>129.19118397125825</v>
      </c>
      <c r="AI720" s="86">
        <f>+AH720/(1-Analisis!G725)</f>
        <v>129.19118397125825</v>
      </c>
      <c r="AJ720" s="86">
        <f t="shared" si="107"/>
        <v>138.91525158199812</v>
      </c>
      <c r="AK720" s="86">
        <f t="shared" si="99"/>
        <v>0</v>
      </c>
      <c r="AL720" s="310" t="e">
        <f>+VLOOKUP(B720,#REF!,2,FALSE)</f>
        <v>#REF!</v>
      </c>
      <c r="AM720" s="311" t="e">
        <f t="shared" si="97"/>
        <v>#REF!</v>
      </c>
      <c r="AN720" s="312" t="e">
        <f t="shared" si="96"/>
        <v>#REF!</v>
      </c>
    </row>
    <row r="721" spans="1:40" s="73" customFormat="1" x14ac:dyDescent="0.25">
      <c r="A721" s="313"/>
      <c r="B721" s="314" t="s">
        <v>1440</v>
      </c>
      <c r="D721" s="74">
        <f>IFERROR(VLOOKUP(B721,'REQ. PINTADO'!B:C,2,0),0)</f>
        <v>0</v>
      </c>
      <c r="E721" s="305">
        <f t="shared" si="100"/>
        <v>998.52479164648742</v>
      </c>
      <c r="F721" s="103" t="s">
        <v>163</v>
      </c>
      <c r="G721" s="75" t="s">
        <v>147</v>
      </c>
      <c r="H721" s="90">
        <v>30.824999999999999</v>
      </c>
      <c r="I721" s="90">
        <v>41.02</v>
      </c>
      <c r="J721" s="76">
        <v>0.105</v>
      </c>
      <c r="K721" s="306">
        <v>16.38</v>
      </c>
      <c r="L721" s="78">
        <f t="shared" si="101"/>
        <v>63.747181383562783</v>
      </c>
      <c r="M721" s="58">
        <f>+VLOOKUP(F721,Material!$H$2:$M$17,6,FALSE)*H721*I721*(1+Material!$K$14)</f>
        <v>474.62674139216278</v>
      </c>
      <c r="N721" s="79" t="str">
        <f t="shared" si="109"/>
        <v>T5.0</v>
      </c>
      <c r="O721" s="80">
        <f>+VLOOKUP(N721,[3]Material!$A$3:$B$58,2,FALSE)</f>
        <v>5000</v>
      </c>
      <c r="P721" s="79" t="s">
        <v>42</v>
      </c>
      <c r="Q721" s="79" t="str">
        <f>+VLOOKUP(F721,[3]Material!$C$2:$E$12,2,FALSE)</f>
        <v>Cal 12</v>
      </c>
      <c r="R721" s="81">
        <f>+IF(P721="ACERO A36",VLOOKUP(Q721,'[3]Velocidades Std 1500 w'!$B$2:$F$15,5,FALSE),IF(P721="INOXIDABLE",VLOOKUP(Q721,'[3]Velocidades Std 1500 w'!$B$17:$F$28,5,FALSE),IF(P721="ALUMINIO",VLOOKUP(Q721,'[3]Velocidades Std 1500 w'!$B$30:$F$38,5,FALSE))))</f>
        <v>4.3859649122807014E-6</v>
      </c>
      <c r="S721" s="82">
        <f t="shared" si="102"/>
        <v>2.1929824561403508E-2</v>
      </c>
      <c r="T721" s="83">
        <f t="shared" si="103"/>
        <v>70.615141578947359</v>
      </c>
      <c r="U721" s="307">
        <f t="shared" si="94"/>
        <v>4472.2923000000001</v>
      </c>
      <c r="V721" s="80">
        <f t="shared" si="108"/>
        <v>98.076585526315782</v>
      </c>
      <c r="W721" s="98">
        <v>16</v>
      </c>
      <c r="X721" s="84">
        <f>+IF(P721="ACERO A36",VLOOKUP(Q721,'[3]Tiempo Objeto'!$B$2:$C$12,2,FALSE),IF(P721="INOXIDABLE",VLOOKUP(Q721,'[3]Tiempo Objeto'!$B$14:$C$22,2,FALSE),IF(P721="ALUMINIO",VLOOKUP(Q721,'[3]Tiempo Objeto'!$B$24:$C$32,2,FALSE))))</f>
        <v>0.6133333333333334</v>
      </c>
      <c r="Y721" s="84">
        <f t="shared" si="104"/>
        <v>9.8133333333333344</v>
      </c>
      <c r="Z721" s="80">
        <f t="shared" si="105"/>
        <v>13.629629629629632</v>
      </c>
      <c r="AA721" s="100">
        <v>5</v>
      </c>
      <c r="AB721" s="86">
        <f>+AA721*Analisis!$J$6</f>
        <v>125</v>
      </c>
      <c r="AC721" s="100"/>
      <c r="AD721" s="85">
        <f t="shared" si="106"/>
        <v>0</v>
      </c>
      <c r="AE721" s="86">
        <f>+AC721*Analisis!$J$7</f>
        <v>0</v>
      </c>
      <c r="AF721" s="308">
        <f>+H721*0.0254*I721*0.0254*2*(1+[3]Analisis!$G$2)</f>
        <v>2.0394176953500001</v>
      </c>
      <c r="AG721" s="86">
        <f>+AF721*Analisis!$J$8</f>
        <v>217.29509968312507</v>
      </c>
      <c r="AH721" s="309">
        <f t="shared" si="98"/>
        <v>928.62805623123324</v>
      </c>
      <c r="AI721" s="86">
        <f>+AH721/(1-Analisis!G726)</f>
        <v>928.62805623123324</v>
      </c>
      <c r="AJ721" s="86">
        <f t="shared" si="107"/>
        <v>998.52479164648742</v>
      </c>
      <c r="AK721" s="86">
        <f t="shared" si="99"/>
        <v>0</v>
      </c>
      <c r="AL721" s="310" t="e">
        <f>+VLOOKUP(B721,#REF!,2,FALSE)</f>
        <v>#REF!</v>
      </c>
      <c r="AM721" s="311" t="e">
        <f t="shared" si="97"/>
        <v>#REF!</v>
      </c>
      <c r="AN721" s="312" t="e">
        <f t="shared" si="96"/>
        <v>#REF!</v>
      </c>
    </row>
    <row r="722" spans="1:40" s="73" customFormat="1" x14ac:dyDescent="0.25">
      <c r="A722" s="313"/>
      <c r="B722" s="314" t="s">
        <v>1441</v>
      </c>
      <c r="D722" s="74">
        <f>IFERROR(VLOOKUP(B722,'REQ. PINTADO'!B:C,2,0),0)</f>
        <v>0</v>
      </c>
      <c r="E722" s="305">
        <f t="shared" si="100"/>
        <v>1202.0072007710392</v>
      </c>
      <c r="F722" s="103" t="s">
        <v>163</v>
      </c>
      <c r="G722" s="75" t="s">
        <v>147</v>
      </c>
      <c r="H722" s="90">
        <v>45.825000000000003</v>
      </c>
      <c r="I722" s="90">
        <v>33.020000000000003</v>
      </c>
      <c r="J722" s="76">
        <v>0.105</v>
      </c>
      <c r="K722" s="306">
        <v>16.38</v>
      </c>
      <c r="L722" s="78">
        <f t="shared" si="101"/>
        <v>76.285463312850993</v>
      </c>
      <c r="M722" s="58">
        <f>+VLOOKUP(F722,Material!$H$2:$M$17,6,FALSE)*H722*I722*(1+Material!$K$14)</f>
        <v>567.97994957477238</v>
      </c>
      <c r="N722" s="79" t="str">
        <f t="shared" si="109"/>
        <v>T5.0</v>
      </c>
      <c r="O722" s="80">
        <f>+VLOOKUP(N722,[3]Material!$A$3:$B$58,2,FALSE)</f>
        <v>5000</v>
      </c>
      <c r="P722" s="79" t="s">
        <v>42</v>
      </c>
      <c r="Q722" s="79" t="str">
        <f>+VLOOKUP(F722,[3]Material!$C$2:$E$12,2,FALSE)</f>
        <v>Cal 12</v>
      </c>
      <c r="R722" s="81">
        <f>+IF(P722="ACERO A36",VLOOKUP(Q722,'[3]Velocidades Std 1500 w'!$B$2:$F$15,5,FALSE),IF(P722="INOXIDABLE",VLOOKUP(Q722,'[3]Velocidades Std 1500 w'!$B$17:$F$28,5,FALSE),IF(P722="ALUMINIO",VLOOKUP(Q722,'[3]Velocidades Std 1500 w'!$B$30:$F$38,5,FALSE))))</f>
        <v>4.3859649122807014E-6</v>
      </c>
      <c r="S722" s="82">
        <f t="shared" si="102"/>
        <v>2.1929824561403508E-2</v>
      </c>
      <c r="T722" s="83">
        <f t="shared" si="103"/>
        <v>92.933720526315781</v>
      </c>
      <c r="U722" s="307">
        <f t="shared" si="94"/>
        <v>5885.8023000000003</v>
      </c>
      <c r="V722" s="80">
        <f t="shared" si="108"/>
        <v>129.07461184210527</v>
      </c>
      <c r="W722" s="98">
        <v>42</v>
      </c>
      <c r="X722" s="84">
        <f>+IF(P722="ACERO A36",VLOOKUP(Q722,'[3]Tiempo Objeto'!$B$2:$C$12,2,FALSE),IF(P722="INOXIDABLE",VLOOKUP(Q722,'[3]Tiempo Objeto'!$B$14:$C$22,2,FALSE),IF(P722="ALUMINIO",VLOOKUP(Q722,'[3]Tiempo Objeto'!$B$24:$C$32,2,FALSE))))</f>
        <v>0.6133333333333334</v>
      </c>
      <c r="Y722" s="84">
        <f t="shared" si="104"/>
        <v>25.76</v>
      </c>
      <c r="Z722" s="80">
        <f t="shared" si="105"/>
        <v>35.777777777777779</v>
      </c>
      <c r="AA722" s="100">
        <v>5</v>
      </c>
      <c r="AB722" s="86">
        <f>+AA722*Analisis!$J$6</f>
        <v>125</v>
      </c>
      <c r="AC722" s="100"/>
      <c r="AD722" s="85">
        <f t="shared" si="106"/>
        <v>0</v>
      </c>
      <c r="AE722" s="86">
        <f>+AC722*Analisis!$J$7</f>
        <v>0</v>
      </c>
      <c r="AF722" s="308">
        <f>+H722*0.0254*I722*0.0254*2*(1+[3]Analisis!$G$2)</f>
        <v>2.4405459253500004</v>
      </c>
      <c r="AG722" s="86">
        <f>+AF722*Analisis!$J$8</f>
        <v>260.03435752241086</v>
      </c>
      <c r="AH722" s="309">
        <f t="shared" si="98"/>
        <v>1117.8666967170664</v>
      </c>
      <c r="AI722" s="86">
        <f>+AH722/(1-Analisis!G727)</f>
        <v>1117.8666967170664</v>
      </c>
      <c r="AJ722" s="86">
        <f t="shared" si="107"/>
        <v>1202.0072007710392</v>
      </c>
      <c r="AK722" s="86">
        <f t="shared" si="99"/>
        <v>0</v>
      </c>
      <c r="AL722" s="310" t="e">
        <f>+VLOOKUP(B722,#REF!,2,FALSE)</f>
        <v>#REF!</v>
      </c>
      <c r="AM722" s="311" t="e">
        <f t="shared" si="97"/>
        <v>#REF!</v>
      </c>
      <c r="AN722" s="312" t="e">
        <f t="shared" si="96"/>
        <v>#REF!</v>
      </c>
    </row>
    <row r="723" spans="1:40" s="73" customFormat="1" x14ac:dyDescent="0.25">
      <c r="A723" s="313"/>
      <c r="B723" s="314" t="s">
        <v>1442</v>
      </c>
      <c r="D723" s="74">
        <f>IFERROR(VLOOKUP(B723,'REQ. PINTADO'!B:C,2,0),0)</f>
        <v>0</v>
      </c>
      <c r="E723" s="305">
        <f t="shared" si="100"/>
        <v>864.01424089916122</v>
      </c>
      <c r="F723" s="103" t="s">
        <v>163</v>
      </c>
      <c r="G723" s="75" t="s">
        <v>147</v>
      </c>
      <c r="H723" s="90">
        <v>45.825000000000003</v>
      </c>
      <c r="I723" s="90">
        <v>23.02</v>
      </c>
      <c r="J723" s="76">
        <v>0.105</v>
      </c>
      <c r="K723" s="306">
        <v>16.38</v>
      </c>
      <c r="L723" s="78">
        <f t="shared" si="101"/>
        <v>53.18265794857146</v>
      </c>
      <c r="M723" s="58">
        <f>+VLOOKUP(F723,Material!$H$2:$M$17,6,FALSE)*H723*I723*(1+Material!$K$14)</f>
        <v>395.96906236254563</v>
      </c>
      <c r="N723" s="79" t="str">
        <f t="shared" si="109"/>
        <v>T5.0</v>
      </c>
      <c r="O723" s="80">
        <f>+VLOOKUP(N723,[3]Material!$A$3:$B$58,2,FALSE)</f>
        <v>5000</v>
      </c>
      <c r="P723" s="79" t="s">
        <v>42</v>
      </c>
      <c r="Q723" s="79" t="str">
        <f>+VLOOKUP(F723,[3]Material!$C$2:$E$12,2,FALSE)</f>
        <v>Cal 12</v>
      </c>
      <c r="R723" s="81">
        <f>+IF(P723="ACERO A36",VLOOKUP(Q723,'[3]Velocidades Std 1500 w'!$B$2:$F$15,5,FALSE),IF(P723="INOXIDABLE",VLOOKUP(Q723,'[3]Velocidades Std 1500 w'!$B$17:$F$28,5,FALSE),IF(P723="ALUMINIO",VLOOKUP(Q723,'[3]Velocidades Std 1500 w'!$B$30:$F$38,5,FALSE))))</f>
        <v>4.3859649122807014E-6</v>
      </c>
      <c r="S723" s="82">
        <f t="shared" si="102"/>
        <v>2.1929824561403508E-2</v>
      </c>
      <c r="T723" s="83">
        <f t="shared" si="103"/>
        <v>65.561878421052626</v>
      </c>
      <c r="U723" s="307">
        <f t="shared" si="94"/>
        <v>4152.2523000000001</v>
      </c>
      <c r="V723" s="80">
        <f t="shared" si="108"/>
        <v>91.058164473684201</v>
      </c>
      <c r="W723" s="98">
        <v>12</v>
      </c>
      <c r="X723" s="84">
        <f>+IF(P723="ACERO A36",VLOOKUP(Q723,'[3]Tiempo Objeto'!$B$2:$C$12,2,FALSE),IF(P723="INOXIDABLE",VLOOKUP(Q723,'[3]Tiempo Objeto'!$B$14:$C$22,2,FALSE),IF(P723="ALUMINIO",VLOOKUP(Q723,'[3]Tiempo Objeto'!$B$24:$C$32,2,FALSE))))</f>
        <v>0.6133333333333334</v>
      </c>
      <c r="Y723" s="84">
        <f t="shared" si="104"/>
        <v>7.3600000000000012</v>
      </c>
      <c r="Z723" s="80">
        <f t="shared" si="105"/>
        <v>10.222222222222225</v>
      </c>
      <c r="AA723" s="100">
        <v>5</v>
      </c>
      <c r="AB723" s="86">
        <f>+AA723*Analisis!$J$6</f>
        <v>125</v>
      </c>
      <c r="AC723" s="100"/>
      <c r="AD723" s="85">
        <f t="shared" si="106"/>
        <v>0</v>
      </c>
      <c r="AE723" s="86">
        <f>+AC723*Analisis!$J$7</f>
        <v>0</v>
      </c>
      <c r="AF723" s="308">
        <f>+H723*0.0254*I723*0.0254*2*(1+[3]Analisis!$G$2)</f>
        <v>1.70143450035</v>
      </c>
      <c r="AG723" s="86">
        <f>+AF723*Analisis!$J$8</f>
        <v>181.28379497776791</v>
      </c>
      <c r="AH723" s="309">
        <f t="shared" si="98"/>
        <v>803.53324403621991</v>
      </c>
      <c r="AI723" s="86">
        <f>+AH723/(1-Analisis!G728)</f>
        <v>803.53324403621991</v>
      </c>
      <c r="AJ723" s="86">
        <f t="shared" si="107"/>
        <v>864.01424089916122</v>
      </c>
      <c r="AK723" s="86">
        <f t="shared" si="99"/>
        <v>0</v>
      </c>
      <c r="AL723" s="310" t="e">
        <f>+VLOOKUP(B723,#REF!,2,FALSE)</f>
        <v>#REF!</v>
      </c>
      <c r="AM723" s="311" t="e">
        <f t="shared" si="97"/>
        <v>#REF!</v>
      </c>
      <c r="AN723" s="312" t="e">
        <f t="shared" si="96"/>
        <v>#REF!</v>
      </c>
    </row>
    <row r="724" spans="1:40" s="73" customFormat="1" x14ac:dyDescent="0.25">
      <c r="A724" s="313"/>
      <c r="B724" s="314" t="s">
        <v>1443</v>
      </c>
      <c r="D724" s="74">
        <f>IFERROR(VLOOKUP(B724,'REQ. PINTADO'!B:C,2,0),0)</f>
        <v>0</v>
      </c>
      <c r="E724" s="305">
        <f t="shared" si="100"/>
        <v>388.06869866117552</v>
      </c>
      <c r="F724" s="103" t="s">
        <v>166</v>
      </c>
      <c r="G724" s="75" t="s">
        <v>147</v>
      </c>
      <c r="H724" s="90">
        <v>21.937999999999999</v>
      </c>
      <c r="I724" s="90">
        <v>16.591999999999999</v>
      </c>
      <c r="J724" s="76">
        <v>0.105</v>
      </c>
      <c r="K724" s="306">
        <v>16.38</v>
      </c>
      <c r="L724" s="78">
        <f t="shared" si="101"/>
        <v>11.08050964330001</v>
      </c>
      <c r="M724" s="58">
        <f>+VLOOKUP(F724,Material!$H$2:$M$17,6,FALSE)*H724*I724*(1+Material!$K$14)</f>
        <v>82.499430889660971</v>
      </c>
      <c r="N724" s="79" t="str">
        <f t="shared" si="109"/>
        <v>T5.0</v>
      </c>
      <c r="O724" s="80">
        <f>+VLOOKUP(N724,[3]Material!$A$3:$B$58,2,FALSE)</f>
        <v>5000</v>
      </c>
      <c r="P724" s="79" t="s">
        <v>42</v>
      </c>
      <c r="Q724" s="79" t="str">
        <f>+VLOOKUP(F724,[3]Material!$C$2:$E$12,2,FALSE)</f>
        <v>Cal 16</v>
      </c>
      <c r="R724" s="81">
        <f>+IF(P724="ACERO A36",VLOOKUP(Q724,'[3]Velocidades Std 1500 w'!$B$2:$F$15,5,FALSE),IF(P724="INOXIDABLE",VLOOKUP(Q724,'[3]Velocidades Std 1500 w'!$B$17:$F$28,5,FALSE),IF(P724="ALUMINIO",VLOOKUP(Q724,'[3]Velocidades Std 1500 w'!$B$30:$F$38,5,FALSE))))</f>
        <v>9.1575091575091579E-7</v>
      </c>
      <c r="S724" s="82">
        <f t="shared" si="102"/>
        <v>4.578754578754579E-3</v>
      </c>
      <c r="T724" s="83">
        <f t="shared" si="103"/>
        <v>39.746506153846155</v>
      </c>
      <c r="U724" s="307">
        <f t="shared" si="94"/>
        <v>12056.440199999999</v>
      </c>
      <c r="V724" s="80">
        <f t="shared" si="108"/>
        <v>55.203480769230765</v>
      </c>
      <c r="W724" s="98">
        <v>250</v>
      </c>
      <c r="X724" s="84">
        <f>+IF(P724="ACERO A36",VLOOKUP(Q724,'[3]Tiempo Objeto'!$B$2:$C$12,2,FALSE),IF(P724="INOXIDABLE",VLOOKUP(Q724,'[3]Tiempo Objeto'!$B$14:$C$22,2,FALSE),IF(P724="ALUMINIO",VLOOKUP(Q724,'[3]Tiempo Objeto'!$B$24:$C$32,2,FALSE))))</f>
        <v>0.24666666666666667</v>
      </c>
      <c r="Y724" s="84">
        <f t="shared" si="104"/>
        <v>61.666666666666671</v>
      </c>
      <c r="Z724" s="80">
        <f t="shared" si="105"/>
        <v>85.648148148148152</v>
      </c>
      <c r="AA724" s="100">
        <v>3</v>
      </c>
      <c r="AB724" s="86">
        <f>+AA724*Analisis!$J$6</f>
        <v>75</v>
      </c>
      <c r="AC724" s="100"/>
      <c r="AD724" s="85">
        <f t="shared" si="106"/>
        <v>0</v>
      </c>
      <c r="AE724" s="86">
        <f>+AC724*Analisis!$J$7</f>
        <v>0</v>
      </c>
      <c r="AF724" s="308">
        <f>+H724*0.0254*I724*0.0254*2*(1+[3]Analisis!$G$2)</f>
        <v>0.58708801291839996</v>
      </c>
      <c r="AG724" s="86">
        <f>+AF724*Analisis!$J$8</f>
        <v>62.552829947853347</v>
      </c>
      <c r="AH724" s="309">
        <f t="shared" si="98"/>
        <v>360.90388975489321</v>
      </c>
      <c r="AI724" s="86">
        <f>+AH724/(1-Analisis!G729)</f>
        <v>360.90388975489321</v>
      </c>
      <c r="AJ724" s="86">
        <f t="shared" si="107"/>
        <v>388.06869866117552</v>
      </c>
      <c r="AK724" s="86">
        <f t="shared" si="99"/>
        <v>0</v>
      </c>
      <c r="AL724" s="310" t="e">
        <f>+VLOOKUP(B724,#REF!,2,FALSE)</f>
        <v>#REF!</v>
      </c>
      <c r="AM724" s="311" t="e">
        <f t="shared" si="97"/>
        <v>#REF!</v>
      </c>
      <c r="AN724" s="312" t="e">
        <f t="shared" si="96"/>
        <v>#REF!</v>
      </c>
    </row>
    <row r="725" spans="1:40" s="73" customFormat="1" x14ac:dyDescent="0.25">
      <c r="A725" s="313"/>
      <c r="B725" s="314" t="s">
        <v>1444</v>
      </c>
      <c r="D725" s="74">
        <f>IFERROR(VLOOKUP(B725,'REQ. PINTADO'!B:C,2,0),0)</f>
        <v>0</v>
      </c>
      <c r="E725" s="305">
        <f t="shared" si="100"/>
        <v>461.93020915553302</v>
      </c>
      <c r="F725" s="103" t="s">
        <v>166</v>
      </c>
      <c r="G725" s="75" t="s">
        <v>147</v>
      </c>
      <c r="H725" s="90">
        <v>31.937999999999999</v>
      </c>
      <c r="I725" s="90">
        <v>16.602</v>
      </c>
      <c r="J725" s="76">
        <v>0.105</v>
      </c>
      <c r="K725" s="306">
        <v>16.38</v>
      </c>
      <c r="L725" s="78">
        <f t="shared" si="101"/>
        <v>16.141061451052536</v>
      </c>
      <c r="M725" s="58">
        <f>+VLOOKUP(F725,Material!$H$2:$M$17,6,FALSE)*H725*I725*(1+Material!$K$14)</f>
        <v>120.17753934920023</v>
      </c>
      <c r="N725" s="79" t="str">
        <f t="shared" si="109"/>
        <v>T5.0</v>
      </c>
      <c r="O725" s="80">
        <f>+VLOOKUP(N725,[3]Material!$A$3:$B$58,2,FALSE)</f>
        <v>5000</v>
      </c>
      <c r="P725" s="79" t="s">
        <v>42</v>
      </c>
      <c r="Q725" s="79" t="str">
        <f>+VLOOKUP(F725,[3]Material!$C$2:$E$12,2,FALSE)</f>
        <v>Cal 16</v>
      </c>
      <c r="R725" s="81">
        <f>+IF(P725="ACERO A36",VLOOKUP(Q725,'[3]Velocidades Std 1500 w'!$B$2:$F$15,5,FALSE),IF(P725="INOXIDABLE",VLOOKUP(Q725,'[3]Velocidades Std 1500 w'!$B$17:$F$28,5,FALSE),IF(P725="ALUMINIO",VLOOKUP(Q725,'[3]Velocidades Std 1500 w'!$B$30:$F$38,5,FALSE))))</f>
        <v>9.1575091575091579E-7</v>
      </c>
      <c r="S725" s="82">
        <f t="shared" si="102"/>
        <v>4.578754578754579E-3</v>
      </c>
      <c r="T725" s="83">
        <f t="shared" si="103"/>
        <v>41.506726153846152</v>
      </c>
      <c r="U725" s="307">
        <f t="shared" si="94"/>
        <v>12590.373599999999</v>
      </c>
      <c r="V725" s="80">
        <f t="shared" si="108"/>
        <v>57.648230769230764</v>
      </c>
      <c r="W725" s="98">
        <v>250</v>
      </c>
      <c r="X725" s="84">
        <f>+IF(P725="ACERO A36",VLOOKUP(Q725,'[3]Tiempo Objeto'!$B$2:$C$12,2,FALSE),IF(P725="INOXIDABLE",VLOOKUP(Q725,'[3]Tiempo Objeto'!$B$14:$C$22,2,FALSE),IF(P725="ALUMINIO",VLOOKUP(Q725,'[3]Tiempo Objeto'!$B$24:$C$32,2,FALSE))))</f>
        <v>0.24666666666666667</v>
      </c>
      <c r="Y725" s="84">
        <f t="shared" si="104"/>
        <v>61.666666666666671</v>
      </c>
      <c r="Z725" s="80">
        <f t="shared" si="105"/>
        <v>85.648148148148152</v>
      </c>
      <c r="AA725" s="100">
        <v>3</v>
      </c>
      <c r="AB725" s="86">
        <f>+AA725*Analisis!$J$6</f>
        <v>75</v>
      </c>
      <c r="AC725" s="100"/>
      <c r="AD725" s="85">
        <f t="shared" si="106"/>
        <v>0</v>
      </c>
      <c r="AE725" s="86">
        <f>+AC725*Analisis!$J$7</f>
        <v>0</v>
      </c>
      <c r="AF725" s="308">
        <f>+H725*0.0254*I725*0.0254*2*(1+[3]Analisis!$G$2)</f>
        <v>0.85521550892039999</v>
      </c>
      <c r="AG725" s="86">
        <f>+AF725*Analisis!$J$8</f>
        <v>91.121176248066462</v>
      </c>
      <c r="AH725" s="309">
        <f t="shared" si="98"/>
        <v>429.59509451464567</v>
      </c>
      <c r="AI725" s="86">
        <f>+AH725/(1-Analisis!G730)</f>
        <v>429.59509451464567</v>
      </c>
      <c r="AJ725" s="86">
        <f t="shared" si="107"/>
        <v>461.93020915553302</v>
      </c>
      <c r="AK725" s="86">
        <f t="shared" si="99"/>
        <v>0</v>
      </c>
      <c r="AL725" s="310" t="e">
        <f>+VLOOKUP(B725,#REF!,2,FALSE)</f>
        <v>#REF!</v>
      </c>
      <c r="AM725" s="311" t="e">
        <f t="shared" si="97"/>
        <v>#REF!</v>
      </c>
      <c r="AN725" s="312" t="e">
        <f t="shared" si="96"/>
        <v>#REF!</v>
      </c>
    </row>
    <row r="726" spans="1:40" s="73" customFormat="1" x14ac:dyDescent="0.25">
      <c r="A726" s="313"/>
      <c r="B726" s="314" t="s">
        <v>1445</v>
      </c>
      <c r="D726" s="74">
        <f>IFERROR(VLOOKUP(B726,'REQ. PINTADO'!B:C,2,0),0)</f>
        <v>0</v>
      </c>
      <c r="E726" s="305">
        <f t="shared" si="100"/>
        <v>996.66548575032527</v>
      </c>
      <c r="F726" s="103" t="s">
        <v>163</v>
      </c>
      <c r="G726" s="75" t="s">
        <v>147</v>
      </c>
      <c r="H726" s="90">
        <v>30.824999999999999</v>
      </c>
      <c r="I726" s="90">
        <v>41.02</v>
      </c>
      <c r="J726" s="76">
        <v>0.105</v>
      </c>
      <c r="K726" s="306">
        <v>16.38</v>
      </c>
      <c r="L726" s="78">
        <f t="shared" si="101"/>
        <v>63.747181383562783</v>
      </c>
      <c r="M726" s="58">
        <f>+VLOOKUP(F726,Material!$H$2:$M$17,6,FALSE)*H726*I726*(1+Material!$K$14)</f>
        <v>474.62674139216278</v>
      </c>
      <c r="N726" s="79" t="str">
        <f t="shared" si="109"/>
        <v>T5.0</v>
      </c>
      <c r="O726" s="80">
        <f>+VLOOKUP(N726,[3]Material!$A$3:$B$58,2,FALSE)</f>
        <v>5000</v>
      </c>
      <c r="P726" s="79" t="s">
        <v>42</v>
      </c>
      <c r="Q726" s="79" t="str">
        <f>+VLOOKUP(F726,[3]Material!$C$2:$E$12,2,FALSE)</f>
        <v>Cal 12</v>
      </c>
      <c r="R726" s="81">
        <f>+IF(P726="ACERO A36",VLOOKUP(Q726,'[3]Velocidades Std 1500 w'!$B$2:$F$15,5,FALSE),IF(P726="INOXIDABLE",VLOOKUP(Q726,'[3]Velocidades Std 1500 w'!$B$17:$F$28,5,FALSE),IF(P726="ALUMINIO",VLOOKUP(Q726,'[3]Velocidades Std 1500 w'!$B$30:$F$38,5,FALSE))))</f>
        <v>4.3859649122807014E-6</v>
      </c>
      <c r="S726" s="82">
        <f t="shared" si="102"/>
        <v>2.1929824561403508E-2</v>
      </c>
      <c r="T726" s="83">
        <f t="shared" si="103"/>
        <v>69.983483684210526</v>
      </c>
      <c r="U726" s="307">
        <f t="shared" si="94"/>
        <v>4432.2873</v>
      </c>
      <c r="V726" s="80">
        <f t="shared" si="108"/>
        <v>97.199282894736839</v>
      </c>
      <c r="W726" s="98">
        <v>15</v>
      </c>
      <c r="X726" s="84">
        <f>+IF(P726="ACERO A36",VLOOKUP(Q726,'[3]Tiempo Objeto'!$B$2:$C$12,2,FALSE),IF(P726="INOXIDABLE",VLOOKUP(Q726,'[3]Tiempo Objeto'!$B$14:$C$22,2,FALSE),IF(P726="ALUMINIO",VLOOKUP(Q726,'[3]Tiempo Objeto'!$B$24:$C$32,2,FALSE))))</f>
        <v>0.6133333333333334</v>
      </c>
      <c r="Y726" s="84">
        <f t="shared" si="104"/>
        <v>9.2000000000000011</v>
      </c>
      <c r="Z726" s="80">
        <f t="shared" si="105"/>
        <v>12.77777777777778</v>
      </c>
      <c r="AA726" s="100">
        <v>5</v>
      </c>
      <c r="AB726" s="86">
        <f>+AA726*Analisis!$J$6</f>
        <v>125</v>
      </c>
      <c r="AC726" s="100"/>
      <c r="AD726" s="85">
        <f t="shared" si="106"/>
        <v>0</v>
      </c>
      <c r="AE726" s="86">
        <f>+AC726*Analisis!$J$7</f>
        <v>0</v>
      </c>
      <c r="AF726" s="308">
        <f>+H726*0.0254*I726*0.0254*2*(1+[3]Analisis!$G$2)</f>
        <v>2.0394176953500001</v>
      </c>
      <c r="AG726" s="86">
        <f>+AF726*Analisis!$J$8</f>
        <v>217.29509968312507</v>
      </c>
      <c r="AH726" s="309">
        <f t="shared" si="98"/>
        <v>926.89890174780248</v>
      </c>
      <c r="AI726" s="86">
        <f>+AH726/(1-Analisis!G731)</f>
        <v>926.89890174780248</v>
      </c>
      <c r="AJ726" s="86">
        <f t="shared" si="107"/>
        <v>996.66548575032527</v>
      </c>
      <c r="AK726" s="86">
        <f t="shared" si="99"/>
        <v>0</v>
      </c>
      <c r="AL726" s="310" t="e">
        <f>+VLOOKUP(B726,#REF!,2,FALSE)</f>
        <v>#REF!</v>
      </c>
      <c r="AM726" s="311" t="e">
        <f t="shared" si="97"/>
        <v>#REF!</v>
      </c>
      <c r="AN726" s="312" t="e">
        <f t="shared" si="96"/>
        <v>#REF!</v>
      </c>
    </row>
    <row r="727" spans="1:40" s="73" customFormat="1" x14ac:dyDescent="0.25">
      <c r="A727" s="313"/>
      <c r="B727" s="314" t="s">
        <v>992</v>
      </c>
      <c r="D727" s="74">
        <f>IFERROR(VLOOKUP(B727,'REQ. PINTADO'!B:C,2,0),0)</f>
        <v>0</v>
      </c>
      <c r="E727" s="305">
        <f t="shared" si="100"/>
        <v>257.12503752368758</v>
      </c>
      <c r="F727" s="103" t="s">
        <v>165</v>
      </c>
      <c r="G727" s="75" t="s">
        <v>147</v>
      </c>
      <c r="H727" s="90">
        <v>8</v>
      </c>
      <c r="I727" s="90">
        <v>31.61</v>
      </c>
      <c r="J727" s="76">
        <v>0.105</v>
      </c>
      <c r="K727" s="306">
        <v>16.38</v>
      </c>
      <c r="L727" s="78">
        <f t="shared" si="101"/>
        <v>14.116431623931629</v>
      </c>
      <c r="M727" s="58">
        <f>+VLOOKUP(F727,Material!$H$2:$M$17,6,FALSE)*H727*I727*(1+Material!$K$14)</f>
        <v>105.10325000000002</v>
      </c>
      <c r="N727" s="79" t="str">
        <f t="shared" si="109"/>
        <v>T5.0</v>
      </c>
      <c r="O727" s="80">
        <f>+VLOOKUP(N727,[3]Material!$A$3:$B$58,2,FALSE)</f>
        <v>5000</v>
      </c>
      <c r="P727" s="79" t="s">
        <v>42</v>
      </c>
      <c r="Q727" s="79" t="str">
        <f>+VLOOKUP(F727,[3]Material!$C$2:$E$12,2,FALSE)</f>
        <v>Cal 14</v>
      </c>
      <c r="R727" s="81">
        <f>+IF(P727="ACERO A36",VLOOKUP(Q727,'[3]Velocidades Std 1500 w'!$B$2:$F$15,5,FALSE),IF(P727="INOXIDABLE",VLOOKUP(Q727,'[3]Velocidades Std 1500 w'!$B$17:$F$28,5,FALSE),IF(P727="ALUMINIO",VLOOKUP(Q727,'[3]Velocidades Std 1500 w'!$B$30:$F$38,5,FALSE))))</f>
        <v>2.0080321285140564E-6</v>
      </c>
      <c r="S727" s="82">
        <f t="shared" si="102"/>
        <v>1.0040160642570283E-2</v>
      </c>
      <c r="T727" s="83">
        <f t="shared" si="103"/>
        <v>30.600451084337355</v>
      </c>
      <c r="U727" s="307">
        <f t="shared" si="94"/>
        <v>4233.0623999999998</v>
      </c>
      <c r="V727" s="80">
        <f t="shared" si="108"/>
        <v>42.500626506024105</v>
      </c>
      <c r="W727" s="98">
        <v>53</v>
      </c>
      <c r="X727" s="84">
        <f>+IF(P727="ACERO A36",VLOOKUP(Q727,'[3]Tiempo Objeto'!$B$2:$C$12,2,FALSE),IF(P727="INOXIDABLE",VLOOKUP(Q727,'[3]Tiempo Objeto'!$B$14:$C$22,2,FALSE),IF(P727="ALUMINIO",VLOOKUP(Q727,'[3]Tiempo Objeto'!$B$24:$C$32,2,FALSE))))</f>
        <v>0.3133333333333333</v>
      </c>
      <c r="Y727" s="84">
        <f t="shared" si="104"/>
        <v>16.606666666666666</v>
      </c>
      <c r="Z727" s="80">
        <f t="shared" si="105"/>
        <v>23.064814814814813</v>
      </c>
      <c r="AA727" s="100">
        <v>1</v>
      </c>
      <c r="AB727" s="86">
        <f>+AA727*Analisis!$J$6</f>
        <v>25</v>
      </c>
      <c r="AC727" s="100"/>
      <c r="AD727" s="85">
        <f t="shared" si="106"/>
        <v>0</v>
      </c>
      <c r="AE727" s="86">
        <f>+AC727*Analisis!$J$7</f>
        <v>0</v>
      </c>
      <c r="AF727" s="308">
        <f>+H727*0.0254*I727*0.0254*2*(1+[3]Analisis!$G$2)</f>
        <v>0.40787015199999999</v>
      </c>
      <c r="AG727" s="86">
        <f>+AF727*Analisis!$J$8</f>
        <v>43.45759357619049</v>
      </c>
      <c r="AH727" s="309">
        <f t="shared" si="98"/>
        <v>239.12628489702945</v>
      </c>
      <c r="AI727" s="86">
        <f>+AH727/(1-Analisis!G732)</f>
        <v>239.12628489702945</v>
      </c>
      <c r="AJ727" s="86">
        <f t="shared" si="107"/>
        <v>257.12503752368758</v>
      </c>
      <c r="AK727" s="86">
        <f t="shared" si="99"/>
        <v>0</v>
      </c>
      <c r="AL727" s="310" t="e">
        <f>+VLOOKUP(B727,#REF!,2,FALSE)</f>
        <v>#REF!</v>
      </c>
      <c r="AM727" s="311" t="e">
        <f t="shared" si="97"/>
        <v>#REF!</v>
      </c>
      <c r="AN727" s="312" t="e">
        <f t="shared" si="96"/>
        <v>#REF!</v>
      </c>
    </row>
    <row r="728" spans="1:40" s="73" customFormat="1" x14ac:dyDescent="0.25">
      <c r="A728" s="313"/>
      <c r="B728" s="328" t="s">
        <v>1446</v>
      </c>
      <c r="D728" s="74">
        <f>IFERROR(VLOOKUP(B728,'REQ. PINTADO'!B:C,2,0),0)</f>
        <v>0</v>
      </c>
      <c r="E728" s="305">
        <f t="shared" si="100"/>
        <v>43.722304444073451</v>
      </c>
      <c r="F728" s="103" t="s">
        <v>165</v>
      </c>
      <c r="G728" s="75" t="s">
        <v>147</v>
      </c>
      <c r="H728" s="314">
        <v>32.75</v>
      </c>
      <c r="I728" s="90">
        <v>1</v>
      </c>
      <c r="J728" s="76">
        <v>0.105</v>
      </c>
      <c r="K728" s="306">
        <v>16.38</v>
      </c>
      <c r="L728" s="78">
        <f t="shared" si="101"/>
        <v>1.8281917735042741</v>
      </c>
      <c r="M728" s="58">
        <f>+VLOOKUP(F728,Material!$H$2:$M$17,6,FALSE)*H728*I728*(1+Material!$K$14)</f>
        <v>13.611718750000001</v>
      </c>
      <c r="N728" s="79" t="str">
        <f t="shared" si="109"/>
        <v>T5.0</v>
      </c>
      <c r="O728" s="80">
        <f>+VLOOKUP(N728,[3]Material!$A$3:$B$58,2,FALSE)</f>
        <v>5000</v>
      </c>
      <c r="P728" s="79" t="s">
        <v>42</v>
      </c>
      <c r="Q728" s="79" t="str">
        <f>+VLOOKUP(F728,[3]Material!$C$2:$E$12,2,FALSE)</f>
        <v>Cal 14</v>
      </c>
      <c r="R728" s="81">
        <f>+IF(P728="ACERO A36",VLOOKUP(Q728,'[3]Velocidades Std 1500 w'!$B$2:$F$15,5,FALSE),IF(P728="INOXIDABLE",VLOOKUP(Q728,'[3]Velocidades Std 1500 w'!$B$17:$F$28,5,FALSE),IF(P728="ALUMINIO",VLOOKUP(Q728,'[3]Velocidades Std 1500 w'!$B$30:$F$38,5,FALSE))))</f>
        <v>2.0080321285140564E-6</v>
      </c>
      <c r="S728" s="82">
        <f t="shared" si="102"/>
        <v>1.0040160642570283E-2</v>
      </c>
      <c r="T728" s="83">
        <f t="shared" si="103"/>
        <v>14.170445783132532</v>
      </c>
      <c r="U728" s="307">
        <f t="shared" si="94"/>
        <v>1960.2449999999999</v>
      </c>
      <c r="V728" s="80">
        <f t="shared" si="108"/>
        <v>19.681174698795182</v>
      </c>
      <c r="W728" s="98">
        <v>4</v>
      </c>
      <c r="X728" s="84">
        <f>+IF(P728="ACERO A36",VLOOKUP(Q728,'[3]Tiempo Objeto'!$B$2:$C$12,2,FALSE),IF(P728="INOXIDABLE",VLOOKUP(Q728,'[3]Tiempo Objeto'!$B$14:$C$22,2,FALSE),IF(P728="ALUMINIO",VLOOKUP(Q728,'[3]Tiempo Objeto'!$B$24:$C$32,2,FALSE))))</f>
        <v>0.3133333333333333</v>
      </c>
      <c r="Y728" s="84">
        <f t="shared" si="104"/>
        <v>1.2533333333333332</v>
      </c>
      <c r="Z728" s="80">
        <f t="shared" si="105"/>
        <v>1.7407407407407405</v>
      </c>
      <c r="AA728" s="100">
        <v>0</v>
      </c>
      <c r="AB728" s="86">
        <f>+AA728*Analisis!$J$6</f>
        <v>0</v>
      </c>
      <c r="AC728" s="100"/>
      <c r="AD728" s="85">
        <f t="shared" si="106"/>
        <v>0</v>
      </c>
      <c r="AE728" s="86">
        <f>+AC728*Analisis!$J$7</f>
        <v>0</v>
      </c>
      <c r="AF728" s="308">
        <f>+H728*0.0254*I728*0.0254*2*(1+[3]Analisis!$G$2)</f>
        <v>5.2822475000000001E-2</v>
      </c>
      <c r="AG728" s="86">
        <f>+AF728*Analisis!$J$8</f>
        <v>5.628108943452383</v>
      </c>
      <c r="AH728" s="309">
        <f t="shared" si="98"/>
        <v>40.661743132988306</v>
      </c>
      <c r="AI728" s="86">
        <f>+AH728/(1-Analisis!G733)</f>
        <v>40.661743132988306</v>
      </c>
      <c r="AJ728" s="86">
        <f t="shared" si="107"/>
        <v>43.722304444073451</v>
      </c>
      <c r="AK728" s="86">
        <f t="shared" si="99"/>
        <v>0</v>
      </c>
      <c r="AL728" s="310" t="e">
        <f>+VLOOKUP(B728,#REF!,2,FALSE)</f>
        <v>#REF!</v>
      </c>
      <c r="AM728" s="311" t="e">
        <f t="shared" si="97"/>
        <v>#REF!</v>
      </c>
      <c r="AN728" s="312" t="e">
        <f t="shared" si="96"/>
        <v>#REF!</v>
      </c>
    </row>
    <row r="729" spans="1:40" s="73" customFormat="1" x14ac:dyDescent="0.25">
      <c r="A729" s="313"/>
      <c r="B729" s="328" t="s">
        <v>1447</v>
      </c>
      <c r="D729" s="74">
        <f>IFERROR(VLOOKUP(B729,'REQ. PINTADO'!B:C,2,0),0)</f>
        <v>0</v>
      </c>
      <c r="E729" s="305">
        <f t="shared" si="100"/>
        <v>136.61177832585813</v>
      </c>
      <c r="F729" s="103" t="s">
        <v>165</v>
      </c>
      <c r="G729" s="75" t="s">
        <v>147</v>
      </c>
      <c r="H729" s="90">
        <v>3.1219999999999999</v>
      </c>
      <c r="I729" s="90">
        <v>30.75</v>
      </c>
      <c r="J729" s="76">
        <v>0.105</v>
      </c>
      <c r="K729" s="306">
        <v>16.38</v>
      </c>
      <c r="L729" s="78">
        <f t="shared" si="101"/>
        <v>5.359058092948719</v>
      </c>
      <c r="M729" s="58">
        <f>+VLOOKUP(F729,Material!$H$2:$M$17,6,FALSE)*H729*I729*(1+Material!$K$14)</f>
        <v>39.900623437500002</v>
      </c>
      <c r="N729" s="79" t="str">
        <f t="shared" si="109"/>
        <v>T5.0</v>
      </c>
      <c r="O729" s="80">
        <f>+VLOOKUP(N729,[3]Material!$A$3:$B$58,2,FALSE)</f>
        <v>5000</v>
      </c>
      <c r="P729" s="79" t="s">
        <v>42</v>
      </c>
      <c r="Q729" s="79" t="str">
        <f>+VLOOKUP(F729,[3]Material!$C$2:$E$12,2,FALSE)</f>
        <v>Cal 14</v>
      </c>
      <c r="R729" s="81">
        <f>+IF(P729="ACERO A36",VLOOKUP(Q729,'[3]Velocidades Std 1500 w'!$B$2:$F$15,5,FALSE),IF(P729="INOXIDABLE",VLOOKUP(Q729,'[3]Velocidades Std 1500 w'!$B$17:$F$28,5,FALSE),IF(P729="ALUMINIO",VLOOKUP(Q729,'[3]Velocidades Std 1500 w'!$B$30:$F$38,5,FALSE))))</f>
        <v>2.0080321285140564E-6</v>
      </c>
      <c r="S729" s="82">
        <f t="shared" si="102"/>
        <v>1.0040160642570283E-2</v>
      </c>
      <c r="T729" s="83">
        <f t="shared" si="103"/>
        <v>13.928295036144581</v>
      </c>
      <c r="U729" s="307">
        <f t="shared" si="94"/>
        <v>1926.74748</v>
      </c>
      <c r="V729" s="80">
        <f t="shared" si="108"/>
        <v>19.344854216867471</v>
      </c>
      <c r="W729" s="98">
        <v>3</v>
      </c>
      <c r="X729" s="84">
        <f>+IF(P729="ACERO A36",VLOOKUP(Q729,'[3]Tiempo Objeto'!$B$2:$C$12,2,FALSE),IF(P729="INOXIDABLE",VLOOKUP(Q729,'[3]Tiempo Objeto'!$B$14:$C$22,2,FALSE),IF(P729="ALUMINIO",VLOOKUP(Q729,'[3]Tiempo Objeto'!$B$24:$C$32,2,FALSE))))</f>
        <v>0.3133333333333333</v>
      </c>
      <c r="Y729" s="84">
        <f t="shared" si="104"/>
        <v>0.94</v>
      </c>
      <c r="Z729" s="80">
        <f t="shared" si="105"/>
        <v>1.3055555555555556</v>
      </c>
      <c r="AA729" s="100">
        <v>2</v>
      </c>
      <c r="AB729" s="86">
        <f>+AA729*Analisis!$J$6</f>
        <v>50</v>
      </c>
      <c r="AC729" s="100"/>
      <c r="AD729" s="85">
        <f t="shared" si="106"/>
        <v>0</v>
      </c>
      <c r="AE729" s="86">
        <f>+AC729*Analisis!$J$7</f>
        <v>0</v>
      </c>
      <c r="AF729" s="308">
        <f>+H729*0.0254*I729*0.0254*2*(1+[3]Analisis!$G$2)</f>
        <v>0.15484081934999996</v>
      </c>
      <c r="AG729" s="86">
        <f>+AF729*Analisis!$J$8</f>
        <v>16.497920633125002</v>
      </c>
      <c r="AH729" s="309">
        <f t="shared" si="98"/>
        <v>127.04895384304804</v>
      </c>
      <c r="AI729" s="86">
        <f>+AH729/(1-Analisis!G734)</f>
        <v>127.04895384304804</v>
      </c>
      <c r="AJ729" s="86">
        <f t="shared" si="107"/>
        <v>136.61177832585813</v>
      </c>
      <c r="AK729" s="86">
        <f t="shared" si="99"/>
        <v>0</v>
      </c>
      <c r="AL729" s="310" t="e">
        <f>+VLOOKUP(B729,#REF!,2,FALSE)</f>
        <v>#REF!</v>
      </c>
      <c r="AM729" s="311" t="e">
        <f t="shared" si="97"/>
        <v>#REF!</v>
      </c>
      <c r="AN729" s="312" t="e">
        <f t="shared" si="96"/>
        <v>#REF!</v>
      </c>
    </row>
    <row r="730" spans="1:40" s="73" customFormat="1" x14ac:dyDescent="0.25">
      <c r="A730" s="313"/>
      <c r="B730" s="328" t="s">
        <v>1448</v>
      </c>
      <c r="D730" s="74">
        <f>IFERROR(VLOOKUP(B730,'REQ. PINTADO'!B:C,2,0),0)</f>
        <v>0</v>
      </c>
      <c r="E730" s="305">
        <f t="shared" si="100"/>
        <v>1207.2659520363623</v>
      </c>
      <c r="F730" s="103" t="s">
        <v>165</v>
      </c>
      <c r="G730" s="75" t="s">
        <v>147</v>
      </c>
      <c r="H730" s="90">
        <v>39.79</v>
      </c>
      <c r="I730" s="90">
        <v>41.392000000000003</v>
      </c>
      <c r="J730" s="76">
        <v>0.105</v>
      </c>
      <c r="K730" s="306">
        <v>16.38</v>
      </c>
      <c r="L730" s="78">
        <f t="shared" si="101"/>
        <v>91.939216111111136</v>
      </c>
      <c r="M730" s="58">
        <f>+VLOOKUP(F730,Material!$H$2:$M$17,6,FALSE)*H730*I730*(1+Material!$K$14)</f>
        <v>684.52925450000009</v>
      </c>
      <c r="N730" s="79" t="str">
        <f t="shared" si="109"/>
        <v>T5.0</v>
      </c>
      <c r="O730" s="80">
        <f>+VLOOKUP(N730,[3]Material!$A$3:$B$58,2,FALSE)</f>
        <v>5000</v>
      </c>
      <c r="P730" s="79" t="s">
        <v>42</v>
      </c>
      <c r="Q730" s="79" t="str">
        <f>+VLOOKUP(F730,[3]Material!$C$2:$E$12,2,FALSE)</f>
        <v>Cal 14</v>
      </c>
      <c r="R730" s="81">
        <f>+IF(P730="ACERO A36",VLOOKUP(Q730,'[3]Velocidades Std 1500 w'!$B$2:$F$15,5,FALSE),IF(P730="INOXIDABLE",VLOOKUP(Q730,'[3]Velocidades Std 1500 w'!$B$17:$F$28,5,FALSE),IF(P730="ALUMINIO",VLOOKUP(Q730,'[3]Velocidades Std 1500 w'!$B$30:$F$38,5,FALSE))))</f>
        <v>2.0080321285140564E-6</v>
      </c>
      <c r="S730" s="82">
        <f t="shared" si="102"/>
        <v>1.0040160642570283E-2</v>
      </c>
      <c r="T730" s="83">
        <f t="shared" si="103"/>
        <v>35.35169551807229</v>
      </c>
      <c r="U730" s="307">
        <f t="shared" si="94"/>
        <v>4890.3178800000005</v>
      </c>
      <c r="V730" s="80">
        <f t="shared" si="108"/>
        <v>49.099577108433749</v>
      </c>
      <c r="W730" s="98">
        <v>14</v>
      </c>
      <c r="X730" s="84">
        <f>+IF(P730="ACERO A36",VLOOKUP(Q730,'[3]Tiempo Objeto'!$B$2:$C$12,2,FALSE),IF(P730="INOXIDABLE",VLOOKUP(Q730,'[3]Tiempo Objeto'!$B$14:$C$22,2,FALSE),IF(P730="ALUMINIO",VLOOKUP(Q730,'[3]Tiempo Objeto'!$B$24:$C$32,2,FALSE))))</f>
        <v>0.3133333333333333</v>
      </c>
      <c r="Y730" s="84">
        <f t="shared" si="104"/>
        <v>4.3866666666666658</v>
      </c>
      <c r="Z730" s="80">
        <f t="shared" si="105"/>
        <v>6.0925925925925917</v>
      </c>
      <c r="AA730" s="100">
        <v>4</v>
      </c>
      <c r="AB730" s="86">
        <f>+AA730*Analisis!$J$6</f>
        <v>100</v>
      </c>
      <c r="AC730" s="100"/>
      <c r="AD730" s="85">
        <f t="shared" si="106"/>
        <v>0</v>
      </c>
      <c r="AE730" s="86">
        <f>+AC730*Analisis!$J$7</f>
        <v>0</v>
      </c>
      <c r="AF730" s="308">
        <f>+H730*0.0254*I730*0.0254*2*(1+[3]Analisis!$G$2)</f>
        <v>2.6564264290719999</v>
      </c>
      <c r="AG730" s="86">
        <f>+AF730*Analisis!$J$8</f>
        <v>283.03591119279054</v>
      </c>
      <c r="AH730" s="309">
        <f t="shared" si="98"/>
        <v>1122.7573353938169</v>
      </c>
      <c r="AI730" s="86">
        <f>+AH730/(1-Analisis!G735)</f>
        <v>1122.7573353938169</v>
      </c>
      <c r="AJ730" s="86">
        <f t="shared" si="107"/>
        <v>1207.2659520363623</v>
      </c>
      <c r="AK730" s="86">
        <f t="shared" si="99"/>
        <v>0</v>
      </c>
      <c r="AL730" s="310" t="e">
        <f>+VLOOKUP(B730,#REF!,2,FALSE)</f>
        <v>#REF!</v>
      </c>
      <c r="AM730" s="311" t="e">
        <f t="shared" si="97"/>
        <v>#REF!</v>
      </c>
      <c r="AN730" s="312" t="e">
        <f t="shared" si="96"/>
        <v>#REF!</v>
      </c>
    </row>
    <row r="731" spans="1:40" s="73" customFormat="1" x14ac:dyDescent="0.25">
      <c r="A731" s="313"/>
      <c r="B731" s="328" t="s">
        <v>1449</v>
      </c>
      <c r="D731" s="74">
        <f>IFERROR(VLOOKUP(B731,'REQ. PINTADO'!B:C,2,0),0)</f>
        <v>0</v>
      </c>
      <c r="E731" s="305">
        <f t="shared" si="100"/>
        <v>36.920084650177778</v>
      </c>
      <c r="F731" s="103" t="s">
        <v>165</v>
      </c>
      <c r="G731" s="75" t="s">
        <v>147</v>
      </c>
      <c r="H731" s="90">
        <v>1.75</v>
      </c>
      <c r="I731" s="90">
        <v>2.16</v>
      </c>
      <c r="J731" s="76">
        <v>0.105</v>
      </c>
      <c r="K731" s="306">
        <v>16.38</v>
      </c>
      <c r="L731" s="78">
        <f t="shared" si="101"/>
        <v>0.21100961538461546</v>
      </c>
      <c r="M731" s="58">
        <f>+VLOOKUP(F731,Material!$H$2:$M$17,6,FALSE)*H731*I731*(1+Material!$K$14)</f>
        <v>1.5710625000000003</v>
      </c>
      <c r="N731" s="79" t="str">
        <f t="shared" si="109"/>
        <v>T5.0</v>
      </c>
      <c r="O731" s="80">
        <f>+VLOOKUP(N731,[3]Material!$A$3:$B$58,2,FALSE)</f>
        <v>5000</v>
      </c>
      <c r="P731" s="79" t="s">
        <v>42</v>
      </c>
      <c r="Q731" s="79" t="str">
        <f>+VLOOKUP(F731,[3]Material!$C$2:$E$12,2,FALSE)</f>
        <v>Cal 14</v>
      </c>
      <c r="R731" s="81">
        <f>+IF(P731="ACERO A36",VLOOKUP(Q731,'[3]Velocidades Std 1500 w'!$B$2:$F$15,5,FALSE),IF(P731="INOXIDABLE",VLOOKUP(Q731,'[3]Velocidades Std 1500 w'!$B$17:$F$28,5,FALSE),IF(P731="ALUMINIO",VLOOKUP(Q731,'[3]Velocidades Std 1500 w'!$B$30:$F$38,5,FALSE))))</f>
        <v>2.0080321285140564E-6</v>
      </c>
      <c r="S731" s="82">
        <f t="shared" si="102"/>
        <v>1.0040160642570283E-2</v>
      </c>
      <c r="T731" s="83">
        <f t="shared" si="103"/>
        <v>3.2428149397590365</v>
      </c>
      <c r="U731" s="307">
        <f t="shared" si="94"/>
        <v>448.58940000000001</v>
      </c>
      <c r="V731" s="80">
        <f t="shared" si="108"/>
        <v>4.5039096385542177</v>
      </c>
      <c r="W731" s="98">
        <v>6</v>
      </c>
      <c r="X731" s="84">
        <f>+IF(P731="ACERO A36",VLOOKUP(Q731,'[3]Tiempo Objeto'!$B$2:$C$12,2,FALSE),IF(P731="INOXIDABLE",VLOOKUP(Q731,'[3]Tiempo Objeto'!$B$14:$C$22,2,FALSE),IF(P731="ALUMINIO",VLOOKUP(Q731,'[3]Tiempo Objeto'!$B$24:$C$32,2,FALSE))))</f>
        <v>0.3133333333333333</v>
      </c>
      <c r="Y731" s="84">
        <f t="shared" si="104"/>
        <v>1.88</v>
      </c>
      <c r="Z731" s="80">
        <f t="shared" si="105"/>
        <v>2.6111111111111112</v>
      </c>
      <c r="AA731" s="100">
        <v>1</v>
      </c>
      <c r="AB731" s="86">
        <f>+AA731*Analisis!$J$6</f>
        <v>25</v>
      </c>
      <c r="AC731" s="100"/>
      <c r="AD731" s="85">
        <f t="shared" si="106"/>
        <v>0</v>
      </c>
      <c r="AE731" s="86">
        <f>+AC731*Analisis!$J$7</f>
        <v>0</v>
      </c>
      <c r="AF731" s="308">
        <f>+H731*0.0254*I731*0.0254*2*(1+[3]Analisis!$G$2)</f>
        <v>6.0967619999999995E-3</v>
      </c>
      <c r="AG731" s="86">
        <f>+AF731*Analisis!$J$8</f>
        <v>0.64959547500000014</v>
      </c>
      <c r="AH731" s="309">
        <f t="shared" si="98"/>
        <v>34.335678724665328</v>
      </c>
      <c r="AI731" s="86">
        <f>+AH731/(1-Analisis!G736)</f>
        <v>34.335678724665328</v>
      </c>
      <c r="AJ731" s="86">
        <f t="shared" si="107"/>
        <v>36.920084650177778</v>
      </c>
      <c r="AK731" s="86">
        <f t="shared" si="99"/>
        <v>0</v>
      </c>
      <c r="AL731" s="310" t="e">
        <f>+VLOOKUP(B731,#REF!,2,FALSE)</f>
        <v>#REF!</v>
      </c>
      <c r="AM731" s="311" t="e">
        <f t="shared" si="97"/>
        <v>#REF!</v>
      </c>
      <c r="AN731" s="312" t="e">
        <f t="shared" si="96"/>
        <v>#REF!</v>
      </c>
    </row>
    <row r="732" spans="1:40" s="73" customFormat="1" x14ac:dyDescent="0.25">
      <c r="A732" s="313"/>
      <c r="B732" s="328" t="s">
        <v>1450</v>
      </c>
      <c r="D732" s="74">
        <f>IFERROR(VLOOKUP(B732,'REQ. PINTADO'!B:C,2,0),0)</f>
        <v>0</v>
      </c>
      <c r="E732" s="305">
        <f t="shared" si="100"/>
        <v>1244.0257539756974</v>
      </c>
      <c r="F732" s="103" t="s">
        <v>163</v>
      </c>
      <c r="G732" s="75" t="s">
        <v>147</v>
      </c>
      <c r="H732" s="90">
        <v>37.32</v>
      </c>
      <c r="I732" s="90">
        <v>18.899999999999999</v>
      </c>
      <c r="J732" s="76">
        <v>0.105</v>
      </c>
      <c r="K732" s="306">
        <v>16.38</v>
      </c>
      <c r="L732" s="78">
        <f t="shared" si="101"/>
        <v>35.560322003456257</v>
      </c>
      <c r="M732" s="58">
        <f>+VLOOKUP(F732,Material!$H$2:$M$17,6,FALSE)*H732*I732*(1+Material!$K$14)</f>
        <v>264.76276109846066</v>
      </c>
      <c r="N732" s="79" t="str">
        <f t="shared" si="109"/>
        <v>T5.0</v>
      </c>
      <c r="O732" s="80">
        <f>+VLOOKUP(N732,[3]Material!$A$3:$B$58,2,FALSE)</f>
        <v>5000</v>
      </c>
      <c r="P732" s="79" t="s">
        <v>42</v>
      </c>
      <c r="Q732" s="79" t="str">
        <f>+VLOOKUP(F732,[3]Material!$C$2:$E$12,2,FALSE)</f>
        <v>Cal 12</v>
      </c>
      <c r="R732" s="81">
        <f>+IF(P732="ACERO A36",VLOOKUP(Q732,'[3]Velocidades Std 1500 w'!$B$2:$F$15,5,FALSE),IF(P732="INOXIDABLE",VLOOKUP(Q732,'[3]Velocidades Std 1500 w'!$B$17:$F$28,5,FALSE),IF(P732="ALUMINIO",VLOOKUP(Q732,'[3]Velocidades Std 1500 w'!$B$30:$F$38,5,FALSE))))</f>
        <v>4.3859649122807014E-6</v>
      </c>
      <c r="S732" s="82">
        <f t="shared" si="102"/>
        <v>2.1929824561403508E-2</v>
      </c>
      <c r="T732" s="83">
        <f t="shared" si="103"/>
        <v>268.42933894736848</v>
      </c>
      <c r="U732" s="307">
        <f t="shared" si="94"/>
        <v>17000.524800000003</v>
      </c>
      <c r="V732" s="80">
        <f t="shared" si="108"/>
        <v>372.81852631578954</v>
      </c>
      <c r="W732" s="98">
        <v>350</v>
      </c>
      <c r="X732" s="84">
        <f>+IF(P732="ACERO A36",VLOOKUP(Q732,'[3]Tiempo Objeto'!$B$2:$C$12,2,FALSE),IF(P732="INOXIDABLE",VLOOKUP(Q732,'[3]Tiempo Objeto'!$B$14:$C$22,2,FALSE),IF(P732="ALUMINIO",VLOOKUP(Q732,'[3]Tiempo Objeto'!$B$24:$C$32,2,FALSE))))</f>
        <v>0.6133333333333334</v>
      </c>
      <c r="Y732" s="84">
        <f t="shared" si="104"/>
        <v>214.66666666666669</v>
      </c>
      <c r="Z732" s="80">
        <f t="shared" si="105"/>
        <v>298.14814814814821</v>
      </c>
      <c r="AA732" s="100">
        <v>4</v>
      </c>
      <c r="AB732" s="86">
        <f>+AA732*Analisis!$J$6</f>
        <v>100</v>
      </c>
      <c r="AC732" s="100"/>
      <c r="AD732" s="85">
        <f t="shared" si="106"/>
        <v>0</v>
      </c>
      <c r="AE732" s="86">
        <f>+AC732*Analisis!$J$7</f>
        <v>0</v>
      </c>
      <c r="AF732" s="308">
        <f>+H732*0.0254*I732*0.0254*2*(1+[3]Analisis!$G$2)</f>
        <v>1.1376557891999997</v>
      </c>
      <c r="AG732" s="86">
        <f>+AF732*Analisis!$J$8</f>
        <v>121.214515635</v>
      </c>
      <c r="AH732" s="309">
        <f t="shared" si="98"/>
        <v>1156.9439511973985</v>
      </c>
      <c r="AI732" s="86">
        <f>+AH732/(1-Analisis!G737)</f>
        <v>1156.9439511973985</v>
      </c>
      <c r="AJ732" s="86">
        <f t="shared" si="107"/>
        <v>1244.0257539756974</v>
      </c>
      <c r="AK732" s="86">
        <f t="shared" si="99"/>
        <v>0</v>
      </c>
      <c r="AL732" s="310" t="e">
        <f>+VLOOKUP(B732,#REF!,2,FALSE)</f>
        <v>#REF!</v>
      </c>
      <c r="AM732" s="311" t="e">
        <f t="shared" si="97"/>
        <v>#REF!</v>
      </c>
      <c r="AN732" s="312" t="e">
        <f t="shared" ref="AN732:AN847" si="110">+AM732/AL732</f>
        <v>#REF!</v>
      </c>
    </row>
    <row r="733" spans="1:40" s="73" customFormat="1" x14ac:dyDescent="0.25">
      <c r="A733" s="313"/>
      <c r="B733" s="328" t="s">
        <v>1449</v>
      </c>
      <c r="D733" s="74">
        <f>IFERROR(VLOOKUP(B733,'REQ. PINTADO'!B:C,2,0),0)</f>
        <v>0</v>
      </c>
      <c r="E733" s="305">
        <f t="shared" si="100"/>
        <v>36.920084650177778</v>
      </c>
      <c r="F733" s="103" t="s">
        <v>165</v>
      </c>
      <c r="G733" s="75" t="s">
        <v>147</v>
      </c>
      <c r="H733" s="90">
        <v>1.75</v>
      </c>
      <c r="I733" s="90">
        <v>2.16</v>
      </c>
      <c r="J733" s="76">
        <v>0.105</v>
      </c>
      <c r="K733" s="306">
        <v>16.38</v>
      </c>
      <c r="L733" s="78">
        <f t="shared" si="101"/>
        <v>0.21100961538461546</v>
      </c>
      <c r="M733" s="58">
        <f>+VLOOKUP(F733,Material!$H$2:$M$17,6,FALSE)*H733*I733*(1+Material!$K$14)</f>
        <v>1.5710625000000003</v>
      </c>
      <c r="N733" s="79" t="str">
        <f t="shared" si="109"/>
        <v>T5.0</v>
      </c>
      <c r="O733" s="80">
        <f>+VLOOKUP(N733,[3]Material!$A$3:$B$58,2,FALSE)</f>
        <v>5000</v>
      </c>
      <c r="P733" s="79" t="s">
        <v>42</v>
      </c>
      <c r="Q733" s="79" t="str">
        <f>+VLOOKUP(F733,[3]Material!$C$2:$E$12,2,FALSE)</f>
        <v>Cal 14</v>
      </c>
      <c r="R733" s="81">
        <f>+IF(P733="ACERO A36",VLOOKUP(Q733,'[3]Velocidades Std 1500 w'!$B$2:$F$15,5,FALSE),IF(P733="INOXIDABLE",VLOOKUP(Q733,'[3]Velocidades Std 1500 w'!$B$17:$F$28,5,FALSE),IF(P733="ALUMINIO",VLOOKUP(Q733,'[3]Velocidades Std 1500 w'!$B$30:$F$38,5,FALSE))))</f>
        <v>2.0080321285140564E-6</v>
      </c>
      <c r="S733" s="82">
        <f t="shared" si="102"/>
        <v>1.0040160642570283E-2</v>
      </c>
      <c r="T733" s="83">
        <f t="shared" si="103"/>
        <v>3.2428149397590365</v>
      </c>
      <c r="U733" s="307">
        <f t="shared" si="94"/>
        <v>448.58940000000001</v>
      </c>
      <c r="V733" s="80">
        <f t="shared" si="108"/>
        <v>4.5039096385542177</v>
      </c>
      <c r="W733" s="98">
        <v>6</v>
      </c>
      <c r="X733" s="84">
        <f>+IF(P733="ACERO A36",VLOOKUP(Q733,'[3]Tiempo Objeto'!$B$2:$C$12,2,FALSE),IF(P733="INOXIDABLE",VLOOKUP(Q733,'[3]Tiempo Objeto'!$B$14:$C$22,2,FALSE),IF(P733="ALUMINIO",VLOOKUP(Q733,'[3]Tiempo Objeto'!$B$24:$C$32,2,FALSE))))</f>
        <v>0.3133333333333333</v>
      </c>
      <c r="Y733" s="84">
        <f t="shared" si="104"/>
        <v>1.88</v>
      </c>
      <c r="Z733" s="80">
        <f t="shared" si="105"/>
        <v>2.6111111111111112</v>
      </c>
      <c r="AA733" s="100">
        <v>1</v>
      </c>
      <c r="AB733" s="86">
        <f>+AA733*Analisis!$J$6</f>
        <v>25</v>
      </c>
      <c r="AC733" s="100"/>
      <c r="AD733" s="85">
        <f t="shared" si="106"/>
        <v>0</v>
      </c>
      <c r="AE733" s="86">
        <f>+AC733*Analisis!$J$7</f>
        <v>0</v>
      </c>
      <c r="AF733" s="308">
        <f>+H733*0.0254*I733*0.0254*2*(1+[3]Analisis!$G$2)</f>
        <v>6.0967619999999995E-3</v>
      </c>
      <c r="AG733" s="86">
        <f>+AF733*Analisis!$J$8</f>
        <v>0.64959547500000014</v>
      </c>
      <c r="AH733" s="309">
        <f t="shared" si="98"/>
        <v>34.335678724665328</v>
      </c>
      <c r="AI733" s="86">
        <f>+AH733/(1-Analisis!G738)</f>
        <v>34.335678724665328</v>
      </c>
      <c r="AJ733" s="86">
        <f t="shared" si="107"/>
        <v>36.920084650177778</v>
      </c>
      <c r="AK733" s="86">
        <f t="shared" si="99"/>
        <v>0</v>
      </c>
      <c r="AL733" s="310" t="e">
        <f>+VLOOKUP(B733,#REF!,2,FALSE)</f>
        <v>#REF!</v>
      </c>
      <c r="AM733" s="311" t="e">
        <f t="shared" si="97"/>
        <v>#REF!</v>
      </c>
      <c r="AN733" s="312" t="e">
        <f t="shared" si="110"/>
        <v>#REF!</v>
      </c>
    </row>
    <row r="734" spans="1:40" s="73" customFormat="1" x14ac:dyDescent="0.25">
      <c r="A734" s="313"/>
      <c r="B734" s="314" t="s">
        <v>1451</v>
      </c>
      <c r="D734" s="74">
        <f>IFERROR(VLOOKUP(B734,'REQ. PINTADO'!B:C,2,0),0)</f>
        <v>0</v>
      </c>
      <c r="E734" s="305">
        <f t="shared" si="100"/>
        <v>276.93905824372757</v>
      </c>
      <c r="F734" s="103" t="s">
        <v>146</v>
      </c>
      <c r="G734" s="75" t="s">
        <v>147</v>
      </c>
      <c r="H734" s="90">
        <v>28</v>
      </c>
      <c r="I734" s="90">
        <v>2</v>
      </c>
      <c r="J734" s="76">
        <v>0.105</v>
      </c>
      <c r="K734" s="306">
        <v>16.38</v>
      </c>
      <c r="L734" s="78">
        <f t="shared" si="101"/>
        <v>17.367046533713204</v>
      </c>
      <c r="M734" s="58">
        <f>+VLOOKUP(F734,Material!$H$2:$M$17,6,FALSE)*H734*I734*(1+Material!$K$14)</f>
        <v>129.30555555555557</v>
      </c>
      <c r="N734" s="79" t="str">
        <f t="shared" si="109"/>
        <v>T5.0</v>
      </c>
      <c r="O734" s="80">
        <f>+VLOOKUP(N734,[3]Material!$A$3:$B$58,2,FALSE)</f>
        <v>5000</v>
      </c>
      <c r="P734" s="79" t="s">
        <v>42</v>
      </c>
      <c r="Q734" s="79" t="str">
        <f>+VLOOKUP(F734,[3]Material!$C$2:$E$12,2,FALSE)</f>
        <v>1/4´´</v>
      </c>
      <c r="R734" s="81">
        <f>+IF(P734="ACERO A36",VLOOKUP(Q734,'[3]Velocidades Std 1500 w'!$B$2:$F$15,5,FALSE),IF(P734="INOXIDABLE",VLOOKUP(Q734,'[3]Velocidades Std 1500 w'!$B$17:$F$28,5,FALSE),IF(P734="ALUMINIO",VLOOKUP(Q734,'[3]Velocidades Std 1500 w'!$B$30:$F$38,5,FALSE))))</f>
        <v>1.0416666666666666E-5</v>
      </c>
      <c r="S734" s="82">
        <f t="shared" si="102"/>
        <v>5.2083333333333329E-2</v>
      </c>
      <c r="T734" s="83">
        <f t="shared" si="103"/>
        <v>75.009374999999991</v>
      </c>
      <c r="U734" s="307">
        <f t="shared" si="94"/>
        <v>2000.25</v>
      </c>
      <c r="V734" s="80">
        <f t="shared" si="108"/>
        <v>104.17968749999999</v>
      </c>
      <c r="W734" s="98">
        <v>10</v>
      </c>
      <c r="X734" s="84">
        <f>+IF(P734="ACERO A36",VLOOKUP(Q734,'[3]Tiempo Objeto'!$B$2:$C$12,2,FALSE),IF(P734="INOXIDABLE",VLOOKUP(Q734,'[3]Tiempo Objeto'!$B$14:$C$22,2,FALSE),IF(P734="ALUMINIO",VLOOKUP(Q734,'[3]Tiempo Objeto'!$B$24:$C$32,2,FALSE))))</f>
        <v>1.04</v>
      </c>
      <c r="Y734" s="84">
        <f t="shared" si="104"/>
        <v>10.4</v>
      </c>
      <c r="Z734" s="80">
        <f t="shared" si="105"/>
        <v>14.444444444444445</v>
      </c>
      <c r="AA734" s="100">
        <v>0</v>
      </c>
      <c r="AB734" s="86">
        <f>+AA734*Analisis!$J$6</f>
        <v>0</v>
      </c>
      <c r="AC734" s="100"/>
      <c r="AD734" s="85">
        <f t="shared" si="106"/>
        <v>0</v>
      </c>
      <c r="AE734" s="86">
        <f>+AC734*Analisis!$J$7</f>
        <v>0</v>
      </c>
      <c r="AF734" s="308">
        <f>+H734*0.0254*I734*0.0254*2*(1+[3]Analisis!$G$2)</f>
        <v>9.0322399999999983E-2</v>
      </c>
      <c r="AG734" s="86">
        <f>+AF734*Analisis!$J$8</f>
        <v>9.6236366666666679</v>
      </c>
      <c r="AH734" s="309">
        <f t="shared" si="98"/>
        <v>257.55332416666664</v>
      </c>
      <c r="AI734" s="86">
        <f>+AH734/(1-Analisis!G739)</f>
        <v>257.55332416666664</v>
      </c>
      <c r="AJ734" s="86">
        <f t="shared" si="107"/>
        <v>276.93905824372757</v>
      </c>
      <c r="AK734" s="86">
        <f t="shared" si="99"/>
        <v>0</v>
      </c>
      <c r="AL734" s="310" t="e">
        <f>+VLOOKUP(B734,#REF!,2,FALSE)</f>
        <v>#REF!</v>
      </c>
      <c r="AM734" s="311" t="e">
        <f t="shared" si="97"/>
        <v>#REF!</v>
      </c>
      <c r="AN734" s="312" t="e">
        <f t="shared" si="110"/>
        <v>#REF!</v>
      </c>
    </row>
    <row r="735" spans="1:40" s="73" customFormat="1" x14ac:dyDescent="0.25">
      <c r="A735" s="313"/>
      <c r="B735" s="314" t="s">
        <v>1452</v>
      </c>
      <c r="D735" s="74">
        <f>IFERROR(VLOOKUP(B735,'REQ. PINTADO'!B:C,2,0),0)</f>
        <v>0</v>
      </c>
      <c r="E735" s="305">
        <f t="shared" si="100"/>
        <v>944.58152023052094</v>
      </c>
      <c r="F735" s="103" t="s">
        <v>165</v>
      </c>
      <c r="G735" s="75" t="s">
        <v>147</v>
      </c>
      <c r="H735" s="90">
        <v>39</v>
      </c>
      <c r="I735" s="90">
        <v>15</v>
      </c>
      <c r="J735" s="76">
        <v>0.105</v>
      </c>
      <c r="K735" s="306">
        <v>16.38</v>
      </c>
      <c r="L735" s="78">
        <f t="shared" si="101"/>
        <v>32.656250000000007</v>
      </c>
      <c r="M735" s="58">
        <f>+VLOOKUP(F735,Material!$H$2:$M$17,6,FALSE)*H735*I735*(1+Material!$K$14)</f>
        <v>243.140625</v>
      </c>
      <c r="N735" s="79" t="str">
        <f t="shared" si="109"/>
        <v>T5.0</v>
      </c>
      <c r="O735" s="80">
        <f>+VLOOKUP(N735,[3]Material!$A$3:$B$58,2,FALSE)</f>
        <v>5000</v>
      </c>
      <c r="P735" s="79" t="s">
        <v>42</v>
      </c>
      <c r="Q735" s="79" t="str">
        <f>+VLOOKUP(F735,[3]Material!$C$2:$E$12,2,FALSE)</f>
        <v>Cal 14</v>
      </c>
      <c r="R735" s="81">
        <f>+IF(P735="ACERO A36",VLOOKUP(Q735,'[3]Velocidades Std 1500 w'!$B$2:$F$15,5,FALSE),IF(P735="INOXIDABLE",VLOOKUP(Q735,'[3]Velocidades Std 1500 w'!$B$17:$F$28,5,FALSE),IF(P735="ALUMINIO",VLOOKUP(Q735,'[3]Velocidades Std 1500 w'!$B$30:$F$38,5,FALSE))))</f>
        <v>2.0080321285140564E-6</v>
      </c>
      <c r="S735" s="82">
        <f t="shared" si="102"/>
        <v>1.0040160642570283E-2</v>
      </c>
      <c r="T735" s="83">
        <f t="shared" si="103"/>
        <v>161.08037349397588</v>
      </c>
      <c r="U735" s="307">
        <f t="shared" si="94"/>
        <v>22282.784999999996</v>
      </c>
      <c r="V735" s="80">
        <f t="shared" si="108"/>
        <v>223.72274096385541</v>
      </c>
      <c r="W735" s="98">
        <v>485</v>
      </c>
      <c r="X735" s="84">
        <f>+IF(P735="ACERO A36",VLOOKUP(Q735,'[3]Tiempo Objeto'!$B$2:$C$12,2,FALSE),IF(P735="INOXIDABLE",VLOOKUP(Q735,'[3]Tiempo Objeto'!$B$14:$C$22,2,FALSE),IF(P735="ALUMINIO",VLOOKUP(Q735,'[3]Tiempo Objeto'!$B$24:$C$32,2,FALSE))))</f>
        <v>0.3133333333333333</v>
      </c>
      <c r="Y735" s="84">
        <f t="shared" si="104"/>
        <v>151.96666666666664</v>
      </c>
      <c r="Z735" s="80">
        <f t="shared" si="105"/>
        <v>211.06481481481478</v>
      </c>
      <c r="AA735" s="100">
        <v>4</v>
      </c>
      <c r="AB735" s="86">
        <f>+AA735*Analisis!$J$6</f>
        <v>100</v>
      </c>
      <c r="AC735" s="100"/>
      <c r="AD735" s="85">
        <f t="shared" si="106"/>
        <v>0</v>
      </c>
      <c r="AE735" s="86">
        <f>+AC735*Analisis!$J$7</f>
        <v>0</v>
      </c>
      <c r="AF735" s="308">
        <f>+H735*0.0254*I735*0.0254*2*(1+[3]Analisis!$G$2)</f>
        <v>0.94354649999999984</v>
      </c>
      <c r="AG735" s="86">
        <f>+AF735*Analisis!$J$8</f>
        <v>100.5326330357143</v>
      </c>
      <c r="AH735" s="309">
        <f t="shared" si="98"/>
        <v>878.46081381438444</v>
      </c>
      <c r="AI735" s="86">
        <f>+AH735/(1-Analisis!G740)</f>
        <v>878.46081381438444</v>
      </c>
      <c r="AJ735" s="86">
        <f t="shared" si="107"/>
        <v>944.58152023052094</v>
      </c>
      <c r="AK735" s="86">
        <f t="shared" si="99"/>
        <v>0</v>
      </c>
      <c r="AL735" s="310" t="e">
        <f>+VLOOKUP(B735,#REF!,2,FALSE)</f>
        <v>#REF!</v>
      </c>
      <c r="AM735" s="311" t="e">
        <f t="shared" si="97"/>
        <v>#REF!</v>
      </c>
      <c r="AN735" s="312" t="e">
        <f t="shared" si="110"/>
        <v>#REF!</v>
      </c>
    </row>
    <row r="736" spans="1:40" s="73" customFormat="1" x14ac:dyDescent="0.25">
      <c r="A736" s="313"/>
      <c r="B736" s="314" t="s">
        <v>1453</v>
      </c>
      <c r="D736" s="74">
        <f>IFERROR(VLOOKUP(B736,'REQ. PINTADO'!B:C,2,0),0)</f>
        <v>0</v>
      </c>
      <c r="E736" s="305">
        <f t="shared" si="100"/>
        <v>1366.442398361495</v>
      </c>
      <c r="F736" s="103" t="s">
        <v>164</v>
      </c>
      <c r="G736" s="75" t="s">
        <v>147</v>
      </c>
      <c r="H736" s="90">
        <v>32</v>
      </c>
      <c r="I736" s="90">
        <v>11</v>
      </c>
      <c r="J736" s="76">
        <v>0.105</v>
      </c>
      <c r="K736" s="306">
        <v>16.38</v>
      </c>
      <c r="L736" s="78">
        <f t="shared" si="101"/>
        <v>32.74928774928776</v>
      </c>
      <c r="M736" s="58">
        <f>+VLOOKUP(F736,Material!$H$2:$M$17,6,FALSE)*H736*I736*(1+Material!$K$14)</f>
        <v>243.83333333333337</v>
      </c>
      <c r="N736" s="79" t="str">
        <f t="shared" si="109"/>
        <v>T5.0</v>
      </c>
      <c r="O736" s="80">
        <f>+VLOOKUP(N736,[3]Material!$A$3:$B$58,2,FALSE)</f>
        <v>5000</v>
      </c>
      <c r="P736" s="79" t="s">
        <v>42</v>
      </c>
      <c r="Q736" s="79" t="str">
        <f>+VLOOKUP(F736,[3]Material!$C$2:$E$12,2,FALSE)</f>
        <v>Cal 10</v>
      </c>
      <c r="R736" s="81">
        <f>+IF(P736="ACERO A36",VLOOKUP(Q736,'[3]Velocidades Std 1500 w'!$B$2:$F$15,5,FALSE),IF(P736="INOXIDABLE",VLOOKUP(Q736,'[3]Velocidades Std 1500 w'!$B$17:$F$28,5,FALSE),IF(P736="ALUMINIO",VLOOKUP(Q736,'[3]Velocidades Std 1500 w'!$B$30:$F$38,5,FALSE))))</f>
        <v>6.1728395061728391E-6</v>
      </c>
      <c r="S736" s="82">
        <f t="shared" si="102"/>
        <v>3.0864197530864196E-2</v>
      </c>
      <c r="T736" s="83">
        <f t="shared" si="103"/>
        <v>388.78933333333327</v>
      </c>
      <c r="U736" s="307">
        <f t="shared" si="94"/>
        <v>17495.519999999997</v>
      </c>
      <c r="V736" s="80">
        <f t="shared" si="108"/>
        <v>539.98518518518506</v>
      </c>
      <c r="W736" s="98">
        <v>380</v>
      </c>
      <c r="X736" s="84">
        <f>+IF(P736="ACERO A36",VLOOKUP(Q736,'[3]Tiempo Objeto'!$B$2:$C$12,2,FALSE),IF(P736="INOXIDABLE",VLOOKUP(Q736,'[3]Tiempo Objeto'!$B$14:$C$22,2,FALSE),IF(P736="ALUMINIO",VLOOKUP(Q736,'[3]Tiempo Objeto'!$B$24:$C$32,2,FALSE))))</f>
        <v>0.71333333333333337</v>
      </c>
      <c r="Y736" s="84">
        <f t="shared" si="104"/>
        <v>271.06666666666666</v>
      </c>
      <c r="Z736" s="80">
        <f t="shared" si="105"/>
        <v>376.48148148148147</v>
      </c>
      <c r="AA736" s="100">
        <v>2</v>
      </c>
      <c r="AB736" s="86">
        <f>+AA736*Analisis!$J$6</f>
        <v>50</v>
      </c>
      <c r="AC736" s="100"/>
      <c r="AD736" s="85">
        <f t="shared" si="106"/>
        <v>0</v>
      </c>
      <c r="AE736" s="86">
        <f>+AC736*Analisis!$J$7</f>
        <v>0</v>
      </c>
      <c r="AF736" s="308">
        <f>+H736*0.0254*I736*0.0254*2*(1+[3]Analisis!$G$2)</f>
        <v>0.56774079999999993</v>
      </c>
      <c r="AG736" s="86">
        <f>+AF736*Analisis!$J$8</f>
        <v>60.491430476190487</v>
      </c>
      <c r="AH736" s="309">
        <f t="shared" si="98"/>
        <v>1270.7914304761903</v>
      </c>
      <c r="AI736" s="86">
        <f>+AH736/(1-Analisis!G741)</f>
        <v>1270.7914304761903</v>
      </c>
      <c r="AJ736" s="86">
        <f t="shared" si="107"/>
        <v>1366.442398361495</v>
      </c>
      <c r="AK736" s="86">
        <f t="shared" si="99"/>
        <v>0</v>
      </c>
      <c r="AL736" s="310" t="e">
        <f>+VLOOKUP(B736,#REF!,2,FALSE)</f>
        <v>#REF!</v>
      </c>
      <c r="AM736" s="311" t="e">
        <f t="shared" si="97"/>
        <v>#REF!</v>
      </c>
      <c r="AN736" s="312" t="e">
        <f t="shared" si="110"/>
        <v>#REF!</v>
      </c>
    </row>
    <row r="737" spans="1:40" s="73" customFormat="1" x14ac:dyDescent="0.25">
      <c r="A737" s="313"/>
      <c r="B737" s="314" t="s">
        <v>182</v>
      </c>
      <c r="D737" s="74">
        <f>IFERROR(VLOOKUP(B737,'REQ. PINTADO'!B:C,2,0),0)</f>
        <v>0</v>
      </c>
      <c r="E737" s="305">
        <f t="shared" si="100"/>
        <v>1273.0703774699734</v>
      </c>
      <c r="F737" s="103" t="s">
        <v>163</v>
      </c>
      <c r="G737" s="75" t="s">
        <v>147</v>
      </c>
      <c r="H737" s="90">
        <v>19.04</v>
      </c>
      <c r="I737" s="90">
        <v>39.39</v>
      </c>
      <c r="J737" s="76">
        <v>0.105</v>
      </c>
      <c r="K737" s="306">
        <v>16.38</v>
      </c>
      <c r="L737" s="78">
        <f t="shared" si="101"/>
        <v>37.810739427850294</v>
      </c>
      <c r="M737" s="58">
        <f>+VLOOKUP(F737,Material!$H$2:$M$17,6,FALSE)*H737*I737*(1+Material!$K$14)</f>
        <v>281.5181417400853</v>
      </c>
      <c r="N737" s="79" t="str">
        <f t="shared" si="109"/>
        <v>T5.0</v>
      </c>
      <c r="O737" s="80">
        <f>+VLOOKUP(N737,[3]Material!$A$3:$B$58,2,FALSE)</f>
        <v>5000</v>
      </c>
      <c r="P737" s="79" t="s">
        <v>42</v>
      </c>
      <c r="Q737" s="79" t="str">
        <f>+VLOOKUP(F737,[3]Material!$C$2:$E$12,2,FALSE)</f>
        <v>Cal 12</v>
      </c>
      <c r="R737" s="81">
        <f>+IF(P737="ACERO A36",VLOOKUP(Q737,'[3]Velocidades Std 1500 w'!$B$2:$F$15,5,FALSE),IF(P737="INOXIDABLE",VLOOKUP(Q737,'[3]Velocidades Std 1500 w'!$B$17:$F$28,5,FALSE),IF(P737="ALUMINIO",VLOOKUP(Q737,'[3]Velocidades Std 1500 w'!$B$30:$F$38,5,FALSE))))</f>
        <v>4.3859649122807014E-6</v>
      </c>
      <c r="S737" s="82">
        <f t="shared" si="102"/>
        <v>2.1929824561403508E-2</v>
      </c>
      <c r="T737" s="83">
        <f t="shared" si="103"/>
        <v>270.29062421052623</v>
      </c>
      <c r="U737" s="307">
        <f t="shared" si="94"/>
        <v>17118.406199999998</v>
      </c>
      <c r="V737" s="80">
        <f t="shared" si="108"/>
        <v>375.40364473684201</v>
      </c>
      <c r="W737" s="98">
        <v>350</v>
      </c>
      <c r="X737" s="84">
        <f>+IF(P737="ACERO A36",VLOOKUP(Q737,'[3]Tiempo Objeto'!$B$2:$C$12,2,FALSE),IF(P737="INOXIDABLE",VLOOKUP(Q737,'[3]Tiempo Objeto'!$B$14:$C$22,2,FALSE),IF(P737="ALUMINIO",VLOOKUP(Q737,'[3]Tiempo Objeto'!$B$24:$C$32,2,FALSE))))</f>
        <v>0.6133333333333334</v>
      </c>
      <c r="Y737" s="84">
        <f t="shared" si="104"/>
        <v>214.66666666666669</v>
      </c>
      <c r="Z737" s="80">
        <f t="shared" si="105"/>
        <v>298.14814814814821</v>
      </c>
      <c r="AA737" s="100">
        <v>4</v>
      </c>
      <c r="AB737" s="86">
        <f>+AA737*Analisis!$J$6</f>
        <v>100</v>
      </c>
      <c r="AC737" s="100"/>
      <c r="AD737" s="85">
        <f t="shared" si="106"/>
        <v>0</v>
      </c>
      <c r="AE737" s="86">
        <f>+AC737*Analisis!$J$7</f>
        <v>0</v>
      </c>
      <c r="AF737" s="308">
        <f>+H737*0.0254*I737*0.0254*2*(1+[3]Analisis!$G$2)</f>
        <v>1.2096517742399997</v>
      </c>
      <c r="AG737" s="86">
        <f>+AF737*Analisis!$J$8</f>
        <v>128.88551642199999</v>
      </c>
      <c r="AH737" s="309">
        <f t="shared" si="98"/>
        <v>1183.9554510470753</v>
      </c>
      <c r="AI737" s="86">
        <f>+AH737/(1-Analisis!G742)</f>
        <v>1183.9554510470753</v>
      </c>
      <c r="AJ737" s="86">
        <f t="shared" si="107"/>
        <v>1273.0703774699734</v>
      </c>
      <c r="AK737" s="86">
        <f t="shared" si="99"/>
        <v>0</v>
      </c>
      <c r="AL737" s="310" t="e">
        <f>+VLOOKUP(B737,#REF!,2,FALSE)</f>
        <v>#REF!</v>
      </c>
      <c r="AM737" s="311" t="e">
        <f t="shared" si="97"/>
        <v>#REF!</v>
      </c>
      <c r="AN737" s="312" t="e">
        <f t="shared" si="110"/>
        <v>#REF!</v>
      </c>
    </row>
    <row r="738" spans="1:40" s="73" customFormat="1" x14ac:dyDescent="0.25">
      <c r="A738" s="313"/>
      <c r="B738" s="314" t="s">
        <v>1454</v>
      </c>
      <c r="D738" s="74">
        <f>IFERROR(VLOOKUP(B738,'REQ. PINTADO'!B:C,2,0),0)</f>
        <v>0</v>
      </c>
      <c r="E738" s="305">
        <f t="shared" si="100"/>
        <v>1395.245381885062</v>
      </c>
      <c r="F738" s="103" t="s">
        <v>163</v>
      </c>
      <c r="G738" s="75" t="s">
        <v>147</v>
      </c>
      <c r="H738" s="90">
        <v>24.04</v>
      </c>
      <c r="I738" s="90">
        <v>39.39</v>
      </c>
      <c r="J738" s="76">
        <v>0.105</v>
      </c>
      <c r="K738" s="306">
        <v>16.38</v>
      </c>
      <c r="L738" s="78">
        <f t="shared" si="101"/>
        <v>47.740030243987441</v>
      </c>
      <c r="M738" s="58">
        <f>+VLOOKUP(F738,Material!$H$2:$M$17,6,FALSE)*H738*I738*(1+Material!$K$14)</f>
        <v>355.44622518023374</v>
      </c>
      <c r="N738" s="79" t="str">
        <f t="shared" si="109"/>
        <v>T5.0</v>
      </c>
      <c r="O738" s="80">
        <f>+VLOOKUP(N738,[3]Material!$A$3:$B$58,2,FALSE)</f>
        <v>5000</v>
      </c>
      <c r="P738" s="79" t="s">
        <v>42</v>
      </c>
      <c r="Q738" s="79" t="str">
        <f>+VLOOKUP(F738,[3]Material!$C$2:$E$12,2,FALSE)</f>
        <v>Cal 12</v>
      </c>
      <c r="R738" s="81">
        <f>+IF(P738="ACERO A36",VLOOKUP(Q738,'[3]Velocidades Std 1500 w'!$B$2:$F$15,5,FALSE),IF(P738="INOXIDABLE",VLOOKUP(Q738,'[3]Velocidades Std 1500 w'!$B$17:$F$28,5,FALSE),IF(P738="ALUMINIO",VLOOKUP(Q738,'[3]Velocidades Std 1500 w'!$B$30:$F$38,5,FALSE))))</f>
        <v>4.3859649122807014E-6</v>
      </c>
      <c r="S738" s="82">
        <f t="shared" si="102"/>
        <v>2.1929824561403508E-2</v>
      </c>
      <c r="T738" s="83">
        <f t="shared" si="103"/>
        <v>274.50167684210521</v>
      </c>
      <c r="U738" s="307">
        <f t="shared" si="94"/>
        <v>17385.106199999998</v>
      </c>
      <c r="V738" s="80">
        <f t="shared" si="108"/>
        <v>381.25232894736837</v>
      </c>
      <c r="W738" s="98">
        <v>350</v>
      </c>
      <c r="X738" s="84">
        <f>+IF(P738="ACERO A36",VLOOKUP(Q738,'[3]Tiempo Objeto'!$B$2:$C$12,2,FALSE),IF(P738="INOXIDABLE",VLOOKUP(Q738,'[3]Tiempo Objeto'!$B$14:$C$22,2,FALSE),IF(P738="ALUMINIO",VLOOKUP(Q738,'[3]Tiempo Objeto'!$B$24:$C$32,2,FALSE))))</f>
        <v>0.6133333333333334</v>
      </c>
      <c r="Y738" s="84">
        <f t="shared" si="104"/>
        <v>214.66666666666669</v>
      </c>
      <c r="Z738" s="80">
        <f t="shared" si="105"/>
        <v>298.14814814814821</v>
      </c>
      <c r="AA738" s="100">
        <v>4</v>
      </c>
      <c r="AB738" s="86">
        <f>+AA738*Analisis!$J$6</f>
        <v>100</v>
      </c>
      <c r="AC738" s="100"/>
      <c r="AD738" s="85">
        <f t="shared" si="106"/>
        <v>0</v>
      </c>
      <c r="AE738" s="86">
        <f>+AC738*Analisis!$J$7</f>
        <v>0</v>
      </c>
      <c r="AF738" s="308">
        <f>+H738*0.0254*I738*0.0254*2*(1+[3]Analisis!$G$2)</f>
        <v>1.5273124292399998</v>
      </c>
      <c r="AG738" s="86">
        <f>+AF738*Analisis!$J$8</f>
        <v>162.73150287735717</v>
      </c>
      <c r="AH738" s="309">
        <f t="shared" si="98"/>
        <v>1297.5782051531075</v>
      </c>
      <c r="AI738" s="86">
        <f>+AH738/(1-Analisis!G743)</f>
        <v>1297.5782051531075</v>
      </c>
      <c r="AJ738" s="86">
        <f t="shared" si="107"/>
        <v>1395.245381885062</v>
      </c>
      <c r="AK738" s="86">
        <f t="shared" si="99"/>
        <v>0</v>
      </c>
      <c r="AL738" s="310" t="e">
        <f>+VLOOKUP(B738,#REF!,2,FALSE)</f>
        <v>#REF!</v>
      </c>
      <c r="AM738" s="311" t="e">
        <f t="shared" si="97"/>
        <v>#REF!</v>
      </c>
      <c r="AN738" s="312" t="e">
        <f t="shared" si="110"/>
        <v>#REF!</v>
      </c>
    </row>
    <row r="739" spans="1:40" s="73" customFormat="1" x14ac:dyDescent="0.25">
      <c r="A739" s="313"/>
      <c r="B739" s="314" t="s">
        <v>1455</v>
      </c>
      <c r="D739" s="74">
        <f>IFERROR(VLOOKUP(B739,'REQ. PINTADO'!B:C,2,0),0)</f>
        <v>0</v>
      </c>
      <c r="E739" s="305">
        <f t="shared" si="100"/>
        <v>1250.349154071255</v>
      </c>
      <c r="F739" s="103" t="s">
        <v>163</v>
      </c>
      <c r="G739" s="75" t="s">
        <v>147</v>
      </c>
      <c r="H739" s="90">
        <v>45.825000000000003</v>
      </c>
      <c r="I739" s="90">
        <v>33.020000000000003</v>
      </c>
      <c r="J739" s="76">
        <v>0.105</v>
      </c>
      <c r="K739" s="306">
        <v>16.38</v>
      </c>
      <c r="L739" s="78">
        <f t="shared" si="101"/>
        <v>76.285463312850993</v>
      </c>
      <c r="M739" s="58">
        <f>+VLOOKUP(F739,Material!$H$2:$M$17,6,FALSE)*H739*I739*(1+Material!$K$14)</f>
        <v>567.97994957477238</v>
      </c>
      <c r="N739" s="79" t="str">
        <f t="shared" si="109"/>
        <v>T5.0</v>
      </c>
      <c r="O739" s="80">
        <f>+VLOOKUP(N739,[3]Material!$A$3:$B$58,2,FALSE)</f>
        <v>5000</v>
      </c>
      <c r="P739" s="79" t="s">
        <v>42</v>
      </c>
      <c r="Q739" s="79" t="str">
        <f>+VLOOKUP(F739,[3]Material!$C$2:$E$12,2,FALSE)</f>
        <v>Cal 12</v>
      </c>
      <c r="R739" s="81">
        <f>+IF(P739="ACERO A36",VLOOKUP(Q739,'[3]Velocidades Std 1500 w'!$B$2:$F$15,5,FALSE),IF(P739="INOXIDABLE",VLOOKUP(Q739,'[3]Velocidades Std 1500 w'!$B$17:$F$28,5,FALSE),IF(P739="ALUMINIO",VLOOKUP(Q739,'[3]Velocidades Std 1500 w'!$B$30:$F$38,5,FALSE))))</f>
        <v>4.3859649122807014E-6</v>
      </c>
      <c r="S739" s="82">
        <f t="shared" si="102"/>
        <v>2.1929824561403508E-2</v>
      </c>
      <c r="T739" s="83">
        <f t="shared" si="103"/>
        <v>109.35682578947366</v>
      </c>
      <c r="U739" s="307">
        <f t="shared" si="94"/>
        <v>6925.9322999999995</v>
      </c>
      <c r="V739" s="80">
        <f t="shared" si="108"/>
        <v>151.88448026315788</v>
      </c>
      <c r="W739" s="98">
        <v>68</v>
      </c>
      <c r="X739" s="84">
        <f>+IF(P739="ACERO A36",VLOOKUP(Q739,'[3]Tiempo Objeto'!$B$2:$C$12,2,FALSE),IF(P739="INOXIDABLE",VLOOKUP(Q739,'[3]Tiempo Objeto'!$B$14:$C$22,2,FALSE),IF(P739="ALUMINIO",VLOOKUP(Q739,'[3]Tiempo Objeto'!$B$24:$C$32,2,FALSE))))</f>
        <v>0.6133333333333334</v>
      </c>
      <c r="Y739" s="84">
        <f t="shared" si="104"/>
        <v>41.706666666666671</v>
      </c>
      <c r="Z739" s="80">
        <f t="shared" si="105"/>
        <v>57.925925925925931</v>
      </c>
      <c r="AA739" s="100">
        <v>5</v>
      </c>
      <c r="AB739" s="86">
        <f>+AA739*Analisis!$J$6</f>
        <v>125</v>
      </c>
      <c r="AC739" s="100"/>
      <c r="AD739" s="85">
        <f t="shared" si="106"/>
        <v>0</v>
      </c>
      <c r="AE739" s="86">
        <f>+AC739*Analisis!$J$7</f>
        <v>0</v>
      </c>
      <c r="AF739" s="308">
        <f>+H739*0.0254*I739*0.0254*2*(1+[3]Analisis!$G$2)</f>
        <v>2.4405459253500004</v>
      </c>
      <c r="AG739" s="86">
        <f>+AF739*Analisis!$J$8</f>
        <v>260.03435752241086</v>
      </c>
      <c r="AH739" s="309">
        <f t="shared" si="98"/>
        <v>1162.8247132862671</v>
      </c>
      <c r="AI739" s="86">
        <f>+AH739/(1-Analisis!G744)</f>
        <v>1162.8247132862671</v>
      </c>
      <c r="AJ739" s="86">
        <f t="shared" si="107"/>
        <v>1250.349154071255</v>
      </c>
      <c r="AK739" s="86">
        <f t="shared" si="99"/>
        <v>0</v>
      </c>
      <c r="AL739" s="310" t="e">
        <f>+VLOOKUP(B739,#REF!,2,FALSE)</f>
        <v>#REF!</v>
      </c>
      <c r="AM739" s="311" t="e">
        <f t="shared" si="97"/>
        <v>#REF!</v>
      </c>
      <c r="AN739" s="312" t="e">
        <f t="shared" si="110"/>
        <v>#REF!</v>
      </c>
    </row>
    <row r="740" spans="1:40" s="73" customFormat="1" x14ac:dyDescent="0.25">
      <c r="A740" s="313"/>
      <c r="B740" s="329" t="s">
        <v>1456</v>
      </c>
      <c r="D740" s="74">
        <f>IFERROR(VLOOKUP(B740,'REQ. PINTADO'!B:C,2,0),0)</f>
        <v>0</v>
      </c>
      <c r="E740" s="305">
        <f t="shared" si="100"/>
        <v>2629.4962306330335</v>
      </c>
      <c r="F740" s="103" t="s">
        <v>165</v>
      </c>
      <c r="G740" s="75" t="s">
        <v>147</v>
      </c>
      <c r="H740" s="90">
        <v>41.22</v>
      </c>
      <c r="I740" s="90">
        <v>93.53</v>
      </c>
      <c r="J740" s="76">
        <v>0.105</v>
      </c>
      <c r="K740" s="306">
        <v>16.38</v>
      </c>
      <c r="L740" s="78">
        <f t="shared" si="101"/>
        <v>215.21342932692309</v>
      </c>
      <c r="M740" s="58">
        <f>+VLOOKUP(F740,Material!$H$2:$M$17,6,FALSE)*H740*I740*(1+Material!$K$14)</f>
        <v>1602.361805625</v>
      </c>
      <c r="N740" s="79" t="str">
        <f t="shared" si="109"/>
        <v>T5.0</v>
      </c>
      <c r="O740" s="80">
        <f>+VLOOKUP(N740,[3]Material!$A$3:$B$58,2,FALSE)</f>
        <v>5000</v>
      </c>
      <c r="P740" s="79" t="s">
        <v>42</v>
      </c>
      <c r="Q740" s="79" t="str">
        <f>+VLOOKUP(F740,[3]Material!$C$2:$E$12,2,FALSE)</f>
        <v>Cal 14</v>
      </c>
      <c r="R740" s="81">
        <f>+IF(P740="ACERO A36",VLOOKUP(Q740,'[3]Velocidades Std 1500 w'!$B$2:$F$15,5,FALSE),IF(P740="INOXIDABLE",VLOOKUP(Q740,'[3]Velocidades Std 1500 w'!$B$17:$F$28,5,FALSE),IF(P740="ALUMINIO",VLOOKUP(Q740,'[3]Velocidades Std 1500 w'!$B$30:$F$38,5,FALSE))))</f>
        <v>2.0080321285140564E-6</v>
      </c>
      <c r="S740" s="82">
        <f t="shared" si="102"/>
        <v>1.0040160642570283E-2</v>
      </c>
      <c r="T740" s="83">
        <f t="shared" si="103"/>
        <v>54.850228915662655</v>
      </c>
      <c r="U740" s="307">
        <f t="shared" si="94"/>
        <v>7587.6149999999998</v>
      </c>
      <c r="V740" s="80">
        <f t="shared" si="108"/>
        <v>76.180873493975909</v>
      </c>
      <c r="W740" s="98">
        <v>10</v>
      </c>
      <c r="X740" s="84">
        <f>+IF(P740="ACERO A36",VLOOKUP(Q740,'[3]Tiempo Objeto'!$B$2:$C$12,2,FALSE),IF(P740="INOXIDABLE",VLOOKUP(Q740,'[3]Tiempo Objeto'!$B$14:$C$22,2,FALSE),IF(P740="ALUMINIO",VLOOKUP(Q740,'[3]Tiempo Objeto'!$B$24:$C$32,2,FALSE))))</f>
        <v>0.3133333333333333</v>
      </c>
      <c r="Y740" s="84">
        <f t="shared" si="104"/>
        <v>3.1333333333333329</v>
      </c>
      <c r="Z740" s="80">
        <f t="shared" si="105"/>
        <v>4.3518518518518512</v>
      </c>
      <c r="AA740" s="100">
        <v>4</v>
      </c>
      <c r="AB740" s="86">
        <f>+AA740*Analisis!$J$6</f>
        <v>100</v>
      </c>
      <c r="AC740" s="100"/>
      <c r="AD740" s="85">
        <f t="shared" si="106"/>
        <v>0</v>
      </c>
      <c r="AE740" s="86">
        <f>+AC740*Analisis!$J$7</f>
        <v>0</v>
      </c>
      <c r="AF740" s="308">
        <f>+H740*0.0254*I740*0.0254*2*(1+[3]Analisis!$G$2)</f>
        <v>6.2182240151400006</v>
      </c>
      <c r="AG740" s="86">
        <f>+AF740*Analisis!$J$8</f>
        <v>662.53696351789313</v>
      </c>
      <c r="AH740" s="309">
        <f t="shared" si="98"/>
        <v>2445.431494488721</v>
      </c>
      <c r="AI740" s="86">
        <f>+AH740/(1-Analisis!G745)</f>
        <v>2445.431494488721</v>
      </c>
      <c r="AJ740" s="86">
        <f t="shared" si="107"/>
        <v>2629.4962306330335</v>
      </c>
      <c r="AK740" s="86">
        <f t="shared" si="99"/>
        <v>0</v>
      </c>
      <c r="AL740" s="310" t="e">
        <f>+VLOOKUP(B740,#REF!,2,FALSE)</f>
        <v>#REF!</v>
      </c>
      <c r="AM740" s="311" t="e">
        <f t="shared" si="97"/>
        <v>#REF!</v>
      </c>
      <c r="AN740" s="312" t="e">
        <f t="shared" si="110"/>
        <v>#REF!</v>
      </c>
    </row>
    <row r="741" spans="1:40" s="73" customFormat="1" x14ac:dyDescent="0.25">
      <c r="A741" s="313"/>
      <c r="B741" s="329" t="s">
        <v>1457</v>
      </c>
      <c r="D741" s="74">
        <f>IFERROR(VLOOKUP(B741,'REQ. PINTADO'!B:C,2,0),0)</f>
        <v>0</v>
      </c>
      <c r="E741" s="305">
        <f t="shared" si="100"/>
        <v>1030.640996719002</v>
      </c>
      <c r="F741" s="103" t="s">
        <v>165</v>
      </c>
      <c r="G741" s="75" t="s">
        <v>147</v>
      </c>
      <c r="H741" s="90">
        <v>39.94</v>
      </c>
      <c r="I741" s="90">
        <v>10.11</v>
      </c>
      <c r="J741" s="76">
        <v>0.105</v>
      </c>
      <c r="K741" s="306">
        <v>16.38</v>
      </c>
      <c r="L741" s="78">
        <f t="shared" si="101"/>
        <v>22.540817467948724</v>
      </c>
      <c r="M741" s="58">
        <f>+VLOOKUP(F741,Material!$H$2:$M$17,6,FALSE)*H741*I741*(1+Material!$K$14)</f>
        <v>167.826631875</v>
      </c>
      <c r="N741" s="79" t="str">
        <f t="shared" si="109"/>
        <v>T5.0</v>
      </c>
      <c r="O741" s="80">
        <f>+VLOOKUP(N741,[3]Material!$A$3:$B$58,2,FALSE)</f>
        <v>5000</v>
      </c>
      <c r="P741" s="79" t="s">
        <v>42</v>
      </c>
      <c r="Q741" s="79" t="str">
        <f>+VLOOKUP(F741,[3]Material!$C$2:$E$12,2,FALSE)</f>
        <v>Cal 14</v>
      </c>
      <c r="R741" s="81">
        <f>+IF(P741="ACERO A36",VLOOKUP(Q741,'[3]Velocidades Std 1500 w'!$B$2:$F$15,5,FALSE),IF(P741="INOXIDABLE",VLOOKUP(Q741,'[3]Velocidades Std 1500 w'!$B$17:$F$28,5,FALSE),IF(P741="ALUMINIO",VLOOKUP(Q741,'[3]Velocidades Std 1500 w'!$B$30:$F$38,5,FALSE))))</f>
        <v>2.0080321285140564E-6</v>
      </c>
      <c r="S741" s="82">
        <f t="shared" si="102"/>
        <v>1.0040160642570283E-2</v>
      </c>
      <c r="T741" s="83">
        <f t="shared" si="103"/>
        <v>250.65301445783132</v>
      </c>
      <c r="U741" s="307">
        <f t="shared" si="94"/>
        <v>34673.666999999994</v>
      </c>
      <c r="V741" s="80">
        <f t="shared" si="108"/>
        <v>348.12918674698795</v>
      </c>
      <c r="W741" s="98">
        <v>800</v>
      </c>
      <c r="X741" s="84">
        <f>+IF(P741="ACERO A36",VLOOKUP(Q741,'[3]Tiempo Objeto'!$B$2:$C$12,2,FALSE),IF(P741="INOXIDABLE",VLOOKUP(Q741,'[3]Tiempo Objeto'!$B$14:$C$22,2,FALSE),IF(P741="ALUMINIO",VLOOKUP(Q741,'[3]Tiempo Objeto'!$B$24:$C$32,2,FALSE))))</f>
        <v>0.3133333333333333</v>
      </c>
      <c r="Y741" s="84">
        <f t="shared" si="104"/>
        <v>250.66666666666663</v>
      </c>
      <c r="Z741" s="80">
        <f t="shared" si="105"/>
        <v>348.14814814814815</v>
      </c>
      <c r="AA741" s="100">
        <v>1</v>
      </c>
      <c r="AB741" s="86">
        <f>+AA741*Analisis!$J$6</f>
        <v>25</v>
      </c>
      <c r="AC741" s="100"/>
      <c r="AD741" s="85">
        <f t="shared" si="106"/>
        <v>0</v>
      </c>
      <c r="AE741" s="86">
        <f>+AC741*Analisis!$J$7</f>
        <v>0</v>
      </c>
      <c r="AF741" s="308">
        <f>+H741*0.0254*I741*0.0254*2*(1+[3]Analisis!$G$2)</f>
        <v>0.65127837485999995</v>
      </c>
      <c r="AG741" s="86">
        <f>+AF741*Analisis!$J$8</f>
        <v>69.392160178535732</v>
      </c>
      <c r="AH741" s="309">
        <f t="shared" si="98"/>
        <v>958.49612694867187</v>
      </c>
      <c r="AI741" s="86">
        <f>+AH741/(1-Analisis!G746)</f>
        <v>958.49612694867187</v>
      </c>
      <c r="AJ741" s="86">
        <f t="shared" si="107"/>
        <v>1030.640996719002</v>
      </c>
      <c r="AK741" s="86">
        <f t="shared" si="99"/>
        <v>0</v>
      </c>
      <c r="AL741" s="310" t="e">
        <f>+VLOOKUP(B741,#REF!,2,FALSE)</f>
        <v>#REF!</v>
      </c>
      <c r="AM741" s="311" t="e">
        <f t="shared" si="97"/>
        <v>#REF!</v>
      </c>
      <c r="AN741" s="312" t="e">
        <f t="shared" si="110"/>
        <v>#REF!</v>
      </c>
    </row>
    <row r="742" spans="1:40" s="73" customFormat="1" x14ac:dyDescent="0.25">
      <c r="A742" s="313"/>
      <c r="B742" s="329" t="s">
        <v>1458</v>
      </c>
      <c r="D742" s="74">
        <f>IFERROR(VLOOKUP(B742,'REQ. PINTADO'!B:C,2,0),0)</f>
        <v>0</v>
      </c>
      <c r="E742" s="305">
        <f t="shared" si="100"/>
        <v>94.624779163802046</v>
      </c>
      <c r="F742" s="103" t="s">
        <v>163</v>
      </c>
      <c r="G742" s="75" t="s">
        <v>147</v>
      </c>
      <c r="H742" s="90">
        <v>6.5</v>
      </c>
      <c r="I742" s="90">
        <v>4.6020000000000003</v>
      </c>
      <c r="J742" s="76">
        <v>0.105</v>
      </c>
      <c r="K742" s="306">
        <v>16.38</v>
      </c>
      <c r="L742" s="78">
        <f t="shared" si="101"/>
        <v>1.5080724863321184</v>
      </c>
      <c r="M742" s="58">
        <f>+VLOOKUP(F742,Material!$H$2:$M$17,6,FALSE)*H742*I742*(1+Material!$K$14)</f>
        <v>11.228285148236408</v>
      </c>
      <c r="N742" s="79" t="str">
        <f t="shared" si="109"/>
        <v>T5.0</v>
      </c>
      <c r="O742" s="80">
        <f>+VLOOKUP(N742,[3]Material!$A$3:$B$58,2,FALSE)</f>
        <v>5000</v>
      </c>
      <c r="P742" s="79" t="s">
        <v>42</v>
      </c>
      <c r="Q742" s="79" t="str">
        <f>+VLOOKUP(F742,[3]Material!$C$2:$E$12,2,FALSE)</f>
        <v>Cal 12</v>
      </c>
      <c r="R742" s="81">
        <f>+IF(P742="ACERO A36",VLOOKUP(Q742,'[3]Velocidades Std 1500 w'!$B$2:$F$15,5,FALSE),IF(P742="INOXIDABLE",VLOOKUP(Q742,'[3]Velocidades Std 1500 w'!$B$17:$F$28,5,FALSE),IF(P742="ALUMINIO",VLOOKUP(Q742,'[3]Velocidades Std 1500 w'!$B$30:$F$38,5,FALSE))))</f>
        <v>4.3859649122807014E-6</v>
      </c>
      <c r="S742" s="82">
        <f t="shared" si="102"/>
        <v>2.1929824561403508E-2</v>
      </c>
      <c r="T742" s="83">
        <f t="shared" si="103"/>
        <v>12.508510736842105</v>
      </c>
      <c r="U742" s="307">
        <f t="shared" si="94"/>
        <v>792.20568000000003</v>
      </c>
      <c r="V742" s="80">
        <f t="shared" si="108"/>
        <v>17.37293157894737</v>
      </c>
      <c r="W742" s="98">
        <v>5</v>
      </c>
      <c r="X742" s="84">
        <f>+IF(P742="ACERO A36",VLOOKUP(Q742,'[3]Tiempo Objeto'!$B$2:$C$12,2,FALSE),IF(P742="INOXIDABLE",VLOOKUP(Q742,'[3]Tiempo Objeto'!$B$14:$C$22,2,FALSE),IF(P742="ALUMINIO",VLOOKUP(Q742,'[3]Tiempo Objeto'!$B$24:$C$32,2,FALSE))))</f>
        <v>0.6133333333333334</v>
      </c>
      <c r="Y742" s="84">
        <f t="shared" si="104"/>
        <v>3.0666666666666669</v>
      </c>
      <c r="Z742" s="80">
        <f t="shared" si="105"/>
        <v>4.2592592592592595</v>
      </c>
      <c r="AA742" s="100">
        <v>2</v>
      </c>
      <c r="AB742" s="86">
        <f>+AA742*Analisis!$J$6</f>
        <v>50</v>
      </c>
      <c r="AC742" s="100"/>
      <c r="AD742" s="85">
        <f t="shared" si="106"/>
        <v>0</v>
      </c>
      <c r="AE742" s="86">
        <f>+AC742*Analisis!$J$7</f>
        <v>0</v>
      </c>
      <c r="AF742" s="308">
        <f>+H742*0.0254*I742*0.0254*2*(1+[3]Analisis!$G$2)</f>
        <v>4.8246677700000004E-2</v>
      </c>
      <c r="AG742" s="86">
        <f>+AF742*Analisis!$J$8</f>
        <v>5.1405686358928593</v>
      </c>
      <c r="AH742" s="309">
        <f t="shared" si="98"/>
        <v>88.001044622335897</v>
      </c>
      <c r="AI742" s="86">
        <f>+AH742/(1-Analisis!G747)</f>
        <v>88.001044622335897</v>
      </c>
      <c r="AJ742" s="86">
        <f t="shared" si="107"/>
        <v>94.624779163802046</v>
      </c>
      <c r="AK742" s="86">
        <f t="shared" si="99"/>
        <v>0</v>
      </c>
      <c r="AL742" s="310" t="e">
        <f>+VLOOKUP(B742,#REF!,2,FALSE)</f>
        <v>#REF!</v>
      </c>
      <c r="AM742" s="311" t="e">
        <f t="shared" si="97"/>
        <v>#REF!</v>
      </c>
      <c r="AN742" s="312" t="e">
        <f t="shared" si="110"/>
        <v>#REF!</v>
      </c>
    </row>
    <row r="743" spans="1:40" s="73" customFormat="1" x14ac:dyDescent="0.25">
      <c r="A743" s="313"/>
      <c r="B743" s="329" t="s">
        <v>1459</v>
      </c>
      <c r="D743" s="74">
        <f>IFERROR(VLOOKUP(B743,'REQ. PINTADO'!B:C,2,0),0)</f>
        <v>0</v>
      </c>
      <c r="E743" s="305">
        <f t="shared" si="100"/>
        <v>51.007463017051158</v>
      </c>
      <c r="F743" s="103" t="s">
        <v>163</v>
      </c>
      <c r="G743" s="75" t="s">
        <v>147</v>
      </c>
      <c r="H743" s="90">
        <v>2.25</v>
      </c>
      <c r="I743" s="90">
        <v>5.3680000000000003</v>
      </c>
      <c r="J743" s="76">
        <v>0.105</v>
      </c>
      <c r="K743" s="306">
        <v>16.38</v>
      </c>
      <c r="L743" s="78">
        <f t="shared" si="101"/>
        <v>0.60891583893020862</v>
      </c>
      <c r="M743" s="58">
        <f>+VLOOKUP(F743,Material!$H$2:$M$17,6,FALSE)*H743*I743*(1+Material!$K$14)</f>
        <v>4.5336552007621886</v>
      </c>
      <c r="N743" s="79" t="str">
        <f t="shared" si="109"/>
        <v>T5.0</v>
      </c>
      <c r="O743" s="80">
        <f>+VLOOKUP(N743,[3]Material!$A$3:$B$58,2,FALSE)</f>
        <v>5000</v>
      </c>
      <c r="P743" s="79" t="s">
        <v>42</v>
      </c>
      <c r="Q743" s="79" t="str">
        <f>+VLOOKUP(F743,[3]Material!$C$2:$E$12,2,FALSE)</f>
        <v>Cal 12</v>
      </c>
      <c r="R743" s="81">
        <f>+IF(P743="ACERO A36",VLOOKUP(Q743,'[3]Velocidades Std 1500 w'!$B$2:$F$15,5,FALSE),IF(P743="INOXIDABLE",VLOOKUP(Q743,'[3]Velocidades Std 1500 w'!$B$17:$F$28,5,FALSE),IF(P743="ALUMINIO",VLOOKUP(Q743,'[3]Velocidades Std 1500 w'!$B$30:$F$38,5,FALSE))))</f>
        <v>4.3859649122807014E-6</v>
      </c>
      <c r="S743" s="82">
        <f t="shared" si="102"/>
        <v>2.1929824561403508E-2</v>
      </c>
      <c r="T743" s="83">
        <f t="shared" si="103"/>
        <v>8.9425913684210538</v>
      </c>
      <c r="U743" s="307">
        <f t="shared" ref="U743:U806" si="111">(+I743*2+H743*2+W743*1.5)*25.4*1.05</f>
        <v>566.36412000000007</v>
      </c>
      <c r="V743" s="80">
        <f t="shared" si="108"/>
        <v>12.420265789473685</v>
      </c>
      <c r="W743" s="98">
        <v>4</v>
      </c>
      <c r="X743" s="84">
        <f>+IF(P743="ACERO A36",VLOOKUP(Q743,'[3]Tiempo Objeto'!$B$2:$C$12,2,FALSE),IF(P743="INOXIDABLE",VLOOKUP(Q743,'[3]Tiempo Objeto'!$B$14:$C$22,2,FALSE),IF(P743="ALUMINIO",VLOOKUP(Q743,'[3]Tiempo Objeto'!$B$24:$C$32,2,FALSE))))</f>
        <v>0.6133333333333334</v>
      </c>
      <c r="Y743" s="84">
        <f t="shared" si="104"/>
        <v>2.4533333333333336</v>
      </c>
      <c r="Z743" s="80">
        <f t="shared" si="105"/>
        <v>3.4074074074074079</v>
      </c>
      <c r="AA743" s="100">
        <v>1</v>
      </c>
      <c r="AB743" s="86">
        <f>+AA743*Analisis!$J$6</f>
        <v>25</v>
      </c>
      <c r="AC743" s="100"/>
      <c r="AD743" s="85">
        <f t="shared" si="106"/>
        <v>0</v>
      </c>
      <c r="AE743" s="86">
        <f>+AC743*Analisis!$J$7</f>
        <v>0</v>
      </c>
      <c r="AF743" s="308">
        <f>+H743*0.0254*I743*0.0254*2*(1+[3]Analisis!$G$2)</f>
        <v>1.94806062E-2</v>
      </c>
      <c r="AG743" s="86">
        <f>+AF743*Analisis!$J$8</f>
        <v>2.0756122082142863</v>
      </c>
      <c r="AH743" s="309">
        <f t="shared" si="98"/>
        <v>47.436940605857572</v>
      </c>
      <c r="AI743" s="86">
        <f>+AH743/(1-Analisis!G748)</f>
        <v>47.436940605857572</v>
      </c>
      <c r="AJ743" s="86">
        <f t="shared" si="107"/>
        <v>51.007463017051158</v>
      </c>
      <c r="AK743" s="86">
        <f t="shared" si="99"/>
        <v>0</v>
      </c>
      <c r="AL743" s="310" t="e">
        <f>+VLOOKUP(B743,#REF!,2,FALSE)</f>
        <v>#REF!</v>
      </c>
      <c r="AM743" s="311" t="e">
        <f t="shared" si="97"/>
        <v>#REF!</v>
      </c>
      <c r="AN743" s="312" t="e">
        <f t="shared" si="110"/>
        <v>#REF!</v>
      </c>
    </row>
    <row r="744" spans="1:40" s="73" customFormat="1" x14ac:dyDescent="0.25">
      <c r="A744" s="313"/>
      <c r="B744" s="118" t="s">
        <v>1460</v>
      </c>
      <c r="D744" s="74">
        <f>IFERROR(VLOOKUP(B744,'REQ. PINTADO'!B:C,2,0),0)</f>
        <v>0</v>
      </c>
      <c r="E744" s="305">
        <f t="shared" si="100"/>
        <v>42.243648092704255</v>
      </c>
      <c r="F744" s="103" t="s">
        <v>163</v>
      </c>
      <c r="G744" s="75" t="s">
        <v>147</v>
      </c>
      <c r="H744" s="90">
        <v>2.8210000000000002</v>
      </c>
      <c r="I744" s="90">
        <v>1.5</v>
      </c>
      <c r="J744" s="76">
        <v>0.105</v>
      </c>
      <c r="K744" s="306">
        <v>16.38</v>
      </c>
      <c r="L744" s="78">
        <f t="shared" si="101"/>
        <v>0.21333228783185773</v>
      </c>
      <c r="M744" s="58">
        <f>+VLOOKUP(F744,Material!$H$2:$M$17,6,FALSE)*H744*I744*(1+Material!$K$14)</f>
        <v>1.5883558521299224</v>
      </c>
      <c r="N744" s="79" t="str">
        <f t="shared" si="109"/>
        <v>T5.0</v>
      </c>
      <c r="O744" s="80">
        <f>+VLOOKUP(N744,[3]Material!$A$3:$B$58,2,FALSE)</f>
        <v>5000</v>
      </c>
      <c r="P744" s="79" t="s">
        <v>42</v>
      </c>
      <c r="Q744" s="79" t="str">
        <f>+VLOOKUP(F744,[3]Material!$C$2:$E$12,2,FALSE)</f>
        <v>Cal 12</v>
      </c>
      <c r="R744" s="81">
        <f>+IF(P744="ACERO A36",VLOOKUP(Q744,'[3]Velocidades Std 1500 w'!$B$2:$F$15,5,FALSE),IF(P744="INOXIDABLE",VLOOKUP(Q744,'[3]Velocidades Std 1500 w'!$B$17:$F$28,5,FALSE),IF(P744="ALUMINIO",VLOOKUP(Q744,'[3]Velocidades Std 1500 w'!$B$30:$F$38,5,FALSE))))</f>
        <v>4.3859649122807014E-6</v>
      </c>
      <c r="S744" s="82">
        <f t="shared" si="102"/>
        <v>2.1929824561403508E-2</v>
      </c>
      <c r="T744" s="83">
        <f t="shared" si="103"/>
        <v>6.1658232631578942</v>
      </c>
      <c r="U744" s="307">
        <f t="shared" si="111"/>
        <v>390.50214</v>
      </c>
      <c r="V744" s="80">
        <f t="shared" si="108"/>
        <v>8.5636434210526318</v>
      </c>
      <c r="W744" s="98">
        <v>4</v>
      </c>
      <c r="X744" s="84">
        <f>+IF(P744="ACERO A36",VLOOKUP(Q744,'[3]Tiempo Objeto'!$B$2:$C$12,2,FALSE),IF(P744="INOXIDABLE",VLOOKUP(Q744,'[3]Tiempo Objeto'!$B$14:$C$22,2,FALSE),IF(P744="ALUMINIO",VLOOKUP(Q744,'[3]Tiempo Objeto'!$B$24:$C$32,2,FALSE))))</f>
        <v>0.6133333333333334</v>
      </c>
      <c r="Y744" s="84">
        <f t="shared" si="104"/>
        <v>2.4533333333333336</v>
      </c>
      <c r="Z744" s="80">
        <f t="shared" si="105"/>
        <v>3.4074074074074079</v>
      </c>
      <c r="AA744" s="100">
        <v>1</v>
      </c>
      <c r="AB744" s="86">
        <f>+AA744*Analisis!$J$6</f>
        <v>25</v>
      </c>
      <c r="AC744" s="100"/>
      <c r="AD744" s="85">
        <f t="shared" si="106"/>
        <v>0</v>
      </c>
      <c r="AE744" s="86">
        <f>+AC744*Analisis!$J$7</f>
        <v>0</v>
      </c>
      <c r="AF744" s="308">
        <f>+H744*0.0254*I744*0.0254*2*(1+[3]Analisis!$G$2)</f>
        <v>6.8249863499999994E-3</v>
      </c>
      <c r="AG744" s="86">
        <f>+AF744*Analisis!$J$8</f>
        <v>0.72718604562500011</v>
      </c>
      <c r="AH744" s="309">
        <f t="shared" si="98"/>
        <v>39.286592726214955</v>
      </c>
      <c r="AI744" s="86">
        <f>+AH744/(1-Analisis!G749)</f>
        <v>39.286592726214955</v>
      </c>
      <c r="AJ744" s="86">
        <f t="shared" si="107"/>
        <v>42.243648092704255</v>
      </c>
      <c r="AK744" s="86">
        <f t="shared" si="99"/>
        <v>0</v>
      </c>
      <c r="AL744" s="310" t="e">
        <f>+VLOOKUP(B744,#REF!,2,FALSE)</f>
        <v>#REF!</v>
      </c>
      <c r="AM744" s="311" t="e">
        <f t="shared" si="97"/>
        <v>#REF!</v>
      </c>
      <c r="AN744" s="312" t="e">
        <f t="shared" si="110"/>
        <v>#REF!</v>
      </c>
    </row>
    <row r="745" spans="1:40" s="73" customFormat="1" x14ac:dyDescent="0.25">
      <c r="A745" s="313"/>
      <c r="B745" s="118" t="s">
        <v>1461</v>
      </c>
      <c r="D745" s="74">
        <f>IFERROR(VLOOKUP(B745,'REQ. PINTADO'!B:C,2,0),0)</f>
        <v>0</v>
      </c>
      <c r="E745" s="305">
        <f t="shared" si="100"/>
        <v>931.01409183255441</v>
      </c>
      <c r="F745" s="103" t="s">
        <v>163</v>
      </c>
      <c r="G745" s="75" t="s">
        <v>147</v>
      </c>
      <c r="H745" s="90">
        <v>11.404999999999999</v>
      </c>
      <c r="I745" s="90">
        <v>95.709000000000003</v>
      </c>
      <c r="J745" s="76">
        <v>0.105</v>
      </c>
      <c r="K745" s="306">
        <v>16.38</v>
      </c>
      <c r="L745" s="78">
        <f t="shared" si="101"/>
        <v>55.031368633158962</v>
      </c>
      <c r="M745" s="58">
        <f>+VLOOKUP(F745,Material!$H$2:$M$17,6,FALSE)*H745*I745*(1+Material!$K$14)</f>
        <v>409.73355373233801</v>
      </c>
      <c r="N745" s="79" t="str">
        <f t="shared" si="109"/>
        <v>T5.0</v>
      </c>
      <c r="O745" s="80">
        <f>+VLOOKUP(N745,[3]Material!$A$3:$B$58,2,FALSE)</f>
        <v>5000</v>
      </c>
      <c r="P745" s="79" t="s">
        <v>42</v>
      </c>
      <c r="Q745" s="79" t="str">
        <f>+VLOOKUP(F745,[3]Material!$C$2:$E$12,2,FALSE)</f>
        <v>Cal 12</v>
      </c>
      <c r="R745" s="81">
        <f>+IF(P745="ACERO A36",VLOOKUP(Q745,'[3]Velocidades Std 1500 w'!$B$2:$F$15,5,FALSE),IF(P745="INOXIDABLE",VLOOKUP(Q745,'[3]Velocidades Std 1500 w'!$B$17:$F$28,5,FALSE),IF(P745="ALUMINIO",VLOOKUP(Q745,'[3]Velocidades Std 1500 w'!$B$30:$F$38,5,FALSE))))</f>
        <v>4.3859649122807014E-6</v>
      </c>
      <c r="S745" s="82">
        <f t="shared" si="102"/>
        <v>2.1929824561403508E-2</v>
      </c>
      <c r="T745" s="83">
        <f t="shared" si="103"/>
        <v>106.00398568421052</v>
      </c>
      <c r="U745" s="307">
        <f t="shared" si="111"/>
        <v>6713.5857599999999</v>
      </c>
      <c r="V745" s="80">
        <f t="shared" si="108"/>
        <v>147.22775789473684</v>
      </c>
      <c r="W745" s="98">
        <v>25</v>
      </c>
      <c r="X745" s="84">
        <f>+IF(P745="ACERO A36",VLOOKUP(Q745,'[3]Tiempo Objeto'!$B$2:$C$12,2,FALSE),IF(P745="INOXIDABLE",VLOOKUP(Q745,'[3]Tiempo Objeto'!$B$14:$C$22,2,FALSE),IF(P745="ALUMINIO",VLOOKUP(Q745,'[3]Tiempo Objeto'!$B$24:$C$32,2,FALSE))))</f>
        <v>0.6133333333333334</v>
      </c>
      <c r="Y745" s="84">
        <f t="shared" si="104"/>
        <v>15.333333333333336</v>
      </c>
      <c r="Z745" s="80">
        <f t="shared" si="105"/>
        <v>21.296296296296298</v>
      </c>
      <c r="AA745" s="100">
        <v>4</v>
      </c>
      <c r="AB745" s="86">
        <f>+AA745*Analisis!$J$6</f>
        <v>100</v>
      </c>
      <c r="AC745" s="100"/>
      <c r="AD745" s="85">
        <f t="shared" si="106"/>
        <v>0</v>
      </c>
      <c r="AE745" s="86">
        <f>+AC745*Analisis!$J$7</f>
        <v>0</v>
      </c>
      <c r="AF745" s="308">
        <f>+H745*0.0254*I745*0.0254*2*(1+[3]Analisis!$G$2)</f>
        <v>1.7605789707704997</v>
      </c>
      <c r="AG745" s="86">
        <f>+AF745*Analisis!$J$8</f>
        <v>187.58549748090448</v>
      </c>
      <c r="AH745" s="309">
        <f t="shared" si="98"/>
        <v>865.84310540427555</v>
      </c>
      <c r="AI745" s="86">
        <f>+AH745/(1-Analisis!G750)</f>
        <v>865.84310540427555</v>
      </c>
      <c r="AJ745" s="86">
        <f t="shared" si="107"/>
        <v>931.01409183255441</v>
      </c>
      <c r="AK745" s="86">
        <f t="shared" si="99"/>
        <v>0</v>
      </c>
      <c r="AL745" s="310" t="e">
        <f>+VLOOKUP(B745,#REF!,2,FALSE)</f>
        <v>#REF!</v>
      </c>
      <c r="AM745" s="311" t="e">
        <f t="shared" si="97"/>
        <v>#REF!</v>
      </c>
      <c r="AN745" s="312" t="e">
        <f t="shared" si="110"/>
        <v>#REF!</v>
      </c>
    </row>
    <row r="746" spans="1:40" s="73" customFormat="1" x14ac:dyDescent="0.25">
      <c r="A746" s="313"/>
      <c r="B746" s="118" t="s">
        <v>1462</v>
      </c>
      <c r="D746" s="74">
        <f>IFERROR(VLOOKUP(B746,'REQ. PINTADO'!B:C,2,0),0)</f>
        <v>0</v>
      </c>
      <c r="E746" s="305">
        <f t="shared" si="100"/>
        <v>88.298547050942744</v>
      </c>
      <c r="F746" s="103" t="s">
        <v>163</v>
      </c>
      <c r="G746" s="75" t="s">
        <v>147</v>
      </c>
      <c r="H746" s="90">
        <v>4</v>
      </c>
      <c r="I746" s="90">
        <v>7.14</v>
      </c>
      <c r="J746" s="76">
        <v>0.105</v>
      </c>
      <c r="K746" s="306">
        <v>16.38</v>
      </c>
      <c r="L746" s="78">
        <f t="shared" si="101"/>
        <v>1.4398606027361116</v>
      </c>
      <c r="M746" s="58">
        <f>+VLOOKUP(F746,Material!$H$2:$M$17,6,FALSE)*H746*I746*(1+Material!$K$14)</f>
        <v>10.720416669462502</v>
      </c>
      <c r="N746" s="79" t="str">
        <f t="shared" si="109"/>
        <v>T5.0</v>
      </c>
      <c r="O746" s="80">
        <f>+VLOOKUP(N746,[3]Material!$A$3:$B$58,2,FALSE)</f>
        <v>5000</v>
      </c>
      <c r="P746" s="79" t="s">
        <v>42</v>
      </c>
      <c r="Q746" s="79" t="str">
        <f>+VLOOKUP(F746,[3]Material!$C$2:$E$12,2,FALSE)</f>
        <v>Cal 12</v>
      </c>
      <c r="R746" s="81">
        <f>+IF(P746="ACERO A36",VLOOKUP(Q746,'[3]Velocidades Std 1500 w'!$B$2:$F$15,5,FALSE),IF(P746="INOXIDABLE",VLOOKUP(Q746,'[3]Velocidades Std 1500 w'!$B$17:$F$28,5,FALSE),IF(P746="ALUMINIO",VLOOKUP(Q746,'[3]Velocidades Std 1500 w'!$B$30:$F$38,5,FALSE))))</f>
        <v>4.3859649122807014E-6</v>
      </c>
      <c r="S746" s="82">
        <f t="shared" si="102"/>
        <v>2.1929824561403508E-2</v>
      </c>
      <c r="T746" s="83">
        <f t="shared" si="103"/>
        <v>10.645541052631577</v>
      </c>
      <c r="U746" s="307">
        <f>(+I746*2+H746*2+W746*1.5)*25.4*1.05</f>
        <v>674.21759999999995</v>
      </c>
      <c r="V746" s="80">
        <f t="shared" si="108"/>
        <v>14.785473684210524</v>
      </c>
      <c r="W746" s="98">
        <v>2</v>
      </c>
      <c r="X746" s="84">
        <f>+IF(P746="ACERO A36",VLOOKUP(Q746,'[3]Tiempo Objeto'!$B$2:$C$12,2,FALSE),IF(P746="INOXIDABLE",VLOOKUP(Q746,'[3]Tiempo Objeto'!$B$14:$C$22,2,FALSE),IF(P746="ALUMINIO",VLOOKUP(Q746,'[3]Tiempo Objeto'!$B$24:$C$32,2,FALSE))))</f>
        <v>0.6133333333333334</v>
      </c>
      <c r="Y746" s="84">
        <f t="shared" si="104"/>
        <v>1.2266666666666668</v>
      </c>
      <c r="Z746" s="80">
        <f t="shared" si="105"/>
        <v>1.7037037037037039</v>
      </c>
      <c r="AA746" s="100">
        <v>2</v>
      </c>
      <c r="AB746" s="86">
        <f>+AA746*Analisis!$J$6</f>
        <v>50</v>
      </c>
      <c r="AC746" s="100"/>
      <c r="AD746" s="85">
        <f t="shared" si="106"/>
        <v>0</v>
      </c>
      <c r="AE746" s="86">
        <f>+AC746*Analisis!$J$7</f>
        <v>0</v>
      </c>
      <c r="AF746" s="308">
        <f>+H746*0.0254*I746*0.0254*2*(1+[3]Analisis!$G$2)</f>
        <v>4.6064424E-2</v>
      </c>
      <c r="AG746" s="86">
        <f>+AF746*Analisis!$J$8</f>
        <v>4.908054700000001</v>
      </c>
      <c r="AH746" s="309">
        <f t="shared" si="98"/>
        <v>82.117648757376742</v>
      </c>
      <c r="AI746" s="86">
        <f>+AH746/(1-Analisis!G751)</f>
        <v>82.117648757376742</v>
      </c>
      <c r="AJ746" s="86">
        <f t="shared" si="107"/>
        <v>88.298547050942744</v>
      </c>
      <c r="AK746" s="86">
        <f t="shared" si="99"/>
        <v>0</v>
      </c>
      <c r="AL746" s="310" t="e">
        <f>+VLOOKUP(B746,#REF!,2,FALSE)</f>
        <v>#REF!</v>
      </c>
      <c r="AM746" s="311" t="e">
        <f t="shared" si="97"/>
        <v>#REF!</v>
      </c>
      <c r="AN746" s="312" t="e">
        <f t="shared" si="110"/>
        <v>#REF!</v>
      </c>
    </row>
    <row r="747" spans="1:40" s="73" customFormat="1" x14ac:dyDescent="0.25">
      <c r="A747" s="313"/>
      <c r="B747" s="118" t="s">
        <v>1461</v>
      </c>
      <c r="D747" s="74">
        <f>IFERROR(VLOOKUP(B747,'REQ. PINTADO'!B:C,2,0),0)</f>
        <v>0</v>
      </c>
      <c r="E747" s="305">
        <f t="shared" si="100"/>
        <v>931.01409183255441</v>
      </c>
      <c r="F747" s="103" t="s">
        <v>163</v>
      </c>
      <c r="G747" s="75" t="s">
        <v>147</v>
      </c>
      <c r="H747" s="90">
        <v>11.404999999999999</v>
      </c>
      <c r="I747" s="90">
        <v>95.709000000000003</v>
      </c>
      <c r="J747" s="76">
        <v>0.105</v>
      </c>
      <c r="K747" s="306">
        <v>16.38</v>
      </c>
      <c r="L747" s="78">
        <f t="shared" si="101"/>
        <v>55.031368633158962</v>
      </c>
      <c r="M747" s="58">
        <f>+VLOOKUP(F747,Material!$H$2:$M$17,6,FALSE)*H747*I747*(1+Material!$K$14)</f>
        <v>409.73355373233801</v>
      </c>
      <c r="N747" s="79" t="str">
        <f t="shared" si="109"/>
        <v>T5.0</v>
      </c>
      <c r="O747" s="80">
        <f>+VLOOKUP(N747,[3]Material!$A$3:$B$58,2,FALSE)</f>
        <v>5000</v>
      </c>
      <c r="P747" s="79" t="s">
        <v>42</v>
      </c>
      <c r="Q747" s="79" t="str">
        <f>+VLOOKUP(F747,[3]Material!$C$2:$E$12,2,FALSE)</f>
        <v>Cal 12</v>
      </c>
      <c r="R747" s="81">
        <f>+IF(P747="ACERO A36",VLOOKUP(Q747,'[3]Velocidades Std 1500 w'!$B$2:$F$15,5,FALSE),IF(P747="INOXIDABLE",VLOOKUP(Q747,'[3]Velocidades Std 1500 w'!$B$17:$F$28,5,FALSE),IF(P747="ALUMINIO",VLOOKUP(Q747,'[3]Velocidades Std 1500 w'!$B$30:$F$38,5,FALSE))))</f>
        <v>4.3859649122807014E-6</v>
      </c>
      <c r="S747" s="82">
        <f t="shared" si="102"/>
        <v>2.1929824561403508E-2</v>
      </c>
      <c r="T747" s="83">
        <f t="shared" si="103"/>
        <v>106.00398568421052</v>
      </c>
      <c r="U747" s="307">
        <f t="shared" si="111"/>
        <v>6713.5857599999999</v>
      </c>
      <c r="V747" s="80">
        <f t="shared" si="108"/>
        <v>147.22775789473684</v>
      </c>
      <c r="W747" s="98">
        <v>25</v>
      </c>
      <c r="X747" s="84">
        <f>+IF(P747="ACERO A36",VLOOKUP(Q747,'[3]Tiempo Objeto'!$B$2:$C$12,2,FALSE),IF(P747="INOXIDABLE",VLOOKUP(Q747,'[3]Tiempo Objeto'!$B$14:$C$22,2,FALSE),IF(P747="ALUMINIO",VLOOKUP(Q747,'[3]Tiempo Objeto'!$B$24:$C$32,2,FALSE))))</f>
        <v>0.6133333333333334</v>
      </c>
      <c r="Y747" s="84">
        <f t="shared" si="104"/>
        <v>15.333333333333336</v>
      </c>
      <c r="Z747" s="80">
        <f t="shared" si="105"/>
        <v>21.296296296296298</v>
      </c>
      <c r="AA747" s="100">
        <v>4</v>
      </c>
      <c r="AB747" s="86">
        <f>+AA747*Analisis!$J$6</f>
        <v>100</v>
      </c>
      <c r="AC747" s="100"/>
      <c r="AD747" s="85">
        <f t="shared" si="106"/>
        <v>0</v>
      </c>
      <c r="AE747" s="86">
        <f>+AC747*Analisis!$J$7</f>
        <v>0</v>
      </c>
      <c r="AF747" s="308">
        <f>+H747*0.0254*I747*0.0254*2*(1+[3]Analisis!$G$2)</f>
        <v>1.7605789707704997</v>
      </c>
      <c r="AG747" s="86">
        <f>+AF747*Analisis!$J$8</f>
        <v>187.58549748090448</v>
      </c>
      <c r="AH747" s="309">
        <f t="shared" si="98"/>
        <v>865.84310540427555</v>
      </c>
      <c r="AI747" s="86">
        <f>+AH747/(1-Analisis!G752)</f>
        <v>865.84310540427555</v>
      </c>
      <c r="AJ747" s="86">
        <f t="shared" si="107"/>
        <v>931.01409183255441</v>
      </c>
      <c r="AK747" s="86">
        <f t="shared" si="99"/>
        <v>0</v>
      </c>
      <c r="AL747" s="310" t="e">
        <f>+VLOOKUP(B747,#REF!,2,FALSE)</f>
        <v>#REF!</v>
      </c>
      <c r="AM747" s="311" t="e">
        <f t="shared" si="97"/>
        <v>#REF!</v>
      </c>
      <c r="AN747" s="312" t="e">
        <f t="shared" si="110"/>
        <v>#REF!</v>
      </c>
    </row>
    <row r="748" spans="1:40" s="73" customFormat="1" x14ac:dyDescent="0.25">
      <c r="A748" s="313"/>
      <c r="B748" s="118" t="s">
        <v>1462</v>
      </c>
      <c r="D748" s="74">
        <f>IFERROR(VLOOKUP(B748,'REQ. PINTADO'!B:C,2,0),0)</f>
        <v>0</v>
      </c>
      <c r="E748" s="305">
        <f t="shared" si="100"/>
        <v>88.298547050942744</v>
      </c>
      <c r="F748" s="103" t="s">
        <v>163</v>
      </c>
      <c r="G748" s="75" t="s">
        <v>147</v>
      </c>
      <c r="H748" s="90">
        <v>4</v>
      </c>
      <c r="I748" s="90">
        <v>7.14</v>
      </c>
      <c r="J748" s="76">
        <v>0.105</v>
      </c>
      <c r="K748" s="306">
        <v>16.38</v>
      </c>
      <c r="L748" s="78">
        <f t="shared" si="101"/>
        <v>1.4398606027361116</v>
      </c>
      <c r="M748" s="58">
        <f>+VLOOKUP(F748,Material!$H$2:$M$17,6,FALSE)*H748*I748*(1+Material!$K$14)</f>
        <v>10.720416669462502</v>
      </c>
      <c r="N748" s="79" t="str">
        <f t="shared" si="109"/>
        <v>T5.0</v>
      </c>
      <c r="O748" s="80">
        <f>+VLOOKUP(N748,[3]Material!$A$3:$B$58,2,FALSE)</f>
        <v>5000</v>
      </c>
      <c r="P748" s="79" t="s">
        <v>42</v>
      </c>
      <c r="Q748" s="79" t="str">
        <f>+VLOOKUP(F748,[3]Material!$C$2:$E$12,2,FALSE)</f>
        <v>Cal 12</v>
      </c>
      <c r="R748" s="81">
        <f>+IF(P748="ACERO A36",VLOOKUP(Q748,'[3]Velocidades Std 1500 w'!$B$2:$F$15,5,FALSE),IF(P748="INOXIDABLE",VLOOKUP(Q748,'[3]Velocidades Std 1500 w'!$B$17:$F$28,5,FALSE),IF(P748="ALUMINIO",VLOOKUP(Q748,'[3]Velocidades Std 1500 w'!$B$30:$F$38,5,FALSE))))</f>
        <v>4.3859649122807014E-6</v>
      </c>
      <c r="S748" s="82">
        <f t="shared" si="102"/>
        <v>2.1929824561403508E-2</v>
      </c>
      <c r="T748" s="83">
        <f t="shared" si="103"/>
        <v>10.645541052631577</v>
      </c>
      <c r="U748" s="307">
        <f>(+I748*2+H748*2+W748*1.5)*25.4*1.05</f>
        <v>674.21759999999995</v>
      </c>
      <c r="V748" s="80">
        <f t="shared" si="108"/>
        <v>14.785473684210524</v>
      </c>
      <c r="W748" s="98">
        <v>2</v>
      </c>
      <c r="X748" s="84">
        <f>+IF(P748="ACERO A36",VLOOKUP(Q748,'[3]Tiempo Objeto'!$B$2:$C$12,2,FALSE),IF(P748="INOXIDABLE",VLOOKUP(Q748,'[3]Tiempo Objeto'!$B$14:$C$22,2,FALSE),IF(P748="ALUMINIO",VLOOKUP(Q748,'[3]Tiempo Objeto'!$B$24:$C$32,2,FALSE))))</f>
        <v>0.6133333333333334</v>
      </c>
      <c r="Y748" s="84">
        <f t="shared" si="104"/>
        <v>1.2266666666666668</v>
      </c>
      <c r="Z748" s="80">
        <f t="shared" si="105"/>
        <v>1.7037037037037039</v>
      </c>
      <c r="AA748" s="100">
        <v>2</v>
      </c>
      <c r="AB748" s="86">
        <f>+AA748*Analisis!$J$6</f>
        <v>50</v>
      </c>
      <c r="AC748" s="100"/>
      <c r="AD748" s="85">
        <f t="shared" si="106"/>
        <v>0</v>
      </c>
      <c r="AE748" s="86">
        <f>+AC748*Analisis!$J$7</f>
        <v>0</v>
      </c>
      <c r="AF748" s="308">
        <f>+H748*0.0254*I748*0.0254*2*(1+[3]Analisis!$G$2)</f>
        <v>4.6064424E-2</v>
      </c>
      <c r="AG748" s="86">
        <f>+AF748*Analisis!$J$8</f>
        <v>4.908054700000001</v>
      </c>
      <c r="AH748" s="309">
        <f t="shared" si="98"/>
        <v>82.117648757376742</v>
      </c>
      <c r="AI748" s="86">
        <f>+AH748/(1-Analisis!G753)</f>
        <v>82.117648757376742</v>
      </c>
      <c r="AJ748" s="86">
        <f t="shared" si="107"/>
        <v>88.298547050942744</v>
      </c>
      <c r="AK748" s="86">
        <f t="shared" si="99"/>
        <v>0</v>
      </c>
      <c r="AL748" s="310" t="e">
        <f>+VLOOKUP(B748,#REF!,2,FALSE)</f>
        <v>#REF!</v>
      </c>
      <c r="AM748" s="311" t="e">
        <f t="shared" si="97"/>
        <v>#REF!</v>
      </c>
      <c r="AN748" s="312" t="e">
        <f t="shared" si="110"/>
        <v>#REF!</v>
      </c>
    </row>
    <row r="749" spans="1:40" s="73" customFormat="1" x14ac:dyDescent="0.25">
      <c r="A749" s="313"/>
      <c r="B749" s="118" t="s">
        <v>246</v>
      </c>
      <c r="D749" s="74">
        <f>IFERROR(VLOOKUP(B749,'REQ. PINTADO'!B:C,2,0),0)</f>
        <v>0</v>
      </c>
      <c r="E749" s="305">
        <f t="shared" si="100"/>
        <v>161.29152975196308</v>
      </c>
      <c r="F749" s="103" t="s">
        <v>163</v>
      </c>
      <c r="G749" s="75" t="s">
        <v>147</v>
      </c>
      <c r="H749" s="90">
        <v>4.3899999999999997</v>
      </c>
      <c r="I749" s="90">
        <v>10.14</v>
      </c>
      <c r="J749" s="76">
        <v>0.105</v>
      </c>
      <c r="K749" s="306">
        <v>16.38</v>
      </c>
      <c r="L749" s="78">
        <f t="shared" si="101"/>
        <v>2.2442163440671186</v>
      </c>
      <c r="M749" s="58">
        <f>+VLOOKUP(F749,Material!$H$2:$M$17,6,FALSE)*H749*I749*(1+Material!$K$14)</f>
        <v>16.709210779917907</v>
      </c>
      <c r="N749" s="79" t="str">
        <f t="shared" si="109"/>
        <v>T5.0</v>
      </c>
      <c r="O749" s="80">
        <f>+VLOOKUP(N749,[3]Material!$A$3:$B$58,2,FALSE)</f>
        <v>5000</v>
      </c>
      <c r="P749" s="79" t="s">
        <v>42</v>
      </c>
      <c r="Q749" s="79" t="str">
        <f>+VLOOKUP(F749,[3]Material!$C$2:$E$12,2,FALSE)</f>
        <v>Cal 12</v>
      </c>
      <c r="R749" s="81">
        <f>+IF(P749="ACERO A36",VLOOKUP(Q749,'[3]Velocidades Std 1500 w'!$B$2:$F$15,5,FALSE),IF(P749="INOXIDABLE",VLOOKUP(Q749,'[3]Velocidades Std 1500 w'!$B$17:$F$28,5,FALSE),IF(P749="ALUMINIO",VLOOKUP(Q749,'[3]Velocidades Std 1500 w'!$B$30:$F$38,5,FALSE))))</f>
        <v>4.3859649122807014E-6</v>
      </c>
      <c r="S749" s="82">
        <f t="shared" si="102"/>
        <v>2.1929824561403508E-2</v>
      </c>
      <c r="T749" s="83">
        <f t="shared" si="103"/>
        <v>15.395608421052632</v>
      </c>
      <c r="U749" s="307">
        <f t="shared" si="111"/>
        <v>975.05520000000001</v>
      </c>
      <c r="V749" s="80">
        <f t="shared" si="108"/>
        <v>21.382789473684209</v>
      </c>
      <c r="W749" s="98">
        <v>5</v>
      </c>
      <c r="X749" s="84">
        <f>+IF(P749="ACERO A36",VLOOKUP(Q749,'[3]Tiempo Objeto'!$B$2:$C$12,2,FALSE),IF(P749="INOXIDABLE",VLOOKUP(Q749,'[3]Tiempo Objeto'!$B$14:$C$22,2,FALSE),IF(P749="ALUMINIO",VLOOKUP(Q749,'[3]Tiempo Objeto'!$B$24:$C$32,2,FALSE))))</f>
        <v>0.6133333333333334</v>
      </c>
      <c r="Y749" s="84">
        <f t="shared" si="104"/>
        <v>3.0666666666666669</v>
      </c>
      <c r="Z749" s="80">
        <f t="shared" si="105"/>
        <v>4.2592592592592595</v>
      </c>
      <c r="AA749" s="100">
        <v>4</v>
      </c>
      <c r="AB749" s="86">
        <f>+AA749*Analisis!$J$6</f>
        <v>100</v>
      </c>
      <c r="AC749" s="100"/>
      <c r="AD749" s="85">
        <f t="shared" si="106"/>
        <v>0</v>
      </c>
      <c r="AE749" s="86">
        <f>+AC749*Analisis!$J$7</f>
        <v>0</v>
      </c>
      <c r="AF749" s="308">
        <f>+H749*0.0254*I749*0.0254*2*(1+[3]Analisis!$G$2)</f>
        <v>7.1797598340000005E-2</v>
      </c>
      <c r="AG749" s="86">
        <f>+AF749*Analisis!$J$8</f>
        <v>7.6498631564642885</v>
      </c>
      <c r="AH749" s="309">
        <f t="shared" si="98"/>
        <v>150.00112266932567</v>
      </c>
      <c r="AI749" s="86">
        <f>+AH749/(1-Analisis!G754)</f>
        <v>150.00112266932567</v>
      </c>
      <c r="AJ749" s="86">
        <f t="shared" si="107"/>
        <v>161.29152975196308</v>
      </c>
      <c r="AK749" s="86">
        <f t="shared" si="99"/>
        <v>0</v>
      </c>
      <c r="AL749" s="310" t="e">
        <f>+VLOOKUP(B749,#REF!,2,FALSE)</f>
        <v>#REF!</v>
      </c>
      <c r="AM749" s="311" t="e">
        <f t="shared" si="97"/>
        <v>#REF!</v>
      </c>
      <c r="AN749" s="312" t="e">
        <f t="shared" si="110"/>
        <v>#REF!</v>
      </c>
    </row>
    <row r="750" spans="1:40" s="73" customFormat="1" x14ac:dyDescent="0.25">
      <c r="A750" s="313"/>
      <c r="B750" s="118" t="s">
        <v>1463</v>
      </c>
      <c r="D750" s="74">
        <f>IFERROR(VLOOKUP(B750,'REQ. PINTADO'!B:C,2,0),0)</f>
        <v>0</v>
      </c>
      <c r="E750" s="305">
        <f t="shared" si="100"/>
        <v>1164.924517196315</v>
      </c>
      <c r="F750" s="103" t="s">
        <v>163</v>
      </c>
      <c r="G750" s="75" t="s">
        <v>147</v>
      </c>
      <c r="H750" s="90">
        <v>45.83</v>
      </c>
      <c r="I750" s="90">
        <v>33.020000000000003</v>
      </c>
      <c r="J750" s="76">
        <v>0.105</v>
      </c>
      <c r="K750" s="306">
        <v>16.38</v>
      </c>
      <c r="L750" s="78">
        <f t="shared" si="101"/>
        <v>76.29378687676946</v>
      </c>
      <c r="M750" s="58">
        <f>+VLOOKUP(F750,Material!$H$2:$M$17,6,FALSE)*H750*I750*(1+Material!$K$14)</f>
        <v>568.04192229158343</v>
      </c>
      <c r="N750" s="79" t="str">
        <f t="shared" si="109"/>
        <v>T5.0</v>
      </c>
      <c r="O750" s="80">
        <f>+VLOOKUP(N750,[3]Material!$A$3:$B$58,2,FALSE)</f>
        <v>5000</v>
      </c>
      <c r="P750" s="79" t="s">
        <v>42</v>
      </c>
      <c r="Q750" s="79" t="str">
        <f>+VLOOKUP(F750,[3]Material!$C$2:$E$12,2,FALSE)</f>
        <v>Cal 12</v>
      </c>
      <c r="R750" s="81">
        <f>+IF(P750="ACERO A36",VLOOKUP(Q750,'[3]Velocidades Std 1500 w'!$B$2:$F$15,5,FALSE),IF(P750="INOXIDABLE",VLOOKUP(Q750,'[3]Velocidades Std 1500 w'!$B$17:$F$28,5,FALSE),IF(P750="ALUMINIO",VLOOKUP(Q750,'[3]Velocidades Std 1500 w'!$B$30:$F$38,5,FALSE))))</f>
        <v>4.3859649122807014E-6</v>
      </c>
      <c r="S750" s="82">
        <f t="shared" si="102"/>
        <v>2.1929824561403508E-2</v>
      </c>
      <c r="T750" s="83">
        <f t="shared" si="103"/>
        <v>80.304773684210517</v>
      </c>
      <c r="U750" s="307">
        <f t="shared" si="111"/>
        <v>5085.9690000000001</v>
      </c>
      <c r="V750" s="80">
        <f t="shared" si="108"/>
        <v>111.53440789473683</v>
      </c>
      <c r="W750" s="98">
        <v>22</v>
      </c>
      <c r="X750" s="84">
        <f>+IF(P750="ACERO A36",VLOOKUP(Q750,'[3]Tiempo Objeto'!$B$2:$C$12,2,FALSE),IF(P750="INOXIDABLE",VLOOKUP(Q750,'[3]Tiempo Objeto'!$B$14:$C$22,2,FALSE),IF(P750="ALUMINIO",VLOOKUP(Q750,'[3]Tiempo Objeto'!$B$24:$C$32,2,FALSE))))</f>
        <v>0.6133333333333334</v>
      </c>
      <c r="Y750" s="84">
        <f t="shared" si="104"/>
        <v>13.493333333333334</v>
      </c>
      <c r="Z750" s="80">
        <f t="shared" si="105"/>
        <v>18.74074074074074</v>
      </c>
      <c r="AA750" s="100">
        <v>5</v>
      </c>
      <c r="AB750" s="86">
        <f>+AA750*Analisis!$J$6</f>
        <v>125</v>
      </c>
      <c r="AC750" s="100"/>
      <c r="AD750" s="85">
        <f t="shared" si="106"/>
        <v>0</v>
      </c>
      <c r="AE750" s="86">
        <f>+AC750*Analisis!$J$7</f>
        <v>0</v>
      </c>
      <c r="AF750" s="308">
        <f>+H750*0.0254*I750*0.0254*2*(1+[3]Analisis!$G$2)</f>
        <v>2.4408122151399998</v>
      </c>
      <c r="AG750" s="86">
        <f>+AF750*Analisis!$J$8</f>
        <v>260.06273006551197</v>
      </c>
      <c r="AH750" s="309">
        <f t="shared" si="98"/>
        <v>1083.3798009925729</v>
      </c>
      <c r="AI750" s="86">
        <f>+AH750/(1-Analisis!G755)</f>
        <v>1083.3798009925729</v>
      </c>
      <c r="AJ750" s="86">
        <f t="shared" si="107"/>
        <v>1164.924517196315</v>
      </c>
      <c r="AK750" s="86">
        <f t="shared" si="99"/>
        <v>0</v>
      </c>
      <c r="AL750" s="310" t="e">
        <f>+VLOOKUP(B750,#REF!,2,FALSE)</f>
        <v>#REF!</v>
      </c>
      <c r="AM750" s="311" t="e">
        <f t="shared" si="97"/>
        <v>#REF!</v>
      </c>
      <c r="AN750" s="312" t="e">
        <f t="shared" si="110"/>
        <v>#REF!</v>
      </c>
    </row>
    <row r="751" spans="1:40" s="73" customFormat="1" x14ac:dyDescent="0.25">
      <c r="A751" s="313"/>
      <c r="B751" s="118" t="s">
        <v>1464</v>
      </c>
      <c r="D751" s="74">
        <f>IFERROR(VLOOKUP(B751,'REQ. PINTADO'!B:C,2,0),0)</f>
        <v>0</v>
      </c>
      <c r="E751" s="305">
        <f t="shared" si="100"/>
        <v>1164.924517196315</v>
      </c>
      <c r="F751" s="103" t="s">
        <v>163</v>
      </c>
      <c r="G751" s="75" t="s">
        <v>147</v>
      </c>
      <c r="H751" s="90">
        <v>45.83</v>
      </c>
      <c r="I751" s="90">
        <v>33.020000000000003</v>
      </c>
      <c r="J751" s="76">
        <v>0.105</v>
      </c>
      <c r="K751" s="306">
        <v>16.38</v>
      </c>
      <c r="L751" s="78">
        <f t="shared" si="101"/>
        <v>76.29378687676946</v>
      </c>
      <c r="M751" s="58">
        <f>+VLOOKUP(F751,Material!$H$2:$M$17,6,FALSE)*H751*I751*(1+Material!$K$14)</f>
        <v>568.04192229158343</v>
      </c>
      <c r="N751" s="79" t="str">
        <f t="shared" si="109"/>
        <v>T5.0</v>
      </c>
      <c r="O751" s="80">
        <f>+VLOOKUP(N751,[3]Material!$A$3:$B$58,2,FALSE)</f>
        <v>5000</v>
      </c>
      <c r="P751" s="79" t="s">
        <v>42</v>
      </c>
      <c r="Q751" s="79" t="str">
        <f>+VLOOKUP(F751,[3]Material!$C$2:$E$12,2,FALSE)</f>
        <v>Cal 12</v>
      </c>
      <c r="R751" s="81">
        <f>+IF(P751="ACERO A36",VLOOKUP(Q751,'[3]Velocidades Std 1500 w'!$B$2:$F$15,5,FALSE),IF(P751="INOXIDABLE",VLOOKUP(Q751,'[3]Velocidades Std 1500 w'!$B$17:$F$28,5,FALSE),IF(P751="ALUMINIO",VLOOKUP(Q751,'[3]Velocidades Std 1500 w'!$B$30:$F$38,5,FALSE))))</f>
        <v>4.3859649122807014E-6</v>
      </c>
      <c r="S751" s="82">
        <f t="shared" si="102"/>
        <v>2.1929824561403508E-2</v>
      </c>
      <c r="T751" s="83">
        <f t="shared" si="103"/>
        <v>80.304773684210517</v>
      </c>
      <c r="U751" s="307">
        <f t="shared" si="111"/>
        <v>5085.9690000000001</v>
      </c>
      <c r="V751" s="80">
        <f t="shared" si="108"/>
        <v>111.53440789473683</v>
      </c>
      <c r="W751" s="98">
        <v>22</v>
      </c>
      <c r="X751" s="84">
        <f>+IF(P751="ACERO A36",VLOOKUP(Q751,'[3]Tiempo Objeto'!$B$2:$C$12,2,FALSE),IF(P751="INOXIDABLE",VLOOKUP(Q751,'[3]Tiempo Objeto'!$B$14:$C$22,2,FALSE),IF(P751="ALUMINIO",VLOOKUP(Q751,'[3]Tiempo Objeto'!$B$24:$C$32,2,FALSE))))</f>
        <v>0.6133333333333334</v>
      </c>
      <c r="Y751" s="84">
        <f t="shared" si="104"/>
        <v>13.493333333333334</v>
      </c>
      <c r="Z751" s="80">
        <f t="shared" si="105"/>
        <v>18.74074074074074</v>
      </c>
      <c r="AA751" s="100">
        <v>5</v>
      </c>
      <c r="AB751" s="86">
        <f>+AA751*Analisis!$J$6</f>
        <v>125</v>
      </c>
      <c r="AC751" s="100"/>
      <c r="AD751" s="85">
        <f t="shared" si="106"/>
        <v>0</v>
      </c>
      <c r="AE751" s="86">
        <f>+AC751*Analisis!$J$7</f>
        <v>0</v>
      </c>
      <c r="AF751" s="308">
        <f>+H751*0.0254*I751*0.0254*2*(1+[3]Analisis!$G$2)</f>
        <v>2.4408122151399998</v>
      </c>
      <c r="AG751" s="86">
        <f>+AF751*Analisis!$J$8</f>
        <v>260.06273006551197</v>
      </c>
      <c r="AH751" s="309">
        <f t="shared" si="98"/>
        <v>1083.3798009925729</v>
      </c>
      <c r="AI751" s="86">
        <f>+AH751/(1-Analisis!G756)</f>
        <v>1083.3798009925729</v>
      </c>
      <c r="AJ751" s="86">
        <f t="shared" si="107"/>
        <v>1164.924517196315</v>
      </c>
      <c r="AK751" s="86">
        <f t="shared" si="99"/>
        <v>0</v>
      </c>
      <c r="AL751" s="310" t="e">
        <f>+VLOOKUP(B751,#REF!,2,FALSE)</f>
        <v>#REF!</v>
      </c>
      <c r="AM751" s="311" t="e">
        <f t="shared" si="97"/>
        <v>#REF!</v>
      </c>
      <c r="AN751" s="312" t="e">
        <f t="shared" si="110"/>
        <v>#REF!</v>
      </c>
    </row>
    <row r="752" spans="1:40" s="73" customFormat="1" x14ac:dyDescent="0.25">
      <c r="A752" s="313"/>
      <c r="B752" s="118" t="s">
        <v>1465</v>
      </c>
      <c r="D752" s="74">
        <f>IFERROR(VLOOKUP(B752,'REQ. PINTADO'!B:C,2,0),0)</f>
        <v>0</v>
      </c>
      <c r="E752" s="305">
        <f t="shared" si="100"/>
        <v>2419.0835719107299</v>
      </c>
      <c r="F752" s="103" t="s">
        <v>163</v>
      </c>
      <c r="G752" s="75" t="s">
        <v>147</v>
      </c>
      <c r="H752" s="90">
        <v>30.85</v>
      </c>
      <c r="I752" s="90">
        <v>91.58</v>
      </c>
      <c r="J752" s="76">
        <v>0.105</v>
      </c>
      <c r="K752" s="306">
        <v>16.38</v>
      </c>
      <c r="L752" s="78">
        <f t="shared" si="101"/>
        <v>142.43543728487325</v>
      </c>
      <c r="M752" s="58">
        <f>+VLOOKUP(F752,Material!$H$2:$M$17,6,FALSE)*H752*I752*(1+Material!$K$14)</f>
        <v>1060.4965739664651</v>
      </c>
      <c r="N752" s="79" t="str">
        <f t="shared" si="109"/>
        <v>T5.0</v>
      </c>
      <c r="O752" s="80">
        <f>+VLOOKUP(N752,[3]Material!$A$3:$B$58,2,FALSE)</f>
        <v>5000</v>
      </c>
      <c r="P752" s="79" t="s">
        <v>42</v>
      </c>
      <c r="Q752" s="79" t="str">
        <f>+VLOOKUP(F752,[3]Material!$C$2:$E$12,2,FALSE)</f>
        <v>Cal 12</v>
      </c>
      <c r="R752" s="81">
        <f>+IF(P752="ACERO A36",VLOOKUP(Q752,'[3]Velocidades Std 1500 w'!$B$2:$F$15,5,FALSE),IF(P752="INOXIDABLE",VLOOKUP(Q752,'[3]Velocidades Std 1500 w'!$B$17:$F$28,5,FALSE),IF(P752="ALUMINIO",VLOOKUP(Q752,'[3]Velocidades Std 1500 w'!$B$30:$F$38,5,FALSE))))</f>
        <v>4.3859649122807014E-6</v>
      </c>
      <c r="S752" s="82">
        <f t="shared" si="102"/>
        <v>2.1929824561403508E-2</v>
      </c>
      <c r="T752" s="83">
        <f t="shared" si="103"/>
        <v>125.21986105263156</v>
      </c>
      <c r="U752" s="307">
        <f t="shared" si="111"/>
        <v>7930.5911999999998</v>
      </c>
      <c r="V752" s="80">
        <f t="shared" si="108"/>
        <v>173.9164736842105</v>
      </c>
      <c r="W752" s="98">
        <v>35</v>
      </c>
      <c r="X752" s="84">
        <f>+IF(P752="ACERO A36",VLOOKUP(Q752,'[3]Tiempo Objeto'!$B$2:$C$12,2,FALSE),IF(P752="INOXIDABLE",VLOOKUP(Q752,'[3]Tiempo Objeto'!$B$14:$C$22,2,FALSE),IF(P752="ALUMINIO",VLOOKUP(Q752,'[3]Tiempo Objeto'!$B$24:$C$32,2,FALSE))))</f>
        <v>0.6133333333333334</v>
      </c>
      <c r="Y752" s="84">
        <f t="shared" si="104"/>
        <v>21.466666666666669</v>
      </c>
      <c r="Z752" s="80">
        <f t="shared" si="105"/>
        <v>29.814814814814817</v>
      </c>
      <c r="AA752" s="100">
        <v>5</v>
      </c>
      <c r="AB752" s="86">
        <f>+AA752*Analisis!$J$6</f>
        <v>125</v>
      </c>
      <c r="AC752" s="100">
        <v>15</v>
      </c>
      <c r="AD752" s="85">
        <f t="shared" si="106"/>
        <v>450</v>
      </c>
      <c r="AE752" s="86">
        <f>+AC752*Analisis!$J$7</f>
        <v>375</v>
      </c>
      <c r="AF752" s="308">
        <f>+H752*0.0254*I752*0.0254*2*(1+[3]Analisis!$G$2)</f>
        <v>4.5568344346999998</v>
      </c>
      <c r="AG752" s="86">
        <f>+AF752*Analisis!$J$8</f>
        <v>485.5198594114882</v>
      </c>
      <c r="AH752" s="309">
        <f t="shared" si="98"/>
        <v>2249.7477218769786</v>
      </c>
      <c r="AI752" s="86">
        <f>+AH752/(1-Analisis!G757)</f>
        <v>2249.7477218769786</v>
      </c>
      <c r="AJ752" s="86">
        <f t="shared" si="107"/>
        <v>2419.0835719107299</v>
      </c>
      <c r="AK752" s="86">
        <f t="shared" si="99"/>
        <v>0</v>
      </c>
      <c r="AL752" s="310" t="e">
        <f>+VLOOKUP(B752,#REF!,2,FALSE)</f>
        <v>#REF!</v>
      </c>
      <c r="AM752" s="311" t="e">
        <f t="shared" si="97"/>
        <v>#REF!</v>
      </c>
      <c r="AN752" s="312" t="e">
        <f t="shared" si="110"/>
        <v>#REF!</v>
      </c>
    </row>
    <row r="753" spans="1:40" s="73" customFormat="1" x14ac:dyDescent="0.25">
      <c r="A753" s="313"/>
      <c r="B753" s="118" t="s">
        <v>1466</v>
      </c>
      <c r="D753" s="74">
        <f>IFERROR(VLOOKUP(B753,'REQ. PINTADO'!B:C,2,0),0)</f>
        <v>0</v>
      </c>
      <c r="E753" s="305">
        <f t="shared" si="100"/>
        <v>1867.6457039903728</v>
      </c>
      <c r="F753" s="103" t="s">
        <v>163</v>
      </c>
      <c r="G753" s="75" t="s">
        <v>147</v>
      </c>
      <c r="H753" s="90">
        <v>20.85</v>
      </c>
      <c r="I753" s="90">
        <v>91.58</v>
      </c>
      <c r="J753" s="76">
        <v>0.105</v>
      </c>
      <c r="K753" s="306">
        <v>16.38</v>
      </c>
      <c r="L753" s="78">
        <f t="shared" si="101"/>
        <v>96.265117257361666</v>
      </c>
      <c r="M753" s="58">
        <f>+VLOOKUP(F753,Material!$H$2:$M$17,6,FALSE)*H753*I753*(1+Material!$K$14)</f>
        <v>716.7375548525381</v>
      </c>
      <c r="N753" s="79" t="str">
        <f t="shared" si="109"/>
        <v>T5.0</v>
      </c>
      <c r="O753" s="80">
        <f>+VLOOKUP(N753,[3]Material!$A$3:$B$58,2,FALSE)</f>
        <v>5000</v>
      </c>
      <c r="P753" s="79" t="s">
        <v>42</v>
      </c>
      <c r="Q753" s="79" t="str">
        <f>+VLOOKUP(F753,[3]Material!$C$2:$E$12,2,FALSE)</f>
        <v>Cal 12</v>
      </c>
      <c r="R753" s="81">
        <f>+IF(P753="ACERO A36",VLOOKUP(Q753,'[3]Velocidades Std 1500 w'!$B$2:$F$15,5,FALSE),IF(P753="INOXIDABLE",VLOOKUP(Q753,'[3]Velocidades Std 1500 w'!$B$17:$F$28,5,FALSE),IF(P753="ALUMINIO",VLOOKUP(Q753,'[3]Velocidades Std 1500 w'!$B$30:$F$38,5,FALSE))))</f>
        <v>4.3859649122807014E-6</v>
      </c>
      <c r="S753" s="82">
        <f t="shared" si="102"/>
        <v>2.1929824561403508E-2</v>
      </c>
      <c r="T753" s="83">
        <f t="shared" si="103"/>
        <v>116.79775578947368</v>
      </c>
      <c r="U753" s="307">
        <f t="shared" si="111"/>
        <v>7397.1912000000002</v>
      </c>
      <c r="V753" s="80">
        <f t="shared" si="108"/>
        <v>162.2191052631579</v>
      </c>
      <c r="W753" s="98">
        <v>35</v>
      </c>
      <c r="X753" s="84">
        <f>+IF(P753="ACERO A36",VLOOKUP(Q753,'[3]Tiempo Objeto'!$B$2:$C$12,2,FALSE),IF(P753="INOXIDABLE",VLOOKUP(Q753,'[3]Tiempo Objeto'!$B$14:$C$22,2,FALSE),IF(P753="ALUMINIO",VLOOKUP(Q753,'[3]Tiempo Objeto'!$B$24:$C$32,2,FALSE))))</f>
        <v>0.6133333333333334</v>
      </c>
      <c r="Y753" s="84">
        <f t="shared" si="104"/>
        <v>21.466666666666669</v>
      </c>
      <c r="Z753" s="80">
        <f t="shared" si="105"/>
        <v>29.814814814814817</v>
      </c>
      <c r="AA753" s="100">
        <v>5</v>
      </c>
      <c r="AB753" s="86">
        <f>+AA753*Analisis!$J$6</f>
        <v>125</v>
      </c>
      <c r="AC753" s="100">
        <v>15</v>
      </c>
      <c r="AD753" s="85">
        <f t="shared" si="106"/>
        <v>450</v>
      </c>
      <c r="AE753" s="86">
        <f>+AC753*Analisis!$J$7</f>
        <v>375</v>
      </c>
      <c r="AF753" s="308">
        <f>+H753*0.0254*I753*0.0254*2*(1+[3]Analisis!$G$2)</f>
        <v>3.0797406146999999</v>
      </c>
      <c r="AG753" s="86">
        <f>+AF753*Analisis!$J$8</f>
        <v>328.13902978053579</v>
      </c>
      <c r="AH753" s="309">
        <f t="shared" si="98"/>
        <v>1736.9105047110465</v>
      </c>
      <c r="AI753" s="86">
        <f>+AH753/(1-Analisis!G758)</f>
        <v>1736.9105047110465</v>
      </c>
      <c r="AJ753" s="86">
        <f t="shared" si="107"/>
        <v>1867.6457039903728</v>
      </c>
      <c r="AK753" s="86">
        <f t="shared" si="99"/>
        <v>0</v>
      </c>
      <c r="AL753" s="310" t="e">
        <f>+VLOOKUP(B753,#REF!,2,FALSE)</f>
        <v>#REF!</v>
      </c>
      <c r="AM753" s="311" t="e">
        <f t="shared" si="97"/>
        <v>#REF!</v>
      </c>
      <c r="AN753" s="312" t="e">
        <f t="shared" si="110"/>
        <v>#REF!</v>
      </c>
    </row>
    <row r="754" spans="1:40" s="73" customFormat="1" x14ac:dyDescent="0.25">
      <c r="A754" s="313"/>
      <c r="B754" s="118" t="s">
        <v>1467</v>
      </c>
      <c r="D754" s="74">
        <f>IFERROR(VLOOKUP(B754,'REQ. PINTADO'!B:C,2,0),0)</f>
        <v>0</v>
      </c>
      <c r="E754" s="305">
        <f t="shared" si="100"/>
        <v>477.18657518174251</v>
      </c>
      <c r="F754" s="103" t="s">
        <v>165</v>
      </c>
      <c r="G754" s="75" t="s">
        <v>147</v>
      </c>
      <c r="H754" s="90">
        <v>19.66</v>
      </c>
      <c r="I754" s="90">
        <v>23.082999999999998</v>
      </c>
      <c r="J754" s="76">
        <v>0.105</v>
      </c>
      <c r="K754" s="306">
        <v>16.38</v>
      </c>
      <c r="L754" s="78">
        <f t="shared" si="101"/>
        <v>25.332975966880351</v>
      </c>
      <c r="M754" s="58">
        <f>+VLOOKUP(F754,Material!$H$2:$M$17,6,FALSE)*H754*I754*(1+Material!$K$14)</f>
        <v>188.61552106250002</v>
      </c>
      <c r="N754" s="79" t="str">
        <f t="shared" si="109"/>
        <v>T5.0</v>
      </c>
      <c r="O754" s="80">
        <f>+VLOOKUP(N754,[3]Material!$A$3:$B$58,2,FALSE)</f>
        <v>5000</v>
      </c>
      <c r="P754" s="79" t="s">
        <v>42</v>
      </c>
      <c r="Q754" s="79" t="str">
        <f>+VLOOKUP(F754,[3]Material!$C$2:$E$12,2,FALSE)</f>
        <v>Cal 14</v>
      </c>
      <c r="R754" s="81">
        <f>+IF(P754="ACERO A36",VLOOKUP(Q754,'[3]Velocidades Std 1500 w'!$B$2:$F$15,5,FALSE),IF(P754="INOXIDABLE",VLOOKUP(Q754,'[3]Velocidades Std 1500 w'!$B$17:$F$28,5,FALSE),IF(P754="ALUMINIO",VLOOKUP(Q754,'[3]Velocidades Std 1500 w'!$B$30:$F$38,5,FALSE))))</f>
        <v>2.0080321285140564E-6</v>
      </c>
      <c r="S754" s="82">
        <f t="shared" si="102"/>
        <v>1.0040160642570283E-2</v>
      </c>
      <c r="T754" s="83">
        <f t="shared" si="103"/>
        <v>26.603035807228917</v>
      </c>
      <c r="U754" s="307">
        <f t="shared" si="111"/>
        <v>3680.0866199999996</v>
      </c>
      <c r="V754" s="80">
        <f t="shared" si="108"/>
        <v>36.948660843373496</v>
      </c>
      <c r="W754" s="98">
        <v>35</v>
      </c>
      <c r="X754" s="84">
        <f>+IF(P754="ACERO A36",VLOOKUP(Q754,'[3]Tiempo Objeto'!$B$2:$C$12,2,FALSE),IF(P754="INOXIDABLE",VLOOKUP(Q754,'[3]Tiempo Objeto'!$B$14:$C$22,2,FALSE),IF(P754="ALUMINIO",VLOOKUP(Q754,'[3]Tiempo Objeto'!$B$24:$C$32,2,FALSE))))</f>
        <v>0.3133333333333333</v>
      </c>
      <c r="Y754" s="84">
        <f t="shared" si="104"/>
        <v>10.966666666666665</v>
      </c>
      <c r="Z754" s="80">
        <f t="shared" si="105"/>
        <v>15.231481481481481</v>
      </c>
      <c r="AA754" s="100">
        <v>5</v>
      </c>
      <c r="AB754" s="86">
        <f>+AA754*Analisis!$J$6</f>
        <v>125</v>
      </c>
      <c r="AC754" s="100"/>
      <c r="AD754" s="85">
        <f t="shared" si="106"/>
        <v>0</v>
      </c>
      <c r="AE754" s="86">
        <f>+AC754*Analisis!$J$7</f>
        <v>0</v>
      </c>
      <c r="AF754" s="308">
        <f>+H754*0.0254*I754*0.0254*2*(1+[3]Analisis!$G$2)</f>
        <v>0.73195301996199991</v>
      </c>
      <c r="AG754" s="86">
        <f>+AF754*Analisis!$J$8</f>
        <v>77.987851531665484</v>
      </c>
      <c r="AH754" s="309">
        <f t="shared" si="98"/>
        <v>443.78351491902049</v>
      </c>
      <c r="AI754" s="86">
        <f>+AH754/(1-Analisis!G759)</f>
        <v>443.78351491902049</v>
      </c>
      <c r="AJ754" s="86">
        <f t="shared" si="107"/>
        <v>477.18657518174251</v>
      </c>
      <c r="AK754" s="86">
        <f t="shared" si="99"/>
        <v>0</v>
      </c>
      <c r="AL754" s="310" t="e">
        <f>+VLOOKUP(B754,#REF!,2,FALSE)</f>
        <v>#REF!</v>
      </c>
      <c r="AM754" s="311" t="e">
        <f t="shared" si="97"/>
        <v>#REF!</v>
      </c>
      <c r="AN754" s="312" t="e">
        <f t="shared" si="110"/>
        <v>#REF!</v>
      </c>
    </row>
    <row r="755" spans="1:40" s="73" customFormat="1" x14ac:dyDescent="0.25">
      <c r="A755" s="313"/>
      <c r="B755" s="118" t="s">
        <v>1468</v>
      </c>
      <c r="D755" s="74">
        <f>IFERROR(VLOOKUP(B755,'REQ. PINTADO'!B:C,2,0),0)</f>
        <v>0</v>
      </c>
      <c r="E755" s="305">
        <f t="shared" si="100"/>
        <v>258.25993191039913</v>
      </c>
      <c r="F755" s="103" t="s">
        <v>163</v>
      </c>
      <c r="G755" s="75" t="s">
        <v>147</v>
      </c>
      <c r="H755" s="90">
        <v>4.5529999999999999</v>
      </c>
      <c r="I755" s="90">
        <v>22.664999999999999</v>
      </c>
      <c r="J755" s="76">
        <v>0.105</v>
      </c>
      <c r="K755" s="306">
        <v>16.38</v>
      </c>
      <c r="L755" s="78">
        <f t="shared" si="101"/>
        <v>5.2025422925173883</v>
      </c>
      <c r="M755" s="58">
        <f>+VLOOKUP(F755,Material!$H$2:$M$17,6,FALSE)*H755*I755*(1+Material!$K$14)</f>
        <v>38.735292159743089</v>
      </c>
      <c r="N755" s="79" t="str">
        <f t="shared" si="109"/>
        <v>T5.0</v>
      </c>
      <c r="O755" s="80">
        <f>+VLOOKUP(N755,[3]Material!$A$3:$B$58,2,FALSE)</f>
        <v>5000</v>
      </c>
      <c r="P755" s="79" t="s">
        <v>42</v>
      </c>
      <c r="Q755" s="79" t="str">
        <f>+VLOOKUP(F755,[3]Material!$C$2:$E$12,2,FALSE)</f>
        <v>Cal 12</v>
      </c>
      <c r="R755" s="81">
        <f>+IF(P755="ACERO A36",VLOOKUP(Q755,'[3]Velocidades Std 1500 w'!$B$2:$F$15,5,FALSE),IF(P755="INOXIDABLE",VLOOKUP(Q755,'[3]Velocidades Std 1500 w'!$B$17:$F$28,5,FALSE),IF(P755="ALUMINIO",VLOOKUP(Q755,'[3]Velocidades Std 1500 w'!$B$30:$F$38,5,FALSE))))</f>
        <v>4.3859649122807014E-6</v>
      </c>
      <c r="S755" s="82">
        <f t="shared" si="102"/>
        <v>2.1929824561403508E-2</v>
      </c>
      <c r="T755" s="83">
        <f t="shared" si="103"/>
        <v>41.873022947368412</v>
      </c>
      <c r="U755" s="307">
        <f t="shared" si="111"/>
        <v>2651.9581199999998</v>
      </c>
      <c r="V755" s="80">
        <f t="shared" si="108"/>
        <v>58.156976315789464</v>
      </c>
      <c r="W755" s="98">
        <v>30</v>
      </c>
      <c r="X755" s="84">
        <f>+IF(P755="ACERO A36",VLOOKUP(Q755,'[3]Tiempo Objeto'!$B$2:$C$12,2,FALSE),IF(P755="INOXIDABLE",VLOOKUP(Q755,'[3]Tiempo Objeto'!$B$14:$C$22,2,FALSE),IF(P755="ALUMINIO",VLOOKUP(Q755,'[3]Tiempo Objeto'!$B$24:$C$32,2,FALSE))))</f>
        <v>0.6133333333333334</v>
      </c>
      <c r="Y755" s="84">
        <f t="shared" si="104"/>
        <v>18.400000000000002</v>
      </c>
      <c r="Z755" s="80">
        <f t="shared" si="105"/>
        <v>25.555555555555561</v>
      </c>
      <c r="AA755" s="100">
        <v>4</v>
      </c>
      <c r="AB755" s="86">
        <f>+AA755*Analisis!$J$6</f>
        <v>100</v>
      </c>
      <c r="AC755" s="100"/>
      <c r="AD755" s="85">
        <f t="shared" si="106"/>
        <v>0</v>
      </c>
      <c r="AE755" s="86">
        <f>+AC755*Analisis!$J$7</f>
        <v>0</v>
      </c>
      <c r="AF755" s="308">
        <f>+H755*0.0254*I755*0.0254*2*(1+[3]Analisis!$G$2)</f>
        <v>0.16644119131049995</v>
      </c>
      <c r="AG755" s="86">
        <f>+AF755*Analisis!$J$8</f>
        <v>17.733912645583036</v>
      </c>
      <c r="AH755" s="309">
        <f t="shared" ref="AH755:AH818" si="112">+AE755+AB755+Z755+V755+M755+AG755</f>
        <v>240.18173667667116</v>
      </c>
      <c r="AI755" s="86">
        <f>+AH755/(1-Analisis!G760)</f>
        <v>240.18173667667116</v>
      </c>
      <c r="AJ755" s="86">
        <f t="shared" si="107"/>
        <v>258.25993191039913</v>
      </c>
      <c r="AK755" s="86">
        <f t="shared" ref="AK755:AK818" si="113">+AJ755*D755</f>
        <v>0</v>
      </c>
      <c r="AL755" s="310" t="e">
        <f>+VLOOKUP(B755,#REF!,2,FALSE)</f>
        <v>#REF!</v>
      </c>
      <c r="AM755" s="311" t="e">
        <f t="shared" si="97"/>
        <v>#REF!</v>
      </c>
      <c r="AN755" s="312" t="e">
        <f t="shared" si="110"/>
        <v>#REF!</v>
      </c>
    </row>
    <row r="756" spans="1:40" s="73" customFormat="1" x14ac:dyDescent="0.25">
      <c r="A756" s="313"/>
      <c r="B756" s="118" t="s">
        <v>1465</v>
      </c>
      <c r="D756" s="74">
        <f>IFERROR(VLOOKUP(B756,'REQ. PINTADO'!B:C,2,0),0)</f>
        <v>0</v>
      </c>
      <c r="E756" s="305">
        <f t="shared" si="100"/>
        <v>2419.0835719107299</v>
      </c>
      <c r="F756" s="103" t="s">
        <v>163</v>
      </c>
      <c r="G756" s="75" t="s">
        <v>147</v>
      </c>
      <c r="H756" s="90">
        <v>30.85</v>
      </c>
      <c r="I756" s="90">
        <v>91.58</v>
      </c>
      <c r="J756" s="76">
        <v>0.105</v>
      </c>
      <c r="K756" s="306">
        <v>16.38</v>
      </c>
      <c r="L756" s="78">
        <f t="shared" si="101"/>
        <v>142.43543728487325</v>
      </c>
      <c r="M756" s="58">
        <f>+VLOOKUP(F756,Material!$H$2:$M$17,6,FALSE)*H756*I756*(1+Material!$K$14)</f>
        <v>1060.4965739664651</v>
      </c>
      <c r="N756" s="79" t="str">
        <f t="shared" si="109"/>
        <v>T5.0</v>
      </c>
      <c r="O756" s="80">
        <f>+VLOOKUP(N756,[3]Material!$A$3:$B$58,2,FALSE)</f>
        <v>5000</v>
      </c>
      <c r="P756" s="79" t="s">
        <v>42</v>
      </c>
      <c r="Q756" s="79" t="str">
        <f>+VLOOKUP(F756,[3]Material!$C$2:$E$12,2,FALSE)</f>
        <v>Cal 12</v>
      </c>
      <c r="R756" s="81">
        <f>+IF(P756="ACERO A36",VLOOKUP(Q756,'[3]Velocidades Std 1500 w'!$B$2:$F$15,5,FALSE),IF(P756="INOXIDABLE",VLOOKUP(Q756,'[3]Velocidades Std 1500 w'!$B$17:$F$28,5,FALSE),IF(P756="ALUMINIO",VLOOKUP(Q756,'[3]Velocidades Std 1500 w'!$B$30:$F$38,5,FALSE))))</f>
        <v>4.3859649122807014E-6</v>
      </c>
      <c r="S756" s="82">
        <f t="shared" si="102"/>
        <v>2.1929824561403508E-2</v>
      </c>
      <c r="T756" s="83">
        <f t="shared" si="103"/>
        <v>125.21986105263156</v>
      </c>
      <c r="U756" s="307">
        <f t="shared" si="111"/>
        <v>7930.5911999999998</v>
      </c>
      <c r="V756" s="80">
        <f t="shared" si="108"/>
        <v>173.9164736842105</v>
      </c>
      <c r="W756" s="98">
        <v>35</v>
      </c>
      <c r="X756" s="84">
        <f>+IF(P756="ACERO A36",VLOOKUP(Q756,'[3]Tiempo Objeto'!$B$2:$C$12,2,FALSE),IF(P756="INOXIDABLE",VLOOKUP(Q756,'[3]Tiempo Objeto'!$B$14:$C$22,2,FALSE),IF(P756="ALUMINIO",VLOOKUP(Q756,'[3]Tiempo Objeto'!$B$24:$C$32,2,FALSE))))</f>
        <v>0.6133333333333334</v>
      </c>
      <c r="Y756" s="84">
        <f t="shared" si="104"/>
        <v>21.466666666666669</v>
      </c>
      <c r="Z756" s="80">
        <f t="shared" si="105"/>
        <v>29.814814814814817</v>
      </c>
      <c r="AA756" s="100">
        <v>5</v>
      </c>
      <c r="AB756" s="86">
        <f>+AA756*Analisis!$J$6</f>
        <v>125</v>
      </c>
      <c r="AC756" s="100">
        <v>15</v>
      </c>
      <c r="AD756" s="85">
        <f t="shared" si="106"/>
        <v>450</v>
      </c>
      <c r="AE756" s="86">
        <f>+AC756*Analisis!$J$7</f>
        <v>375</v>
      </c>
      <c r="AF756" s="308">
        <f>+H756*0.0254*I756*0.0254*2*(1+[3]Analisis!$G$2)</f>
        <v>4.5568344346999998</v>
      </c>
      <c r="AG756" s="86">
        <f>+AF756*Analisis!$J$8</f>
        <v>485.5198594114882</v>
      </c>
      <c r="AH756" s="309">
        <f t="shared" si="112"/>
        <v>2249.7477218769786</v>
      </c>
      <c r="AI756" s="86">
        <f>+AH756/(1-Analisis!G761)</f>
        <v>2249.7477218769786</v>
      </c>
      <c r="AJ756" s="86">
        <f t="shared" si="107"/>
        <v>2419.0835719107299</v>
      </c>
      <c r="AK756" s="86">
        <f t="shared" si="113"/>
        <v>0</v>
      </c>
      <c r="AL756" s="310" t="e">
        <f>+VLOOKUP(B756,#REF!,2,FALSE)</f>
        <v>#REF!</v>
      </c>
      <c r="AM756" s="311" t="e">
        <f t="shared" si="97"/>
        <v>#REF!</v>
      </c>
      <c r="AN756" s="312" t="e">
        <f t="shared" si="110"/>
        <v>#REF!</v>
      </c>
    </row>
    <row r="757" spans="1:40" s="73" customFormat="1" x14ac:dyDescent="0.25">
      <c r="A757" s="313"/>
      <c r="B757" s="118" t="s">
        <v>1466</v>
      </c>
      <c r="D757" s="74">
        <f>IFERROR(VLOOKUP(B757,'REQ. PINTADO'!B:C,2,0),0)</f>
        <v>0</v>
      </c>
      <c r="E757" s="305">
        <f t="shared" si="100"/>
        <v>1867.6457039903728</v>
      </c>
      <c r="F757" s="103" t="s">
        <v>163</v>
      </c>
      <c r="G757" s="75" t="s">
        <v>147</v>
      </c>
      <c r="H757" s="90">
        <v>20.85</v>
      </c>
      <c r="I757" s="90">
        <v>91.58</v>
      </c>
      <c r="J757" s="76">
        <v>0.105</v>
      </c>
      <c r="K757" s="306">
        <v>16.38</v>
      </c>
      <c r="L757" s="78">
        <f t="shared" si="101"/>
        <v>96.265117257361666</v>
      </c>
      <c r="M757" s="58">
        <f>+VLOOKUP(F757,Material!$H$2:$M$17,6,FALSE)*H757*I757*(1+Material!$K$14)</f>
        <v>716.7375548525381</v>
      </c>
      <c r="N757" s="79" t="str">
        <f t="shared" si="109"/>
        <v>T5.0</v>
      </c>
      <c r="O757" s="80">
        <f>+VLOOKUP(N757,[3]Material!$A$3:$B$58,2,FALSE)</f>
        <v>5000</v>
      </c>
      <c r="P757" s="79" t="s">
        <v>42</v>
      </c>
      <c r="Q757" s="79" t="str">
        <f>+VLOOKUP(F757,[3]Material!$C$2:$E$12,2,FALSE)</f>
        <v>Cal 12</v>
      </c>
      <c r="R757" s="81">
        <f>+IF(P757="ACERO A36",VLOOKUP(Q757,'[3]Velocidades Std 1500 w'!$B$2:$F$15,5,FALSE),IF(P757="INOXIDABLE",VLOOKUP(Q757,'[3]Velocidades Std 1500 w'!$B$17:$F$28,5,FALSE),IF(P757="ALUMINIO",VLOOKUP(Q757,'[3]Velocidades Std 1500 w'!$B$30:$F$38,5,FALSE))))</f>
        <v>4.3859649122807014E-6</v>
      </c>
      <c r="S757" s="82">
        <f t="shared" si="102"/>
        <v>2.1929824561403508E-2</v>
      </c>
      <c r="T757" s="83">
        <f t="shared" si="103"/>
        <v>116.79775578947368</v>
      </c>
      <c r="U757" s="307">
        <f t="shared" si="111"/>
        <v>7397.1912000000002</v>
      </c>
      <c r="V757" s="80">
        <f t="shared" si="108"/>
        <v>162.2191052631579</v>
      </c>
      <c r="W757" s="98">
        <v>35</v>
      </c>
      <c r="X757" s="84">
        <f>+IF(P757="ACERO A36",VLOOKUP(Q757,'[3]Tiempo Objeto'!$B$2:$C$12,2,FALSE),IF(P757="INOXIDABLE",VLOOKUP(Q757,'[3]Tiempo Objeto'!$B$14:$C$22,2,FALSE),IF(P757="ALUMINIO",VLOOKUP(Q757,'[3]Tiempo Objeto'!$B$24:$C$32,2,FALSE))))</f>
        <v>0.6133333333333334</v>
      </c>
      <c r="Y757" s="84">
        <f t="shared" si="104"/>
        <v>21.466666666666669</v>
      </c>
      <c r="Z757" s="80">
        <f t="shared" si="105"/>
        <v>29.814814814814817</v>
      </c>
      <c r="AA757" s="100">
        <v>5</v>
      </c>
      <c r="AB757" s="86">
        <f>+AA757*Analisis!$J$6</f>
        <v>125</v>
      </c>
      <c r="AC757" s="100">
        <v>15</v>
      </c>
      <c r="AD757" s="85">
        <f t="shared" si="106"/>
        <v>450</v>
      </c>
      <c r="AE757" s="86">
        <f>+AC757*Analisis!$J$7</f>
        <v>375</v>
      </c>
      <c r="AF757" s="308">
        <f>+H757*0.0254*I757*0.0254*2*(1+[3]Analisis!$G$2)</f>
        <v>3.0797406146999999</v>
      </c>
      <c r="AG757" s="86">
        <f>+AF757*Analisis!$J$8</f>
        <v>328.13902978053579</v>
      </c>
      <c r="AH757" s="309">
        <f t="shared" si="112"/>
        <v>1736.9105047110465</v>
      </c>
      <c r="AI757" s="86">
        <f>+AH757/(1-Analisis!G762)</f>
        <v>1736.9105047110465</v>
      </c>
      <c r="AJ757" s="86">
        <f t="shared" si="107"/>
        <v>1867.6457039903728</v>
      </c>
      <c r="AK757" s="86">
        <f t="shared" si="113"/>
        <v>0</v>
      </c>
      <c r="AL757" s="310" t="e">
        <f>+VLOOKUP(B757,#REF!,2,FALSE)</f>
        <v>#REF!</v>
      </c>
      <c r="AM757" s="311" t="e">
        <f t="shared" si="97"/>
        <v>#REF!</v>
      </c>
      <c r="AN757" s="312" t="e">
        <f t="shared" si="110"/>
        <v>#REF!</v>
      </c>
    </row>
    <row r="758" spans="1:40" s="73" customFormat="1" x14ac:dyDescent="0.25">
      <c r="A758" s="313"/>
      <c r="B758" s="118" t="s">
        <v>1464</v>
      </c>
      <c r="D758" s="74">
        <f>IFERROR(VLOOKUP(B758,'REQ. PINTADO'!B:C,2,0),0)</f>
        <v>0</v>
      </c>
      <c r="E758" s="305">
        <f t="shared" si="100"/>
        <v>1179.7989643656124</v>
      </c>
      <c r="F758" s="103" t="s">
        <v>163</v>
      </c>
      <c r="G758" s="75" t="s">
        <v>147</v>
      </c>
      <c r="H758" s="90">
        <v>45.83</v>
      </c>
      <c r="I758" s="90">
        <v>33.020000000000003</v>
      </c>
      <c r="J758" s="76">
        <v>0.105</v>
      </c>
      <c r="K758" s="306">
        <v>16.38</v>
      </c>
      <c r="L758" s="78">
        <f t="shared" si="101"/>
        <v>76.29378687676946</v>
      </c>
      <c r="M758" s="58">
        <f>+VLOOKUP(F758,Material!$H$2:$M$17,6,FALSE)*H758*I758*(1+Material!$K$14)</f>
        <v>568.04192229158343</v>
      </c>
      <c r="N758" s="79" t="str">
        <f t="shared" si="109"/>
        <v>T5.0</v>
      </c>
      <c r="O758" s="80">
        <f>+VLOOKUP(N758,[3]Material!$A$3:$B$58,2,FALSE)</f>
        <v>5000</v>
      </c>
      <c r="P758" s="79" t="s">
        <v>42</v>
      </c>
      <c r="Q758" s="79" t="str">
        <f>+VLOOKUP(F758,[3]Material!$C$2:$E$12,2,FALSE)</f>
        <v>Cal 12</v>
      </c>
      <c r="R758" s="81">
        <f>+IF(P758="ACERO A36",VLOOKUP(Q758,'[3]Velocidades Std 1500 w'!$B$2:$F$15,5,FALSE),IF(P758="INOXIDABLE",VLOOKUP(Q758,'[3]Velocidades Std 1500 w'!$B$17:$F$28,5,FALSE),IF(P758="ALUMINIO",VLOOKUP(Q758,'[3]Velocidades Std 1500 w'!$B$30:$F$38,5,FALSE))))</f>
        <v>4.3859649122807014E-6</v>
      </c>
      <c r="S758" s="82">
        <f t="shared" si="102"/>
        <v>2.1929824561403508E-2</v>
      </c>
      <c r="T758" s="83">
        <f t="shared" si="103"/>
        <v>85.358036842105236</v>
      </c>
      <c r="U758" s="307">
        <f t="shared" si="111"/>
        <v>5406.0089999999991</v>
      </c>
      <c r="V758" s="80">
        <f t="shared" si="108"/>
        <v>118.5528289473684</v>
      </c>
      <c r="W758" s="98">
        <v>30</v>
      </c>
      <c r="X758" s="84">
        <f>+IF(P758="ACERO A36",VLOOKUP(Q758,'[3]Tiempo Objeto'!$B$2:$C$12,2,FALSE),IF(P758="INOXIDABLE",VLOOKUP(Q758,'[3]Tiempo Objeto'!$B$14:$C$22,2,FALSE),IF(P758="ALUMINIO",VLOOKUP(Q758,'[3]Tiempo Objeto'!$B$24:$C$32,2,FALSE))))</f>
        <v>0.6133333333333334</v>
      </c>
      <c r="Y758" s="84">
        <f t="shared" si="104"/>
        <v>18.400000000000002</v>
      </c>
      <c r="Z758" s="80">
        <f t="shared" si="105"/>
        <v>25.555555555555561</v>
      </c>
      <c r="AA758" s="100">
        <v>5</v>
      </c>
      <c r="AB758" s="86">
        <f>+AA758*Analisis!$J$6</f>
        <v>125</v>
      </c>
      <c r="AC758" s="100"/>
      <c r="AD758" s="85">
        <f t="shared" si="106"/>
        <v>0</v>
      </c>
      <c r="AE758" s="86">
        <f>+AC758*Analisis!$J$7</f>
        <v>0</v>
      </c>
      <c r="AF758" s="308">
        <f>+H758*0.0254*I758*0.0254*2*(1+[3]Analisis!$G$2)</f>
        <v>2.4408122151399998</v>
      </c>
      <c r="AG758" s="86">
        <f>+AF758*Analisis!$J$8</f>
        <v>260.06273006551197</v>
      </c>
      <c r="AH758" s="309">
        <f t="shared" si="112"/>
        <v>1097.2130368600194</v>
      </c>
      <c r="AI758" s="86">
        <f>+AH758/(1-Analisis!G763)</f>
        <v>1097.2130368600194</v>
      </c>
      <c r="AJ758" s="86">
        <f t="shared" si="107"/>
        <v>1179.7989643656124</v>
      </c>
      <c r="AK758" s="86">
        <f t="shared" si="113"/>
        <v>0</v>
      </c>
      <c r="AL758" s="310" t="e">
        <f>+VLOOKUP(B758,#REF!,2,FALSE)</f>
        <v>#REF!</v>
      </c>
      <c r="AM758" s="311" t="e">
        <f t="shared" si="97"/>
        <v>#REF!</v>
      </c>
      <c r="AN758" s="312" t="e">
        <f t="shared" si="110"/>
        <v>#REF!</v>
      </c>
    </row>
    <row r="759" spans="1:40" s="73" customFormat="1" x14ac:dyDescent="0.25">
      <c r="A759" s="313"/>
      <c r="B759" s="118" t="s">
        <v>1463</v>
      </c>
      <c r="D759" s="74">
        <f>IFERROR(VLOOKUP(B759,'REQ. PINTADO'!B:C,2,0),0)</f>
        <v>0</v>
      </c>
      <c r="E759" s="305">
        <f t="shared" si="100"/>
        <v>1179.7989643656124</v>
      </c>
      <c r="F759" s="103" t="s">
        <v>163</v>
      </c>
      <c r="G759" s="75" t="s">
        <v>147</v>
      </c>
      <c r="H759" s="90">
        <v>45.83</v>
      </c>
      <c r="I759" s="90">
        <v>33.020000000000003</v>
      </c>
      <c r="J759" s="76">
        <v>0.105</v>
      </c>
      <c r="K759" s="306">
        <v>16.38</v>
      </c>
      <c r="L759" s="78">
        <f t="shared" si="101"/>
        <v>76.29378687676946</v>
      </c>
      <c r="M759" s="58">
        <f>+VLOOKUP(F759,Material!$H$2:$M$17,6,FALSE)*H759*I759*(1+Material!$K$14)</f>
        <v>568.04192229158343</v>
      </c>
      <c r="N759" s="79" t="str">
        <f t="shared" si="109"/>
        <v>T5.0</v>
      </c>
      <c r="O759" s="80">
        <f>+VLOOKUP(N759,[3]Material!$A$3:$B$58,2,FALSE)</f>
        <v>5000</v>
      </c>
      <c r="P759" s="79" t="s">
        <v>42</v>
      </c>
      <c r="Q759" s="79" t="str">
        <f>+VLOOKUP(F759,[3]Material!$C$2:$E$12,2,FALSE)</f>
        <v>Cal 12</v>
      </c>
      <c r="R759" s="81">
        <f>+IF(P759="ACERO A36",VLOOKUP(Q759,'[3]Velocidades Std 1500 w'!$B$2:$F$15,5,FALSE),IF(P759="INOXIDABLE",VLOOKUP(Q759,'[3]Velocidades Std 1500 w'!$B$17:$F$28,5,FALSE),IF(P759="ALUMINIO",VLOOKUP(Q759,'[3]Velocidades Std 1500 w'!$B$30:$F$38,5,FALSE))))</f>
        <v>4.3859649122807014E-6</v>
      </c>
      <c r="S759" s="82">
        <f t="shared" si="102"/>
        <v>2.1929824561403508E-2</v>
      </c>
      <c r="T759" s="83">
        <f t="shared" si="103"/>
        <v>85.358036842105236</v>
      </c>
      <c r="U759" s="307">
        <f t="shared" si="111"/>
        <v>5406.0089999999991</v>
      </c>
      <c r="V759" s="80">
        <f t="shared" si="108"/>
        <v>118.5528289473684</v>
      </c>
      <c r="W759" s="98">
        <v>30</v>
      </c>
      <c r="X759" s="84">
        <f>+IF(P759="ACERO A36",VLOOKUP(Q759,'[3]Tiempo Objeto'!$B$2:$C$12,2,FALSE),IF(P759="INOXIDABLE",VLOOKUP(Q759,'[3]Tiempo Objeto'!$B$14:$C$22,2,FALSE),IF(P759="ALUMINIO",VLOOKUP(Q759,'[3]Tiempo Objeto'!$B$24:$C$32,2,FALSE))))</f>
        <v>0.6133333333333334</v>
      </c>
      <c r="Y759" s="84">
        <f t="shared" si="104"/>
        <v>18.400000000000002</v>
      </c>
      <c r="Z759" s="80">
        <f t="shared" si="105"/>
        <v>25.555555555555561</v>
      </c>
      <c r="AA759" s="100">
        <v>5</v>
      </c>
      <c r="AB759" s="86">
        <f>+AA759*Analisis!$J$6</f>
        <v>125</v>
      </c>
      <c r="AC759" s="100"/>
      <c r="AD759" s="85">
        <f t="shared" si="106"/>
        <v>0</v>
      </c>
      <c r="AE759" s="86">
        <f>+AC759*Analisis!$J$7</f>
        <v>0</v>
      </c>
      <c r="AF759" s="308">
        <f>+H759*0.0254*I759*0.0254*2*(1+[3]Analisis!$G$2)</f>
        <v>2.4408122151399998</v>
      </c>
      <c r="AG759" s="86">
        <f>+AF759*Analisis!$J$8</f>
        <v>260.06273006551197</v>
      </c>
      <c r="AH759" s="309">
        <f t="shared" si="112"/>
        <v>1097.2130368600194</v>
      </c>
      <c r="AI759" s="86">
        <f>+AH759/(1-Analisis!G764)</f>
        <v>1097.2130368600194</v>
      </c>
      <c r="AJ759" s="86">
        <f t="shared" si="107"/>
        <v>1179.7989643656124</v>
      </c>
      <c r="AK759" s="86">
        <f t="shared" si="113"/>
        <v>0</v>
      </c>
      <c r="AL759" s="310" t="e">
        <f>+VLOOKUP(B759,#REF!,2,FALSE)</f>
        <v>#REF!</v>
      </c>
      <c r="AM759" s="311" t="e">
        <f t="shared" si="97"/>
        <v>#REF!</v>
      </c>
      <c r="AN759" s="312" t="e">
        <f t="shared" si="110"/>
        <v>#REF!</v>
      </c>
    </row>
    <row r="760" spans="1:40" s="73" customFormat="1" x14ac:dyDescent="0.25">
      <c r="A760" s="313"/>
      <c r="B760" s="118" t="s">
        <v>1467</v>
      </c>
      <c r="D760" s="74">
        <f>IFERROR(VLOOKUP(B760,'REQ. PINTADO'!B:C,2,0),0)</f>
        <v>0</v>
      </c>
      <c r="E760" s="305">
        <f t="shared" si="100"/>
        <v>510.97363853757605</v>
      </c>
      <c r="F760" s="103" t="s">
        <v>163</v>
      </c>
      <c r="G760" s="75" t="s">
        <v>147</v>
      </c>
      <c r="H760" s="90">
        <v>19.66</v>
      </c>
      <c r="I760" s="90">
        <v>23.082999999999998</v>
      </c>
      <c r="J760" s="76">
        <v>0.105</v>
      </c>
      <c r="K760" s="306">
        <v>16.38</v>
      </c>
      <c r="L760" s="78">
        <f t="shared" si="101"/>
        <v>22.879051228275479</v>
      </c>
      <c r="M760" s="58">
        <f>+VLOOKUP(F760,Material!$H$2:$M$17,6,FALSE)*H760*I760*(1+Material!$K$14)</f>
        <v>170.34493596325103</v>
      </c>
      <c r="N760" s="79" t="str">
        <f t="shared" si="109"/>
        <v>T5.0</v>
      </c>
      <c r="O760" s="80">
        <f>+VLOOKUP(N760,[3]Material!$A$3:$B$58,2,FALSE)</f>
        <v>5000</v>
      </c>
      <c r="P760" s="79" t="s">
        <v>42</v>
      </c>
      <c r="Q760" s="79" t="str">
        <f>+VLOOKUP(F760,[3]Material!$C$2:$E$12,2,FALSE)</f>
        <v>Cal 12</v>
      </c>
      <c r="R760" s="81">
        <f>+IF(P760="ACERO A36",VLOOKUP(Q760,'[3]Velocidades Std 1500 w'!$B$2:$F$15,5,FALSE),IF(P760="INOXIDABLE",VLOOKUP(Q760,'[3]Velocidades Std 1500 w'!$B$17:$F$28,5,FALSE),IF(P760="ALUMINIO",VLOOKUP(Q760,'[3]Velocidades Std 1500 w'!$B$30:$F$38,5,FALSE))))</f>
        <v>4.3859649122807014E-6</v>
      </c>
      <c r="S760" s="82">
        <f t="shared" si="102"/>
        <v>2.1929824561403508E-2</v>
      </c>
      <c r="T760" s="83">
        <f t="shared" si="103"/>
        <v>54.94834136842104</v>
      </c>
      <c r="U760" s="307">
        <f t="shared" si="111"/>
        <v>3480.0616199999995</v>
      </c>
      <c r="V760" s="80">
        <f t="shared" si="108"/>
        <v>76.317140789473669</v>
      </c>
      <c r="W760" s="98">
        <v>30</v>
      </c>
      <c r="X760" s="84">
        <f>+IF(P760="ACERO A36",VLOOKUP(Q760,'[3]Tiempo Objeto'!$B$2:$C$12,2,FALSE),IF(P760="INOXIDABLE",VLOOKUP(Q760,'[3]Tiempo Objeto'!$B$14:$C$22,2,FALSE),IF(P760="ALUMINIO",VLOOKUP(Q760,'[3]Tiempo Objeto'!$B$24:$C$32,2,FALSE))))</f>
        <v>0.6133333333333334</v>
      </c>
      <c r="Y760" s="84">
        <f t="shared" si="104"/>
        <v>18.400000000000002</v>
      </c>
      <c r="Z760" s="80">
        <f t="shared" si="105"/>
        <v>25.555555555555561</v>
      </c>
      <c r="AA760" s="100">
        <v>5</v>
      </c>
      <c r="AB760" s="86">
        <f>+AA760*Analisis!$J$6</f>
        <v>125</v>
      </c>
      <c r="AC760" s="100"/>
      <c r="AD760" s="85">
        <f t="shared" si="106"/>
        <v>0</v>
      </c>
      <c r="AE760" s="86">
        <f>+AC760*Analisis!$J$7</f>
        <v>0</v>
      </c>
      <c r="AF760" s="308">
        <f>+H760*0.0254*I760*0.0254*2*(1+[3]Analisis!$G$2)</f>
        <v>0.73195301996199991</v>
      </c>
      <c r="AG760" s="86">
        <f>+AF760*Analisis!$J$8</f>
        <v>77.987851531665484</v>
      </c>
      <c r="AH760" s="309">
        <f t="shared" si="112"/>
        <v>475.20548383994571</v>
      </c>
      <c r="AI760" s="86">
        <f>+AH760/(1-Analisis!G765)</f>
        <v>475.20548383994571</v>
      </c>
      <c r="AJ760" s="86">
        <f t="shared" si="107"/>
        <v>510.97363853757605</v>
      </c>
      <c r="AK760" s="86">
        <f t="shared" si="113"/>
        <v>0</v>
      </c>
      <c r="AL760" s="310" t="e">
        <f>+VLOOKUP(B760,#REF!,2,FALSE)</f>
        <v>#REF!</v>
      </c>
      <c r="AM760" s="311" t="e">
        <f t="shared" si="97"/>
        <v>#REF!</v>
      </c>
      <c r="AN760" s="312" t="e">
        <f t="shared" si="110"/>
        <v>#REF!</v>
      </c>
    </row>
    <row r="761" spans="1:40" s="73" customFormat="1" x14ac:dyDescent="0.25">
      <c r="A761" s="313"/>
      <c r="B761" s="118" t="s">
        <v>1468</v>
      </c>
      <c r="D761" s="74">
        <f>IFERROR(VLOOKUP(B761,'REQ. PINTADO'!B:C,2,0),0)</f>
        <v>0</v>
      </c>
      <c r="E761" s="305">
        <f t="shared" si="100"/>
        <v>258.25993191039913</v>
      </c>
      <c r="F761" s="103" t="s">
        <v>163</v>
      </c>
      <c r="G761" s="75" t="s">
        <v>147</v>
      </c>
      <c r="H761" s="90">
        <v>4.5529999999999999</v>
      </c>
      <c r="I761" s="90">
        <v>22.664999999999999</v>
      </c>
      <c r="J761" s="76">
        <v>0.105</v>
      </c>
      <c r="K761" s="306">
        <v>16.38</v>
      </c>
      <c r="L761" s="78">
        <f t="shared" si="101"/>
        <v>5.2025422925173883</v>
      </c>
      <c r="M761" s="58">
        <f>+VLOOKUP(F761,Material!$H$2:$M$17,6,FALSE)*H761*I761*(1+Material!$K$14)</f>
        <v>38.735292159743089</v>
      </c>
      <c r="N761" s="79" t="str">
        <f t="shared" si="109"/>
        <v>T5.0</v>
      </c>
      <c r="O761" s="80">
        <f>+VLOOKUP(N761,[3]Material!$A$3:$B$58,2,FALSE)</f>
        <v>5000</v>
      </c>
      <c r="P761" s="79" t="s">
        <v>42</v>
      </c>
      <c r="Q761" s="79" t="str">
        <f>+VLOOKUP(F761,[3]Material!$C$2:$E$12,2,FALSE)</f>
        <v>Cal 12</v>
      </c>
      <c r="R761" s="81">
        <f>+IF(P761="ACERO A36",VLOOKUP(Q761,'[3]Velocidades Std 1500 w'!$B$2:$F$15,5,FALSE),IF(P761="INOXIDABLE",VLOOKUP(Q761,'[3]Velocidades Std 1500 w'!$B$17:$F$28,5,FALSE),IF(P761="ALUMINIO",VLOOKUP(Q761,'[3]Velocidades Std 1500 w'!$B$30:$F$38,5,FALSE))))</f>
        <v>4.3859649122807014E-6</v>
      </c>
      <c r="S761" s="82">
        <f t="shared" si="102"/>
        <v>2.1929824561403508E-2</v>
      </c>
      <c r="T761" s="83">
        <f t="shared" si="103"/>
        <v>41.873022947368412</v>
      </c>
      <c r="U761" s="307">
        <f t="shared" si="111"/>
        <v>2651.9581199999998</v>
      </c>
      <c r="V761" s="80">
        <f t="shared" si="108"/>
        <v>58.156976315789464</v>
      </c>
      <c r="W761" s="98">
        <v>30</v>
      </c>
      <c r="X761" s="84">
        <f>+IF(P761="ACERO A36",VLOOKUP(Q761,'[3]Tiempo Objeto'!$B$2:$C$12,2,FALSE),IF(P761="INOXIDABLE",VLOOKUP(Q761,'[3]Tiempo Objeto'!$B$14:$C$22,2,FALSE),IF(P761="ALUMINIO",VLOOKUP(Q761,'[3]Tiempo Objeto'!$B$24:$C$32,2,FALSE))))</f>
        <v>0.6133333333333334</v>
      </c>
      <c r="Y761" s="84">
        <f t="shared" si="104"/>
        <v>18.400000000000002</v>
      </c>
      <c r="Z761" s="80">
        <f t="shared" si="105"/>
        <v>25.555555555555561</v>
      </c>
      <c r="AA761" s="100">
        <v>4</v>
      </c>
      <c r="AB761" s="86">
        <f>+AA761*Analisis!$J$6</f>
        <v>100</v>
      </c>
      <c r="AC761" s="100"/>
      <c r="AD761" s="85">
        <f t="shared" si="106"/>
        <v>0</v>
      </c>
      <c r="AE761" s="86">
        <f>+AC761*Analisis!$J$7</f>
        <v>0</v>
      </c>
      <c r="AF761" s="308">
        <f>+H761*0.0254*I761*0.0254*2*(1+[3]Analisis!$G$2)</f>
        <v>0.16644119131049995</v>
      </c>
      <c r="AG761" s="86">
        <f>+AF761*Analisis!$J$8</f>
        <v>17.733912645583036</v>
      </c>
      <c r="AH761" s="309">
        <f t="shared" si="112"/>
        <v>240.18173667667116</v>
      </c>
      <c r="AI761" s="86">
        <f>+AH761/(1-Analisis!G766)</f>
        <v>240.18173667667116</v>
      </c>
      <c r="AJ761" s="86">
        <f t="shared" si="107"/>
        <v>258.25993191039913</v>
      </c>
      <c r="AK761" s="86">
        <f t="shared" si="113"/>
        <v>0</v>
      </c>
      <c r="AL761" s="310" t="e">
        <f>+VLOOKUP(B761,#REF!,2,FALSE)</f>
        <v>#REF!</v>
      </c>
      <c r="AM761" s="311" t="e">
        <f t="shared" si="97"/>
        <v>#REF!</v>
      </c>
      <c r="AN761" s="312" t="e">
        <f t="shared" si="110"/>
        <v>#REF!</v>
      </c>
    </row>
    <row r="762" spans="1:40" s="73" customFormat="1" x14ac:dyDescent="0.25">
      <c r="A762" s="313"/>
      <c r="B762" s="314" t="s">
        <v>1469</v>
      </c>
      <c r="D762" s="74">
        <f>IFERROR(VLOOKUP(B762,'REQ. PINTADO'!B:C,2,0),0)</f>
        <v>0</v>
      </c>
      <c r="E762" s="305">
        <f t="shared" si="100"/>
        <v>1843.238623635302</v>
      </c>
      <c r="F762" s="103" t="s">
        <v>163</v>
      </c>
      <c r="G762" s="75" t="s">
        <v>147</v>
      </c>
      <c r="H762" s="90">
        <v>22.56</v>
      </c>
      <c r="I762" s="90">
        <v>95.79</v>
      </c>
      <c r="J762" s="76">
        <v>0.105</v>
      </c>
      <c r="K762" s="306">
        <v>16.38</v>
      </c>
      <c r="L762" s="78">
        <f t="shared" si="101"/>
        <v>108.94856496464421</v>
      </c>
      <c r="M762" s="58">
        <f>+VLOOKUP(F762,Material!$H$2:$M$17,6,FALSE)*H762*I762*(1+Material!$K$14)</f>
        <v>811.17158823675993</v>
      </c>
      <c r="N762" s="79" t="str">
        <f t="shared" si="109"/>
        <v>T5.0</v>
      </c>
      <c r="O762" s="80">
        <f>+VLOOKUP(N762,[3]Material!$A$3:$B$58,2,FALSE)</f>
        <v>5000</v>
      </c>
      <c r="P762" s="79" t="s">
        <v>42</v>
      </c>
      <c r="Q762" s="79" t="str">
        <f>+VLOOKUP(F762,[3]Material!$C$2:$E$12,2,FALSE)</f>
        <v>Cal 12</v>
      </c>
      <c r="R762" s="81">
        <f>+IF(P762="ACERO A36",VLOOKUP(Q762,'[3]Velocidades Std 1500 w'!$B$2:$F$15,5,FALSE),IF(P762="INOXIDABLE",VLOOKUP(Q762,'[3]Velocidades Std 1500 w'!$B$17:$F$28,5,FALSE),IF(P762="ALUMINIO",VLOOKUP(Q762,'[3]Velocidades Std 1500 w'!$B$30:$F$38,5,FALSE))))</f>
        <v>4.3859649122807014E-6</v>
      </c>
      <c r="S762" s="82">
        <f t="shared" si="102"/>
        <v>2.1929824561403508E-2</v>
      </c>
      <c r="T762" s="83">
        <f t="shared" si="103"/>
        <v>115.46706315789474</v>
      </c>
      <c r="U762" s="307">
        <f t="shared" si="111"/>
        <v>7312.9140000000016</v>
      </c>
      <c r="V762" s="80">
        <f t="shared" si="108"/>
        <v>160.37092105263162</v>
      </c>
      <c r="W762" s="98">
        <v>25</v>
      </c>
      <c r="X762" s="84">
        <f>+IF(P762="ACERO A36",VLOOKUP(Q762,'[3]Tiempo Objeto'!$B$2:$C$12,2,FALSE),IF(P762="INOXIDABLE",VLOOKUP(Q762,'[3]Tiempo Objeto'!$B$14:$C$22,2,FALSE),IF(P762="ALUMINIO",VLOOKUP(Q762,'[3]Tiempo Objeto'!$B$24:$C$32,2,FALSE))))</f>
        <v>0.6133333333333334</v>
      </c>
      <c r="Y762" s="84">
        <f t="shared" si="104"/>
        <v>15.333333333333336</v>
      </c>
      <c r="Z762" s="80">
        <f t="shared" si="105"/>
        <v>21.296296296296298</v>
      </c>
      <c r="AA762" s="100">
        <v>4</v>
      </c>
      <c r="AB762" s="86">
        <f>+AA762*Analisis!$J$6</f>
        <v>100</v>
      </c>
      <c r="AC762" s="100">
        <v>10</v>
      </c>
      <c r="AD762" s="85">
        <f t="shared" si="106"/>
        <v>300</v>
      </c>
      <c r="AE762" s="86">
        <f>+AC762*Analisis!$J$7</f>
        <v>250</v>
      </c>
      <c r="AF762" s="308">
        <f>+H762*0.0254*I762*0.0254*2*(1+[3]Analisis!$G$2)</f>
        <v>3.4855130289599998</v>
      </c>
      <c r="AG762" s="86">
        <f>+AF762*Analisis!$J$8</f>
        <v>371.37311439514292</v>
      </c>
      <c r="AH762" s="309">
        <f t="shared" si="112"/>
        <v>1714.2119199808308</v>
      </c>
      <c r="AI762" s="86">
        <f>+AH762/(1-Analisis!G767)</f>
        <v>1714.2119199808308</v>
      </c>
      <c r="AJ762" s="86">
        <f t="shared" si="107"/>
        <v>1843.238623635302</v>
      </c>
      <c r="AK762" s="86">
        <f t="shared" si="113"/>
        <v>0</v>
      </c>
      <c r="AL762" s="310" t="e">
        <f>+VLOOKUP(B762,#REF!,2,FALSE)</f>
        <v>#REF!</v>
      </c>
      <c r="AM762" s="311" t="e">
        <f t="shared" si="97"/>
        <v>#REF!</v>
      </c>
      <c r="AN762" s="312" t="e">
        <f t="shared" si="110"/>
        <v>#REF!</v>
      </c>
    </row>
    <row r="763" spans="1:40" s="73" customFormat="1" x14ac:dyDescent="0.25">
      <c r="A763" s="313"/>
      <c r="B763" s="314" t="s">
        <v>1470</v>
      </c>
      <c r="D763" s="74">
        <f>IFERROR(VLOOKUP(B763,'REQ. PINTADO'!B:C,2,0),0)</f>
        <v>0</v>
      </c>
      <c r="E763" s="305">
        <f t="shared" si="100"/>
        <v>2419.4482847491768</v>
      </c>
      <c r="F763" s="103" t="s">
        <v>163</v>
      </c>
      <c r="G763" s="75" t="s">
        <v>147</v>
      </c>
      <c r="H763" s="90">
        <v>32.56</v>
      </c>
      <c r="I763" s="90">
        <v>95.79</v>
      </c>
      <c r="J763" s="76">
        <v>0.105</v>
      </c>
      <c r="K763" s="306">
        <v>16.38</v>
      </c>
      <c r="L763" s="78">
        <f t="shared" si="101"/>
        <v>157.2413685837241</v>
      </c>
      <c r="M763" s="58">
        <f>+VLOOKUP(F763,Material!$H$2:$M$17,6,FALSE)*H763*I763*(1+Material!$K$14)</f>
        <v>1170.733462455182</v>
      </c>
      <c r="N763" s="79" t="str">
        <f t="shared" si="109"/>
        <v>T5.0</v>
      </c>
      <c r="O763" s="80">
        <f>+VLOOKUP(N763,[3]Material!$A$3:$B$58,2,FALSE)</f>
        <v>5000</v>
      </c>
      <c r="P763" s="79" t="s">
        <v>42</v>
      </c>
      <c r="Q763" s="79" t="str">
        <f>+VLOOKUP(F763,[3]Material!$C$2:$E$12,2,FALSE)</f>
        <v>Cal 12</v>
      </c>
      <c r="R763" s="81">
        <f>+IF(P763="ACERO A36",VLOOKUP(Q763,'[3]Velocidades Std 1500 w'!$B$2:$F$15,5,FALSE),IF(P763="INOXIDABLE",VLOOKUP(Q763,'[3]Velocidades Std 1500 w'!$B$17:$F$28,5,FALSE),IF(P763="ALUMINIO",VLOOKUP(Q763,'[3]Velocidades Std 1500 w'!$B$30:$F$38,5,FALSE))))</f>
        <v>4.3859649122807014E-6</v>
      </c>
      <c r="S763" s="82">
        <f t="shared" si="102"/>
        <v>2.1929824561403508E-2</v>
      </c>
      <c r="T763" s="83">
        <f t="shared" si="103"/>
        <v>123.88916842105263</v>
      </c>
      <c r="U763" s="307">
        <f t="shared" si="111"/>
        <v>7846.3140000000003</v>
      </c>
      <c r="V763" s="80">
        <f t="shared" si="108"/>
        <v>172.06828947368422</v>
      </c>
      <c r="W763" s="98">
        <v>25</v>
      </c>
      <c r="X763" s="84">
        <f>+IF(P763="ACERO A36",VLOOKUP(Q763,'[3]Tiempo Objeto'!$B$2:$C$12,2,FALSE),IF(P763="INOXIDABLE",VLOOKUP(Q763,'[3]Tiempo Objeto'!$B$14:$C$22,2,FALSE),IF(P763="ALUMINIO",VLOOKUP(Q763,'[3]Tiempo Objeto'!$B$24:$C$32,2,FALSE))))</f>
        <v>0.6133333333333334</v>
      </c>
      <c r="Y763" s="84">
        <f t="shared" si="104"/>
        <v>15.333333333333336</v>
      </c>
      <c r="Z763" s="80">
        <f t="shared" si="105"/>
        <v>21.296296296296298</v>
      </c>
      <c r="AA763" s="100">
        <v>4</v>
      </c>
      <c r="AB763" s="86">
        <f>+AA763*Analisis!$J$6</f>
        <v>100</v>
      </c>
      <c r="AC763" s="100">
        <v>10</v>
      </c>
      <c r="AD763" s="85">
        <f t="shared" si="106"/>
        <v>300</v>
      </c>
      <c r="AE763" s="86">
        <f>+AC763*Analisis!$J$7</f>
        <v>250</v>
      </c>
      <c r="AF763" s="308">
        <f>+H763*0.0254*I763*0.0254*2*(1+[3]Analisis!$G$2)</f>
        <v>5.0305099389599999</v>
      </c>
      <c r="AG763" s="86">
        <f>+AF763*Analisis!$J$8</f>
        <v>535.98885659157156</v>
      </c>
      <c r="AH763" s="309">
        <f t="shared" si="112"/>
        <v>2250.0869048167342</v>
      </c>
      <c r="AI763" s="86">
        <f>+AH763/(1-Analisis!G768)</f>
        <v>2250.0869048167342</v>
      </c>
      <c r="AJ763" s="86">
        <f t="shared" si="107"/>
        <v>2419.4482847491768</v>
      </c>
      <c r="AK763" s="86">
        <f t="shared" si="113"/>
        <v>0</v>
      </c>
      <c r="AL763" s="310" t="e">
        <f>+VLOOKUP(B763,#REF!,2,FALSE)</f>
        <v>#REF!</v>
      </c>
      <c r="AM763" s="311" t="e">
        <f t="shared" si="97"/>
        <v>#REF!</v>
      </c>
      <c r="AN763" s="312" t="e">
        <f t="shared" si="110"/>
        <v>#REF!</v>
      </c>
    </row>
    <row r="764" spans="1:40" s="73" customFormat="1" x14ac:dyDescent="0.25">
      <c r="A764" s="313"/>
      <c r="B764" s="330" t="s">
        <v>1471</v>
      </c>
      <c r="D764" s="74">
        <f>IFERROR(VLOOKUP(B764,'REQ. PINTADO'!B:C,2,0),0)</f>
        <v>0</v>
      </c>
      <c r="E764" s="305">
        <f t="shared" si="100"/>
        <v>85.130895330696077</v>
      </c>
      <c r="F764" s="103" t="s">
        <v>166</v>
      </c>
      <c r="G764" s="75" t="s">
        <v>147</v>
      </c>
      <c r="H764" s="90">
        <v>8.15</v>
      </c>
      <c r="I764" s="90">
        <v>21.5</v>
      </c>
      <c r="J764" s="76">
        <v>0.105</v>
      </c>
      <c r="K764" s="306">
        <v>16.38</v>
      </c>
      <c r="L764" s="78">
        <f t="shared" si="101"/>
        <v>5.3340862466729364</v>
      </c>
      <c r="M764" s="58">
        <f>+VLOOKUP(F764,Material!$H$2:$M$17,6,FALSE)*H764*I764*(1+Material!$K$14)</f>
        <v>39.71469669113759</v>
      </c>
      <c r="N764" s="79" t="str">
        <f t="shared" si="109"/>
        <v>T5.0</v>
      </c>
      <c r="O764" s="80">
        <f>+VLOOKUP(N764,[3]Material!$A$3:$B$58,2,FALSE)</f>
        <v>5000</v>
      </c>
      <c r="P764" s="79" t="s">
        <v>42</v>
      </c>
      <c r="Q764" s="79" t="str">
        <f>+VLOOKUP(F764,[3]Material!$C$2:$E$12,2,FALSE)</f>
        <v>Cal 16</v>
      </c>
      <c r="R764" s="81">
        <f>+IF(P764="ACERO A36",VLOOKUP(Q764,'[3]Velocidades Std 1500 w'!$B$2:$F$15,5,FALSE),IF(P764="INOXIDABLE",VLOOKUP(Q764,'[3]Velocidades Std 1500 w'!$B$17:$F$28,5,FALSE),IF(P764="ALUMINIO",VLOOKUP(Q764,'[3]Velocidades Std 1500 w'!$B$30:$F$38,5,FALSE))))</f>
        <v>9.1575091575091579E-7</v>
      </c>
      <c r="S764" s="82">
        <f t="shared" si="102"/>
        <v>4.578754578754579E-3</v>
      </c>
      <c r="T764" s="83">
        <f t="shared" si="103"/>
        <v>5.7413769230769232</v>
      </c>
      <c r="U764" s="307">
        <f t="shared" si="111"/>
        <v>1741.5509999999999</v>
      </c>
      <c r="V764" s="80">
        <f t="shared" si="108"/>
        <v>7.9741346153846155</v>
      </c>
      <c r="W764" s="98">
        <v>4</v>
      </c>
      <c r="X764" s="84">
        <f>+IF(P764="ACERO A36",VLOOKUP(Q764,'[3]Tiempo Objeto'!$B$2:$C$12,2,FALSE),IF(P764="INOXIDABLE",VLOOKUP(Q764,'[3]Tiempo Objeto'!$B$14:$C$22,2,FALSE),IF(P764="ALUMINIO",VLOOKUP(Q764,'[3]Tiempo Objeto'!$B$24:$C$32,2,FALSE))))</f>
        <v>0.24666666666666667</v>
      </c>
      <c r="Y764" s="84">
        <f t="shared" si="104"/>
        <v>0.98666666666666669</v>
      </c>
      <c r="Z764" s="80">
        <f t="shared" si="105"/>
        <v>1.3703703703703702</v>
      </c>
      <c r="AA764" s="100">
        <v>0</v>
      </c>
      <c r="AB764" s="86">
        <f>+AA764*Analisis!$J$6</f>
        <v>0</v>
      </c>
      <c r="AC764" s="100"/>
      <c r="AD764" s="85">
        <f t="shared" si="106"/>
        <v>0</v>
      </c>
      <c r="AE764" s="86">
        <f>+AC764*Analisis!$J$7</f>
        <v>0</v>
      </c>
      <c r="AF764" s="308">
        <f>+H764*0.0254*I764*0.0254*2*(1+[3]Analisis!$G$2)</f>
        <v>0.28262040249999998</v>
      </c>
      <c r="AG764" s="86">
        <f>+AF764*Analisis!$J$8</f>
        <v>30.112530980654768</v>
      </c>
      <c r="AH764" s="309">
        <f t="shared" si="112"/>
        <v>79.171732657547352</v>
      </c>
      <c r="AI764" s="86">
        <f>+AH764/(1-Analisis!G769)</f>
        <v>79.171732657547352</v>
      </c>
      <c r="AJ764" s="86">
        <f t="shared" si="107"/>
        <v>85.130895330696077</v>
      </c>
      <c r="AK764" s="86">
        <f t="shared" si="113"/>
        <v>0</v>
      </c>
      <c r="AL764" s="310" t="e">
        <f>+VLOOKUP(B764,#REF!,2,FALSE)</f>
        <v>#REF!</v>
      </c>
      <c r="AM764" s="311" t="e">
        <f t="shared" si="97"/>
        <v>#REF!</v>
      </c>
      <c r="AN764" s="312" t="e">
        <f t="shared" si="110"/>
        <v>#REF!</v>
      </c>
    </row>
    <row r="765" spans="1:40" s="73" customFormat="1" x14ac:dyDescent="0.25">
      <c r="A765" s="313"/>
      <c r="B765" s="330" t="s">
        <v>1472</v>
      </c>
      <c r="D765" s="74">
        <f>IFERROR(VLOOKUP(B765,'REQ. PINTADO'!B:C,2,0),0)</f>
        <v>0</v>
      </c>
      <c r="E765" s="305">
        <f t="shared" si="100"/>
        <v>122.67937705625441</v>
      </c>
      <c r="F765" s="103" t="s">
        <v>166</v>
      </c>
      <c r="G765" s="75" t="s">
        <v>147</v>
      </c>
      <c r="H765" s="90">
        <v>8.15</v>
      </c>
      <c r="I765" s="90">
        <v>31.5</v>
      </c>
      <c r="J765" s="76">
        <v>0.105</v>
      </c>
      <c r="K765" s="306">
        <v>16.38</v>
      </c>
      <c r="L765" s="78">
        <f t="shared" si="101"/>
        <v>7.8150565939626757</v>
      </c>
      <c r="M765" s="58">
        <f>+VLOOKUP(F765,Material!$H$2:$M$17,6,FALSE)*H765*I765*(1+Material!$K$14)</f>
        <v>58.186648640503911</v>
      </c>
      <c r="N765" s="79" t="str">
        <f t="shared" si="109"/>
        <v>T5.0</v>
      </c>
      <c r="O765" s="80">
        <f>+VLOOKUP(N765,[3]Material!$A$3:$B$58,2,FALSE)</f>
        <v>5000</v>
      </c>
      <c r="P765" s="79" t="s">
        <v>42</v>
      </c>
      <c r="Q765" s="79" t="str">
        <f>+VLOOKUP(F765,[3]Material!$C$2:$E$12,2,FALSE)</f>
        <v>Cal 16</v>
      </c>
      <c r="R765" s="81">
        <f>+IF(P765="ACERO A36",VLOOKUP(Q765,'[3]Velocidades Std 1500 w'!$B$2:$F$15,5,FALSE),IF(P765="INOXIDABLE",VLOOKUP(Q765,'[3]Velocidades Std 1500 w'!$B$17:$F$28,5,FALSE),IF(P765="ALUMINIO",VLOOKUP(Q765,'[3]Velocidades Std 1500 w'!$B$30:$F$38,5,FALSE))))</f>
        <v>9.1575091575091579E-7</v>
      </c>
      <c r="S765" s="82">
        <f t="shared" si="102"/>
        <v>4.578754578754579E-3</v>
      </c>
      <c r="T765" s="83">
        <f t="shared" si="103"/>
        <v>7.4998384615384612</v>
      </c>
      <c r="U765" s="307">
        <f t="shared" si="111"/>
        <v>2274.951</v>
      </c>
      <c r="V765" s="80">
        <f t="shared" si="108"/>
        <v>10.416442307692309</v>
      </c>
      <c r="W765" s="98">
        <v>4</v>
      </c>
      <c r="X765" s="84">
        <f>+IF(P765="ACERO A36",VLOOKUP(Q765,'[3]Tiempo Objeto'!$B$2:$C$12,2,FALSE),IF(P765="INOXIDABLE",VLOOKUP(Q765,'[3]Tiempo Objeto'!$B$14:$C$22,2,FALSE),IF(P765="ALUMINIO",VLOOKUP(Q765,'[3]Tiempo Objeto'!$B$24:$C$32,2,FALSE))))</f>
        <v>0.24666666666666667</v>
      </c>
      <c r="Y765" s="84">
        <f t="shared" si="104"/>
        <v>0.98666666666666669</v>
      </c>
      <c r="Z765" s="80">
        <f t="shared" si="105"/>
        <v>1.3703703703703702</v>
      </c>
      <c r="AA765" s="100">
        <v>0</v>
      </c>
      <c r="AB765" s="86">
        <f>+AA765*Analisis!$J$6</f>
        <v>0</v>
      </c>
      <c r="AC765" s="100"/>
      <c r="AD765" s="85">
        <f t="shared" si="106"/>
        <v>0</v>
      </c>
      <c r="AE765" s="86">
        <f>+AC765*Analisis!$J$7</f>
        <v>0</v>
      </c>
      <c r="AF765" s="308">
        <f>+H765*0.0254*I765*0.0254*2*(1+[3]Analisis!$G$2)</f>
        <v>0.41407175249999995</v>
      </c>
      <c r="AG765" s="86">
        <f>+AF765*Analisis!$J$8</f>
        <v>44.118359343750008</v>
      </c>
      <c r="AH765" s="309">
        <f t="shared" si="112"/>
        <v>114.09182066231659</v>
      </c>
      <c r="AI765" s="86">
        <f>+AH765/(1-Analisis!G770)</f>
        <v>114.09182066231659</v>
      </c>
      <c r="AJ765" s="86">
        <f t="shared" si="107"/>
        <v>122.67937705625441</v>
      </c>
      <c r="AK765" s="86">
        <f t="shared" si="113"/>
        <v>0</v>
      </c>
      <c r="AL765" s="310" t="e">
        <f>+VLOOKUP(B765,#REF!,2,FALSE)</f>
        <v>#REF!</v>
      </c>
      <c r="AM765" s="311" t="e">
        <f t="shared" si="97"/>
        <v>#REF!</v>
      </c>
      <c r="AN765" s="312" t="e">
        <f t="shared" si="110"/>
        <v>#REF!</v>
      </c>
    </row>
    <row r="766" spans="1:40" s="73" customFormat="1" x14ac:dyDescent="0.25">
      <c r="A766" s="313"/>
      <c r="B766" s="330" t="s">
        <v>1473</v>
      </c>
      <c r="D766" s="74">
        <f>IFERROR(VLOOKUP(B766,'REQ. PINTADO'!B:C,2,0),0)</f>
        <v>0</v>
      </c>
      <c r="E766" s="305">
        <f t="shared" ref="E766:E1020" si="114">+AJ766</f>
        <v>83.553436751278554</v>
      </c>
      <c r="F766" s="103" t="s">
        <v>166</v>
      </c>
      <c r="G766" s="75" t="s">
        <v>147</v>
      </c>
      <c r="H766" s="90">
        <v>9.6</v>
      </c>
      <c r="I766" s="90">
        <v>18</v>
      </c>
      <c r="J766" s="76">
        <v>0.105</v>
      </c>
      <c r="K766" s="306">
        <v>16.38</v>
      </c>
      <c r="L766" s="78">
        <f t="shared" ref="L766:L1020" si="115">+M766*2.2/K766</f>
        <v>5.2602659633333335</v>
      </c>
      <c r="M766" s="58">
        <f>+VLOOKUP(F766,Material!$H$2:$M$17,6,FALSE)*H766*I766*(1+Material!$K$14)</f>
        <v>39.165071126999997</v>
      </c>
      <c r="N766" s="79" t="str">
        <f t="shared" si="109"/>
        <v>T5.0</v>
      </c>
      <c r="O766" s="80">
        <f>+VLOOKUP(N766,[3]Material!$A$3:$B$58,2,FALSE)</f>
        <v>5000</v>
      </c>
      <c r="P766" s="79" t="s">
        <v>42</v>
      </c>
      <c r="Q766" s="79" t="str">
        <f>+VLOOKUP(F766,[3]Material!$C$2:$E$12,2,FALSE)</f>
        <v>Cal 16</v>
      </c>
      <c r="R766" s="81">
        <f>+IF(P766="ACERO A36",VLOOKUP(Q766,'[3]Velocidades Std 1500 w'!$B$2:$F$15,5,FALSE),IF(P766="INOXIDABLE",VLOOKUP(Q766,'[3]Velocidades Std 1500 w'!$B$17:$F$28,5,FALSE),IF(P766="ALUMINIO",VLOOKUP(Q766,'[3]Velocidades Std 1500 w'!$B$30:$F$38,5,FALSE))))</f>
        <v>9.1575091575091579E-7</v>
      </c>
      <c r="S766" s="82">
        <f t="shared" ref="S766:S1020" si="116">+R766*O766</f>
        <v>4.578754578754579E-3</v>
      </c>
      <c r="T766" s="83">
        <f t="shared" ref="T766:T1020" si="117">+R766*U766*3600</f>
        <v>5.3808923076923083</v>
      </c>
      <c r="U766" s="307">
        <f t="shared" si="111"/>
        <v>1632.2040000000002</v>
      </c>
      <c r="V766" s="80">
        <f t="shared" si="108"/>
        <v>7.4734615384615397</v>
      </c>
      <c r="W766" s="98">
        <v>4</v>
      </c>
      <c r="X766" s="84">
        <f>+IF(P766="ACERO A36",VLOOKUP(Q766,'[3]Tiempo Objeto'!$B$2:$C$12,2,FALSE),IF(P766="INOXIDABLE",VLOOKUP(Q766,'[3]Tiempo Objeto'!$B$14:$C$22,2,FALSE),IF(P766="ALUMINIO",VLOOKUP(Q766,'[3]Tiempo Objeto'!$B$24:$C$32,2,FALSE))))</f>
        <v>0.24666666666666667</v>
      </c>
      <c r="Y766" s="84">
        <f t="shared" ref="Y766:Y1020" si="118">+X766*W766</f>
        <v>0.98666666666666669</v>
      </c>
      <c r="Z766" s="80">
        <f t="shared" ref="Z766:Z1020" si="119">+Y766*O766/3600</f>
        <v>1.3703703703703702</v>
      </c>
      <c r="AA766" s="100">
        <v>0</v>
      </c>
      <c r="AB766" s="86">
        <f>+AA766*Analisis!$J$6</f>
        <v>0</v>
      </c>
      <c r="AC766" s="100"/>
      <c r="AD766" s="85">
        <f t="shared" ref="AD766:AD1020" si="120">30*AC766+AC766*$D766*1.5</f>
        <v>0</v>
      </c>
      <c r="AE766" s="86">
        <f>+AC766*Analisis!$J$7</f>
        <v>0</v>
      </c>
      <c r="AF766" s="308">
        <f>+H766*0.0254*I766*0.0254*2*(1+[3]Analisis!$G$2)</f>
        <v>0.27870911999999992</v>
      </c>
      <c r="AG766" s="86">
        <f>+AF766*Analisis!$J$8</f>
        <v>29.695793142857145</v>
      </c>
      <c r="AH766" s="309">
        <f t="shared" si="112"/>
        <v>77.704696178689048</v>
      </c>
      <c r="AI766" s="86">
        <f>+AH766/(1-Analisis!G771)</f>
        <v>77.704696178689048</v>
      </c>
      <c r="AJ766" s="86">
        <f t="shared" ref="AJ766:AJ1020" si="121">+AI766/(1-0.07)</f>
        <v>83.553436751278554</v>
      </c>
      <c r="AK766" s="86">
        <f t="shared" si="113"/>
        <v>0</v>
      </c>
      <c r="AL766" s="310" t="e">
        <f>+VLOOKUP(B766,#REF!,2,FALSE)</f>
        <v>#REF!</v>
      </c>
      <c r="AM766" s="311" t="e">
        <f t="shared" si="97"/>
        <v>#REF!</v>
      </c>
      <c r="AN766" s="312" t="e">
        <f t="shared" si="110"/>
        <v>#REF!</v>
      </c>
    </row>
    <row r="767" spans="1:40" s="73" customFormat="1" x14ac:dyDescent="0.25">
      <c r="A767" s="313"/>
      <c r="B767" s="330" t="s">
        <v>1474</v>
      </c>
      <c r="D767" s="74">
        <f>IFERROR(VLOOKUP(B767,'REQ. PINTADO'!B:C,2,0),0)</f>
        <v>0</v>
      </c>
      <c r="E767" s="305">
        <f t="shared" si="114"/>
        <v>127.31509631878811</v>
      </c>
      <c r="F767" s="103" t="s">
        <v>166</v>
      </c>
      <c r="G767" s="75" t="s">
        <v>147</v>
      </c>
      <c r="H767" s="90">
        <v>9.6</v>
      </c>
      <c r="I767" s="90">
        <v>28</v>
      </c>
      <c r="J767" s="76">
        <v>0.105</v>
      </c>
      <c r="K767" s="306">
        <v>16.38</v>
      </c>
      <c r="L767" s="78">
        <f t="shared" si="115"/>
        <v>8.1826359429629658</v>
      </c>
      <c r="M767" s="58">
        <f>+VLOOKUP(F767,Material!$H$2:$M$17,6,FALSE)*H767*I767*(1+Material!$K$14)</f>
        <v>60.923443975333342</v>
      </c>
      <c r="N767" s="79" t="str">
        <f t="shared" si="109"/>
        <v>T5.0</v>
      </c>
      <c r="O767" s="80">
        <f>+VLOOKUP(N767,[3]Material!$A$3:$B$58,2,FALSE)</f>
        <v>5000</v>
      </c>
      <c r="P767" s="79" t="s">
        <v>42</v>
      </c>
      <c r="Q767" s="79" t="str">
        <f>+VLOOKUP(F767,[3]Material!$C$2:$E$12,2,FALSE)</f>
        <v>Cal 16</v>
      </c>
      <c r="R767" s="81">
        <f>+IF(P767="ACERO A36",VLOOKUP(Q767,'[3]Velocidades Std 1500 w'!$B$2:$F$15,5,FALSE),IF(P767="INOXIDABLE",VLOOKUP(Q767,'[3]Velocidades Std 1500 w'!$B$17:$F$28,5,FALSE),IF(P767="ALUMINIO",VLOOKUP(Q767,'[3]Velocidades Std 1500 w'!$B$30:$F$38,5,FALSE))))</f>
        <v>9.1575091575091579E-7</v>
      </c>
      <c r="S767" s="82">
        <f t="shared" si="116"/>
        <v>4.578754578754579E-3</v>
      </c>
      <c r="T767" s="83">
        <f t="shared" si="117"/>
        <v>7.1393538461538464</v>
      </c>
      <c r="U767" s="307">
        <f t="shared" si="111"/>
        <v>2165.6040000000003</v>
      </c>
      <c r="V767" s="80">
        <f t="shared" si="108"/>
        <v>9.9157692307692322</v>
      </c>
      <c r="W767" s="98">
        <v>4</v>
      </c>
      <c r="X767" s="84">
        <f>+IF(P767="ACERO A36",VLOOKUP(Q767,'[3]Tiempo Objeto'!$B$2:$C$12,2,FALSE),IF(P767="INOXIDABLE",VLOOKUP(Q767,'[3]Tiempo Objeto'!$B$14:$C$22,2,FALSE),IF(P767="ALUMINIO",VLOOKUP(Q767,'[3]Tiempo Objeto'!$B$24:$C$32,2,FALSE))))</f>
        <v>0.24666666666666667</v>
      </c>
      <c r="Y767" s="84">
        <f t="shared" si="118"/>
        <v>0.98666666666666669</v>
      </c>
      <c r="Z767" s="80">
        <f t="shared" si="119"/>
        <v>1.3703703703703702</v>
      </c>
      <c r="AA767" s="100">
        <v>0</v>
      </c>
      <c r="AB767" s="86">
        <f>+AA767*Analisis!$J$6</f>
        <v>0</v>
      </c>
      <c r="AC767" s="100"/>
      <c r="AD767" s="85">
        <f t="shared" si="120"/>
        <v>0</v>
      </c>
      <c r="AE767" s="86">
        <f>+AC767*Analisis!$J$7</f>
        <v>0</v>
      </c>
      <c r="AF767" s="308">
        <f>+H767*0.0254*I767*0.0254*2*(1+[3]Analisis!$G$2)</f>
        <v>0.43354751999999991</v>
      </c>
      <c r="AG767" s="86">
        <f>+AF767*Analisis!$J$8</f>
        <v>46.193456000000005</v>
      </c>
      <c r="AH767" s="309">
        <f t="shared" si="112"/>
        <v>118.40303957647293</v>
      </c>
      <c r="AI767" s="86">
        <f>+AH767/(1-Analisis!G772)</f>
        <v>118.40303957647293</v>
      </c>
      <c r="AJ767" s="86">
        <f t="shared" si="121"/>
        <v>127.31509631878811</v>
      </c>
      <c r="AK767" s="86">
        <f t="shared" si="113"/>
        <v>0</v>
      </c>
      <c r="AL767" s="310" t="e">
        <f>+VLOOKUP(B767,#REF!,2,FALSE)</f>
        <v>#REF!</v>
      </c>
      <c r="AM767" s="311" t="e">
        <f t="shared" si="97"/>
        <v>#REF!</v>
      </c>
      <c r="AN767" s="312" t="e">
        <f t="shared" si="110"/>
        <v>#REF!</v>
      </c>
    </row>
    <row r="768" spans="1:40" s="73" customFormat="1" x14ac:dyDescent="0.25">
      <c r="A768" s="313"/>
      <c r="B768" s="330" t="s">
        <v>1475</v>
      </c>
      <c r="D768" s="74">
        <f>IFERROR(VLOOKUP(B768,'REQ. PINTADO'!B:C,2,0),0)</f>
        <v>0</v>
      </c>
      <c r="E768" s="305">
        <f t="shared" si="114"/>
        <v>110.22646077465693</v>
      </c>
      <c r="F768" s="103" t="s">
        <v>165</v>
      </c>
      <c r="G768" s="75" t="s">
        <v>147</v>
      </c>
      <c r="H768" s="90">
        <v>7.2</v>
      </c>
      <c r="I768" s="90">
        <v>20</v>
      </c>
      <c r="J768" s="76">
        <v>0.105</v>
      </c>
      <c r="K768" s="306">
        <v>16.38</v>
      </c>
      <c r="L768" s="78">
        <f t="shared" si="115"/>
        <v>8.0384615384615401</v>
      </c>
      <c r="M768" s="58">
        <f>+VLOOKUP(F768,Material!$H$2:$M$17,6,FALSE)*H768*I768*(1+Material!$K$14)</f>
        <v>59.85</v>
      </c>
      <c r="N768" s="79" t="str">
        <f t="shared" si="109"/>
        <v>T5.0</v>
      </c>
      <c r="O768" s="80">
        <f>+VLOOKUP(N768,[3]Material!$A$3:$B$58,2,FALSE)</f>
        <v>5000</v>
      </c>
      <c r="P768" s="79" t="s">
        <v>42</v>
      </c>
      <c r="Q768" s="79" t="str">
        <f>+VLOOKUP(F768,[3]Material!$C$2:$E$12,2,FALSE)</f>
        <v>Cal 14</v>
      </c>
      <c r="R768" s="81">
        <f>+IF(P768="ACERO A36",VLOOKUP(Q768,'[3]Velocidades Std 1500 w'!$B$2:$F$15,5,FALSE),IF(P768="INOXIDABLE",VLOOKUP(Q768,'[3]Velocidades Std 1500 w'!$B$17:$F$28,5,FALSE),IF(P768="ALUMINIO",VLOOKUP(Q768,'[3]Velocidades Std 1500 w'!$B$30:$F$38,5,FALSE))))</f>
        <v>2.0080321285140564E-6</v>
      </c>
      <c r="S768" s="82">
        <f t="shared" si="116"/>
        <v>1.0040160642570283E-2</v>
      </c>
      <c r="T768" s="83">
        <f t="shared" si="117"/>
        <v>11.644828915662652</v>
      </c>
      <c r="U768" s="307">
        <f t="shared" si="111"/>
        <v>1610.8679999999999</v>
      </c>
      <c r="V768" s="80">
        <f t="shared" si="108"/>
        <v>16.173373493975905</v>
      </c>
      <c r="W768" s="98">
        <v>4</v>
      </c>
      <c r="X768" s="84">
        <f>+IF(P768="ACERO A36",VLOOKUP(Q768,'[3]Tiempo Objeto'!$B$2:$C$12,2,FALSE),IF(P768="INOXIDABLE",VLOOKUP(Q768,'[3]Tiempo Objeto'!$B$14:$C$22,2,FALSE),IF(P768="ALUMINIO",VLOOKUP(Q768,'[3]Tiempo Objeto'!$B$24:$C$32,2,FALSE))))</f>
        <v>0.3133333333333333</v>
      </c>
      <c r="Y768" s="84">
        <f t="shared" si="118"/>
        <v>1.2533333333333332</v>
      </c>
      <c r="Z768" s="80">
        <f t="shared" si="119"/>
        <v>1.7407407407407405</v>
      </c>
      <c r="AA768" s="100">
        <v>0</v>
      </c>
      <c r="AB768" s="86">
        <f>+AA768*Analisis!$J$6</f>
        <v>0</v>
      </c>
      <c r="AC768" s="100"/>
      <c r="AD768" s="85">
        <f t="shared" si="120"/>
        <v>0</v>
      </c>
      <c r="AE768" s="86">
        <f>+AC768*Analisis!$J$7</f>
        <v>0</v>
      </c>
      <c r="AF768" s="308">
        <f>+H768*0.0254*I768*0.0254*2*(1+[3]Analisis!$G$2)</f>
        <v>0.23225759999999995</v>
      </c>
      <c r="AG768" s="86">
        <f>+AF768*Analisis!$J$8</f>
        <v>24.746494285714288</v>
      </c>
      <c r="AH768" s="309">
        <f t="shared" si="112"/>
        <v>102.51060852043094</v>
      </c>
      <c r="AI768" s="86">
        <f>+AH768/(1-Analisis!G773)</f>
        <v>102.51060852043094</v>
      </c>
      <c r="AJ768" s="86">
        <f t="shared" si="121"/>
        <v>110.22646077465693</v>
      </c>
      <c r="AK768" s="86">
        <f t="shared" si="113"/>
        <v>0</v>
      </c>
      <c r="AL768" s="310" t="e">
        <f>+VLOOKUP(B768,#REF!,2,FALSE)</f>
        <v>#REF!</v>
      </c>
      <c r="AM768" s="311" t="e">
        <f t="shared" si="97"/>
        <v>#REF!</v>
      </c>
      <c r="AN768" s="312" t="e">
        <f t="shared" si="110"/>
        <v>#REF!</v>
      </c>
    </row>
    <row r="769" spans="1:40" s="73" customFormat="1" x14ac:dyDescent="0.25">
      <c r="A769" s="313"/>
      <c r="B769" s="330" t="s">
        <v>1476</v>
      </c>
      <c r="D769" s="74">
        <f>IFERROR(VLOOKUP(B769,'REQ. PINTADO'!B:C,2,0),0)</f>
        <v>0</v>
      </c>
      <c r="E769" s="305">
        <f t="shared" si="114"/>
        <v>1645.7552048592938</v>
      </c>
      <c r="F769" s="103" t="s">
        <v>165</v>
      </c>
      <c r="G769" s="75" t="s">
        <v>147</v>
      </c>
      <c r="H769" s="90">
        <v>24.08</v>
      </c>
      <c r="I769" s="90">
        <v>94</v>
      </c>
      <c r="J769" s="76">
        <v>0.105</v>
      </c>
      <c r="K769" s="306">
        <v>16.38</v>
      </c>
      <c r="L769" s="78">
        <f t="shared" si="115"/>
        <v>126.35568376068376</v>
      </c>
      <c r="M769" s="58">
        <f>+VLOOKUP(F769,Material!$H$2:$M$17,6,FALSE)*H769*I769*(1+Material!$K$14)</f>
        <v>940.77549999999997</v>
      </c>
      <c r="N769" s="79" t="str">
        <f t="shared" si="109"/>
        <v>T5.0</v>
      </c>
      <c r="O769" s="80">
        <f>+VLOOKUP(N769,[3]Material!$A$3:$B$58,2,FALSE)</f>
        <v>5000</v>
      </c>
      <c r="P769" s="79" t="s">
        <v>42</v>
      </c>
      <c r="Q769" s="79" t="str">
        <f>+VLOOKUP(F769,[3]Material!$C$2:$E$12,2,FALSE)</f>
        <v>Cal 14</v>
      </c>
      <c r="R769" s="81">
        <f>+IF(P769="ACERO A36",VLOOKUP(Q769,'[3]Velocidades Std 1500 w'!$B$2:$F$15,5,FALSE),IF(P769="INOXIDABLE",VLOOKUP(Q769,'[3]Velocidades Std 1500 w'!$B$17:$F$28,5,FALSE),IF(P769="ALUMINIO",VLOOKUP(Q769,'[3]Velocidades Std 1500 w'!$B$30:$F$38,5,FALSE))))</f>
        <v>2.0080321285140564E-6</v>
      </c>
      <c r="S769" s="82">
        <f t="shared" si="116"/>
        <v>1.0040160642570283E-2</v>
      </c>
      <c r="T769" s="83">
        <f t="shared" si="117"/>
        <v>49.868401445783128</v>
      </c>
      <c r="U769" s="307">
        <f t="shared" si="111"/>
        <v>6898.462199999999</v>
      </c>
      <c r="V769" s="80">
        <f t="shared" ref="V769:V1023" si="122">+U769*S769</f>
        <v>69.261668674698797</v>
      </c>
      <c r="W769" s="98">
        <v>15</v>
      </c>
      <c r="X769" s="84">
        <f>+IF(P769="ACERO A36",VLOOKUP(Q769,'[3]Tiempo Objeto'!$B$2:$C$12,2,FALSE),IF(P769="INOXIDABLE",VLOOKUP(Q769,'[3]Tiempo Objeto'!$B$14:$C$22,2,FALSE),IF(P769="ALUMINIO",VLOOKUP(Q769,'[3]Tiempo Objeto'!$B$24:$C$32,2,FALSE))))</f>
        <v>0.3133333333333333</v>
      </c>
      <c r="Y769" s="84">
        <f t="shared" si="118"/>
        <v>4.6999999999999993</v>
      </c>
      <c r="Z769" s="80">
        <f t="shared" si="119"/>
        <v>6.5277777777777768</v>
      </c>
      <c r="AA769" s="100">
        <v>5</v>
      </c>
      <c r="AB769" s="86">
        <f>+AA769*Analisis!$J$6</f>
        <v>125</v>
      </c>
      <c r="AC769" s="100"/>
      <c r="AD769" s="85">
        <f t="shared" si="120"/>
        <v>0</v>
      </c>
      <c r="AE769" s="86">
        <f>+AC769*Analisis!$J$7</f>
        <v>0</v>
      </c>
      <c r="AF769" s="308">
        <f>+H769*0.0254*I769*0.0254*2*(1+[3]Analisis!$G$2)</f>
        <v>3.6508314079999993</v>
      </c>
      <c r="AG769" s="86">
        <f>+AF769*Analisis!$J$8</f>
        <v>388.9873940666667</v>
      </c>
      <c r="AH769" s="309">
        <f t="shared" si="112"/>
        <v>1530.5523405191432</v>
      </c>
      <c r="AI769" s="86">
        <f>+AH769/(1-Analisis!G774)</f>
        <v>1530.5523405191432</v>
      </c>
      <c r="AJ769" s="86">
        <f t="shared" si="121"/>
        <v>1645.7552048592938</v>
      </c>
      <c r="AK769" s="86">
        <f t="shared" si="113"/>
        <v>0</v>
      </c>
      <c r="AL769" s="310" t="e">
        <f>+VLOOKUP(B769,#REF!,2,FALSE)</f>
        <v>#REF!</v>
      </c>
      <c r="AM769" s="311" t="e">
        <f t="shared" si="97"/>
        <v>#REF!</v>
      </c>
      <c r="AN769" s="312" t="e">
        <f t="shared" si="110"/>
        <v>#REF!</v>
      </c>
    </row>
    <row r="770" spans="1:40" s="73" customFormat="1" x14ac:dyDescent="0.25">
      <c r="A770" s="313"/>
      <c r="B770" s="330" t="s">
        <v>1477</v>
      </c>
      <c r="D770" s="74">
        <f>IFERROR(VLOOKUP(B770,'REQ. PINTADO'!B:C,2,0),0)</f>
        <v>0</v>
      </c>
      <c r="E770" s="305">
        <f t="shared" si="114"/>
        <v>2064.2949483458283</v>
      </c>
      <c r="F770" s="103" t="s">
        <v>165</v>
      </c>
      <c r="G770" s="75" t="s">
        <v>147</v>
      </c>
      <c r="H770" s="90">
        <v>31.22</v>
      </c>
      <c r="I770" s="90">
        <v>93.53</v>
      </c>
      <c r="J770" s="76">
        <v>0.105</v>
      </c>
      <c r="K770" s="306">
        <v>16.38</v>
      </c>
      <c r="L770" s="78">
        <f t="shared" si="115"/>
        <v>163.00250518162395</v>
      </c>
      <c r="M770" s="58">
        <f>+VLOOKUP(F770,Material!$H$2:$M$17,6,FALSE)*H770*I770*(1+Material!$K$14)</f>
        <v>1213.6277431250001</v>
      </c>
      <c r="N770" s="79" t="str">
        <f t="shared" si="109"/>
        <v>T5.0</v>
      </c>
      <c r="O770" s="80">
        <f>+VLOOKUP(N770,[3]Material!$A$3:$B$58,2,FALSE)</f>
        <v>5000</v>
      </c>
      <c r="P770" s="79" t="s">
        <v>42</v>
      </c>
      <c r="Q770" s="79" t="str">
        <f>+VLOOKUP(F770,[3]Material!$C$2:$E$12,2,FALSE)</f>
        <v>Cal 14</v>
      </c>
      <c r="R770" s="81">
        <f>+IF(P770="ACERO A36",VLOOKUP(Q770,'[3]Velocidades Std 1500 w'!$B$2:$F$15,5,FALSE),IF(P770="INOXIDABLE",VLOOKUP(Q770,'[3]Velocidades Std 1500 w'!$B$17:$F$28,5,FALSE),IF(P770="ALUMINIO",VLOOKUP(Q770,'[3]Velocidades Std 1500 w'!$B$30:$F$38,5,FALSE))))</f>
        <v>2.0080321285140564E-6</v>
      </c>
      <c r="S770" s="82">
        <f t="shared" si="116"/>
        <v>1.0040160642570283E-2</v>
      </c>
      <c r="T770" s="83">
        <f t="shared" si="117"/>
        <v>52.440289156626505</v>
      </c>
      <c r="U770" s="307">
        <f t="shared" si="111"/>
        <v>7254.24</v>
      </c>
      <c r="V770" s="80">
        <f t="shared" si="122"/>
        <v>72.83373493975904</v>
      </c>
      <c r="W770" s="98">
        <v>15</v>
      </c>
      <c r="X770" s="84">
        <f>+IF(P770="ACERO A36",VLOOKUP(Q770,'[3]Tiempo Objeto'!$B$2:$C$12,2,FALSE),IF(P770="INOXIDABLE",VLOOKUP(Q770,'[3]Tiempo Objeto'!$B$14:$C$22,2,FALSE),IF(P770="ALUMINIO",VLOOKUP(Q770,'[3]Tiempo Objeto'!$B$24:$C$32,2,FALSE))))</f>
        <v>0.3133333333333333</v>
      </c>
      <c r="Y770" s="84">
        <f t="shared" si="118"/>
        <v>4.6999999999999993</v>
      </c>
      <c r="Z770" s="80">
        <f t="shared" si="119"/>
        <v>6.5277777777777768</v>
      </c>
      <c r="AA770" s="100">
        <v>5</v>
      </c>
      <c r="AB770" s="86">
        <f>+AA770*Analisis!$J$6</f>
        <v>125</v>
      </c>
      <c r="AC770" s="100"/>
      <c r="AD770" s="85">
        <f t="shared" si="120"/>
        <v>0</v>
      </c>
      <c r="AE770" s="86">
        <f>+AC770*Analisis!$J$7</f>
        <v>0</v>
      </c>
      <c r="AF770" s="308">
        <f>+H770*0.0254*I770*0.0254*2*(1+[3]Analisis!$G$2)</f>
        <v>4.7096786451399995</v>
      </c>
      <c r="AG770" s="86">
        <f>+AF770*Analisis!$J$8</f>
        <v>501.80504611908344</v>
      </c>
      <c r="AH770" s="309">
        <f t="shared" si="112"/>
        <v>1919.7943019616202</v>
      </c>
      <c r="AI770" s="86">
        <f>+AH770/(1-Analisis!G775)</f>
        <v>1919.7943019616202</v>
      </c>
      <c r="AJ770" s="86">
        <f t="shared" si="121"/>
        <v>2064.2949483458283</v>
      </c>
      <c r="AK770" s="86">
        <f t="shared" si="113"/>
        <v>0</v>
      </c>
      <c r="AL770" s="310" t="e">
        <f>+VLOOKUP(B770,#REF!,2,FALSE)</f>
        <v>#REF!</v>
      </c>
      <c r="AM770" s="311" t="e">
        <f t="shared" si="97"/>
        <v>#REF!</v>
      </c>
      <c r="AN770" s="312" t="e">
        <f t="shared" si="110"/>
        <v>#REF!</v>
      </c>
    </row>
    <row r="771" spans="1:40" s="73" customFormat="1" x14ac:dyDescent="0.25">
      <c r="A771" s="313"/>
      <c r="B771" s="330" t="s">
        <v>1478</v>
      </c>
      <c r="D771" s="74">
        <f>IFERROR(VLOOKUP(B771,'REQ. PINTADO'!B:C,2,0),0)</f>
        <v>0</v>
      </c>
      <c r="E771" s="305">
        <f t="shared" si="114"/>
        <v>61.920837841038171</v>
      </c>
      <c r="F771" s="103" t="s">
        <v>165</v>
      </c>
      <c r="G771" s="75" t="s">
        <v>147</v>
      </c>
      <c r="H771" s="90">
        <v>15</v>
      </c>
      <c r="I771" s="90">
        <v>2</v>
      </c>
      <c r="J771" s="76">
        <v>0.105</v>
      </c>
      <c r="K771" s="306">
        <v>16.38</v>
      </c>
      <c r="L771" s="78">
        <f t="shared" si="115"/>
        <v>1.6746794871794874</v>
      </c>
      <c r="M771" s="58">
        <f>+VLOOKUP(F771,Material!$H$2:$M$17,6,FALSE)*H771*I771*(1+Material!$K$14)</f>
        <v>12.46875</v>
      </c>
      <c r="N771" s="79" t="str">
        <f t="shared" si="109"/>
        <v>T5.0</v>
      </c>
      <c r="O771" s="80">
        <f>+VLOOKUP(N771,[3]Material!$A$3:$B$58,2,FALSE)</f>
        <v>5000</v>
      </c>
      <c r="P771" s="79" t="s">
        <v>42</v>
      </c>
      <c r="Q771" s="79" t="str">
        <f>+VLOOKUP(F771,[3]Material!$C$2:$E$12,2,FALSE)</f>
        <v>Cal 14</v>
      </c>
      <c r="R771" s="81">
        <f>+IF(P771="ACERO A36",VLOOKUP(Q771,'[3]Velocidades Std 1500 w'!$B$2:$F$15,5,FALSE),IF(P771="INOXIDABLE",VLOOKUP(Q771,'[3]Velocidades Std 1500 w'!$B$17:$F$28,5,FALSE),IF(P771="ALUMINIO",VLOOKUP(Q771,'[3]Velocidades Std 1500 w'!$B$30:$F$38,5,FALSE))))</f>
        <v>2.0080321285140564E-6</v>
      </c>
      <c r="S771" s="82">
        <f t="shared" si="116"/>
        <v>1.0040160642570283E-2</v>
      </c>
      <c r="T771" s="83">
        <f t="shared" si="117"/>
        <v>8.5793855421686764</v>
      </c>
      <c r="U771" s="307">
        <f t="shared" si="111"/>
        <v>1186.8150000000001</v>
      </c>
      <c r="V771" s="80">
        <f t="shared" si="122"/>
        <v>11.91581325301205</v>
      </c>
      <c r="W771" s="98">
        <v>7</v>
      </c>
      <c r="X771" s="84">
        <f>+IF(P771="ACERO A36",VLOOKUP(Q771,'[3]Tiempo Objeto'!$B$2:$C$12,2,FALSE),IF(P771="INOXIDABLE",VLOOKUP(Q771,'[3]Tiempo Objeto'!$B$14:$C$22,2,FALSE),IF(P771="ALUMINIO",VLOOKUP(Q771,'[3]Tiempo Objeto'!$B$24:$C$32,2,FALSE))))</f>
        <v>0.3133333333333333</v>
      </c>
      <c r="Y771" s="84">
        <f t="shared" si="118"/>
        <v>2.1933333333333329</v>
      </c>
      <c r="Z771" s="80">
        <f t="shared" si="119"/>
        <v>3.0462962962962958</v>
      </c>
      <c r="AA771" s="100">
        <v>1</v>
      </c>
      <c r="AB771" s="86">
        <f>+AA771*Analisis!$J$6</f>
        <v>25</v>
      </c>
      <c r="AC771" s="100"/>
      <c r="AD771" s="85">
        <f t="shared" si="120"/>
        <v>0</v>
      </c>
      <c r="AE771" s="86">
        <f>+AC771*Analisis!$J$7</f>
        <v>0</v>
      </c>
      <c r="AF771" s="308">
        <f>+H771*0.0254*I771*0.0254*2*(1+[3]Analisis!$G$2)</f>
        <v>4.8386999999999999E-2</v>
      </c>
      <c r="AG771" s="86">
        <f>+AF771*Analisis!$J$8</f>
        <v>5.1555196428571444</v>
      </c>
      <c r="AH771" s="309">
        <f t="shared" si="112"/>
        <v>57.586379192165495</v>
      </c>
      <c r="AI771" s="86">
        <f>+AH771/(1-Analisis!G776)</f>
        <v>57.586379192165495</v>
      </c>
      <c r="AJ771" s="86">
        <f t="shared" si="121"/>
        <v>61.920837841038171</v>
      </c>
      <c r="AK771" s="86">
        <f t="shared" si="113"/>
        <v>0</v>
      </c>
      <c r="AL771" s="310" t="e">
        <f>+VLOOKUP(B771,#REF!,2,FALSE)</f>
        <v>#REF!</v>
      </c>
      <c r="AM771" s="311" t="e">
        <f t="shared" si="97"/>
        <v>#REF!</v>
      </c>
      <c r="AN771" s="312" t="e">
        <f t="shared" si="110"/>
        <v>#REF!</v>
      </c>
    </row>
    <row r="772" spans="1:40" s="73" customFormat="1" x14ac:dyDescent="0.25">
      <c r="A772" s="313"/>
      <c r="B772" s="330" t="s">
        <v>1479</v>
      </c>
      <c r="D772" s="74">
        <f>IFERROR(VLOOKUP(B772,'REQ. PINTADO'!B:C,2,0),0)</f>
        <v>0</v>
      </c>
      <c r="E772" s="305">
        <f t="shared" si="114"/>
        <v>71.117039336729064</v>
      </c>
      <c r="F772" s="103" t="s">
        <v>165</v>
      </c>
      <c r="G772" s="75" t="s">
        <v>147</v>
      </c>
      <c r="H772" s="90">
        <v>20</v>
      </c>
      <c r="I772" s="90">
        <v>2</v>
      </c>
      <c r="J772" s="76">
        <v>0.105</v>
      </c>
      <c r="K772" s="306">
        <v>16.38</v>
      </c>
      <c r="L772" s="78">
        <f t="shared" si="115"/>
        <v>2.2329059829059834</v>
      </c>
      <c r="M772" s="58">
        <f>+VLOOKUP(F772,Material!$H$2:$M$17,6,FALSE)*H772*I772*(1+Material!$K$14)</f>
        <v>16.625</v>
      </c>
      <c r="N772" s="79" t="str">
        <f t="shared" ref="N772:N835" si="123">+N771</f>
        <v>T5.0</v>
      </c>
      <c r="O772" s="80">
        <f>+VLOOKUP(N772,[3]Material!$A$3:$B$58,2,FALSE)</f>
        <v>5000</v>
      </c>
      <c r="P772" s="79" t="s">
        <v>42</v>
      </c>
      <c r="Q772" s="79" t="str">
        <f>+VLOOKUP(F772,[3]Material!$C$2:$E$12,2,FALSE)</f>
        <v>Cal 14</v>
      </c>
      <c r="R772" s="81">
        <f>+IF(P772="ACERO A36",VLOOKUP(Q772,'[3]Velocidades Std 1500 w'!$B$2:$F$15,5,FALSE),IF(P772="INOXIDABLE",VLOOKUP(Q772,'[3]Velocidades Std 1500 w'!$B$17:$F$28,5,FALSE),IF(P772="ALUMINIO",VLOOKUP(Q772,'[3]Velocidades Std 1500 w'!$B$30:$F$38,5,FALSE))))</f>
        <v>2.0080321285140564E-6</v>
      </c>
      <c r="S772" s="82">
        <f t="shared" si="116"/>
        <v>1.0040160642570283E-2</v>
      </c>
      <c r="T772" s="83">
        <f t="shared" si="117"/>
        <v>10.507337349397593</v>
      </c>
      <c r="U772" s="307">
        <f t="shared" si="111"/>
        <v>1453.5150000000001</v>
      </c>
      <c r="V772" s="80">
        <f t="shared" si="122"/>
        <v>14.593524096385545</v>
      </c>
      <c r="W772" s="98">
        <v>7</v>
      </c>
      <c r="X772" s="84">
        <f>+IF(P772="ACERO A36",VLOOKUP(Q772,'[3]Tiempo Objeto'!$B$2:$C$12,2,FALSE),IF(P772="INOXIDABLE",VLOOKUP(Q772,'[3]Tiempo Objeto'!$B$14:$C$22,2,FALSE),IF(P772="ALUMINIO",VLOOKUP(Q772,'[3]Tiempo Objeto'!$B$24:$C$32,2,FALSE))))</f>
        <v>0.3133333333333333</v>
      </c>
      <c r="Y772" s="84">
        <f t="shared" si="118"/>
        <v>2.1933333333333329</v>
      </c>
      <c r="Z772" s="80">
        <f t="shared" si="119"/>
        <v>3.0462962962962958</v>
      </c>
      <c r="AA772" s="100">
        <v>1</v>
      </c>
      <c r="AB772" s="86">
        <f>+AA772*Analisis!$J$6</f>
        <v>25</v>
      </c>
      <c r="AC772" s="100"/>
      <c r="AD772" s="85">
        <f t="shared" si="120"/>
        <v>0</v>
      </c>
      <c r="AE772" s="86">
        <f>+AC772*Analisis!$J$7</f>
        <v>0</v>
      </c>
      <c r="AF772" s="308">
        <f>+H772*0.0254*I772*0.0254*2*(1+[3]Analisis!$G$2)</f>
        <v>6.4516000000000004E-2</v>
      </c>
      <c r="AG772" s="86">
        <f>+AF772*Analisis!$J$8</f>
        <v>6.8740261904761928</v>
      </c>
      <c r="AH772" s="309">
        <f t="shared" si="112"/>
        <v>66.138846583158028</v>
      </c>
      <c r="AI772" s="86">
        <f>+AH772/(1-Analisis!G777)</f>
        <v>66.138846583158028</v>
      </c>
      <c r="AJ772" s="86">
        <f t="shared" si="121"/>
        <v>71.117039336729064</v>
      </c>
      <c r="AK772" s="86">
        <f t="shared" si="113"/>
        <v>0</v>
      </c>
      <c r="AL772" s="310" t="e">
        <f>+VLOOKUP(B772,#REF!,2,FALSE)</f>
        <v>#REF!</v>
      </c>
      <c r="AM772" s="311" t="e">
        <f t="shared" si="97"/>
        <v>#REF!</v>
      </c>
      <c r="AN772" s="312" t="e">
        <f t="shared" si="110"/>
        <v>#REF!</v>
      </c>
    </row>
    <row r="773" spans="1:40" s="73" customFormat="1" ht="14.25" customHeight="1" x14ac:dyDescent="0.25">
      <c r="A773" s="313"/>
      <c r="B773" s="330" t="s">
        <v>1480</v>
      </c>
      <c r="D773" s="74">
        <f>IFERROR(VLOOKUP(B773,'REQ. PINTADO'!B:C,2,0),0)</f>
        <v>0</v>
      </c>
      <c r="E773" s="305">
        <f t="shared" si="114"/>
        <v>880.91269692002186</v>
      </c>
      <c r="F773" s="103" t="s">
        <v>163</v>
      </c>
      <c r="G773" s="75" t="s">
        <v>147</v>
      </c>
      <c r="H773" s="90">
        <v>23</v>
      </c>
      <c r="I773" s="90">
        <v>46</v>
      </c>
      <c r="J773" s="76">
        <v>0.105</v>
      </c>
      <c r="K773" s="306">
        <v>16.38</v>
      </c>
      <c r="L773" s="78">
        <f t="shared" si="115"/>
        <v>53.339373868865756</v>
      </c>
      <c r="M773" s="58">
        <f>+VLOOKUP(F773,Material!$H$2:$M$17,6,FALSE)*H773*I773*(1+Material!$K$14)</f>
        <v>397.1358836236459</v>
      </c>
      <c r="N773" s="79" t="str">
        <f t="shared" si="123"/>
        <v>T5.0</v>
      </c>
      <c r="O773" s="80">
        <f>+VLOOKUP(N773,[3]Material!$A$3:$B$58,2,FALSE)</f>
        <v>5000</v>
      </c>
      <c r="P773" s="79" t="s">
        <v>42</v>
      </c>
      <c r="Q773" s="79" t="str">
        <f>+VLOOKUP(F773,[3]Material!$C$2:$E$12,2,FALSE)</f>
        <v>Cal 12</v>
      </c>
      <c r="R773" s="81">
        <f>+IF(P773="ACERO A36",VLOOKUP(Q773,'[3]Velocidades Std 1500 w'!$B$2:$F$15,5,FALSE),IF(P773="INOXIDABLE",VLOOKUP(Q773,'[3]Velocidades Std 1500 w'!$B$17:$F$28,5,FALSE),IF(P773="ALUMINIO",VLOOKUP(Q773,'[3]Velocidades Std 1500 w'!$B$30:$F$38,5,FALSE))))</f>
        <v>4.3859649122807014E-6</v>
      </c>
      <c r="S773" s="82">
        <f t="shared" si="116"/>
        <v>2.1929824561403508E-2</v>
      </c>
      <c r="T773" s="83">
        <f t="shared" si="117"/>
        <v>70.745684210526321</v>
      </c>
      <c r="U773" s="307">
        <f t="shared" si="111"/>
        <v>4480.5600000000004</v>
      </c>
      <c r="V773" s="80">
        <f t="shared" si="122"/>
        <v>98.257894736842104</v>
      </c>
      <c r="W773" s="98">
        <v>20</v>
      </c>
      <c r="X773" s="84">
        <f>+IF(P773="ACERO A36",VLOOKUP(Q773,'[3]Tiempo Objeto'!$B$2:$C$12,2,FALSE),IF(P773="INOXIDABLE",VLOOKUP(Q773,'[3]Tiempo Objeto'!$B$14:$C$22,2,FALSE),IF(P773="ALUMINIO",VLOOKUP(Q773,'[3]Tiempo Objeto'!$B$24:$C$32,2,FALSE))))</f>
        <v>0.6133333333333334</v>
      </c>
      <c r="Y773" s="84">
        <f t="shared" si="118"/>
        <v>12.266666666666667</v>
      </c>
      <c r="Z773" s="80">
        <f t="shared" si="119"/>
        <v>17.037037037037038</v>
      </c>
      <c r="AA773" s="100">
        <v>5</v>
      </c>
      <c r="AB773" s="86">
        <f>+AA773*Analisis!$J$6</f>
        <v>125</v>
      </c>
      <c r="AC773" s="100"/>
      <c r="AD773" s="85">
        <f t="shared" si="120"/>
        <v>0</v>
      </c>
      <c r="AE773" s="86">
        <f>+AC773*Analisis!$J$7</f>
        <v>0</v>
      </c>
      <c r="AF773" s="308">
        <f>+H773*0.0254*I773*0.0254*2*(1+[3]Analisis!$G$2)</f>
        <v>1.7064481999999996</v>
      </c>
      <c r="AG773" s="86">
        <f>+AF773*Analisis!$J$8</f>
        <v>181.81799273809526</v>
      </c>
      <c r="AH773" s="309">
        <f t="shared" si="112"/>
        <v>819.24880813562027</v>
      </c>
      <c r="AI773" s="86">
        <f>+AH773/(1-Analisis!G778)</f>
        <v>819.24880813562027</v>
      </c>
      <c r="AJ773" s="86">
        <f t="shared" si="121"/>
        <v>880.91269692002186</v>
      </c>
      <c r="AK773" s="86">
        <f t="shared" si="113"/>
        <v>0</v>
      </c>
      <c r="AL773" s="310" t="e">
        <f>+VLOOKUP(B773,#REF!,2,FALSE)</f>
        <v>#REF!</v>
      </c>
      <c r="AM773" s="311" t="e">
        <f t="shared" si="97"/>
        <v>#REF!</v>
      </c>
      <c r="AN773" s="312" t="e">
        <f t="shared" si="110"/>
        <v>#REF!</v>
      </c>
    </row>
    <row r="774" spans="1:40" s="73" customFormat="1" x14ac:dyDescent="0.25">
      <c r="A774" s="313"/>
      <c r="B774" s="330" t="s">
        <v>1481</v>
      </c>
      <c r="D774" s="74">
        <f>IFERROR(VLOOKUP(B774,'REQ. PINTADO'!B:C,2,0),0)</f>
        <v>0</v>
      </c>
      <c r="E774" s="305">
        <f t="shared" si="114"/>
        <v>523.66382896113203</v>
      </c>
      <c r="F774" s="103" t="s">
        <v>163</v>
      </c>
      <c r="G774" s="75" t="s">
        <v>147</v>
      </c>
      <c r="H774" s="90">
        <v>21.94</v>
      </c>
      <c r="I774" s="90">
        <v>33.44</v>
      </c>
      <c r="J774" s="76">
        <v>0.105</v>
      </c>
      <c r="K774" s="306">
        <v>16.38</v>
      </c>
      <c r="L774" s="78">
        <f t="shared" si="115"/>
        <v>36.988365262870197</v>
      </c>
      <c r="M774" s="58">
        <f>+VLOOKUP(F774,Material!$H$2:$M$17,6,FALSE)*H774*I774*(1+Material!$K$14)</f>
        <v>275.39519227536988</v>
      </c>
      <c r="N774" s="79" t="str">
        <f t="shared" si="123"/>
        <v>T5.0</v>
      </c>
      <c r="O774" s="80">
        <f>+VLOOKUP(N774,[3]Material!$A$3:$B$58,2,FALSE)</f>
        <v>5000</v>
      </c>
      <c r="P774" s="79" t="s">
        <v>42</v>
      </c>
      <c r="Q774" s="79" t="str">
        <f>+VLOOKUP(F774,[3]Material!$C$2:$E$12,2,FALSE)</f>
        <v>Cal 12</v>
      </c>
      <c r="R774" s="81">
        <f>+IF(P774="ACERO A36",VLOOKUP(Q774,'[3]Velocidades Std 1500 w'!$B$2:$F$15,5,FALSE),IF(P774="INOXIDABLE",VLOOKUP(Q774,'[3]Velocidades Std 1500 w'!$B$17:$F$28,5,FALSE),IF(P774="ALUMINIO",VLOOKUP(Q774,'[3]Velocidades Std 1500 w'!$B$30:$F$38,5,FALSE))))</f>
        <v>4.3859649122807014E-6</v>
      </c>
      <c r="S774" s="82">
        <f t="shared" si="116"/>
        <v>2.1929824561403508E-2</v>
      </c>
      <c r="T774" s="83">
        <f t="shared" si="117"/>
        <v>54.221513684210514</v>
      </c>
      <c r="U774" s="307">
        <f t="shared" si="111"/>
        <v>3434.0291999999995</v>
      </c>
      <c r="V774" s="80">
        <f t="shared" si="122"/>
        <v>75.30765789473682</v>
      </c>
      <c r="W774" s="98">
        <v>12</v>
      </c>
      <c r="X774" s="84">
        <f>+IF(P774="ACERO A36",VLOOKUP(Q774,'[3]Tiempo Objeto'!$B$2:$C$12,2,FALSE),IF(P774="INOXIDABLE",VLOOKUP(Q774,'[3]Tiempo Objeto'!$B$14:$C$22,2,FALSE),IF(P774="ALUMINIO",VLOOKUP(Q774,'[3]Tiempo Objeto'!$B$24:$C$32,2,FALSE))))</f>
        <v>0.6133333333333334</v>
      </c>
      <c r="Y774" s="84">
        <f t="shared" si="118"/>
        <v>7.3600000000000012</v>
      </c>
      <c r="Z774" s="80">
        <f t="shared" si="119"/>
        <v>10.222222222222225</v>
      </c>
      <c r="AA774" s="100">
        <v>0</v>
      </c>
      <c r="AB774" s="86">
        <f>+AA774*Analisis!$J$6</f>
        <v>0</v>
      </c>
      <c r="AC774" s="100"/>
      <c r="AD774" s="85">
        <f t="shared" si="120"/>
        <v>0</v>
      </c>
      <c r="AE774" s="86">
        <f>+AC774*Analisis!$J$7</f>
        <v>0</v>
      </c>
      <c r="AF774" s="308">
        <f>+H774*0.0254*I774*0.0254*2*(1+[3]Analisis!$G$2)</f>
        <v>1.1833421494399996</v>
      </c>
      <c r="AG774" s="86">
        <f>+AF774*Analisis!$J$8</f>
        <v>126.08228854152381</v>
      </c>
      <c r="AH774" s="309">
        <f t="shared" si="112"/>
        <v>487.00736093385274</v>
      </c>
      <c r="AI774" s="86">
        <f>+AH774/(1-Analisis!G779)</f>
        <v>487.00736093385274</v>
      </c>
      <c r="AJ774" s="86">
        <f t="shared" si="121"/>
        <v>523.66382896113203</v>
      </c>
      <c r="AK774" s="86">
        <f t="shared" si="113"/>
        <v>0</v>
      </c>
      <c r="AL774" s="310" t="e">
        <f>+VLOOKUP(B774,#REF!,2,FALSE)</f>
        <v>#REF!</v>
      </c>
      <c r="AM774" s="311" t="e">
        <f t="shared" si="97"/>
        <v>#REF!</v>
      </c>
      <c r="AN774" s="312" t="e">
        <f t="shared" si="110"/>
        <v>#REF!</v>
      </c>
    </row>
    <row r="775" spans="1:40" s="73" customFormat="1" x14ac:dyDescent="0.25">
      <c r="A775" s="313"/>
      <c r="B775" s="330" t="s">
        <v>1482</v>
      </c>
      <c r="D775" s="74">
        <f>IFERROR(VLOOKUP(B775,'REQ. PINTADO'!B:C,2,0),0)</f>
        <v>0</v>
      </c>
      <c r="E775" s="305">
        <f t="shared" si="114"/>
        <v>733.00382128265574</v>
      </c>
      <c r="F775" s="103" t="s">
        <v>163</v>
      </c>
      <c r="G775" s="75" t="s">
        <v>147</v>
      </c>
      <c r="H775" s="90">
        <v>31.94</v>
      </c>
      <c r="I775" s="90">
        <v>33.44</v>
      </c>
      <c r="J775" s="76">
        <v>0.105</v>
      </c>
      <c r="K775" s="306">
        <v>16.38</v>
      </c>
      <c r="L775" s="78">
        <f t="shared" si="115"/>
        <v>53.847237306110948</v>
      </c>
      <c r="M775" s="58">
        <f>+VLOOKUP(F775,Material!$H$2:$M$17,6,FALSE)*H775*I775*(1+Material!$K$14)</f>
        <v>400.91715776095327</v>
      </c>
      <c r="N775" s="79" t="str">
        <f t="shared" si="123"/>
        <v>T5.0</v>
      </c>
      <c r="O775" s="80">
        <f>+VLOOKUP(N775,[3]Material!$A$3:$B$58,2,FALSE)</f>
        <v>5000</v>
      </c>
      <c r="P775" s="79" t="s">
        <v>42</v>
      </c>
      <c r="Q775" s="79" t="str">
        <f>+VLOOKUP(F775,[3]Material!$C$2:$E$12,2,FALSE)</f>
        <v>Cal 12</v>
      </c>
      <c r="R775" s="81">
        <f>+IF(P775="ACERO A36",VLOOKUP(Q775,'[3]Velocidades Std 1500 w'!$B$2:$F$15,5,FALSE),IF(P775="INOXIDABLE",VLOOKUP(Q775,'[3]Velocidades Std 1500 w'!$B$17:$F$28,5,FALSE),IF(P775="ALUMINIO",VLOOKUP(Q775,'[3]Velocidades Std 1500 w'!$B$30:$F$38,5,FALSE))))</f>
        <v>4.3859649122807014E-6</v>
      </c>
      <c r="S775" s="82">
        <f t="shared" si="116"/>
        <v>2.1929824561403508E-2</v>
      </c>
      <c r="T775" s="83">
        <f t="shared" si="117"/>
        <v>62.64361894736841</v>
      </c>
      <c r="U775" s="307">
        <f t="shared" si="111"/>
        <v>3967.4291999999996</v>
      </c>
      <c r="V775" s="80">
        <f t="shared" si="122"/>
        <v>87.005026315789465</v>
      </c>
      <c r="W775" s="98">
        <v>12</v>
      </c>
      <c r="X775" s="84">
        <f>+IF(P775="ACERO A36",VLOOKUP(Q775,'[3]Tiempo Objeto'!$B$2:$C$12,2,FALSE),IF(P775="INOXIDABLE",VLOOKUP(Q775,'[3]Tiempo Objeto'!$B$14:$C$22,2,FALSE),IF(P775="ALUMINIO",VLOOKUP(Q775,'[3]Tiempo Objeto'!$B$24:$C$32,2,FALSE))))</f>
        <v>0.6133333333333334</v>
      </c>
      <c r="Y775" s="84">
        <f t="shared" si="118"/>
        <v>7.3600000000000012</v>
      </c>
      <c r="Z775" s="80">
        <f t="shared" si="119"/>
        <v>10.222222222222225</v>
      </c>
      <c r="AA775" s="100">
        <v>0</v>
      </c>
      <c r="AB775" s="86">
        <f>+AA775*Analisis!$J$6</f>
        <v>0</v>
      </c>
      <c r="AC775" s="100"/>
      <c r="AD775" s="85">
        <f t="shared" si="120"/>
        <v>0</v>
      </c>
      <c r="AE775" s="86">
        <f>+AC775*Analisis!$J$7</f>
        <v>0</v>
      </c>
      <c r="AF775" s="308">
        <f>+H775*0.0254*I775*0.0254*2*(1+[3]Analisis!$G$2)</f>
        <v>1.7226959094399998</v>
      </c>
      <c r="AG775" s="86">
        <f>+AF775*Analisis!$J$8</f>
        <v>183.5491474939048</v>
      </c>
      <c r="AH775" s="309">
        <f t="shared" si="112"/>
        <v>681.69355379286981</v>
      </c>
      <c r="AI775" s="86">
        <f>+AH775/(1-Analisis!G780)</f>
        <v>681.69355379286981</v>
      </c>
      <c r="AJ775" s="86">
        <f t="shared" si="121"/>
        <v>733.00382128265574</v>
      </c>
      <c r="AK775" s="86">
        <f t="shared" si="113"/>
        <v>0</v>
      </c>
      <c r="AL775" s="310" t="e">
        <f>+VLOOKUP(B775,#REF!,2,FALSE)</f>
        <v>#REF!</v>
      </c>
      <c r="AM775" s="311" t="e">
        <f t="shared" si="97"/>
        <v>#REF!</v>
      </c>
      <c r="AN775" s="312" t="e">
        <f t="shared" si="110"/>
        <v>#REF!</v>
      </c>
    </row>
    <row r="776" spans="1:40" s="73" customFormat="1" x14ac:dyDescent="0.25">
      <c r="A776" s="313"/>
      <c r="B776" s="330" t="s">
        <v>1483</v>
      </c>
      <c r="D776" s="74">
        <f>IFERROR(VLOOKUP(B776,'REQ. PINTADO'!B:C,2,0),0)</f>
        <v>0</v>
      </c>
      <c r="E776" s="305">
        <f t="shared" si="114"/>
        <v>942.3438136041791</v>
      </c>
      <c r="F776" s="103" t="s">
        <v>163</v>
      </c>
      <c r="G776" s="75" t="s">
        <v>147</v>
      </c>
      <c r="H776" s="90">
        <v>41.94</v>
      </c>
      <c r="I776" s="90">
        <v>33.44</v>
      </c>
      <c r="J776" s="76">
        <v>0.105</v>
      </c>
      <c r="K776" s="306">
        <v>16.38</v>
      </c>
      <c r="L776" s="78">
        <f t="shared" si="115"/>
        <v>70.706109349351678</v>
      </c>
      <c r="M776" s="58">
        <f>+VLOOKUP(F776,Material!$H$2:$M$17,6,FALSE)*H776*I776*(1+Material!$K$14)</f>
        <v>526.4391232465365</v>
      </c>
      <c r="N776" s="79" t="str">
        <f t="shared" si="123"/>
        <v>T5.0</v>
      </c>
      <c r="O776" s="80">
        <f>+VLOOKUP(N776,[3]Material!$A$3:$B$58,2,FALSE)</f>
        <v>5000</v>
      </c>
      <c r="P776" s="79" t="s">
        <v>42</v>
      </c>
      <c r="Q776" s="79" t="str">
        <f>+VLOOKUP(F776,[3]Material!$C$2:$E$12,2,FALSE)</f>
        <v>Cal 12</v>
      </c>
      <c r="R776" s="81">
        <f>+IF(P776="ACERO A36",VLOOKUP(Q776,'[3]Velocidades Std 1500 w'!$B$2:$F$15,5,FALSE),IF(P776="INOXIDABLE",VLOOKUP(Q776,'[3]Velocidades Std 1500 w'!$B$17:$F$28,5,FALSE),IF(P776="ALUMINIO",VLOOKUP(Q776,'[3]Velocidades Std 1500 w'!$B$30:$F$38,5,FALSE))))</f>
        <v>4.3859649122807014E-6</v>
      </c>
      <c r="S776" s="82">
        <f t="shared" si="116"/>
        <v>2.1929824561403508E-2</v>
      </c>
      <c r="T776" s="83">
        <f t="shared" si="117"/>
        <v>71.065724210526312</v>
      </c>
      <c r="U776" s="307">
        <f t="shared" si="111"/>
        <v>4500.8292000000001</v>
      </c>
      <c r="V776" s="80">
        <f t="shared" si="122"/>
        <v>98.702394736842109</v>
      </c>
      <c r="W776" s="98">
        <v>12</v>
      </c>
      <c r="X776" s="84">
        <f>+IF(P776="ACERO A36",VLOOKUP(Q776,'[3]Tiempo Objeto'!$B$2:$C$12,2,FALSE),IF(P776="INOXIDABLE",VLOOKUP(Q776,'[3]Tiempo Objeto'!$B$14:$C$22,2,FALSE),IF(P776="ALUMINIO",VLOOKUP(Q776,'[3]Tiempo Objeto'!$B$24:$C$32,2,FALSE))))</f>
        <v>0.6133333333333334</v>
      </c>
      <c r="Y776" s="84">
        <f t="shared" si="118"/>
        <v>7.3600000000000012</v>
      </c>
      <c r="Z776" s="80">
        <f t="shared" si="119"/>
        <v>10.222222222222225</v>
      </c>
      <c r="AA776" s="100">
        <v>0</v>
      </c>
      <c r="AB776" s="86">
        <f>+AA776*Analisis!$J$6</f>
        <v>0</v>
      </c>
      <c r="AC776" s="100"/>
      <c r="AD776" s="85">
        <f t="shared" si="120"/>
        <v>0</v>
      </c>
      <c r="AE776" s="86">
        <f>+AC776*Analisis!$J$7</f>
        <v>0</v>
      </c>
      <c r="AF776" s="308">
        <f>+H776*0.0254*I776*0.0254*2*(1+[3]Analisis!$G$2)</f>
        <v>2.2620496694399996</v>
      </c>
      <c r="AG776" s="86">
        <f>+AF776*Analisis!$J$8</f>
        <v>241.01600644628576</v>
      </c>
      <c r="AH776" s="309">
        <f t="shared" si="112"/>
        <v>876.37974665188653</v>
      </c>
      <c r="AI776" s="86">
        <f>+AH776/(1-Analisis!G781)</f>
        <v>876.37974665188653</v>
      </c>
      <c r="AJ776" s="86">
        <f t="shared" si="121"/>
        <v>942.3438136041791</v>
      </c>
      <c r="AK776" s="86">
        <f t="shared" si="113"/>
        <v>0</v>
      </c>
      <c r="AL776" s="310" t="e">
        <f>+VLOOKUP(B776,#REF!,2,FALSE)</f>
        <v>#REF!</v>
      </c>
      <c r="AM776" s="311" t="e">
        <f t="shared" si="97"/>
        <v>#REF!</v>
      </c>
      <c r="AN776" s="312" t="e">
        <f t="shared" si="110"/>
        <v>#REF!</v>
      </c>
    </row>
    <row r="777" spans="1:40" s="73" customFormat="1" x14ac:dyDescent="0.25">
      <c r="A777" s="313"/>
      <c r="B777" s="330" t="s">
        <v>158</v>
      </c>
      <c r="D777" s="74">
        <f>IFERROR(VLOOKUP(B777,'REQ. PINTADO'!B:C,2,0),0)</f>
        <v>0</v>
      </c>
      <c r="E777" s="305">
        <f t="shared" si="114"/>
        <v>1944.0062485819428</v>
      </c>
      <c r="F777" s="103" t="s">
        <v>165</v>
      </c>
      <c r="G777" s="75" t="s">
        <v>147</v>
      </c>
      <c r="H777" s="90">
        <v>22.72</v>
      </c>
      <c r="I777" s="90">
        <v>70.91</v>
      </c>
      <c r="J777" s="76">
        <v>0.105</v>
      </c>
      <c r="K777" s="306">
        <v>16.38</v>
      </c>
      <c r="L777" s="78">
        <f t="shared" si="115"/>
        <v>89.934486324786334</v>
      </c>
      <c r="M777" s="58">
        <f>+VLOOKUP(F777,Material!$H$2:$M$17,6,FALSE)*H777*I777*(1+Material!$K$14)</f>
        <v>669.60312999999996</v>
      </c>
      <c r="N777" s="79" t="str">
        <f t="shared" si="123"/>
        <v>T5.0</v>
      </c>
      <c r="O777" s="80">
        <f>+VLOOKUP(N777,[3]Material!$A$3:$B$58,2,FALSE)</f>
        <v>5000</v>
      </c>
      <c r="P777" s="79" t="s">
        <v>42</v>
      </c>
      <c r="Q777" s="79" t="str">
        <f>+VLOOKUP(F777,[3]Material!$C$2:$E$12,2,FALSE)</f>
        <v>Cal 14</v>
      </c>
      <c r="R777" s="81">
        <f>+IF(P777="ACERO A36",VLOOKUP(Q777,'[3]Velocidades Std 1500 w'!$B$2:$F$15,5,FALSE),IF(P777="INOXIDABLE",VLOOKUP(Q777,'[3]Velocidades Std 1500 w'!$B$17:$F$28,5,FALSE),IF(P777="ALUMINIO",VLOOKUP(Q777,'[3]Velocidades Std 1500 w'!$B$30:$F$38,5,FALSE))))</f>
        <v>2.0080321285140564E-6</v>
      </c>
      <c r="S777" s="82">
        <f t="shared" si="116"/>
        <v>1.0040160642570283E-2</v>
      </c>
      <c r="T777" s="83">
        <f t="shared" si="117"/>
        <v>281.91668096385541</v>
      </c>
      <c r="U777" s="307">
        <f t="shared" si="111"/>
        <v>38998.474199999997</v>
      </c>
      <c r="V777" s="80">
        <f t="shared" si="122"/>
        <v>391.55094578313259</v>
      </c>
      <c r="W777" s="98">
        <v>850</v>
      </c>
      <c r="X777" s="84">
        <f>+IF(P777="ACERO A36",VLOOKUP(Q777,'[3]Tiempo Objeto'!$B$2:$C$12,2,FALSE),IF(P777="INOXIDABLE",VLOOKUP(Q777,'[3]Tiempo Objeto'!$B$14:$C$22,2,FALSE),IF(P777="ALUMINIO",VLOOKUP(Q777,'[3]Tiempo Objeto'!$B$24:$C$32,2,FALSE))))</f>
        <v>0.3133333333333333</v>
      </c>
      <c r="Y777" s="84">
        <f t="shared" si="118"/>
        <v>266.33333333333331</v>
      </c>
      <c r="Z777" s="80">
        <f t="shared" si="119"/>
        <v>369.90740740740739</v>
      </c>
      <c r="AA777" s="100">
        <v>4</v>
      </c>
      <c r="AB777" s="86">
        <f>+AA777*Analisis!$J$6</f>
        <v>100</v>
      </c>
      <c r="AC777" s="100"/>
      <c r="AD777" s="85">
        <f t="shared" si="120"/>
        <v>0</v>
      </c>
      <c r="AE777" s="86">
        <f>+AC777*Analisis!$J$7</f>
        <v>0</v>
      </c>
      <c r="AF777" s="308">
        <f>+H777*0.0254*I777*0.0254*2*(1+[3]Analisis!$G$2)</f>
        <v>2.5985031900799993</v>
      </c>
      <c r="AG777" s="86">
        <f>+AF777*Analisis!$J$8</f>
        <v>276.86432799066665</v>
      </c>
      <c r="AH777" s="309">
        <f t="shared" si="112"/>
        <v>1807.9258111812067</v>
      </c>
      <c r="AI777" s="86">
        <f>+AH777/(1-Analisis!G782)</f>
        <v>1807.9258111812067</v>
      </c>
      <c r="AJ777" s="86">
        <f t="shared" si="121"/>
        <v>1944.0062485819428</v>
      </c>
      <c r="AK777" s="86">
        <f t="shared" si="113"/>
        <v>0</v>
      </c>
      <c r="AL777" s="310" t="e">
        <f>+VLOOKUP(B777,#REF!,2,FALSE)</f>
        <v>#REF!</v>
      </c>
      <c r="AM777" s="311" t="e">
        <f t="shared" si="97"/>
        <v>#REF!</v>
      </c>
      <c r="AN777" s="312" t="e">
        <f t="shared" si="110"/>
        <v>#REF!</v>
      </c>
    </row>
    <row r="778" spans="1:40" s="73" customFormat="1" x14ac:dyDescent="0.25">
      <c r="A778" s="313"/>
      <c r="B778" s="330" t="s">
        <v>158</v>
      </c>
      <c r="D778" s="74">
        <f>IFERROR(VLOOKUP(B778,'REQ. PINTADO'!B:C,2,0),0)</f>
        <v>0</v>
      </c>
      <c r="E778" s="305">
        <f t="shared" si="114"/>
        <v>2397.6991609243232</v>
      </c>
      <c r="F778" s="103" t="s">
        <v>165</v>
      </c>
      <c r="G778" s="75" t="s">
        <v>147</v>
      </c>
      <c r="H778" s="90">
        <v>32.72</v>
      </c>
      <c r="I778" s="90">
        <v>70.91</v>
      </c>
      <c r="J778" s="76">
        <v>0.105</v>
      </c>
      <c r="K778" s="306">
        <v>16.38</v>
      </c>
      <c r="L778" s="78">
        <f t="shared" si="115"/>
        <v>129.51832713675216</v>
      </c>
      <c r="M778" s="58">
        <f>+VLOOKUP(F778,Material!$H$2:$M$17,6,FALSE)*H778*I778*(1+Material!$K$14)</f>
        <v>964.32281749999993</v>
      </c>
      <c r="N778" s="79" t="str">
        <f t="shared" si="123"/>
        <v>T5.0</v>
      </c>
      <c r="O778" s="80">
        <f>+VLOOKUP(N778,[3]Material!$A$3:$B$58,2,FALSE)</f>
        <v>5000</v>
      </c>
      <c r="P778" s="79" t="s">
        <v>42</v>
      </c>
      <c r="Q778" s="79" t="str">
        <f>+VLOOKUP(F778,[3]Material!$C$2:$E$12,2,FALSE)</f>
        <v>Cal 14</v>
      </c>
      <c r="R778" s="81">
        <f>+IF(P778="ACERO A36",VLOOKUP(Q778,'[3]Velocidades Std 1500 w'!$B$2:$F$15,5,FALSE),IF(P778="INOXIDABLE",VLOOKUP(Q778,'[3]Velocidades Std 1500 w'!$B$17:$F$28,5,FALSE),IF(P778="ALUMINIO",VLOOKUP(Q778,'[3]Velocidades Std 1500 w'!$B$30:$F$38,5,FALSE))))</f>
        <v>2.0080321285140564E-6</v>
      </c>
      <c r="S778" s="82">
        <f t="shared" si="116"/>
        <v>1.0040160642570283E-2</v>
      </c>
      <c r="T778" s="83">
        <f t="shared" si="117"/>
        <v>285.77258457831323</v>
      </c>
      <c r="U778" s="307">
        <f t="shared" si="111"/>
        <v>39531.874199999998</v>
      </c>
      <c r="V778" s="80">
        <f t="shared" si="122"/>
        <v>396.90636746987957</v>
      </c>
      <c r="W778" s="98">
        <v>850</v>
      </c>
      <c r="X778" s="84">
        <f>+IF(P778="ACERO A36",VLOOKUP(Q778,'[3]Tiempo Objeto'!$B$2:$C$12,2,FALSE),IF(P778="INOXIDABLE",VLOOKUP(Q778,'[3]Tiempo Objeto'!$B$14:$C$22,2,FALSE),IF(P778="ALUMINIO",VLOOKUP(Q778,'[3]Tiempo Objeto'!$B$24:$C$32,2,FALSE))))</f>
        <v>0.3133333333333333</v>
      </c>
      <c r="Y778" s="84">
        <f t="shared" si="118"/>
        <v>266.33333333333331</v>
      </c>
      <c r="Z778" s="80">
        <f t="shared" si="119"/>
        <v>369.90740740740739</v>
      </c>
      <c r="AA778" s="100">
        <v>4</v>
      </c>
      <c r="AB778" s="86">
        <f>+AA778*Analisis!$J$6</f>
        <v>100</v>
      </c>
      <c r="AC778" s="100"/>
      <c r="AD778" s="85">
        <f t="shared" si="120"/>
        <v>0</v>
      </c>
      <c r="AE778" s="86">
        <f>+AC778*Analisis!$J$7</f>
        <v>0</v>
      </c>
      <c r="AF778" s="308">
        <f>+H778*0.0254*I778*0.0254*2*(1+[3]Analisis!$G$2)</f>
        <v>3.7422105800799992</v>
      </c>
      <c r="AG778" s="86">
        <f>+AF778*Analisis!$J$8</f>
        <v>398.72362728233338</v>
      </c>
      <c r="AH778" s="309">
        <f t="shared" si="112"/>
        <v>2229.8602196596203</v>
      </c>
      <c r="AI778" s="86">
        <f>+AH778/(1-Analisis!G783)</f>
        <v>2229.8602196596203</v>
      </c>
      <c r="AJ778" s="86">
        <f t="shared" si="121"/>
        <v>2397.6991609243232</v>
      </c>
      <c r="AK778" s="86">
        <f t="shared" si="113"/>
        <v>0</v>
      </c>
      <c r="AL778" s="310" t="e">
        <f>+VLOOKUP(B778,#REF!,2,FALSE)</f>
        <v>#REF!</v>
      </c>
      <c r="AM778" s="311" t="e">
        <f t="shared" si="97"/>
        <v>#REF!</v>
      </c>
      <c r="AN778" s="312" t="e">
        <f t="shared" si="110"/>
        <v>#REF!</v>
      </c>
    </row>
    <row r="779" spans="1:40" s="73" customFormat="1" ht="13.5" customHeight="1" x14ac:dyDescent="0.25">
      <c r="A779" s="313"/>
      <c r="B779" s="330" t="s">
        <v>1484</v>
      </c>
      <c r="D779" s="74">
        <f>IFERROR(VLOOKUP(B779,'REQ. PINTADO'!B:C,2,0),0)</f>
        <v>0</v>
      </c>
      <c r="E779" s="305">
        <f t="shared" si="114"/>
        <v>528.57170124223524</v>
      </c>
      <c r="F779" s="103" t="s">
        <v>165</v>
      </c>
      <c r="G779" s="75" t="s">
        <v>147</v>
      </c>
      <c r="H779" s="90">
        <v>23.35</v>
      </c>
      <c r="I779" s="90">
        <v>23.08</v>
      </c>
      <c r="J779" s="76">
        <v>0.105</v>
      </c>
      <c r="K779" s="306">
        <v>16.38</v>
      </c>
      <c r="L779" s="78">
        <f t="shared" si="115"/>
        <v>30.083830662393162</v>
      </c>
      <c r="M779" s="58">
        <f>+VLOOKUP(F779,Material!$H$2:$M$17,6,FALSE)*H779*I779*(1+Material!$K$14)</f>
        <v>223.98779374999998</v>
      </c>
      <c r="N779" s="79" t="str">
        <f t="shared" si="123"/>
        <v>T5.0</v>
      </c>
      <c r="O779" s="80">
        <f>+VLOOKUP(N779,[3]Material!$A$3:$B$58,2,FALSE)</f>
        <v>5000</v>
      </c>
      <c r="P779" s="79" t="s">
        <v>42</v>
      </c>
      <c r="Q779" s="79" t="str">
        <f>+VLOOKUP(F779,[3]Material!$C$2:$E$12,2,FALSE)</f>
        <v>Cal 14</v>
      </c>
      <c r="R779" s="81">
        <f>+IF(P779="ACERO A36",VLOOKUP(Q779,'[3]Velocidades Std 1500 w'!$B$2:$F$15,5,FALSE),IF(P779="INOXIDABLE",VLOOKUP(Q779,'[3]Velocidades Std 1500 w'!$B$17:$F$28,5,FALSE),IF(P779="ALUMINIO",VLOOKUP(Q779,'[3]Velocidades Std 1500 w'!$B$30:$F$38,5,FALSE))))</f>
        <v>2.0080321285140564E-6</v>
      </c>
      <c r="S779" s="82">
        <f t="shared" si="116"/>
        <v>1.0040160642570283E-2</v>
      </c>
      <c r="T779" s="83">
        <f t="shared" si="117"/>
        <v>26.578743614457839</v>
      </c>
      <c r="U779" s="307">
        <f t="shared" si="111"/>
        <v>3676.7262000000005</v>
      </c>
      <c r="V779" s="80">
        <f t="shared" si="122"/>
        <v>36.914921686747</v>
      </c>
      <c r="W779" s="98">
        <v>30</v>
      </c>
      <c r="X779" s="84">
        <f>+IF(P779="ACERO A36",VLOOKUP(Q779,'[3]Tiempo Objeto'!$B$2:$C$12,2,FALSE),IF(P779="INOXIDABLE",VLOOKUP(Q779,'[3]Tiempo Objeto'!$B$14:$C$22,2,FALSE),IF(P779="ALUMINIO",VLOOKUP(Q779,'[3]Tiempo Objeto'!$B$24:$C$32,2,FALSE))))</f>
        <v>0.3133333333333333</v>
      </c>
      <c r="Y779" s="84">
        <f t="shared" si="118"/>
        <v>9.3999999999999986</v>
      </c>
      <c r="Z779" s="80">
        <f t="shared" si="119"/>
        <v>13.055555555555554</v>
      </c>
      <c r="AA779" s="100">
        <v>5</v>
      </c>
      <c r="AB779" s="86">
        <f>+AA779*Analisis!$J$6</f>
        <v>125</v>
      </c>
      <c r="AC779" s="100"/>
      <c r="AD779" s="85">
        <f t="shared" si="120"/>
        <v>0</v>
      </c>
      <c r="AE779" s="86">
        <f>+AC779*Analisis!$J$7</f>
        <v>0</v>
      </c>
      <c r="AF779" s="308">
        <f>+H779*0.0254*I779*0.0254*2*(1+[3]Analisis!$G$2)</f>
        <v>0.86922084220000007</v>
      </c>
      <c r="AG779" s="86">
        <f>+AF779*Analisis!$J$8</f>
        <v>92.61341116297622</v>
      </c>
      <c r="AH779" s="309">
        <f t="shared" si="112"/>
        <v>491.57168215527872</v>
      </c>
      <c r="AI779" s="86">
        <f>+AH779/(1-Analisis!G784)</f>
        <v>491.57168215527872</v>
      </c>
      <c r="AJ779" s="86">
        <f t="shared" si="121"/>
        <v>528.57170124223524</v>
      </c>
      <c r="AK779" s="86">
        <f t="shared" si="113"/>
        <v>0</v>
      </c>
      <c r="AL779" s="310" t="e">
        <f>+VLOOKUP(B779,#REF!,2,FALSE)</f>
        <v>#REF!</v>
      </c>
      <c r="AM779" s="311" t="e">
        <f t="shared" si="97"/>
        <v>#REF!</v>
      </c>
      <c r="AN779" s="312" t="e">
        <f t="shared" si="110"/>
        <v>#REF!</v>
      </c>
    </row>
    <row r="780" spans="1:40" s="73" customFormat="1" ht="13.5" customHeight="1" x14ac:dyDescent="0.25">
      <c r="A780" s="313"/>
      <c r="B780" s="330" t="s">
        <v>1485</v>
      </c>
      <c r="D780" s="74">
        <f>IFERROR(VLOOKUP(B780,'REQ. PINTADO'!B:C,2,0),0)</f>
        <v>0</v>
      </c>
      <c r="E780" s="305">
        <f t="shared" si="114"/>
        <v>528.57170124223524</v>
      </c>
      <c r="F780" s="103" t="s">
        <v>165</v>
      </c>
      <c r="G780" s="75" t="s">
        <v>147</v>
      </c>
      <c r="H780" s="90">
        <v>23.35</v>
      </c>
      <c r="I780" s="90">
        <v>23.08</v>
      </c>
      <c r="J780" s="76">
        <v>0.105</v>
      </c>
      <c r="K780" s="306">
        <v>16.38</v>
      </c>
      <c r="L780" s="78">
        <f t="shared" si="115"/>
        <v>30.083830662393162</v>
      </c>
      <c r="M780" s="58">
        <f>+VLOOKUP(F780,Material!$H$2:$M$17,6,FALSE)*H780*I780*(1+Material!$K$14)</f>
        <v>223.98779374999998</v>
      </c>
      <c r="N780" s="79" t="str">
        <f t="shared" si="123"/>
        <v>T5.0</v>
      </c>
      <c r="O780" s="80">
        <f>+VLOOKUP(N780,[3]Material!$A$3:$B$58,2,FALSE)</f>
        <v>5000</v>
      </c>
      <c r="P780" s="79" t="s">
        <v>42</v>
      </c>
      <c r="Q780" s="79" t="str">
        <f>+VLOOKUP(F780,[3]Material!$C$2:$E$12,2,FALSE)</f>
        <v>Cal 14</v>
      </c>
      <c r="R780" s="81">
        <f>+IF(P780="ACERO A36",VLOOKUP(Q780,'[3]Velocidades Std 1500 w'!$B$2:$F$15,5,FALSE),IF(P780="INOXIDABLE",VLOOKUP(Q780,'[3]Velocidades Std 1500 w'!$B$17:$F$28,5,FALSE),IF(P780="ALUMINIO",VLOOKUP(Q780,'[3]Velocidades Std 1500 w'!$B$30:$F$38,5,FALSE))))</f>
        <v>2.0080321285140564E-6</v>
      </c>
      <c r="S780" s="82">
        <f t="shared" si="116"/>
        <v>1.0040160642570283E-2</v>
      </c>
      <c r="T780" s="83">
        <f t="shared" si="117"/>
        <v>26.578743614457839</v>
      </c>
      <c r="U780" s="307">
        <f t="shared" si="111"/>
        <v>3676.7262000000005</v>
      </c>
      <c r="V780" s="80">
        <f t="shared" si="122"/>
        <v>36.914921686747</v>
      </c>
      <c r="W780" s="98">
        <v>30</v>
      </c>
      <c r="X780" s="84">
        <f>+IF(P780="ACERO A36",VLOOKUP(Q780,'[3]Tiempo Objeto'!$B$2:$C$12,2,FALSE),IF(P780="INOXIDABLE",VLOOKUP(Q780,'[3]Tiempo Objeto'!$B$14:$C$22,2,FALSE),IF(P780="ALUMINIO",VLOOKUP(Q780,'[3]Tiempo Objeto'!$B$24:$C$32,2,FALSE))))</f>
        <v>0.3133333333333333</v>
      </c>
      <c r="Y780" s="84">
        <f t="shared" si="118"/>
        <v>9.3999999999999986</v>
      </c>
      <c r="Z780" s="80">
        <f t="shared" si="119"/>
        <v>13.055555555555554</v>
      </c>
      <c r="AA780" s="100">
        <v>5</v>
      </c>
      <c r="AB780" s="86">
        <f>+AA780*Analisis!$J$6</f>
        <v>125</v>
      </c>
      <c r="AC780" s="100"/>
      <c r="AD780" s="85">
        <f t="shared" si="120"/>
        <v>0</v>
      </c>
      <c r="AE780" s="86">
        <f>+AC780*Analisis!$J$7</f>
        <v>0</v>
      </c>
      <c r="AF780" s="308">
        <f>+H780*0.0254*I780*0.0254*2*(1+[3]Analisis!$G$2)</f>
        <v>0.86922084220000007</v>
      </c>
      <c r="AG780" s="86">
        <f>+AF780*Analisis!$J$8</f>
        <v>92.61341116297622</v>
      </c>
      <c r="AH780" s="309">
        <f t="shared" si="112"/>
        <v>491.57168215527872</v>
      </c>
      <c r="AI780" s="86">
        <f>+AH780/(1-Analisis!G785)</f>
        <v>491.57168215527872</v>
      </c>
      <c r="AJ780" s="86">
        <f t="shared" si="121"/>
        <v>528.57170124223524</v>
      </c>
      <c r="AK780" s="86">
        <f t="shared" si="113"/>
        <v>0</v>
      </c>
      <c r="AL780" s="310" t="e">
        <f>+VLOOKUP(B780,#REF!,2,FALSE)</f>
        <v>#REF!</v>
      </c>
      <c r="AM780" s="311" t="e">
        <f t="shared" si="97"/>
        <v>#REF!</v>
      </c>
      <c r="AN780" s="312" t="e">
        <f t="shared" si="110"/>
        <v>#REF!</v>
      </c>
    </row>
    <row r="781" spans="1:40" s="73" customFormat="1" ht="13.5" customHeight="1" x14ac:dyDescent="0.25">
      <c r="A781" s="313"/>
      <c r="B781" s="330" t="s">
        <v>1486</v>
      </c>
      <c r="D781" s="74">
        <f>IFERROR(VLOOKUP(B781,'REQ. PINTADO'!B:C,2,0),0)</f>
        <v>0</v>
      </c>
      <c r="E781" s="305">
        <f t="shared" si="114"/>
        <v>528.57170124223524</v>
      </c>
      <c r="F781" s="103" t="s">
        <v>165</v>
      </c>
      <c r="G781" s="75" t="s">
        <v>147</v>
      </c>
      <c r="H781" s="90">
        <v>23.35</v>
      </c>
      <c r="I781" s="90">
        <v>23.08</v>
      </c>
      <c r="J781" s="76">
        <v>0.105</v>
      </c>
      <c r="K781" s="306">
        <v>16.38</v>
      </c>
      <c r="L781" s="78">
        <f t="shared" si="115"/>
        <v>30.083830662393162</v>
      </c>
      <c r="M781" s="58">
        <f>+VLOOKUP(F781,Material!$H$2:$M$17,6,FALSE)*H781*I781*(1+Material!$K$14)</f>
        <v>223.98779374999998</v>
      </c>
      <c r="N781" s="79" t="str">
        <f t="shared" si="123"/>
        <v>T5.0</v>
      </c>
      <c r="O781" s="80">
        <f>+VLOOKUP(N781,[3]Material!$A$3:$B$58,2,FALSE)</f>
        <v>5000</v>
      </c>
      <c r="P781" s="79" t="s">
        <v>42</v>
      </c>
      <c r="Q781" s="79" t="str">
        <f>+VLOOKUP(F781,[3]Material!$C$2:$E$12,2,FALSE)</f>
        <v>Cal 14</v>
      </c>
      <c r="R781" s="81">
        <f>+IF(P781="ACERO A36",VLOOKUP(Q781,'[3]Velocidades Std 1500 w'!$B$2:$F$15,5,FALSE),IF(P781="INOXIDABLE",VLOOKUP(Q781,'[3]Velocidades Std 1500 w'!$B$17:$F$28,5,FALSE),IF(P781="ALUMINIO",VLOOKUP(Q781,'[3]Velocidades Std 1500 w'!$B$30:$F$38,5,FALSE))))</f>
        <v>2.0080321285140564E-6</v>
      </c>
      <c r="S781" s="82">
        <f t="shared" si="116"/>
        <v>1.0040160642570283E-2</v>
      </c>
      <c r="T781" s="83">
        <f t="shared" si="117"/>
        <v>26.578743614457839</v>
      </c>
      <c r="U781" s="307">
        <f t="shared" si="111"/>
        <v>3676.7262000000005</v>
      </c>
      <c r="V781" s="80">
        <f t="shared" si="122"/>
        <v>36.914921686747</v>
      </c>
      <c r="W781" s="98">
        <v>30</v>
      </c>
      <c r="X781" s="84">
        <f>+IF(P781="ACERO A36",VLOOKUP(Q781,'[3]Tiempo Objeto'!$B$2:$C$12,2,FALSE),IF(P781="INOXIDABLE",VLOOKUP(Q781,'[3]Tiempo Objeto'!$B$14:$C$22,2,FALSE),IF(P781="ALUMINIO",VLOOKUP(Q781,'[3]Tiempo Objeto'!$B$24:$C$32,2,FALSE))))</f>
        <v>0.3133333333333333</v>
      </c>
      <c r="Y781" s="84">
        <f t="shared" si="118"/>
        <v>9.3999999999999986</v>
      </c>
      <c r="Z781" s="80">
        <f t="shared" si="119"/>
        <v>13.055555555555554</v>
      </c>
      <c r="AA781" s="100">
        <v>5</v>
      </c>
      <c r="AB781" s="86">
        <f>+AA781*Analisis!$J$6</f>
        <v>125</v>
      </c>
      <c r="AC781" s="100"/>
      <c r="AD781" s="85">
        <f t="shared" si="120"/>
        <v>0</v>
      </c>
      <c r="AE781" s="86">
        <f>+AC781*Analisis!$J$7</f>
        <v>0</v>
      </c>
      <c r="AF781" s="308">
        <f>+H781*0.0254*I781*0.0254*2*(1+[3]Analisis!$G$2)</f>
        <v>0.86922084220000007</v>
      </c>
      <c r="AG781" s="86">
        <f>+AF781*Analisis!$J$8</f>
        <v>92.61341116297622</v>
      </c>
      <c r="AH781" s="309">
        <f t="shared" si="112"/>
        <v>491.57168215527872</v>
      </c>
      <c r="AI781" s="86">
        <f>+AH781/(1-Analisis!G786)</f>
        <v>491.57168215527872</v>
      </c>
      <c r="AJ781" s="86">
        <f t="shared" si="121"/>
        <v>528.57170124223524</v>
      </c>
      <c r="AK781" s="86">
        <f t="shared" si="113"/>
        <v>0</v>
      </c>
      <c r="AL781" s="310" t="e">
        <f>+VLOOKUP(B781,#REF!,2,FALSE)</f>
        <v>#REF!</v>
      </c>
      <c r="AM781" s="311" t="e">
        <f t="shared" si="97"/>
        <v>#REF!</v>
      </c>
      <c r="AN781" s="312" t="e">
        <f t="shared" si="110"/>
        <v>#REF!</v>
      </c>
    </row>
    <row r="782" spans="1:40" s="73" customFormat="1" ht="13.5" customHeight="1" x14ac:dyDescent="0.25">
      <c r="A782" s="313"/>
      <c r="B782" s="330" t="s">
        <v>1487</v>
      </c>
      <c r="D782" s="74">
        <f>IFERROR(VLOOKUP(B782,'REQ. PINTADO'!B:C,2,0),0)</f>
        <v>0</v>
      </c>
      <c r="E782" s="305">
        <f t="shared" si="114"/>
        <v>528.57170124223524</v>
      </c>
      <c r="F782" s="103" t="s">
        <v>165</v>
      </c>
      <c r="G782" s="75" t="s">
        <v>147</v>
      </c>
      <c r="H782" s="90">
        <v>23.35</v>
      </c>
      <c r="I782" s="90">
        <v>23.08</v>
      </c>
      <c r="J782" s="76">
        <v>0.105</v>
      </c>
      <c r="K782" s="306">
        <v>16.38</v>
      </c>
      <c r="L782" s="78">
        <f t="shared" si="115"/>
        <v>30.083830662393162</v>
      </c>
      <c r="M782" s="58">
        <f>+VLOOKUP(F782,Material!$H$2:$M$17,6,FALSE)*H782*I782*(1+Material!$K$14)</f>
        <v>223.98779374999998</v>
      </c>
      <c r="N782" s="79" t="str">
        <f t="shared" si="123"/>
        <v>T5.0</v>
      </c>
      <c r="O782" s="80">
        <f>+VLOOKUP(N782,[3]Material!$A$3:$B$58,2,FALSE)</f>
        <v>5000</v>
      </c>
      <c r="P782" s="79" t="s">
        <v>42</v>
      </c>
      <c r="Q782" s="79" t="str">
        <f>+VLOOKUP(F782,[3]Material!$C$2:$E$12,2,FALSE)</f>
        <v>Cal 14</v>
      </c>
      <c r="R782" s="81">
        <f>+IF(P782="ACERO A36",VLOOKUP(Q782,'[3]Velocidades Std 1500 w'!$B$2:$F$15,5,FALSE),IF(P782="INOXIDABLE",VLOOKUP(Q782,'[3]Velocidades Std 1500 w'!$B$17:$F$28,5,FALSE),IF(P782="ALUMINIO",VLOOKUP(Q782,'[3]Velocidades Std 1500 w'!$B$30:$F$38,5,FALSE))))</f>
        <v>2.0080321285140564E-6</v>
      </c>
      <c r="S782" s="82">
        <f t="shared" si="116"/>
        <v>1.0040160642570283E-2</v>
      </c>
      <c r="T782" s="83">
        <f t="shared" si="117"/>
        <v>26.578743614457839</v>
      </c>
      <c r="U782" s="307">
        <f t="shared" si="111"/>
        <v>3676.7262000000005</v>
      </c>
      <c r="V782" s="80">
        <f t="shared" si="122"/>
        <v>36.914921686747</v>
      </c>
      <c r="W782" s="98">
        <v>30</v>
      </c>
      <c r="X782" s="84">
        <f>+IF(P782="ACERO A36",VLOOKUP(Q782,'[3]Tiempo Objeto'!$B$2:$C$12,2,FALSE),IF(P782="INOXIDABLE",VLOOKUP(Q782,'[3]Tiempo Objeto'!$B$14:$C$22,2,FALSE),IF(P782="ALUMINIO",VLOOKUP(Q782,'[3]Tiempo Objeto'!$B$24:$C$32,2,FALSE))))</f>
        <v>0.3133333333333333</v>
      </c>
      <c r="Y782" s="84">
        <f t="shared" si="118"/>
        <v>9.3999999999999986</v>
      </c>
      <c r="Z782" s="80">
        <f t="shared" si="119"/>
        <v>13.055555555555554</v>
      </c>
      <c r="AA782" s="100">
        <v>5</v>
      </c>
      <c r="AB782" s="86">
        <f>+AA782*Analisis!$J$6</f>
        <v>125</v>
      </c>
      <c r="AC782" s="100"/>
      <c r="AD782" s="85">
        <f t="shared" si="120"/>
        <v>0</v>
      </c>
      <c r="AE782" s="86">
        <f>+AC782*Analisis!$J$7</f>
        <v>0</v>
      </c>
      <c r="AF782" s="308">
        <f>+H782*0.0254*I782*0.0254*2*(1+[3]Analisis!$G$2)</f>
        <v>0.86922084220000007</v>
      </c>
      <c r="AG782" s="86">
        <f>+AF782*Analisis!$J$8</f>
        <v>92.61341116297622</v>
      </c>
      <c r="AH782" s="309">
        <f t="shared" si="112"/>
        <v>491.57168215527872</v>
      </c>
      <c r="AI782" s="86">
        <f>+AH782/(1-Analisis!G787)</f>
        <v>491.57168215527872</v>
      </c>
      <c r="AJ782" s="86">
        <f t="shared" si="121"/>
        <v>528.57170124223524</v>
      </c>
      <c r="AK782" s="86">
        <f t="shared" si="113"/>
        <v>0</v>
      </c>
      <c r="AL782" s="310" t="e">
        <f>+VLOOKUP(B782,#REF!,2,FALSE)</f>
        <v>#REF!</v>
      </c>
      <c r="AM782" s="311" t="e">
        <f t="shared" si="97"/>
        <v>#REF!</v>
      </c>
      <c r="AN782" s="312" t="e">
        <f t="shared" si="110"/>
        <v>#REF!</v>
      </c>
    </row>
    <row r="783" spans="1:40" s="73" customFormat="1" ht="13.5" customHeight="1" x14ac:dyDescent="0.25">
      <c r="A783" s="313"/>
      <c r="B783" s="330" t="s">
        <v>1488</v>
      </c>
      <c r="D783" s="74">
        <f>IFERROR(VLOOKUP(B783,'REQ. PINTADO'!B:C,2,0),0)</f>
        <v>0</v>
      </c>
      <c r="E783" s="305">
        <f t="shared" si="114"/>
        <v>528.57170124223524</v>
      </c>
      <c r="F783" s="103" t="s">
        <v>165</v>
      </c>
      <c r="G783" s="75" t="s">
        <v>147</v>
      </c>
      <c r="H783" s="90">
        <v>23.35</v>
      </c>
      <c r="I783" s="90">
        <v>23.08</v>
      </c>
      <c r="J783" s="76">
        <v>0.105</v>
      </c>
      <c r="K783" s="306">
        <v>16.38</v>
      </c>
      <c r="L783" s="78">
        <f t="shared" si="115"/>
        <v>30.083830662393162</v>
      </c>
      <c r="M783" s="58">
        <f>+VLOOKUP(F783,Material!$H$2:$M$17,6,FALSE)*H783*I783*(1+Material!$K$14)</f>
        <v>223.98779374999998</v>
      </c>
      <c r="N783" s="79" t="str">
        <f t="shared" si="123"/>
        <v>T5.0</v>
      </c>
      <c r="O783" s="80">
        <f>+VLOOKUP(N783,[3]Material!$A$3:$B$58,2,FALSE)</f>
        <v>5000</v>
      </c>
      <c r="P783" s="79" t="s">
        <v>42</v>
      </c>
      <c r="Q783" s="79" t="str">
        <f>+VLOOKUP(F783,[3]Material!$C$2:$E$12,2,FALSE)</f>
        <v>Cal 14</v>
      </c>
      <c r="R783" s="81">
        <f>+IF(P783="ACERO A36",VLOOKUP(Q783,'[3]Velocidades Std 1500 w'!$B$2:$F$15,5,FALSE),IF(P783="INOXIDABLE",VLOOKUP(Q783,'[3]Velocidades Std 1500 w'!$B$17:$F$28,5,FALSE),IF(P783="ALUMINIO",VLOOKUP(Q783,'[3]Velocidades Std 1500 w'!$B$30:$F$38,5,FALSE))))</f>
        <v>2.0080321285140564E-6</v>
      </c>
      <c r="S783" s="82">
        <f t="shared" si="116"/>
        <v>1.0040160642570283E-2</v>
      </c>
      <c r="T783" s="83">
        <f t="shared" si="117"/>
        <v>26.578743614457839</v>
      </c>
      <c r="U783" s="307">
        <f t="shared" si="111"/>
        <v>3676.7262000000005</v>
      </c>
      <c r="V783" s="80">
        <f t="shared" si="122"/>
        <v>36.914921686747</v>
      </c>
      <c r="W783" s="98">
        <v>30</v>
      </c>
      <c r="X783" s="84">
        <f>+IF(P783="ACERO A36",VLOOKUP(Q783,'[3]Tiempo Objeto'!$B$2:$C$12,2,FALSE),IF(P783="INOXIDABLE",VLOOKUP(Q783,'[3]Tiempo Objeto'!$B$14:$C$22,2,FALSE),IF(P783="ALUMINIO",VLOOKUP(Q783,'[3]Tiempo Objeto'!$B$24:$C$32,2,FALSE))))</f>
        <v>0.3133333333333333</v>
      </c>
      <c r="Y783" s="84">
        <f t="shared" si="118"/>
        <v>9.3999999999999986</v>
      </c>
      <c r="Z783" s="80">
        <f t="shared" si="119"/>
        <v>13.055555555555554</v>
      </c>
      <c r="AA783" s="100">
        <v>5</v>
      </c>
      <c r="AB783" s="86">
        <f>+AA783*Analisis!$J$6</f>
        <v>125</v>
      </c>
      <c r="AC783" s="100"/>
      <c r="AD783" s="85">
        <f t="shared" si="120"/>
        <v>0</v>
      </c>
      <c r="AE783" s="86">
        <f>+AC783*Analisis!$J$7</f>
        <v>0</v>
      </c>
      <c r="AF783" s="308">
        <f>+H783*0.0254*I783*0.0254*2*(1+[3]Analisis!$G$2)</f>
        <v>0.86922084220000007</v>
      </c>
      <c r="AG783" s="86">
        <f>+AF783*Analisis!$J$8</f>
        <v>92.61341116297622</v>
      </c>
      <c r="AH783" s="309">
        <f t="shared" si="112"/>
        <v>491.57168215527872</v>
      </c>
      <c r="AI783" s="86">
        <f>+AH783/(1-Analisis!G788)</f>
        <v>491.57168215527872</v>
      </c>
      <c r="AJ783" s="86">
        <f t="shared" si="121"/>
        <v>528.57170124223524</v>
      </c>
      <c r="AK783" s="86">
        <f t="shared" si="113"/>
        <v>0</v>
      </c>
      <c r="AL783" s="310" t="e">
        <f>+VLOOKUP(B783,#REF!,2,FALSE)</f>
        <v>#REF!</v>
      </c>
      <c r="AM783" s="311" t="e">
        <f t="shared" si="97"/>
        <v>#REF!</v>
      </c>
      <c r="AN783" s="312" t="e">
        <f t="shared" si="110"/>
        <v>#REF!</v>
      </c>
    </row>
    <row r="784" spans="1:40" s="73" customFormat="1" ht="13.5" customHeight="1" x14ac:dyDescent="0.25">
      <c r="A784" s="313"/>
      <c r="B784" s="330" t="s">
        <v>1489</v>
      </c>
      <c r="D784" s="74">
        <f>IFERROR(VLOOKUP(B784,'REQ. PINTADO'!B:C,2,0),0)</f>
        <v>0</v>
      </c>
      <c r="E784" s="305">
        <f t="shared" si="114"/>
        <v>528.57170124223524</v>
      </c>
      <c r="F784" s="103" t="s">
        <v>165</v>
      </c>
      <c r="G784" s="75" t="s">
        <v>147</v>
      </c>
      <c r="H784" s="90">
        <v>23.35</v>
      </c>
      <c r="I784" s="90">
        <v>23.08</v>
      </c>
      <c r="J784" s="76">
        <v>0.105</v>
      </c>
      <c r="K784" s="306">
        <v>16.38</v>
      </c>
      <c r="L784" s="78">
        <f t="shared" si="115"/>
        <v>30.083830662393162</v>
      </c>
      <c r="M784" s="58">
        <f>+VLOOKUP(F784,Material!$H$2:$M$17,6,FALSE)*H784*I784*(1+Material!$K$14)</f>
        <v>223.98779374999998</v>
      </c>
      <c r="N784" s="79" t="str">
        <f t="shared" si="123"/>
        <v>T5.0</v>
      </c>
      <c r="O784" s="80">
        <f>+VLOOKUP(N784,[3]Material!$A$3:$B$58,2,FALSE)</f>
        <v>5000</v>
      </c>
      <c r="P784" s="79" t="s">
        <v>42</v>
      </c>
      <c r="Q784" s="79" t="str">
        <f>+VLOOKUP(F784,[3]Material!$C$2:$E$12,2,FALSE)</f>
        <v>Cal 14</v>
      </c>
      <c r="R784" s="81">
        <f>+IF(P784="ACERO A36",VLOOKUP(Q784,'[3]Velocidades Std 1500 w'!$B$2:$F$15,5,FALSE),IF(P784="INOXIDABLE",VLOOKUP(Q784,'[3]Velocidades Std 1500 w'!$B$17:$F$28,5,FALSE),IF(P784="ALUMINIO",VLOOKUP(Q784,'[3]Velocidades Std 1500 w'!$B$30:$F$38,5,FALSE))))</f>
        <v>2.0080321285140564E-6</v>
      </c>
      <c r="S784" s="82">
        <f t="shared" si="116"/>
        <v>1.0040160642570283E-2</v>
      </c>
      <c r="T784" s="83">
        <f t="shared" si="117"/>
        <v>26.578743614457839</v>
      </c>
      <c r="U784" s="307">
        <f t="shared" si="111"/>
        <v>3676.7262000000005</v>
      </c>
      <c r="V784" s="80">
        <f t="shared" si="122"/>
        <v>36.914921686747</v>
      </c>
      <c r="W784" s="98">
        <v>30</v>
      </c>
      <c r="X784" s="84">
        <f>+IF(P784="ACERO A36",VLOOKUP(Q784,'[3]Tiempo Objeto'!$B$2:$C$12,2,FALSE),IF(P784="INOXIDABLE",VLOOKUP(Q784,'[3]Tiempo Objeto'!$B$14:$C$22,2,FALSE),IF(P784="ALUMINIO",VLOOKUP(Q784,'[3]Tiempo Objeto'!$B$24:$C$32,2,FALSE))))</f>
        <v>0.3133333333333333</v>
      </c>
      <c r="Y784" s="84">
        <f t="shared" si="118"/>
        <v>9.3999999999999986</v>
      </c>
      <c r="Z784" s="80">
        <f t="shared" si="119"/>
        <v>13.055555555555554</v>
      </c>
      <c r="AA784" s="100">
        <v>5</v>
      </c>
      <c r="AB784" s="86">
        <f>+AA784*Analisis!$J$6</f>
        <v>125</v>
      </c>
      <c r="AC784" s="100"/>
      <c r="AD784" s="85">
        <f t="shared" si="120"/>
        <v>0</v>
      </c>
      <c r="AE784" s="86">
        <f>+AC784*Analisis!$J$7</f>
        <v>0</v>
      </c>
      <c r="AF784" s="308">
        <f>+H784*0.0254*I784*0.0254*2*(1+[3]Analisis!$G$2)</f>
        <v>0.86922084220000007</v>
      </c>
      <c r="AG784" s="86">
        <f>+AF784*Analisis!$J$8</f>
        <v>92.61341116297622</v>
      </c>
      <c r="AH784" s="309">
        <f t="shared" si="112"/>
        <v>491.57168215527872</v>
      </c>
      <c r="AI784" s="86">
        <f>+AH784/(1-Analisis!G789)</f>
        <v>491.57168215527872</v>
      </c>
      <c r="AJ784" s="86">
        <f t="shared" si="121"/>
        <v>528.57170124223524</v>
      </c>
      <c r="AK784" s="86">
        <f t="shared" si="113"/>
        <v>0</v>
      </c>
      <c r="AL784" s="310" t="e">
        <f>+VLOOKUP(B784,#REF!,2,FALSE)</f>
        <v>#REF!</v>
      </c>
      <c r="AM784" s="311" t="e">
        <f t="shared" si="97"/>
        <v>#REF!</v>
      </c>
      <c r="AN784" s="312" t="e">
        <f t="shared" si="110"/>
        <v>#REF!</v>
      </c>
    </row>
    <row r="785" spans="1:40" s="73" customFormat="1" x14ac:dyDescent="0.25">
      <c r="A785" s="313"/>
      <c r="B785" s="330" t="s">
        <v>1490</v>
      </c>
      <c r="D785" s="74">
        <f>IFERROR(VLOOKUP(B785,'REQ. PINTADO'!B:C,2,0),0)</f>
        <v>0</v>
      </c>
      <c r="E785" s="305">
        <f t="shared" si="114"/>
        <v>143.4144011072197</v>
      </c>
      <c r="F785" s="103" t="s">
        <v>165</v>
      </c>
      <c r="G785" s="75" t="s">
        <v>147</v>
      </c>
      <c r="H785" s="90">
        <v>5.37</v>
      </c>
      <c r="I785" s="90">
        <v>17.25</v>
      </c>
      <c r="J785" s="76">
        <v>0.105</v>
      </c>
      <c r="K785" s="306">
        <v>16.38</v>
      </c>
      <c r="L785" s="78">
        <f t="shared" si="115"/>
        <v>5.170991586538463</v>
      </c>
      <c r="M785" s="58">
        <f>+VLOOKUP(F785,Material!$H$2:$M$17,6,FALSE)*H785*I785*(1+Material!$K$14)</f>
        <v>38.500382812500007</v>
      </c>
      <c r="N785" s="79" t="str">
        <f t="shared" si="123"/>
        <v>T5.0</v>
      </c>
      <c r="O785" s="80">
        <f>+VLOOKUP(N785,[3]Material!$A$3:$B$58,2,FALSE)</f>
        <v>5000</v>
      </c>
      <c r="P785" s="79" t="s">
        <v>42</v>
      </c>
      <c r="Q785" s="79" t="str">
        <f>+VLOOKUP(F785,[3]Material!$C$2:$E$12,2,FALSE)</f>
        <v>Cal 14</v>
      </c>
      <c r="R785" s="81">
        <f>+IF(P785="ACERO A36",VLOOKUP(Q785,'[3]Velocidades Std 1500 w'!$B$2:$F$15,5,FALSE),IF(P785="INOXIDABLE",VLOOKUP(Q785,'[3]Velocidades Std 1500 w'!$B$17:$F$28,5,FALSE),IF(P785="ALUMINIO",VLOOKUP(Q785,'[3]Velocidades Std 1500 w'!$B$30:$F$38,5,FALSE))))</f>
        <v>2.0080321285140564E-6</v>
      </c>
      <c r="S785" s="82">
        <f t="shared" si="116"/>
        <v>1.0040160642570283E-2</v>
      </c>
      <c r="T785" s="83">
        <f t="shared" si="117"/>
        <v>23.181692530120486</v>
      </c>
      <c r="U785" s="307">
        <f t="shared" si="111"/>
        <v>3206.8008</v>
      </c>
      <c r="V785" s="80">
        <f t="shared" si="122"/>
        <v>32.196795180722894</v>
      </c>
      <c r="W785" s="98">
        <v>50</v>
      </c>
      <c r="X785" s="84">
        <f>+IF(P785="ACERO A36",VLOOKUP(Q785,'[3]Tiempo Objeto'!$B$2:$C$12,2,FALSE),IF(P785="INOXIDABLE",VLOOKUP(Q785,'[3]Tiempo Objeto'!$B$14:$C$22,2,FALSE),IF(P785="ALUMINIO",VLOOKUP(Q785,'[3]Tiempo Objeto'!$B$24:$C$32,2,FALSE))))</f>
        <v>0.3133333333333333</v>
      </c>
      <c r="Y785" s="84">
        <f t="shared" si="118"/>
        <v>15.666666666666664</v>
      </c>
      <c r="Z785" s="80">
        <f t="shared" si="119"/>
        <v>21.75925925925926</v>
      </c>
      <c r="AA785" s="100">
        <v>1</v>
      </c>
      <c r="AB785" s="86">
        <f>+AA785*Analisis!$J$6</f>
        <v>25</v>
      </c>
      <c r="AC785" s="100"/>
      <c r="AD785" s="85">
        <f t="shared" si="120"/>
        <v>0</v>
      </c>
      <c r="AE785" s="86">
        <f>+AC785*Analisis!$J$7</f>
        <v>0</v>
      </c>
      <c r="AF785" s="308">
        <f>+H785*0.0254*I785*0.0254*2*(1+[3]Analisis!$G$2)</f>
        <v>0.14940695925</v>
      </c>
      <c r="AG785" s="86">
        <f>+AF785*Analisis!$J$8</f>
        <v>15.918955777232147</v>
      </c>
      <c r="AH785" s="309">
        <f t="shared" si="112"/>
        <v>133.3753930297143</v>
      </c>
      <c r="AI785" s="86">
        <f>+AH785/(1-Analisis!G790)</f>
        <v>133.3753930297143</v>
      </c>
      <c r="AJ785" s="86">
        <f t="shared" si="121"/>
        <v>143.4144011072197</v>
      </c>
      <c r="AK785" s="86">
        <f t="shared" si="113"/>
        <v>0</v>
      </c>
      <c r="AL785" s="310" t="e">
        <f>+VLOOKUP(B785,#REF!,2,FALSE)</f>
        <v>#REF!</v>
      </c>
      <c r="AM785" s="311" t="e">
        <f t="shared" ref="AM785:AM1039" si="124">+AL785-E785</f>
        <v>#REF!</v>
      </c>
      <c r="AN785" s="312" t="e">
        <f t="shared" si="110"/>
        <v>#REF!</v>
      </c>
    </row>
    <row r="786" spans="1:40" s="73" customFormat="1" x14ac:dyDescent="0.25">
      <c r="A786" s="313"/>
      <c r="B786" s="330" t="s">
        <v>1491</v>
      </c>
      <c r="D786" s="74">
        <f>IFERROR(VLOOKUP(B786,'REQ. PINTADO'!B:C,2,0),0)</f>
        <v>0</v>
      </c>
      <c r="E786" s="305">
        <f t="shared" si="114"/>
        <v>143.4144011072197</v>
      </c>
      <c r="F786" s="103" t="s">
        <v>165</v>
      </c>
      <c r="G786" s="75" t="s">
        <v>147</v>
      </c>
      <c r="H786" s="90">
        <v>5.37</v>
      </c>
      <c r="I786" s="90">
        <v>17.25</v>
      </c>
      <c r="J786" s="76">
        <v>0.105</v>
      </c>
      <c r="K786" s="306">
        <v>16.38</v>
      </c>
      <c r="L786" s="78">
        <f t="shared" si="115"/>
        <v>5.170991586538463</v>
      </c>
      <c r="M786" s="58">
        <f>+VLOOKUP(F786,Material!$H$2:$M$17,6,FALSE)*H786*I786*(1+Material!$K$14)</f>
        <v>38.500382812500007</v>
      </c>
      <c r="N786" s="79" t="str">
        <f t="shared" si="123"/>
        <v>T5.0</v>
      </c>
      <c r="O786" s="80">
        <f>+VLOOKUP(N786,[3]Material!$A$3:$B$58,2,FALSE)</f>
        <v>5000</v>
      </c>
      <c r="P786" s="79" t="s">
        <v>42</v>
      </c>
      <c r="Q786" s="79" t="str">
        <f>+VLOOKUP(F786,[3]Material!$C$2:$E$12,2,FALSE)</f>
        <v>Cal 14</v>
      </c>
      <c r="R786" s="81">
        <f>+IF(P786="ACERO A36",VLOOKUP(Q786,'[3]Velocidades Std 1500 w'!$B$2:$F$15,5,FALSE),IF(P786="INOXIDABLE",VLOOKUP(Q786,'[3]Velocidades Std 1500 w'!$B$17:$F$28,5,FALSE),IF(P786="ALUMINIO",VLOOKUP(Q786,'[3]Velocidades Std 1500 w'!$B$30:$F$38,5,FALSE))))</f>
        <v>2.0080321285140564E-6</v>
      </c>
      <c r="S786" s="82">
        <f t="shared" si="116"/>
        <v>1.0040160642570283E-2</v>
      </c>
      <c r="T786" s="83">
        <f t="shared" si="117"/>
        <v>23.181692530120486</v>
      </c>
      <c r="U786" s="307">
        <f t="shared" si="111"/>
        <v>3206.8008</v>
      </c>
      <c r="V786" s="80">
        <f t="shared" si="122"/>
        <v>32.196795180722894</v>
      </c>
      <c r="W786" s="98">
        <v>50</v>
      </c>
      <c r="X786" s="84">
        <f>+IF(P786="ACERO A36",VLOOKUP(Q786,'[3]Tiempo Objeto'!$B$2:$C$12,2,FALSE),IF(P786="INOXIDABLE",VLOOKUP(Q786,'[3]Tiempo Objeto'!$B$14:$C$22,2,FALSE),IF(P786="ALUMINIO",VLOOKUP(Q786,'[3]Tiempo Objeto'!$B$24:$C$32,2,FALSE))))</f>
        <v>0.3133333333333333</v>
      </c>
      <c r="Y786" s="84">
        <f t="shared" si="118"/>
        <v>15.666666666666664</v>
      </c>
      <c r="Z786" s="80">
        <f t="shared" si="119"/>
        <v>21.75925925925926</v>
      </c>
      <c r="AA786" s="100">
        <v>1</v>
      </c>
      <c r="AB786" s="86">
        <f>+AA786*Analisis!$J$6</f>
        <v>25</v>
      </c>
      <c r="AC786" s="100"/>
      <c r="AD786" s="85">
        <f t="shared" si="120"/>
        <v>0</v>
      </c>
      <c r="AE786" s="86">
        <f>+AC786*Analisis!$J$7</f>
        <v>0</v>
      </c>
      <c r="AF786" s="308">
        <f>+H786*0.0254*I786*0.0254*2*(1+[3]Analisis!$G$2)</f>
        <v>0.14940695925</v>
      </c>
      <c r="AG786" s="86">
        <f>+AF786*Analisis!$J$8</f>
        <v>15.918955777232147</v>
      </c>
      <c r="AH786" s="309">
        <f t="shared" si="112"/>
        <v>133.3753930297143</v>
      </c>
      <c r="AI786" s="86">
        <f>+AH786/(1-Analisis!G791)</f>
        <v>133.3753930297143</v>
      </c>
      <c r="AJ786" s="86">
        <f t="shared" si="121"/>
        <v>143.4144011072197</v>
      </c>
      <c r="AK786" s="86">
        <f t="shared" si="113"/>
        <v>0</v>
      </c>
      <c r="AL786" s="310" t="e">
        <f>+VLOOKUP(B786,#REF!,2,FALSE)</f>
        <v>#REF!</v>
      </c>
      <c r="AM786" s="311" t="e">
        <f t="shared" si="124"/>
        <v>#REF!</v>
      </c>
      <c r="AN786" s="312" t="e">
        <f t="shared" si="110"/>
        <v>#REF!</v>
      </c>
    </row>
    <row r="787" spans="1:40" s="73" customFormat="1" x14ac:dyDescent="0.25">
      <c r="A787" s="313"/>
      <c r="B787" s="330" t="s">
        <v>1492</v>
      </c>
      <c r="D787" s="74">
        <f>IFERROR(VLOOKUP(B787,'REQ. PINTADO'!B:C,2,0),0)</f>
        <v>0</v>
      </c>
      <c r="E787" s="305">
        <f t="shared" si="114"/>
        <v>143.4144011072197</v>
      </c>
      <c r="F787" s="103" t="s">
        <v>165</v>
      </c>
      <c r="G787" s="75" t="s">
        <v>147</v>
      </c>
      <c r="H787" s="90">
        <v>5.37</v>
      </c>
      <c r="I787" s="90">
        <v>17.25</v>
      </c>
      <c r="J787" s="76">
        <v>0.105</v>
      </c>
      <c r="K787" s="306">
        <v>16.38</v>
      </c>
      <c r="L787" s="78">
        <f t="shared" si="115"/>
        <v>5.170991586538463</v>
      </c>
      <c r="M787" s="58">
        <f>+VLOOKUP(F787,Material!$H$2:$M$17,6,FALSE)*H787*I787*(1+Material!$K$14)</f>
        <v>38.500382812500007</v>
      </c>
      <c r="N787" s="79" t="str">
        <f t="shared" si="123"/>
        <v>T5.0</v>
      </c>
      <c r="O787" s="80">
        <f>+VLOOKUP(N787,[3]Material!$A$3:$B$58,2,FALSE)</f>
        <v>5000</v>
      </c>
      <c r="P787" s="79" t="s">
        <v>42</v>
      </c>
      <c r="Q787" s="79" t="str">
        <f>+VLOOKUP(F787,[3]Material!$C$2:$E$12,2,FALSE)</f>
        <v>Cal 14</v>
      </c>
      <c r="R787" s="81">
        <f>+IF(P787="ACERO A36",VLOOKUP(Q787,'[3]Velocidades Std 1500 w'!$B$2:$F$15,5,FALSE),IF(P787="INOXIDABLE",VLOOKUP(Q787,'[3]Velocidades Std 1500 w'!$B$17:$F$28,5,FALSE),IF(P787="ALUMINIO",VLOOKUP(Q787,'[3]Velocidades Std 1500 w'!$B$30:$F$38,5,FALSE))))</f>
        <v>2.0080321285140564E-6</v>
      </c>
      <c r="S787" s="82">
        <f t="shared" si="116"/>
        <v>1.0040160642570283E-2</v>
      </c>
      <c r="T787" s="83">
        <f t="shared" si="117"/>
        <v>23.181692530120486</v>
      </c>
      <c r="U787" s="307">
        <f t="shared" si="111"/>
        <v>3206.8008</v>
      </c>
      <c r="V787" s="80">
        <f t="shared" si="122"/>
        <v>32.196795180722894</v>
      </c>
      <c r="W787" s="98">
        <v>50</v>
      </c>
      <c r="X787" s="84">
        <f>+IF(P787="ACERO A36",VLOOKUP(Q787,'[3]Tiempo Objeto'!$B$2:$C$12,2,FALSE),IF(P787="INOXIDABLE",VLOOKUP(Q787,'[3]Tiempo Objeto'!$B$14:$C$22,2,FALSE),IF(P787="ALUMINIO",VLOOKUP(Q787,'[3]Tiempo Objeto'!$B$24:$C$32,2,FALSE))))</f>
        <v>0.3133333333333333</v>
      </c>
      <c r="Y787" s="84">
        <f t="shared" si="118"/>
        <v>15.666666666666664</v>
      </c>
      <c r="Z787" s="80">
        <f t="shared" si="119"/>
        <v>21.75925925925926</v>
      </c>
      <c r="AA787" s="100">
        <v>1</v>
      </c>
      <c r="AB787" s="86">
        <f>+AA787*Analisis!$J$6</f>
        <v>25</v>
      </c>
      <c r="AC787" s="100"/>
      <c r="AD787" s="85">
        <f t="shared" si="120"/>
        <v>0</v>
      </c>
      <c r="AE787" s="86">
        <f>+AC787*Analisis!$J$7</f>
        <v>0</v>
      </c>
      <c r="AF787" s="308">
        <f>+H787*0.0254*I787*0.0254*2*(1+[3]Analisis!$G$2)</f>
        <v>0.14940695925</v>
      </c>
      <c r="AG787" s="86">
        <f>+AF787*Analisis!$J$8</f>
        <v>15.918955777232147</v>
      </c>
      <c r="AH787" s="309">
        <f t="shared" si="112"/>
        <v>133.3753930297143</v>
      </c>
      <c r="AI787" s="86">
        <f>+AH787/(1-Analisis!G792)</f>
        <v>133.3753930297143</v>
      </c>
      <c r="AJ787" s="86">
        <f t="shared" si="121"/>
        <v>143.4144011072197</v>
      </c>
      <c r="AK787" s="86">
        <f t="shared" si="113"/>
        <v>0</v>
      </c>
      <c r="AL787" s="310" t="e">
        <f>+VLOOKUP(B787,#REF!,2,FALSE)</f>
        <v>#REF!</v>
      </c>
      <c r="AM787" s="311" t="e">
        <f t="shared" si="124"/>
        <v>#REF!</v>
      </c>
      <c r="AN787" s="312" t="e">
        <f t="shared" si="110"/>
        <v>#REF!</v>
      </c>
    </row>
    <row r="788" spans="1:40" s="73" customFormat="1" x14ac:dyDescent="0.25">
      <c r="A788" s="313"/>
      <c r="B788" s="330" t="s">
        <v>1493</v>
      </c>
      <c r="D788" s="74">
        <f>IFERROR(VLOOKUP(B788,'REQ. PINTADO'!B:C,2,0),0)</f>
        <v>0</v>
      </c>
      <c r="E788" s="305">
        <f t="shared" si="114"/>
        <v>143.4144011072197</v>
      </c>
      <c r="F788" s="103" t="s">
        <v>165</v>
      </c>
      <c r="G788" s="75" t="s">
        <v>147</v>
      </c>
      <c r="H788" s="90">
        <v>5.37</v>
      </c>
      <c r="I788" s="90">
        <v>17.25</v>
      </c>
      <c r="J788" s="76">
        <v>0.105</v>
      </c>
      <c r="K788" s="306">
        <v>16.38</v>
      </c>
      <c r="L788" s="78">
        <f t="shared" si="115"/>
        <v>5.170991586538463</v>
      </c>
      <c r="M788" s="58">
        <f>+VLOOKUP(F788,Material!$H$2:$M$17,6,FALSE)*H788*I788*(1+Material!$K$14)</f>
        <v>38.500382812500007</v>
      </c>
      <c r="N788" s="79" t="str">
        <f t="shared" si="123"/>
        <v>T5.0</v>
      </c>
      <c r="O788" s="80">
        <f>+VLOOKUP(N788,[3]Material!$A$3:$B$58,2,FALSE)</f>
        <v>5000</v>
      </c>
      <c r="P788" s="79" t="s">
        <v>42</v>
      </c>
      <c r="Q788" s="79" t="str">
        <f>+VLOOKUP(F788,[3]Material!$C$2:$E$12,2,FALSE)</f>
        <v>Cal 14</v>
      </c>
      <c r="R788" s="81">
        <f>+IF(P788="ACERO A36",VLOOKUP(Q788,'[3]Velocidades Std 1500 w'!$B$2:$F$15,5,FALSE),IF(P788="INOXIDABLE",VLOOKUP(Q788,'[3]Velocidades Std 1500 w'!$B$17:$F$28,5,FALSE),IF(P788="ALUMINIO",VLOOKUP(Q788,'[3]Velocidades Std 1500 w'!$B$30:$F$38,5,FALSE))))</f>
        <v>2.0080321285140564E-6</v>
      </c>
      <c r="S788" s="82">
        <f t="shared" si="116"/>
        <v>1.0040160642570283E-2</v>
      </c>
      <c r="T788" s="83">
        <f t="shared" si="117"/>
        <v>23.181692530120486</v>
      </c>
      <c r="U788" s="307">
        <f t="shared" si="111"/>
        <v>3206.8008</v>
      </c>
      <c r="V788" s="80">
        <f t="shared" si="122"/>
        <v>32.196795180722894</v>
      </c>
      <c r="W788" s="98">
        <v>50</v>
      </c>
      <c r="X788" s="84">
        <f>+IF(P788="ACERO A36",VLOOKUP(Q788,'[3]Tiempo Objeto'!$B$2:$C$12,2,FALSE),IF(P788="INOXIDABLE",VLOOKUP(Q788,'[3]Tiempo Objeto'!$B$14:$C$22,2,FALSE),IF(P788="ALUMINIO",VLOOKUP(Q788,'[3]Tiempo Objeto'!$B$24:$C$32,2,FALSE))))</f>
        <v>0.3133333333333333</v>
      </c>
      <c r="Y788" s="84">
        <f t="shared" si="118"/>
        <v>15.666666666666664</v>
      </c>
      <c r="Z788" s="80">
        <f t="shared" si="119"/>
        <v>21.75925925925926</v>
      </c>
      <c r="AA788" s="100">
        <v>1</v>
      </c>
      <c r="AB788" s="86">
        <f>+AA788*Analisis!$J$6</f>
        <v>25</v>
      </c>
      <c r="AC788" s="100"/>
      <c r="AD788" s="85">
        <f t="shared" si="120"/>
        <v>0</v>
      </c>
      <c r="AE788" s="86">
        <f>+AC788*Analisis!$J$7</f>
        <v>0</v>
      </c>
      <c r="AF788" s="308">
        <f>+H788*0.0254*I788*0.0254*2*(1+[3]Analisis!$G$2)</f>
        <v>0.14940695925</v>
      </c>
      <c r="AG788" s="86">
        <f>+AF788*Analisis!$J$8</f>
        <v>15.918955777232147</v>
      </c>
      <c r="AH788" s="309">
        <f t="shared" si="112"/>
        <v>133.3753930297143</v>
      </c>
      <c r="AI788" s="86">
        <f>+AH788/(1-Analisis!G793)</f>
        <v>133.3753930297143</v>
      </c>
      <c r="AJ788" s="86">
        <f t="shared" si="121"/>
        <v>143.4144011072197</v>
      </c>
      <c r="AK788" s="86">
        <f t="shared" si="113"/>
        <v>0</v>
      </c>
      <c r="AL788" s="310" t="e">
        <f>+VLOOKUP(B788,#REF!,2,FALSE)</f>
        <v>#REF!</v>
      </c>
      <c r="AM788" s="311" t="e">
        <f t="shared" si="124"/>
        <v>#REF!</v>
      </c>
      <c r="AN788" s="312" t="e">
        <f t="shared" si="110"/>
        <v>#REF!</v>
      </c>
    </row>
    <row r="789" spans="1:40" s="73" customFormat="1" x14ac:dyDescent="0.25">
      <c r="A789" s="313"/>
      <c r="B789" s="330" t="s">
        <v>1494</v>
      </c>
      <c r="D789" s="74">
        <f>IFERROR(VLOOKUP(B789,'REQ. PINTADO'!B:C,2,0),0)</f>
        <v>0</v>
      </c>
      <c r="E789" s="305">
        <f t="shared" si="114"/>
        <v>143.4144011072197</v>
      </c>
      <c r="F789" s="103" t="s">
        <v>165</v>
      </c>
      <c r="G789" s="75" t="s">
        <v>147</v>
      </c>
      <c r="H789" s="90">
        <v>5.37</v>
      </c>
      <c r="I789" s="90">
        <v>17.25</v>
      </c>
      <c r="J789" s="76">
        <v>0.105</v>
      </c>
      <c r="K789" s="306">
        <v>16.38</v>
      </c>
      <c r="L789" s="78">
        <f t="shared" si="115"/>
        <v>5.170991586538463</v>
      </c>
      <c r="M789" s="58">
        <f>+VLOOKUP(F789,Material!$H$2:$M$17,6,FALSE)*H789*I789*(1+Material!$K$14)</f>
        <v>38.500382812500007</v>
      </c>
      <c r="N789" s="79" t="str">
        <f t="shared" si="123"/>
        <v>T5.0</v>
      </c>
      <c r="O789" s="80">
        <f>+VLOOKUP(N789,[3]Material!$A$3:$B$58,2,FALSE)</f>
        <v>5000</v>
      </c>
      <c r="P789" s="79" t="s">
        <v>42</v>
      </c>
      <c r="Q789" s="79" t="str">
        <f>+VLOOKUP(F789,[3]Material!$C$2:$E$12,2,FALSE)</f>
        <v>Cal 14</v>
      </c>
      <c r="R789" s="81">
        <f>+IF(P789="ACERO A36",VLOOKUP(Q789,'[3]Velocidades Std 1500 w'!$B$2:$F$15,5,FALSE),IF(P789="INOXIDABLE",VLOOKUP(Q789,'[3]Velocidades Std 1500 w'!$B$17:$F$28,5,FALSE),IF(P789="ALUMINIO",VLOOKUP(Q789,'[3]Velocidades Std 1500 w'!$B$30:$F$38,5,FALSE))))</f>
        <v>2.0080321285140564E-6</v>
      </c>
      <c r="S789" s="82">
        <f t="shared" si="116"/>
        <v>1.0040160642570283E-2</v>
      </c>
      <c r="T789" s="83">
        <f t="shared" si="117"/>
        <v>23.181692530120486</v>
      </c>
      <c r="U789" s="307">
        <f t="shared" si="111"/>
        <v>3206.8008</v>
      </c>
      <c r="V789" s="80">
        <f t="shared" si="122"/>
        <v>32.196795180722894</v>
      </c>
      <c r="W789" s="98">
        <v>50</v>
      </c>
      <c r="X789" s="84">
        <f>+IF(P789="ACERO A36",VLOOKUP(Q789,'[3]Tiempo Objeto'!$B$2:$C$12,2,FALSE),IF(P789="INOXIDABLE",VLOOKUP(Q789,'[3]Tiempo Objeto'!$B$14:$C$22,2,FALSE),IF(P789="ALUMINIO",VLOOKUP(Q789,'[3]Tiempo Objeto'!$B$24:$C$32,2,FALSE))))</f>
        <v>0.3133333333333333</v>
      </c>
      <c r="Y789" s="84">
        <f t="shared" si="118"/>
        <v>15.666666666666664</v>
      </c>
      <c r="Z789" s="80">
        <f t="shared" si="119"/>
        <v>21.75925925925926</v>
      </c>
      <c r="AA789" s="100">
        <v>1</v>
      </c>
      <c r="AB789" s="86">
        <f>+AA789*Analisis!$J$6</f>
        <v>25</v>
      </c>
      <c r="AC789" s="100"/>
      <c r="AD789" s="85">
        <f t="shared" si="120"/>
        <v>0</v>
      </c>
      <c r="AE789" s="86">
        <f>+AC789*Analisis!$J$7</f>
        <v>0</v>
      </c>
      <c r="AF789" s="308">
        <f>+H789*0.0254*I789*0.0254*2*(1+[3]Analisis!$G$2)</f>
        <v>0.14940695925</v>
      </c>
      <c r="AG789" s="86">
        <f>+AF789*Analisis!$J$8</f>
        <v>15.918955777232147</v>
      </c>
      <c r="AH789" s="309">
        <f t="shared" si="112"/>
        <v>133.3753930297143</v>
      </c>
      <c r="AI789" s="86">
        <f>+AH789/(1-Analisis!G794)</f>
        <v>133.3753930297143</v>
      </c>
      <c r="AJ789" s="86">
        <f t="shared" si="121"/>
        <v>143.4144011072197</v>
      </c>
      <c r="AK789" s="86">
        <f t="shared" si="113"/>
        <v>0</v>
      </c>
      <c r="AL789" s="310" t="e">
        <f>+VLOOKUP(B789,#REF!,2,FALSE)</f>
        <v>#REF!</v>
      </c>
      <c r="AM789" s="311" t="e">
        <f t="shared" si="124"/>
        <v>#REF!</v>
      </c>
      <c r="AN789" s="312" t="e">
        <f t="shared" si="110"/>
        <v>#REF!</v>
      </c>
    </row>
    <row r="790" spans="1:40" s="73" customFormat="1" x14ac:dyDescent="0.25">
      <c r="A790" s="313"/>
      <c r="B790" s="330" t="s">
        <v>1495</v>
      </c>
      <c r="D790" s="74">
        <f>IFERROR(VLOOKUP(B790,'REQ. PINTADO'!B:C,2,0),0)</f>
        <v>0</v>
      </c>
      <c r="E790" s="305">
        <f t="shared" si="114"/>
        <v>143.4144011072197</v>
      </c>
      <c r="F790" s="103" t="s">
        <v>165</v>
      </c>
      <c r="G790" s="75" t="s">
        <v>147</v>
      </c>
      <c r="H790" s="90">
        <v>5.37</v>
      </c>
      <c r="I790" s="90">
        <v>17.25</v>
      </c>
      <c r="J790" s="76">
        <v>0.105</v>
      </c>
      <c r="K790" s="306">
        <v>16.38</v>
      </c>
      <c r="L790" s="78">
        <f t="shared" si="115"/>
        <v>5.170991586538463</v>
      </c>
      <c r="M790" s="58">
        <f>+VLOOKUP(F790,Material!$H$2:$M$17,6,FALSE)*H790*I790*(1+Material!$K$14)</f>
        <v>38.500382812500007</v>
      </c>
      <c r="N790" s="79" t="str">
        <f t="shared" si="123"/>
        <v>T5.0</v>
      </c>
      <c r="O790" s="80">
        <f>+VLOOKUP(N790,[3]Material!$A$3:$B$58,2,FALSE)</f>
        <v>5000</v>
      </c>
      <c r="P790" s="79" t="s">
        <v>42</v>
      </c>
      <c r="Q790" s="79" t="str">
        <f>+VLOOKUP(F790,[3]Material!$C$2:$E$12,2,FALSE)</f>
        <v>Cal 14</v>
      </c>
      <c r="R790" s="81">
        <f>+IF(P790="ACERO A36",VLOOKUP(Q790,'[3]Velocidades Std 1500 w'!$B$2:$F$15,5,FALSE),IF(P790="INOXIDABLE",VLOOKUP(Q790,'[3]Velocidades Std 1500 w'!$B$17:$F$28,5,FALSE),IF(P790="ALUMINIO",VLOOKUP(Q790,'[3]Velocidades Std 1500 w'!$B$30:$F$38,5,FALSE))))</f>
        <v>2.0080321285140564E-6</v>
      </c>
      <c r="S790" s="82">
        <f t="shared" si="116"/>
        <v>1.0040160642570283E-2</v>
      </c>
      <c r="T790" s="83">
        <f t="shared" si="117"/>
        <v>23.181692530120486</v>
      </c>
      <c r="U790" s="307">
        <f t="shared" si="111"/>
        <v>3206.8008</v>
      </c>
      <c r="V790" s="80">
        <f t="shared" si="122"/>
        <v>32.196795180722894</v>
      </c>
      <c r="W790" s="98">
        <v>50</v>
      </c>
      <c r="X790" s="84">
        <f>+IF(P790="ACERO A36",VLOOKUP(Q790,'[3]Tiempo Objeto'!$B$2:$C$12,2,FALSE),IF(P790="INOXIDABLE",VLOOKUP(Q790,'[3]Tiempo Objeto'!$B$14:$C$22,2,FALSE),IF(P790="ALUMINIO",VLOOKUP(Q790,'[3]Tiempo Objeto'!$B$24:$C$32,2,FALSE))))</f>
        <v>0.3133333333333333</v>
      </c>
      <c r="Y790" s="84">
        <f t="shared" si="118"/>
        <v>15.666666666666664</v>
      </c>
      <c r="Z790" s="80">
        <f t="shared" si="119"/>
        <v>21.75925925925926</v>
      </c>
      <c r="AA790" s="100">
        <v>1</v>
      </c>
      <c r="AB790" s="86">
        <f>+AA790*Analisis!$J$6</f>
        <v>25</v>
      </c>
      <c r="AC790" s="100"/>
      <c r="AD790" s="85">
        <f t="shared" si="120"/>
        <v>0</v>
      </c>
      <c r="AE790" s="86">
        <f>+AC790*Analisis!$J$7</f>
        <v>0</v>
      </c>
      <c r="AF790" s="308">
        <f>+H790*0.0254*I790*0.0254*2*(1+[3]Analisis!$G$2)</f>
        <v>0.14940695925</v>
      </c>
      <c r="AG790" s="86">
        <f>+AF790*Analisis!$J$8</f>
        <v>15.918955777232147</v>
      </c>
      <c r="AH790" s="309">
        <f t="shared" si="112"/>
        <v>133.3753930297143</v>
      </c>
      <c r="AI790" s="86">
        <f>+AH790/(1-Analisis!G795)</f>
        <v>133.3753930297143</v>
      </c>
      <c r="AJ790" s="86">
        <f t="shared" si="121"/>
        <v>143.4144011072197</v>
      </c>
      <c r="AK790" s="86">
        <f t="shared" si="113"/>
        <v>0</v>
      </c>
      <c r="AL790" s="310" t="e">
        <f>+VLOOKUP(B790,#REF!,2,FALSE)</f>
        <v>#REF!</v>
      </c>
      <c r="AM790" s="311" t="e">
        <f t="shared" si="124"/>
        <v>#REF!</v>
      </c>
      <c r="AN790" s="312" t="e">
        <f t="shared" si="110"/>
        <v>#REF!</v>
      </c>
    </row>
    <row r="791" spans="1:40" s="73" customFormat="1" x14ac:dyDescent="0.25">
      <c r="A791" s="313"/>
      <c r="B791" s="330" t="s">
        <v>1496</v>
      </c>
      <c r="D791" s="74">
        <f>IFERROR(VLOOKUP(B791,'REQ. PINTADO'!B:C,2,0),0)</f>
        <v>0</v>
      </c>
      <c r="E791" s="305">
        <f t="shared" si="114"/>
        <v>143.4144011072197</v>
      </c>
      <c r="F791" s="103" t="s">
        <v>165</v>
      </c>
      <c r="G791" s="75" t="s">
        <v>147</v>
      </c>
      <c r="H791" s="90">
        <v>5.37</v>
      </c>
      <c r="I791" s="90">
        <v>17.25</v>
      </c>
      <c r="J791" s="76">
        <v>0.105</v>
      </c>
      <c r="K791" s="306">
        <v>16.38</v>
      </c>
      <c r="L791" s="78">
        <f t="shared" si="115"/>
        <v>5.170991586538463</v>
      </c>
      <c r="M791" s="58">
        <f>+VLOOKUP(F791,Material!$H$2:$M$17,6,FALSE)*H791*I791*(1+Material!$K$14)</f>
        <v>38.500382812500007</v>
      </c>
      <c r="N791" s="79" t="str">
        <f t="shared" si="123"/>
        <v>T5.0</v>
      </c>
      <c r="O791" s="80">
        <f>+VLOOKUP(N791,[3]Material!$A$3:$B$58,2,FALSE)</f>
        <v>5000</v>
      </c>
      <c r="P791" s="79" t="s">
        <v>42</v>
      </c>
      <c r="Q791" s="79" t="str">
        <f>+VLOOKUP(F791,[3]Material!$C$2:$E$12,2,FALSE)</f>
        <v>Cal 14</v>
      </c>
      <c r="R791" s="81">
        <f>+IF(P791="ACERO A36",VLOOKUP(Q791,'[3]Velocidades Std 1500 w'!$B$2:$F$15,5,FALSE),IF(P791="INOXIDABLE",VLOOKUP(Q791,'[3]Velocidades Std 1500 w'!$B$17:$F$28,5,FALSE),IF(P791="ALUMINIO",VLOOKUP(Q791,'[3]Velocidades Std 1500 w'!$B$30:$F$38,5,FALSE))))</f>
        <v>2.0080321285140564E-6</v>
      </c>
      <c r="S791" s="82">
        <f t="shared" si="116"/>
        <v>1.0040160642570283E-2</v>
      </c>
      <c r="T791" s="83">
        <f t="shared" si="117"/>
        <v>23.181692530120486</v>
      </c>
      <c r="U791" s="307">
        <f t="shared" si="111"/>
        <v>3206.8008</v>
      </c>
      <c r="V791" s="80">
        <f t="shared" si="122"/>
        <v>32.196795180722894</v>
      </c>
      <c r="W791" s="98">
        <v>50</v>
      </c>
      <c r="X791" s="84">
        <f>+IF(P791="ACERO A36",VLOOKUP(Q791,'[3]Tiempo Objeto'!$B$2:$C$12,2,FALSE),IF(P791="INOXIDABLE",VLOOKUP(Q791,'[3]Tiempo Objeto'!$B$14:$C$22,2,FALSE),IF(P791="ALUMINIO",VLOOKUP(Q791,'[3]Tiempo Objeto'!$B$24:$C$32,2,FALSE))))</f>
        <v>0.3133333333333333</v>
      </c>
      <c r="Y791" s="84">
        <f t="shared" si="118"/>
        <v>15.666666666666664</v>
      </c>
      <c r="Z791" s="80">
        <f t="shared" si="119"/>
        <v>21.75925925925926</v>
      </c>
      <c r="AA791" s="100">
        <v>1</v>
      </c>
      <c r="AB791" s="86">
        <f>+AA791*Analisis!$J$6</f>
        <v>25</v>
      </c>
      <c r="AC791" s="100"/>
      <c r="AD791" s="85">
        <f t="shared" si="120"/>
        <v>0</v>
      </c>
      <c r="AE791" s="86">
        <f>+AC791*Analisis!$J$7</f>
        <v>0</v>
      </c>
      <c r="AF791" s="308">
        <f>+H791*0.0254*I791*0.0254*2*(1+[3]Analisis!$G$2)</f>
        <v>0.14940695925</v>
      </c>
      <c r="AG791" s="86">
        <f>+AF791*Analisis!$J$8</f>
        <v>15.918955777232147</v>
      </c>
      <c r="AH791" s="309">
        <f t="shared" si="112"/>
        <v>133.3753930297143</v>
      </c>
      <c r="AI791" s="86">
        <f>+AH791/(1-Analisis!G796)</f>
        <v>133.3753930297143</v>
      </c>
      <c r="AJ791" s="86">
        <f t="shared" si="121"/>
        <v>143.4144011072197</v>
      </c>
      <c r="AK791" s="86">
        <f t="shared" si="113"/>
        <v>0</v>
      </c>
      <c r="AL791" s="310" t="e">
        <f>+VLOOKUP(B791,#REF!,2,FALSE)</f>
        <v>#REF!</v>
      </c>
      <c r="AM791" s="311" t="e">
        <f t="shared" si="124"/>
        <v>#REF!</v>
      </c>
      <c r="AN791" s="312" t="e">
        <f t="shared" si="110"/>
        <v>#REF!</v>
      </c>
    </row>
    <row r="792" spans="1:40" s="73" customFormat="1" x14ac:dyDescent="0.25">
      <c r="A792" s="313"/>
      <c r="B792" s="330" t="s">
        <v>1497</v>
      </c>
      <c r="D792" s="74">
        <f>IFERROR(VLOOKUP(B792,'REQ. PINTADO'!B:C,2,0),0)</f>
        <v>0</v>
      </c>
      <c r="E792" s="305">
        <f t="shared" si="114"/>
        <v>143.4144011072197</v>
      </c>
      <c r="F792" s="103" t="s">
        <v>165</v>
      </c>
      <c r="G792" s="75" t="s">
        <v>147</v>
      </c>
      <c r="H792" s="90">
        <v>5.37</v>
      </c>
      <c r="I792" s="90">
        <v>17.25</v>
      </c>
      <c r="J792" s="76">
        <v>0.105</v>
      </c>
      <c r="K792" s="306">
        <v>16.38</v>
      </c>
      <c r="L792" s="78">
        <f t="shared" si="115"/>
        <v>5.170991586538463</v>
      </c>
      <c r="M792" s="58">
        <f>+VLOOKUP(F792,Material!$H$2:$M$17,6,FALSE)*H792*I792*(1+Material!$K$14)</f>
        <v>38.500382812500007</v>
      </c>
      <c r="N792" s="79" t="str">
        <f t="shared" si="123"/>
        <v>T5.0</v>
      </c>
      <c r="O792" s="80">
        <f>+VLOOKUP(N792,[3]Material!$A$3:$B$58,2,FALSE)</f>
        <v>5000</v>
      </c>
      <c r="P792" s="79" t="s">
        <v>42</v>
      </c>
      <c r="Q792" s="79" t="str">
        <f>+VLOOKUP(F792,[3]Material!$C$2:$E$12,2,FALSE)</f>
        <v>Cal 14</v>
      </c>
      <c r="R792" s="81">
        <f>+IF(P792="ACERO A36",VLOOKUP(Q792,'[3]Velocidades Std 1500 w'!$B$2:$F$15,5,FALSE),IF(P792="INOXIDABLE",VLOOKUP(Q792,'[3]Velocidades Std 1500 w'!$B$17:$F$28,5,FALSE),IF(P792="ALUMINIO",VLOOKUP(Q792,'[3]Velocidades Std 1500 w'!$B$30:$F$38,5,FALSE))))</f>
        <v>2.0080321285140564E-6</v>
      </c>
      <c r="S792" s="82">
        <f t="shared" si="116"/>
        <v>1.0040160642570283E-2</v>
      </c>
      <c r="T792" s="83">
        <f t="shared" si="117"/>
        <v>23.181692530120486</v>
      </c>
      <c r="U792" s="307">
        <f t="shared" si="111"/>
        <v>3206.8008</v>
      </c>
      <c r="V792" s="80">
        <f t="shared" si="122"/>
        <v>32.196795180722894</v>
      </c>
      <c r="W792" s="98">
        <v>50</v>
      </c>
      <c r="X792" s="84">
        <f>+IF(P792="ACERO A36",VLOOKUP(Q792,'[3]Tiempo Objeto'!$B$2:$C$12,2,FALSE),IF(P792="INOXIDABLE",VLOOKUP(Q792,'[3]Tiempo Objeto'!$B$14:$C$22,2,FALSE),IF(P792="ALUMINIO",VLOOKUP(Q792,'[3]Tiempo Objeto'!$B$24:$C$32,2,FALSE))))</f>
        <v>0.3133333333333333</v>
      </c>
      <c r="Y792" s="84">
        <f t="shared" si="118"/>
        <v>15.666666666666664</v>
      </c>
      <c r="Z792" s="80">
        <f t="shared" si="119"/>
        <v>21.75925925925926</v>
      </c>
      <c r="AA792" s="100">
        <v>1</v>
      </c>
      <c r="AB792" s="86">
        <f>+AA792*Analisis!$J$6</f>
        <v>25</v>
      </c>
      <c r="AC792" s="100"/>
      <c r="AD792" s="85">
        <f t="shared" si="120"/>
        <v>0</v>
      </c>
      <c r="AE792" s="86">
        <f>+AC792*Analisis!$J$7</f>
        <v>0</v>
      </c>
      <c r="AF792" s="308">
        <f>+H792*0.0254*I792*0.0254*2*(1+[3]Analisis!$G$2)</f>
        <v>0.14940695925</v>
      </c>
      <c r="AG792" s="86">
        <f>+AF792*Analisis!$J$8</f>
        <v>15.918955777232147</v>
      </c>
      <c r="AH792" s="309">
        <f t="shared" si="112"/>
        <v>133.3753930297143</v>
      </c>
      <c r="AI792" s="86">
        <f>+AH792/(1-Analisis!G797)</f>
        <v>133.3753930297143</v>
      </c>
      <c r="AJ792" s="86">
        <f t="shared" si="121"/>
        <v>143.4144011072197</v>
      </c>
      <c r="AK792" s="86">
        <f t="shared" si="113"/>
        <v>0</v>
      </c>
      <c r="AL792" s="310" t="e">
        <f>+VLOOKUP(B792,#REF!,2,FALSE)</f>
        <v>#REF!</v>
      </c>
      <c r="AM792" s="311" t="e">
        <f t="shared" si="124"/>
        <v>#REF!</v>
      </c>
      <c r="AN792" s="312" t="e">
        <f t="shared" si="110"/>
        <v>#REF!</v>
      </c>
    </row>
    <row r="793" spans="1:40" s="73" customFormat="1" x14ac:dyDescent="0.25">
      <c r="A793" s="313"/>
      <c r="B793" s="330" t="s">
        <v>1498</v>
      </c>
      <c r="D793" s="74">
        <f>IFERROR(VLOOKUP(B793,'REQ. PINTADO'!B:C,2,0),0)</f>
        <v>0</v>
      </c>
      <c r="E793" s="305">
        <f t="shared" si="114"/>
        <v>564.49201159009817</v>
      </c>
      <c r="F793" s="103" t="s">
        <v>163</v>
      </c>
      <c r="G793" s="75" t="s">
        <v>147</v>
      </c>
      <c r="H793" s="90">
        <v>23.33</v>
      </c>
      <c r="I793" s="90">
        <v>23.02</v>
      </c>
      <c r="J793" s="76">
        <v>0.105</v>
      </c>
      <c r="K793" s="306">
        <v>16.38</v>
      </c>
      <c r="L793" s="78">
        <f t="shared" si="115"/>
        <v>27.075862737374187</v>
      </c>
      <c r="M793" s="58">
        <f>+VLOOKUP(F793,Material!$H$2:$M$17,6,FALSE)*H793*I793*(1+Material!$K$14)</f>
        <v>201.59210529008595</v>
      </c>
      <c r="N793" s="79" t="str">
        <f t="shared" si="123"/>
        <v>T5.0</v>
      </c>
      <c r="O793" s="80">
        <f>+VLOOKUP(N793,[3]Material!$A$3:$B$58,2,FALSE)</f>
        <v>5000</v>
      </c>
      <c r="P793" s="79" t="s">
        <v>42</v>
      </c>
      <c r="Q793" s="79" t="str">
        <f>+VLOOKUP(F793,[3]Material!$C$2:$E$12,2,FALSE)</f>
        <v>Cal 12</v>
      </c>
      <c r="R793" s="81">
        <f>+IF(P793="ACERO A36",VLOOKUP(Q793,'[3]Velocidades Std 1500 w'!$B$2:$F$15,5,FALSE),IF(P793="INOXIDABLE",VLOOKUP(Q793,'[3]Velocidades Std 1500 w'!$B$17:$F$28,5,FALSE),IF(P793="ALUMINIO",VLOOKUP(Q793,'[3]Velocidades Std 1500 w'!$B$30:$F$38,5,FALSE))))</f>
        <v>4.3859649122807014E-6</v>
      </c>
      <c r="S793" s="82">
        <f t="shared" si="116"/>
        <v>2.1929824561403508E-2</v>
      </c>
      <c r="T793" s="83">
        <f t="shared" si="117"/>
        <v>57.986194736842094</v>
      </c>
      <c r="U793" s="307">
        <f t="shared" si="111"/>
        <v>3672.4589999999994</v>
      </c>
      <c r="V793" s="80">
        <f t="shared" si="122"/>
        <v>80.536381578947356</v>
      </c>
      <c r="W793" s="98">
        <v>30</v>
      </c>
      <c r="X793" s="84">
        <f>+IF(P793="ACERO A36",VLOOKUP(Q793,'[3]Tiempo Objeto'!$B$2:$C$12,2,FALSE),IF(P793="INOXIDABLE",VLOOKUP(Q793,'[3]Tiempo Objeto'!$B$14:$C$22,2,FALSE),IF(P793="ALUMINIO",VLOOKUP(Q793,'[3]Tiempo Objeto'!$B$24:$C$32,2,FALSE))))</f>
        <v>0.6133333333333334</v>
      </c>
      <c r="Y793" s="84">
        <f t="shared" si="118"/>
        <v>18.400000000000002</v>
      </c>
      <c r="Z793" s="80">
        <f t="shared" si="119"/>
        <v>25.555555555555561</v>
      </c>
      <c r="AA793" s="100">
        <v>5</v>
      </c>
      <c r="AB793" s="86">
        <f>+AA793*Analisis!$J$6</f>
        <v>125</v>
      </c>
      <c r="AC793" s="100"/>
      <c r="AD793" s="85">
        <f t="shared" si="120"/>
        <v>0</v>
      </c>
      <c r="AE793" s="86">
        <f>+AC793*Analisis!$J$7</f>
        <v>0</v>
      </c>
      <c r="AF793" s="308">
        <f>+H793*0.0254*I793*0.0254*2*(1+[3]Analisis!$G$2)</f>
        <v>0.86621859013999991</v>
      </c>
      <c r="AG793" s="86">
        <f>+AF793*Analisis!$J$8</f>
        <v>92.293528354202394</v>
      </c>
      <c r="AH793" s="309">
        <f t="shared" si="112"/>
        <v>524.97757077879123</v>
      </c>
      <c r="AI793" s="86">
        <f>+AH793/(1-Analisis!G798)</f>
        <v>524.97757077879123</v>
      </c>
      <c r="AJ793" s="86">
        <f t="shared" si="121"/>
        <v>564.49201159009817</v>
      </c>
      <c r="AK793" s="86">
        <f t="shared" si="113"/>
        <v>0</v>
      </c>
      <c r="AL793" s="310" t="e">
        <f>+VLOOKUP(B793,#REF!,2,FALSE)</f>
        <v>#REF!</v>
      </c>
      <c r="AM793" s="311" t="e">
        <f t="shared" si="124"/>
        <v>#REF!</v>
      </c>
      <c r="AN793" s="312" t="e">
        <f t="shared" si="110"/>
        <v>#REF!</v>
      </c>
    </row>
    <row r="794" spans="1:40" s="73" customFormat="1" x14ac:dyDescent="0.25">
      <c r="A794" s="313"/>
      <c r="B794" s="330" t="s">
        <v>1499</v>
      </c>
      <c r="D794" s="74">
        <f>IFERROR(VLOOKUP(B794,'REQ. PINTADO'!B:C,2,0),0)</f>
        <v>0</v>
      </c>
      <c r="E794" s="305">
        <f t="shared" si="114"/>
        <v>564.49201159009817</v>
      </c>
      <c r="F794" s="103" t="s">
        <v>163</v>
      </c>
      <c r="G794" s="75" t="s">
        <v>147</v>
      </c>
      <c r="H794" s="90">
        <v>23.33</v>
      </c>
      <c r="I794" s="90">
        <v>23.02</v>
      </c>
      <c r="J794" s="76">
        <v>0.105</v>
      </c>
      <c r="K794" s="306">
        <v>16.38</v>
      </c>
      <c r="L794" s="78">
        <f t="shared" si="115"/>
        <v>27.075862737374187</v>
      </c>
      <c r="M794" s="58">
        <f>+VLOOKUP(F794,Material!$H$2:$M$17,6,FALSE)*H794*I794*(1+Material!$K$14)</f>
        <v>201.59210529008595</v>
      </c>
      <c r="N794" s="79" t="str">
        <f t="shared" si="123"/>
        <v>T5.0</v>
      </c>
      <c r="O794" s="80">
        <f>+VLOOKUP(N794,[3]Material!$A$3:$B$58,2,FALSE)</f>
        <v>5000</v>
      </c>
      <c r="P794" s="79" t="s">
        <v>42</v>
      </c>
      <c r="Q794" s="79" t="str">
        <f>+VLOOKUP(F794,[3]Material!$C$2:$E$12,2,FALSE)</f>
        <v>Cal 12</v>
      </c>
      <c r="R794" s="81">
        <f>+IF(P794="ACERO A36",VLOOKUP(Q794,'[3]Velocidades Std 1500 w'!$B$2:$F$15,5,FALSE),IF(P794="INOXIDABLE",VLOOKUP(Q794,'[3]Velocidades Std 1500 w'!$B$17:$F$28,5,FALSE),IF(P794="ALUMINIO",VLOOKUP(Q794,'[3]Velocidades Std 1500 w'!$B$30:$F$38,5,FALSE))))</f>
        <v>4.3859649122807014E-6</v>
      </c>
      <c r="S794" s="82">
        <f t="shared" si="116"/>
        <v>2.1929824561403508E-2</v>
      </c>
      <c r="T794" s="83">
        <f t="shared" si="117"/>
        <v>57.986194736842094</v>
      </c>
      <c r="U794" s="307">
        <f t="shared" si="111"/>
        <v>3672.4589999999994</v>
      </c>
      <c r="V794" s="80">
        <f t="shared" si="122"/>
        <v>80.536381578947356</v>
      </c>
      <c r="W794" s="98">
        <v>30</v>
      </c>
      <c r="X794" s="84">
        <f>+IF(P794="ACERO A36",VLOOKUP(Q794,'[3]Tiempo Objeto'!$B$2:$C$12,2,FALSE),IF(P794="INOXIDABLE",VLOOKUP(Q794,'[3]Tiempo Objeto'!$B$14:$C$22,2,FALSE),IF(P794="ALUMINIO",VLOOKUP(Q794,'[3]Tiempo Objeto'!$B$24:$C$32,2,FALSE))))</f>
        <v>0.6133333333333334</v>
      </c>
      <c r="Y794" s="84">
        <f t="shared" si="118"/>
        <v>18.400000000000002</v>
      </c>
      <c r="Z794" s="80">
        <f t="shared" si="119"/>
        <v>25.555555555555561</v>
      </c>
      <c r="AA794" s="100">
        <v>5</v>
      </c>
      <c r="AB794" s="86">
        <f>+AA794*Analisis!$J$6</f>
        <v>125</v>
      </c>
      <c r="AC794" s="100"/>
      <c r="AD794" s="85">
        <f t="shared" si="120"/>
        <v>0</v>
      </c>
      <c r="AE794" s="86">
        <f>+AC794*Analisis!$J$7</f>
        <v>0</v>
      </c>
      <c r="AF794" s="308">
        <f>+H794*0.0254*I794*0.0254*2*(1+[3]Analisis!$G$2)</f>
        <v>0.86621859013999991</v>
      </c>
      <c r="AG794" s="86">
        <f>+AF794*Analisis!$J$8</f>
        <v>92.293528354202394</v>
      </c>
      <c r="AH794" s="309">
        <f t="shared" si="112"/>
        <v>524.97757077879123</v>
      </c>
      <c r="AI794" s="86">
        <f>+AH794/(1-Analisis!G799)</f>
        <v>524.97757077879123</v>
      </c>
      <c r="AJ794" s="86">
        <f t="shared" si="121"/>
        <v>564.49201159009817</v>
      </c>
      <c r="AK794" s="86">
        <f t="shared" si="113"/>
        <v>0</v>
      </c>
      <c r="AL794" s="310" t="e">
        <f>+VLOOKUP(B794,#REF!,2,FALSE)</f>
        <v>#REF!</v>
      </c>
      <c r="AM794" s="311" t="e">
        <f t="shared" si="124"/>
        <v>#REF!</v>
      </c>
      <c r="AN794" s="312" t="e">
        <f t="shared" si="110"/>
        <v>#REF!</v>
      </c>
    </row>
    <row r="795" spans="1:40" s="73" customFormat="1" x14ac:dyDescent="0.25">
      <c r="A795" s="313"/>
      <c r="B795" s="330" t="s">
        <v>1500</v>
      </c>
      <c r="D795" s="74">
        <f>IFERROR(VLOOKUP(B795,'REQ. PINTADO'!B:C,2,0),0)</f>
        <v>0</v>
      </c>
      <c r="E795" s="305">
        <f t="shared" si="114"/>
        <v>564.49201159009817</v>
      </c>
      <c r="F795" s="103" t="s">
        <v>163</v>
      </c>
      <c r="G795" s="75" t="s">
        <v>147</v>
      </c>
      <c r="H795" s="90">
        <v>23.33</v>
      </c>
      <c r="I795" s="90">
        <v>23.02</v>
      </c>
      <c r="J795" s="76">
        <v>0.105</v>
      </c>
      <c r="K795" s="306">
        <v>16.38</v>
      </c>
      <c r="L795" s="78">
        <f t="shared" si="115"/>
        <v>27.075862737374187</v>
      </c>
      <c r="M795" s="58">
        <f>+VLOOKUP(F795,Material!$H$2:$M$17,6,FALSE)*H795*I795*(1+Material!$K$14)</f>
        <v>201.59210529008595</v>
      </c>
      <c r="N795" s="79" t="str">
        <f t="shared" si="123"/>
        <v>T5.0</v>
      </c>
      <c r="O795" s="80">
        <f>+VLOOKUP(N795,[3]Material!$A$3:$B$58,2,FALSE)</f>
        <v>5000</v>
      </c>
      <c r="P795" s="79" t="s">
        <v>42</v>
      </c>
      <c r="Q795" s="79" t="str">
        <f>+VLOOKUP(F795,[3]Material!$C$2:$E$12,2,FALSE)</f>
        <v>Cal 12</v>
      </c>
      <c r="R795" s="81">
        <f>+IF(P795="ACERO A36",VLOOKUP(Q795,'[3]Velocidades Std 1500 w'!$B$2:$F$15,5,FALSE),IF(P795="INOXIDABLE",VLOOKUP(Q795,'[3]Velocidades Std 1500 w'!$B$17:$F$28,5,FALSE),IF(P795="ALUMINIO",VLOOKUP(Q795,'[3]Velocidades Std 1500 w'!$B$30:$F$38,5,FALSE))))</f>
        <v>4.3859649122807014E-6</v>
      </c>
      <c r="S795" s="82">
        <f t="shared" si="116"/>
        <v>2.1929824561403508E-2</v>
      </c>
      <c r="T795" s="83">
        <f t="shared" si="117"/>
        <v>57.986194736842094</v>
      </c>
      <c r="U795" s="307">
        <f t="shared" si="111"/>
        <v>3672.4589999999994</v>
      </c>
      <c r="V795" s="80">
        <f t="shared" si="122"/>
        <v>80.536381578947356</v>
      </c>
      <c r="W795" s="98">
        <v>30</v>
      </c>
      <c r="X795" s="84">
        <f>+IF(P795="ACERO A36",VLOOKUP(Q795,'[3]Tiempo Objeto'!$B$2:$C$12,2,FALSE),IF(P795="INOXIDABLE",VLOOKUP(Q795,'[3]Tiempo Objeto'!$B$14:$C$22,2,FALSE),IF(P795="ALUMINIO",VLOOKUP(Q795,'[3]Tiempo Objeto'!$B$24:$C$32,2,FALSE))))</f>
        <v>0.6133333333333334</v>
      </c>
      <c r="Y795" s="84">
        <f t="shared" si="118"/>
        <v>18.400000000000002</v>
      </c>
      <c r="Z795" s="80">
        <f t="shared" si="119"/>
        <v>25.555555555555561</v>
      </c>
      <c r="AA795" s="100">
        <v>5</v>
      </c>
      <c r="AB795" s="86">
        <f>+AA795*Analisis!$J$6</f>
        <v>125</v>
      </c>
      <c r="AC795" s="100"/>
      <c r="AD795" s="85">
        <f t="shared" si="120"/>
        <v>0</v>
      </c>
      <c r="AE795" s="86">
        <f>+AC795*Analisis!$J$7</f>
        <v>0</v>
      </c>
      <c r="AF795" s="308">
        <f>+H795*0.0254*I795*0.0254*2*(1+[3]Analisis!$G$2)</f>
        <v>0.86621859013999991</v>
      </c>
      <c r="AG795" s="86">
        <f>+AF795*Analisis!$J$8</f>
        <v>92.293528354202394</v>
      </c>
      <c r="AH795" s="309">
        <f t="shared" si="112"/>
        <v>524.97757077879123</v>
      </c>
      <c r="AI795" s="86">
        <f>+AH795/(1-Analisis!G800)</f>
        <v>524.97757077879123</v>
      </c>
      <c r="AJ795" s="86">
        <f t="shared" si="121"/>
        <v>564.49201159009817</v>
      </c>
      <c r="AK795" s="86">
        <f t="shared" si="113"/>
        <v>0</v>
      </c>
      <c r="AL795" s="310" t="e">
        <f>+VLOOKUP(B795,#REF!,2,FALSE)</f>
        <v>#REF!</v>
      </c>
      <c r="AM795" s="311" t="e">
        <f t="shared" si="124"/>
        <v>#REF!</v>
      </c>
      <c r="AN795" s="312" t="e">
        <f t="shared" si="110"/>
        <v>#REF!</v>
      </c>
    </row>
    <row r="796" spans="1:40" s="73" customFormat="1" x14ac:dyDescent="0.25">
      <c r="A796" s="313"/>
      <c r="B796" s="330" t="s">
        <v>1501</v>
      </c>
      <c r="D796" s="74">
        <f>IFERROR(VLOOKUP(B796,'REQ. PINTADO'!B:C,2,0),0)</f>
        <v>0</v>
      </c>
      <c r="E796" s="305">
        <f t="shared" si="114"/>
        <v>564.49201159009817</v>
      </c>
      <c r="F796" s="103" t="s">
        <v>163</v>
      </c>
      <c r="G796" s="75" t="s">
        <v>147</v>
      </c>
      <c r="H796" s="90">
        <v>23.33</v>
      </c>
      <c r="I796" s="90">
        <v>23.02</v>
      </c>
      <c r="J796" s="76">
        <v>0.105</v>
      </c>
      <c r="K796" s="306">
        <v>16.38</v>
      </c>
      <c r="L796" s="78">
        <f t="shared" si="115"/>
        <v>27.075862737374187</v>
      </c>
      <c r="M796" s="58">
        <f>+VLOOKUP(F796,Material!$H$2:$M$17,6,FALSE)*H796*I796*(1+Material!$K$14)</f>
        <v>201.59210529008595</v>
      </c>
      <c r="N796" s="79" t="str">
        <f t="shared" si="123"/>
        <v>T5.0</v>
      </c>
      <c r="O796" s="80">
        <f>+VLOOKUP(N796,[3]Material!$A$3:$B$58,2,FALSE)</f>
        <v>5000</v>
      </c>
      <c r="P796" s="79" t="s">
        <v>42</v>
      </c>
      <c r="Q796" s="79" t="str">
        <f>+VLOOKUP(F796,[3]Material!$C$2:$E$12,2,FALSE)</f>
        <v>Cal 12</v>
      </c>
      <c r="R796" s="81">
        <f>+IF(P796="ACERO A36",VLOOKUP(Q796,'[3]Velocidades Std 1500 w'!$B$2:$F$15,5,FALSE),IF(P796="INOXIDABLE",VLOOKUP(Q796,'[3]Velocidades Std 1500 w'!$B$17:$F$28,5,FALSE),IF(P796="ALUMINIO",VLOOKUP(Q796,'[3]Velocidades Std 1500 w'!$B$30:$F$38,5,FALSE))))</f>
        <v>4.3859649122807014E-6</v>
      </c>
      <c r="S796" s="82">
        <f t="shared" si="116"/>
        <v>2.1929824561403508E-2</v>
      </c>
      <c r="T796" s="83">
        <f t="shared" si="117"/>
        <v>57.986194736842094</v>
      </c>
      <c r="U796" s="307">
        <f t="shared" si="111"/>
        <v>3672.4589999999994</v>
      </c>
      <c r="V796" s="80">
        <f t="shared" si="122"/>
        <v>80.536381578947356</v>
      </c>
      <c r="W796" s="98">
        <v>30</v>
      </c>
      <c r="X796" s="84">
        <f>+IF(P796="ACERO A36",VLOOKUP(Q796,'[3]Tiempo Objeto'!$B$2:$C$12,2,FALSE),IF(P796="INOXIDABLE",VLOOKUP(Q796,'[3]Tiempo Objeto'!$B$14:$C$22,2,FALSE),IF(P796="ALUMINIO",VLOOKUP(Q796,'[3]Tiempo Objeto'!$B$24:$C$32,2,FALSE))))</f>
        <v>0.6133333333333334</v>
      </c>
      <c r="Y796" s="84">
        <f t="shared" si="118"/>
        <v>18.400000000000002</v>
      </c>
      <c r="Z796" s="80">
        <f t="shared" si="119"/>
        <v>25.555555555555561</v>
      </c>
      <c r="AA796" s="100">
        <v>5</v>
      </c>
      <c r="AB796" s="86">
        <f>+AA796*Analisis!$J$6</f>
        <v>125</v>
      </c>
      <c r="AC796" s="100"/>
      <c r="AD796" s="85">
        <f t="shared" si="120"/>
        <v>0</v>
      </c>
      <c r="AE796" s="86">
        <f>+AC796*Analisis!$J$7</f>
        <v>0</v>
      </c>
      <c r="AF796" s="308">
        <f>+H796*0.0254*I796*0.0254*2*(1+[3]Analisis!$G$2)</f>
        <v>0.86621859013999991</v>
      </c>
      <c r="AG796" s="86">
        <f>+AF796*Analisis!$J$8</f>
        <v>92.293528354202394</v>
      </c>
      <c r="AH796" s="309">
        <f t="shared" si="112"/>
        <v>524.97757077879123</v>
      </c>
      <c r="AI796" s="86">
        <f>+AH796/(1-Analisis!G801)</f>
        <v>524.97757077879123</v>
      </c>
      <c r="AJ796" s="86">
        <f t="shared" si="121"/>
        <v>564.49201159009817</v>
      </c>
      <c r="AK796" s="86">
        <f t="shared" si="113"/>
        <v>0</v>
      </c>
      <c r="AL796" s="310" t="e">
        <f>+VLOOKUP(B796,#REF!,2,FALSE)</f>
        <v>#REF!</v>
      </c>
      <c r="AM796" s="311" t="e">
        <f t="shared" si="124"/>
        <v>#REF!</v>
      </c>
      <c r="AN796" s="312" t="e">
        <f t="shared" si="110"/>
        <v>#REF!</v>
      </c>
    </row>
    <row r="797" spans="1:40" s="73" customFormat="1" x14ac:dyDescent="0.25">
      <c r="A797" s="313"/>
      <c r="B797" s="330" t="s">
        <v>1502</v>
      </c>
      <c r="D797" s="74">
        <f>IFERROR(VLOOKUP(B797,'REQ. PINTADO'!B:C,2,0),0)</f>
        <v>0</v>
      </c>
      <c r="E797" s="305">
        <f t="shared" si="114"/>
        <v>564.49201159009817</v>
      </c>
      <c r="F797" s="103" t="s">
        <v>163</v>
      </c>
      <c r="G797" s="75" t="s">
        <v>147</v>
      </c>
      <c r="H797" s="90">
        <v>23.33</v>
      </c>
      <c r="I797" s="90">
        <v>23.02</v>
      </c>
      <c r="J797" s="76">
        <v>0.105</v>
      </c>
      <c r="K797" s="306">
        <v>16.38</v>
      </c>
      <c r="L797" s="78">
        <f t="shared" si="115"/>
        <v>27.075862737374187</v>
      </c>
      <c r="M797" s="58">
        <f>+VLOOKUP(F797,Material!$H$2:$M$17,6,FALSE)*H797*I797*(1+Material!$K$14)</f>
        <v>201.59210529008595</v>
      </c>
      <c r="N797" s="79" t="str">
        <f t="shared" si="123"/>
        <v>T5.0</v>
      </c>
      <c r="O797" s="80">
        <f>+VLOOKUP(N797,[3]Material!$A$3:$B$58,2,FALSE)</f>
        <v>5000</v>
      </c>
      <c r="P797" s="79" t="s">
        <v>42</v>
      </c>
      <c r="Q797" s="79" t="str">
        <f>+VLOOKUP(F797,[3]Material!$C$2:$E$12,2,FALSE)</f>
        <v>Cal 12</v>
      </c>
      <c r="R797" s="81">
        <f>+IF(P797="ACERO A36",VLOOKUP(Q797,'[3]Velocidades Std 1500 w'!$B$2:$F$15,5,FALSE),IF(P797="INOXIDABLE",VLOOKUP(Q797,'[3]Velocidades Std 1500 w'!$B$17:$F$28,5,FALSE),IF(P797="ALUMINIO",VLOOKUP(Q797,'[3]Velocidades Std 1500 w'!$B$30:$F$38,5,FALSE))))</f>
        <v>4.3859649122807014E-6</v>
      </c>
      <c r="S797" s="82">
        <f t="shared" si="116"/>
        <v>2.1929824561403508E-2</v>
      </c>
      <c r="T797" s="83">
        <f t="shared" si="117"/>
        <v>57.986194736842094</v>
      </c>
      <c r="U797" s="307">
        <f t="shared" si="111"/>
        <v>3672.4589999999994</v>
      </c>
      <c r="V797" s="80">
        <f t="shared" si="122"/>
        <v>80.536381578947356</v>
      </c>
      <c r="W797" s="98">
        <v>30</v>
      </c>
      <c r="X797" s="84">
        <f>+IF(P797="ACERO A36",VLOOKUP(Q797,'[3]Tiempo Objeto'!$B$2:$C$12,2,FALSE),IF(P797="INOXIDABLE",VLOOKUP(Q797,'[3]Tiempo Objeto'!$B$14:$C$22,2,FALSE),IF(P797="ALUMINIO",VLOOKUP(Q797,'[3]Tiempo Objeto'!$B$24:$C$32,2,FALSE))))</f>
        <v>0.6133333333333334</v>
      </c>
      <c r="Y797" s="84">
        <f t="shared" si="118"/>
        <v>18.400000000000002</v>
      </c>
      <c r="Z797" s="80">
        <f t="shared" si="119"/>
        <v>25.555555555555561</v>
      </c>
      <c r="AA797" s="100">
        <v>5</v>
      </c>
      <c r="AB797" s="86">
        <f>+AA797*Analisis!$J$6</f>
        <v>125</v>
      </c>
      <c r="AC797" s="100"/>
      <c r="AD797" s="85">
        <f t="shared" si="120"/>
        <v>0</v>
      </c>
      <c r="AE797" s="86">
        <f>+AC797*Analisis!$J$7</f>
        <v>0</v>
      </c>
      <c r="AF797" s="308">
        <f>+H797*0.0254*I797*0.0254*2*(1+[3]Analisis!$G$2)</f>
        <v>0.86621859013999991</v>
      </c>
      <c r="AG797" s="86">
        <f>+AF797*Analisis!$J$8</f>
        <v>92.293528354202394</v>
      </c>
      <c r="AH797" s="309">
        <f t="shared" si="112"/>
        <v>524.97757077879123</v>
      </c>
      <c r="AI797" s="86">
        <f>+AH797/(1-Analisis!G802)</f>
        <v>524.97757077879123</v>
      </c>
      <c r="AJ797" s="86">
        <f t="shared" si="121"/>
        <v>564.49201159009817</v>
      </c>
      <c r="AK797" s="86">
        <f t="shared" si="113"/>
        <v>0</v>
      </c>
      <c r="AL797" s="310" t="e">
        <f>+VLOOKUP(B797,#REF!,2,FALSE)</f>
        <v>#REF!</v>
      </c>
      <c r="AM797" s="311" t="e">
        <f t="shared" si="124"/>
        <v>#REF!</v>
      </c>
      <c r="AN797" s="312" t="e">
        <f t="shared" si="110"/>
        <v>#REF!</v>
      </c>
    </row>
    <row r="798" spans="1:40" s="73" customFormat="1" x14ac:dyDescent="0.25">
      <c r="A798" s="313"/>
      <c r="B798" s="330" t="s">
        <v>1503</v>
      </c>
      <c r="D798" s="74">
        <f>IFERROR(VLOOKUP(B798,'REQ. PINTADO'!B:C,2,0),0)</f>
        <v>0</v>
      </c>
      <c r="E798" s="305">
        <f t="shared" si="114"/>
        <v>564.49201159009817</v>
      </c>
      <c r="F798" s="103" t="s">
        <v>163</v>
      </c>
      <c r="G798" s="75" t="s">
        <v>147</v>
      </c>
      <c r="H798" s="90">
        <v>23.33</v>
      </c>
      <c r="I798" s="90">
        <v>23.02</v>
      </c>
      <c r="J798" s="76">
        <v>0.105</v>
      </c>
      <c r="K798" s="306">
        <v>16.38</v>
      </c>
      <c r="L798" s="78">
        <f t="shared" si="115"/>
        <v>27.075862737374187</v>
      </c>
      <c r="M798" s="58">
        <f>+VLOOKUP(F798,Material!$H$2:$M$17,6,FALSE)*H798*I798*(1+Material!$K$14)</f>
        <v>201.59210529008595</v>
      </c>
      <c r="N798" s="79" t="str">
        <f t="shared" si="123"/>
        <v>T5.0</v>
      </c>
      <c r="O798" s="80">
        <f>+VLOOKUP(N798,[3]Material!$A$3:$B$58,2,FALSE)</f>
        <v>5000</v>
      </c>
      <c r="P798" s="79" t="s">
        <v>42</v>
      </c>
      <c r="Q798" s="79" t="str">
        <f>+VLOOKUP(F798,[3]Material!$C$2:$E$12,2,FALSE)</f>
        <v>Cal 12</v>
      </c>
      <c r="R798" s="81">
        <f>+IF(P798="ACERO A36",VLOOKUP(Q798,'[3]Velocidades Std 1500 w'!$B$2:$F$15,5,FALSE),IF(P798="INOXIDABLE",VLOOKUP(Q798,'[3]Velocidades Std 1500 w'!$B$17:$F$28,5,FALSE),IF(P798="ALUMINIO",VLOOKUP(Q798,'[3]Velocidades Std 1500 w'!$B$30:$F$38,5,FALSE))))</f>
        <v>4.3859649122807014E-6</v>
      </c>
      <c r="S798" s="82">
        <f t="shared" si="116"/>
        <v>2.1929824561403508E-2</v>
      </c>
      <c r="T798" s="83">
        <f t="shared" si="117"/>
        <v>57.986194736842094</v>
      </c>
      <c r="U798" s="307">
        <f t="shared" si="111"/>
        <v>3672.4589999999994</v>
      </c>
      <c r="V798" s="80">
        <f t="shared" si="122"/>
        <v>80.536381578947356</v>
      </c>
      <c r="W798" s="98">
        <v>30</v>
      </c>
      <c r="X798" s="84">
        <f>+IF(P798="ACERO A36",VLOOKUP(Q798,'[3]Tiempo Objeto'!$B$2:$C$12,2,FALSE),IF(P798="INOXIDABLE",VLOOKUP(Q798,'[3]Tiempo Objeto'!$B$14:$C$22,2,FALSE),IF(P798="ALUMINIO",VLOOKUP(Q798,'[3]Tiempo Objeto'!$B$24:$C$32,2,FALSE))))</f>
        <v>0.6133333333333334</v>
      </c>
      <c r="Y798" s="84">
        <f t="shared" si="118"/>
        <v>18.400000000000002</v>
      </c>
      <c r="Z798" s="80">
        <f t="shared" si="119"/>
        <v>25.555555555555561</v>
      </c>
      <c r="AA798" s="100">
        <v>5</v>
      </c>
      <c r="AB798" s="86">
        <f>+AA798*Analisis!$J$6</f>
        <v>125</v>
      </c>
      <c r="AC798" s="100"/>
      <c r="AD798" s="85">
        <f t="shared" si="120"/>
        <v>0</v>
      </c>
      <c r="AE798" s="86">
        <f>+AC798*Analisis!$J$7</f>
        <v>0</v>
      </c>
      <c r="AF798" s="308">
        <f>+H798*0.0254*I798*0.0254*2*(1+[3]Analisis!$G$2)</f>
        <v>0.86621859013999991</v>
      </c>
      <c r="AG798" s="86">
        <f>+AF798*Analisis!$J$8</f>
        <v>92.293528354202394</v>
      </c>
      <c r="AH798" s="309">
        <f t="shared" si="112"/>
        <v>524.97757077879123</v>
      </c>
      <c r="AI798" s="86">
        <f>+AH798/(1-Analisis!G803)</f>
        <v>524.97757077879123</v>
      </c>
      <c r="AJ798" s="86">
        <f t="shared" si="121"/>
        <v>564.49201159009817</v>
      </c>
      <c r="AK798" s="86">
        <f t="shared" si="113"/>
        <v>0</v>
      </c>
      <c r="AL798" s="310" t="e">
        <f>+VLOOKUP(B798,#REF!,2,FALSE)</f>
        <v>#REF!</v>
      </c>
      <c r="AM798" s="311" t="e">
        <f t="shared" si="124"/>
        <v>#REF!</v>
      </c>
      <c r="AN798" s="312" t="e">
        <f t="shared" si="110"/>
        <v>#REF!</v>
      </c>
    </row>
    <row r="799" spans="1:40" s="73" customFormat="1" x14ac:dyDescent="0.25">
      <c r="A799" s="313"/>
      <c r="B799" s="330" t="s">
        <v>1504</v>
      </c>
      <c r="D799" s="74">
        <f>IFERROR(VLOOKUP(B799,'REQ. PINTADO'!B:C,2,0),0)</f>
        <v>0</v>
      </c>
      <c r="E799" s="305">
        <f t="shared" si="114"/>
        <v>536.60242314766595</v>
      </c>
      <c r="F799" s="103" t="s">
        <v>163</v>
      </c>
      <c r="G799" s="75" t="s">
        <v>147</v>
      </c>
      <c r="H799" s="90">
        <v>23.33</v>
      </c>
      <c r="I799" s="90">
        <v>23.02</v>
      </c>
      <c r="J799" s="76">
        <v>0.105</v>
      </c>
      <c r="K799" s="306">
        <v>16.38</v>
      </c>
      <c r="L799" s="78">
        <f t="shared" si="115"/>
        <v>27.075862737374187</v>
      </c>
      <c r="M799" s="58">
        <f>+VLOOKUP(F799,Material!$H$2:$M$17,6,FALSE)*H799*I799*(1+Material!$K$14)</f>
        <v>201.59210529008595</v>
      </c>
      <c r="N799" s="79" t="str">
        <f t="shared" si="123"/>
        <v>T5.0</v>
      </c>
      <c r="O799" s="80">
        <f>+VLOOKUP(N799,[3]Material!$A$3:$B$58,2,FALSE)</f>
        <v>5000</v>
      </c>
      <c r="P799" s="79" t="s">
        <v>42</v>
      </c>
      <c r="Q799" s="79" t="str">
        <f>+VLOOKUP(F799,[3]Material!$C$2:$E$12,2,FALSE)</f>
        <v>Cal 12</v>
      </c>
      <c r="R799" s="81">
        <f>+IF(P799="ACERO A36",VLOOKUP(Q799,'[3]Velocidades Std 1500 w'!$B$2:$F$15,5,FALSE),IF(P799="INOXIDABLE",VLOOKUP(Q799,'[3]Velocidades Std 1500 w'!$B$17:$F$28,5,FALSE),IF(P799="ALUMINIO",VLOOKUP(Q799,'[3]Velocidades Std 1500 w'!$B$30:$F$38,5,FALSE))))</f>
        <v>4.3859649122807014E-6</v>
      </c>
      <c r="S799" s="82">
        <f t="shared" si="116"/>
        <v>2.1929824561403508E-2</v>
      </c>
      <c r="T799" s="83">
        <f t="shared" si="117"/>
        <v>48.511326315789461</v>
      </c>
      <c r="U799" s="307">
        <f t="shared" si="111"/>
        <v>3072.3839999999996</v>
      </c>
      <c r="V799" s="80">
        <f t="shared" si="122"/>
        <v>67.376842105263151</v>
      </c>
      <c r="W799" s="98">
        <v>15</v>
      </c>
      <c r="X799" s="84">
        <f>+IF(P799="ACERO A36",VLOOKUP(Q799,'[3]Tiempo Objeto'!$B$2:$C$12,2,FALSE),IF(P799="INOXIDABLE",VLOOKUP(Q799,'[3]Tiempo Objeto'!$B$14:$C$22,2,FALSE),IF(P799="ALUMINIO",VLOOKUP(Q799,'[3]Tiempo Objeto'!$B$24:$C$32,2,FALSE))))</f>
        <v>0.6133333333333334</v>
      </c>
      <c r="Y799" s="84">
        <f t="shared" si="118"/>
        <v>9.2000000000000011</v>
      </c>
      <c r="Z799" s="80">
        <f t="shared" si="119"/>
        <v>12.77777777777778</v>
      </c>
      <c r="AA799" s="100">
        <v>5</v>
      </c>
      <c r="AB799" s="86">
        <f>+AA799*Analisis!$J$6</f>
        <v>125</v>
      </c>
      <c r="AC799" s="100"/>
      <c r="AD799" s="85">
        <f t="shared" si="120"/>
        <v>0</v>
      </c>
      <c r="AE799" s="86">
        <f>+AC799*Analisis!$J$7</f>
        <v>0</v>
      </c>
      <c r="AF799" s="308">
        <f>+H799*0.0254*I799*0.0254*2*(1+[3]Analisis!$G$2)</f>
        <v>0.86621859013999991</v>
      </c>
      <c r="AG799" s="86">
        <f>+AF799*Analisis!$J$8</f>
        <v>92.293528354202394</v>
      </c>
      <c r="AH799" s="309">
        <f t="shared" si="112"/>
        <v>499.0402535273293</v>
      </c>
      <c r="AI799" s="86">
        <f>+AH799/(1-Analisis!G804)</f>
        <v>499.0402535273293</v>
      </c>
      <c r="AJ799" s="86">
        <f t="shared" si="121"/>
        <v>536.60242314766595</v>
      </c>
      <c r="AK799" s="86">
        <f t="shared" si="113"/>
        <v>0</v>
      </c>
      <c r="AL799" s="310" t="e">
        <f>+VLOOKUP(B799,#REF!,2,FALSE)</f>
        <v>#REF!</v>
      </c>
      <c r="AM799" s="311" t="e">
        <f t="shared" si="124"/>
        <v>#REF!</v>
      </c>
      <c r="AN799" s="312" t="e">
        <f t="shared" si="110"/>
        <v>#REF!</v>
      </c>
    </row>
    <row r="800" spans="1:40" s="73" customFormat="1" x14ac:dyDescent="0.25">
      <c r="A800" s="313"/>
      <c r="B800" s="330" t="s">
        <v>1505</v>
      </c>
      <c r="D800" s="74">
        <f>IFERROR(VLOOKUP(B800,'REQ. PINTADO'!B:C,2,0),0)</f>
        <v>0</v>
      </c>
      <c r="E800" s="305">
        <f t="shared" si="114"/>
        <v>455.25380467420337</v>
      </c>
      <c r="F800" s="103" t="s">
        <v>165</v>
      </c>
      <c r="G800" s="75" t="s">
        <v>147</v>
      </c>
      <c r="H800" s="90">
        <v>21.91</v>
      </c>
      <c r="I800" s="90">
        <v>24.79</v>
      </c>
      <c r="J800" s="76">
        <v>0.105</v>
      </c>
      <c r="K800" s="306">
        <v>16.38</v>
      </c>
      <c r="L800" s="78">
        <f t="shared" si="115"/>
        <v>30.32001071047009</v>
      </c>
      <c r="M800" s="58">
        <f>+VLOOKUP(F800,Material!$H$2:$M$17,6,FALSE)*H800*I800*(1+Material!$K$14)</f>
        <v>225.7462615625</v>
      </c>
      <c r="N800" s="79" t="str">
        <f t="shared" si="123"/>
        <v>T5.0</v>
      </c>
      <c r="O800" s="80">
        <f>+VLOOKUP(N800,[3]Material!$A$3:$B$58,2,FALSE)</f>
        <v>5000</v>
      </c>
      <c r="P800" s="79" t="s">
        <v>42</v>
      </c>
      <c r="Q800" s="79" t="str">
        <f>+VLOOKUP(F800,[3]Material!$C$2:$E$12,2,FALSE)</f>
        <v>Cal 14</v>
      </c>
      <c r="R800" s="81">
        <f>+IF(P800="ACERO A36",VLOOKUP(Q800,'[3]Velocidades Std 1500 w'!$B$2:$F$15,5,FALSE),IF(P800="INOXIDABLE",VLOOKUP(Q800,'[3]Velocidades Std 1500 w'!$B$17:$F$28,5,FALSE),IF(P800="ALUMINIO",VLOOKUP(Q800,'[3]Velocidades Std 1500 w'!$B$30:$F$38,5,FALSE))))</f>
        <v>2.0080321285140564E-6</v>
      </c>
      <c r="S800" s="82">
        <f t="shared" si="116"/>
        <v>1.0040160642570283E-2</v>
      </c>
      <c r="T800" s="83">
        <f t="shared" si="117"/>
        <v>28.128816867469887</v>
      </c>
      <c r="U800" s="307">
        <f t="shared" si="111"/>
        <v>3891.1530000000002</v>
      </c>
      <c r="V800" s="80">
        <f t="shared" si="122"/>
        <v>39.067801204819283</v>
      </c>
      <c r="W800" s="98">
        <v>35</v>
      </c>
      <c r="X800" s="84">
        <f>+IF(P800="ACERO A36",VLOOKUP(Q800,'[3]Tiempo Objeto'!$B$2:$C$12,2,FALSE),IF(P800="INOXIDABLE",VLOOKUP(Q800,'[3]Tiempo Objeto'!$B$14:$C$22,2,FALSE),IF(P800="ALUMINIO",VLOOKUP(Q800,'[3]Tiempo Objeto'!$B$24:$C$32,2,FALSE))))</f>
        <v>0.3133333333333333</v>
      </c>
      <c r="Y800" s="84">
        <f t="shared" si="118"/>
        <v>10.966666666666665</v>
      </c>
      <c r="Z800" s="80">
        <f t="shared" si="119"/>
        <v>15.231481481481481</v>
      </c>
      <c r="AA800" s="100">
        <v>2</v>
      </c>
      <c r="AB800" s="86">
        <f>+AA800*Analisis!$J$6</f>
        <v>50</v>
      </c>
      <c r="AC800" s="100"/>
      <c r="AD800" s="85">
        <f t="shared" si="120"/>
        <v>0</v>
      </c>
      <c r="AE800" s="86">
        <f>+AC800*Analisis!$J$7</f>
        <v>0</v>
      </c>
      <c r="AF800" s="308">
        <f>+H800*0.0254*I800*0.0254*2*(1+[3]Analisis!$G$2)</f>
        <v>0.87604486080999977</v>
      </c>
      <c r="AG800" s="86">
        <f>+AF800*Analisis!$J$8</f>
        <v>93.340494098208339</v>
      </c>
      <c r="AH800" s="309">
        <f t="shared" si="112"/>
        <v>423.38603834700911</v>
      </c>
      <c r="AI800" s="86">
        <f>+AH800/(1-Analisis!G805)</f>
        <v>423.38603834700911</v>
      </c>
      <c r="AJ800" s="86">
        <f t="shared" si="121"/>
        <v>455.25380467420337</v>
      </c>
      <c r="AK800" s="86">
        <f t="shared" si="113"/>
        <v>0</v>
      </c>
      <c r="AL800" s="310" t="e">
        <f>+VLOOKUP(B800,#REF!,2,FALSE)</f>
        <v>#REF!</v>
      </c>
      <c r="AM800" s="311" t="e">
        <f t="shared" si="124"/>
        <v>#REF!</v>
      </c>
      <c r="AN800" s="312" t="e">
        <f t="shared" si="110"/>
        <v>#REF!</v>
      </c>
    </row>
    <row r="801" spans="1:40" s="73" customFormat="1" x14ac:dyDescent="0.25">
      <c r="A801" s="313"/>
      <c r="B801" s="330" t="s">
        <v>1506</v>
      </c>
      <c r="D801" s="74">
        <f>IFERROR(VLOOKUP(B801,'REQ. PINTADO'!B:C,2,0),0)</f>
        <v>0</v>
      </c>
      <c r="E801" s="305">
        <f t="shared" si="114"/>
        <v>527.33516899951542</v>
      </c>
      <c r="F801" s="103" t="s">
        <v>165</v>
      </c>
      <c r="G801" s="75" t="s">
        <v>147</v>
      </c>
      <c r="H801" s="90">
        <v>21.91</v>
      </c>
      <c r="I801" s="90">
        <v>29.79</v>
      </c>
      <c r="J801" s="76">
        <v>0.105</v>
      </c>
      <c r="K801" s="306">
        <v>16.38</v>
      </c>
      <c r="L801" s="78">
        <f t="shared" si="115"/>
        <v>36.435381971153852</v>
      </c>
      <c r="M801" s="58">
        <f>+VLOOKUP(F801,Material!$H$2:$M$17,6,FALSE)*H801*I801*(1+Material!$K$14)</f>
        <v>271.27798031250001</v>
      </c>
      <c r="N801" s="79" t="str">
        <f t="shared" si="123"/>
        <v>T5.0</v>
      </c>
      <c r="O801" s="80">
        <f>+VLOOKUP(N801,[3]Material!$A$3:$B$58,2,FALSE)</f>
        <v>5000</v>
      </c>
      <c r="P801" s="79" t="s">
        <v>42</v>
      </c>
      <c r="Q801" s="79" t="str">
        <f>+VLOOKUP(F801,[3]Material!$C$2:$E$12,2,FALSE)</f>
        <v>Cal 14</v>
      </c>
      <c r="R801" s="81">
        <f>+IF(P801="ACERO A36",VLOOKUP(Q801,'[3]Velocidades Std 1500 w'!$B$2:$F$15,5,FALSE),IF(P801="INOXIDABLE",VLOOKUP(Q801,'[3]Velocidades Std 1500 w'!$B$17:$F$28,5,FALSE),IF(P801="ALUMINIO",VLOOKUP(Q801,'[3]Velocidades Std 1500 w'!$B$30:$F$38,5,FALSE))))</f>
        <v>2.0080321285140564E-6</v>
      </c>
      <c r="S801" s="82">
        <f t="shared" si="116"/>
        <v>1.0040160642570283E-2</v>
      </c>
      <c r="T801" s="83">
        <f t="shared" si="117"/>
        <v>30.056768674698798</v>
      </c>
      <c r="U801" s="307">
        <f t="shared" si="111"/>
        <v>4157.8530000000001</v>
      </c>
      <c r="V801" s="80">
        <f t="shared" si="122"/>
        <v>41.745512048192779</v>
      </c>
      <c r="W801" s="98">
        <v>35</v>
      </c>
      <c r="X801" s="84">
        <f>+IF(P801="ACERO A36",VLOOKUP(Q801,'[3]Tiempo Objeto'!$B$2:$C$12,2,FALSE),IF(P801="INOXIDABLE",VLOOKUP(Q801,'[3]Tiempo Objeto'!$B$14:$C$22,2,FALSE),IF(P801="ALUMINIO",VLOOKUP(Q801,'[3]Tiempo Objeto'!$B$24:$C$32,2,FALSE))))</f>
        <v>0.3133333333333333</v>
      </c>
      <c r="Y801" s="84">
        <f t="shared" si="118"/>
        <v>10.966666666666665</v>
      </c>
      <c r="Z801" s="80">
        <f t="shared" si="119"/>
        <v>15.231481481481481</v>
      </c>
      <c r="AA801" s="100">
        <v>2</v>
      </c>
      <c r="AB801" s="86">
        <f>+AA801*Analisis!$J$6</f>
        <v>50</v>
      </c>
      <c r="AC801" s="100"/>
      <c r="AD801" s="85">
        <f t="shared" si="120"/>
        <v>0</v>
      </c>
      <c r="AE801" s="86">
        <f>+AC801*Analisis!$J$7</f>
        <v>0</v>
      </c>
      <c r="AF801" s="308">
        <f>+H801*0.0254*I801*0.0254*2*(1+[3]Analisis!$G$2)</f>
        <v>1.0527380558099999</v>
      </c>
      <c r="AG801" s="86">
        <f>+AF801*Analisis!$J$8</f>
        <v>112.16673332737503</v>
      </c>
      <c r="AH801" s="309">
        <f t="shared" si="112"/>
        <v>490.42170716954928</v>
      </c>
      <c r="AI801" s="86">
        <f>+AH801/(1-Analisis!G806)</f>
        <v>490.42170716954928</v>
      </c>
      <c r="AJ801" s="86">
        <f t="shared" si="121"/>
        <v>527.33516899951542</v>
      </c>
      <c r="AK801" s="86">
        <f t="shared" si="113"/>
        <v>0</v>
      </c>
      <c r="AL801" s="310" t="e">
        <f>+VLOOKUP(B801,#REF!,2,FALSE)</f>
        <v>#REF!</v>
      </c>
      <c r="AM801" s="311" t="e">
        <f t="shared" si="124"/>
        <v>#REF!</v>
      </c>
      <c r="AN801" s="312" t="e">
        <f t="shared" si="110"/>
        <v>#REF!</v>
      </c>
    </row>
    <row r="802" spans="1:40" s="73" customFormat="1" x14ac:dyDescent="0.25">
      <c r="A802" s="313"/>
      <c r="B802" s="330" t="s">
        <v>1507</v>
      </c>
      <c r="D802" s="74">
        <f>IFERROR(VLOOKUP(B802,'REQ. PINTADO'!B:C,2,0),0)</f>
        <v>0</v>
      </c>
      <c r="E802" s="305">
        <f t="shared" si="114"/>
        <v>1944.0062485819428</v>
      </c>
      <c r="F802" s="103" t="s">
        <v>165</v>
      </c>
      <c r="G802" s="75" t="s">
        <v>147</v>
      </c>
      <c r="H802" s="90">
        <v>22.72</v>
      </c>
      <c r="I802" s="90">
        <v>70.91</v>
      </c>
      <c r="J802" s="76">
        <v>0.105</v>
      </c>
      <c r="K802" s="306">
        <v>16.38</v>
      </c>
      <c r="L802" s="78">
        <f t="shared" si="115"/>
        <v>89.934486324786334</v>
      </c>
      <c r="M802" s="58">
        <f>+VLOOKUP(F802,Material!$H$2:$M$17,6,FALSE)*H802*I802*(1+Material!$K$14)</f>
        <v>669.60312999999996</v>
      </c>
      <c r="N802" s="79" t="str">
        <f t="shared" si="123"/>
        <v>T5.0</v>
      </c>
      <c r="O802" s="80">
        <f>+VLOOKUP(N802,[3]Material!$A$3:$B$58,2,FALSE)</f>
        <v>5000</v>
      </c>
      <c r="P802" s="79" t="s">
        <v>42</v>
      </c>
      <c r="Q802" s="79" t="str">
        <f>+VLOOKUP(F802,[3]Material!$C$2:$E$12,2,FALSE)</f>
        <v>Cal 14</v>
      </c>
      <c r="R802" s="81">
        <f>+IF(P802="ACERO A36",VLOOKUP(Q802,'[3]Velocidades Std 1500 w'!$B$2:$F$15,5,FALSE),IF(P802="INOXIDABLE",VLOOKUP(Q802,'[3]Velocidades Std 1500 w'!$B$17:$F$28,5,FALSE),IF(P802="ALUMINIO",VLOOKUP(Q802,'[3]Velocidades Std 1500 w'!$B$30:$F$38,5,FALSE))))</f>
        <v>2.0080321285140564E-6</v>
      </c>
      <c r="S802" s="82">
        <f t="shared" si="116"/>
        <v>1.0040160642570283E-2</v>
      </c>
      <c r="T802" s="83">
        <f t="shared" si="117"/>
        <v>281.91668096385541</v>
      </c>
      <c r="U802" s="307">
        <f t="shared" si="111"/>
        <v>38998.474199999997</v>
      </c>
      <c r="V802" s="80">
        <f t="shared" si="122"/>
        <v>391.55094578313259</v>
      </c>
      <c r="W802" s="98">
        <v>850</v>
      </c>
      <c r="X802" s="84">
        <f>+IF(P802="ACERO A36",VLOOKUP(Q802,'[3]Tiempo Objeto'!$B$2:$C$12,2,FALSE),IF(P802="INOXIDABLE",VLOOKUP(Q802,'[3]Tiempo Objeto'!$B$14:$C$22,2,FALSE),IF(P802="ALUMINIO",VLOOKUP(Q802,'[3]Tiempo Objeto'!$B$24:$C$32,2,FALSE))))</f>
        <v>0.3133333333333333</v>
      </c>
      <c r="Y802" s="84">
        <f t="shared" si="118"/>
        <v>266.33333333333331</v>
      </c>
      <c r="Z802" s="80">
        <f t="shared" si="119"/>
        <v>369.90740740740739</v>
      </c>
      <c r="AA802" s="100">
        <v>4</v>
      </c>
      <c r="AB802" s="86">
        <f>+AA802*Analisis!$J$6</f>
        <v>100</v>
      </c>
      <c r="AC802" s="100"/>
      <c r="AD802" s="85">
        <f t="shared" si="120"/>
        <v>0</v>
      </c>
      <c r="AE802" s="86">
        <f>+AC802*Analisis!$J$7</f>
        <v>0</v>
      </c>
      <c r="AF802" s="308">
        <f>+H802*0.0254*I802*0.0254*2*(1+[3]Analisis!$G$2)</f>
        <v>2.5985031900799993</v>
      </c>
      <c r="AG802" s="86">
        <f>+AF802*Analisis!$J$8</f>
        <v>276.86432799066665</v>
      </c>
      <c r="AH802" s="309">
        <f t="shared" si="112"/>
        <v>1807.9258111812067</v>
      </c>
      <c r="AI802" s="86">
        <f>+AH802/(1-Analisis!G807)</f>
        <v>1807.9258111812067</v>
      </c>
      <c r="AJ802" s="86">
        <f t="shared" si="121"/>
        <v>1944.0062485819428</v>
      </c>
      <c r="AK802" s="86">
        <f t="shared" si="113"/>
        <v>0</v>
      </c>
      <c r="AL802" s="310" t="e">
        <f>+VLOOKUP(B802,#REF!,2,FALSE)</f>
        <v>#REF!</v>
      </c>
      <c r="AM802" s="311" t="e">
        <f t="shared" si="124"/>
        <v>#REF!</v>
      </c>
      <c r="AN802" s="312" t="e">
        <f t="shared" si="110"/>
        <v>#REF!</v>
      </c>
    </row>
    <row r="803" spans="1:40" s="73" customFormat="1" x14ac:dyDescent="0.25">
      <c r="A803" s="313"/>
      <c r="B803" s="330" t="s">
        <v>1508</v>
      </c>
      <c r="D803" s="74">
        <f>IFERROR(VLOOKUP(B803,'REQ. PINTADO'!B:C,2,0),0)</f>
        <v>0</v>
      </c>
      <c r="E803" s="305">
        <f t="shared" si="114"/>
        <v>626.51496834545628</v>
      </c>
      <c r="F803" s="103" t="s">
        <v>165</v>
      </c>
      <c r="G803" s="75" t="s">
        <v>147</v>
      </c>
      <c r="H803" s="90">
        <v>21.94</v>
      </c>
      <c r="I803" s="90">
        <v>13.86</v>
      </c>
      <c r="J803" s="76">
        <v>0.105</v>
      </c>
      <c r="K803" s="306">
        <v>16.38</v>
      </c>
      <c r="L803" s="78">
        <f t="shared" si="115"/>
        <v>16.975020192307696</v>
      </c>
      <c r="M803" s="58">
        <f>+VLOOKUP(F803,Material!$H$2:$M$17,6,FALSE)*H803*I803*(1+Material!$K$14)</f>
        <v>126.38674125000001</v>
      </c>
      <c r="N803" s="79" t="str">
        <f t="shared" si="123"/>
        <v>T5.0</v>
      </c>
      <c r="O803" s="80">
        <f>+VLOOKUP(N803,[3]Material!$A$3:$B$58,2,FALSE)</f>
        <v>5000</v>
      </c>
      <c r="P803" s="79" t="s">
        <v>42</v>
      </c>
      <c r="Q803" s="79" t="str">
        <f>+VLOOKUP(F803,[3]Material!$C$2:$E$12,2,FALSE)</f>
        <v>Cal 14</v>
      </c>
      <c r="R803" s="81">
        <f>+IF(P803="ACERO A36",VLOOKUP(Q803,'[3]Velocidades Std 1500 w'!$B$2:$F$15,5,FALSE),IF(P803="INOXIDABLE",VLOOKUP(Q803,'[3]Velocidades Std 1500 w'!$B$17:$F$28,5,FALSE),IF(P803="ALUMINIO",VLOOKUP(Q803,'[3]Velocidades Std 1500 w'!$B$30:$F$38,5,FALSE))))</f>
        <v>2.0080321285140564E-6</v>
      </c>
      <c r="S803" s="82">
        <f t="shared" si="116"/>
        <v>1.0040160642570283E-2</v>
      </c>
      <c r="T803" s="83">
        <f t="shared" si="117"/>
        <v>138.15702650602412</v>
      </c>
      <c r="U803" s="307">
        <f t="shared" si="111"/>
        <v>19111.722000000002</v>
      </c>
      <c r="V803" s="80">
        <f t="shared" si="122"/>
        <v>191.88475903614463</v>
      </c>
      <c r="W803" s="98">
        <v>430</v>
      </c>
      <c r="X803" s="84">
        <f>+IF(P803="ACERO A36",VLOOKUP(Q803,'[3]Tiempo Objeto'!$B$2:$C$12,2,FALSE),IF(P803="INOXIDABLE",VLOOKUP(Q803,'[3]Tiempo Objeto'!$B$14:$C$22,2,FALSE),IF(P803="ALUMINIO",VLOOKUP(Q803,'[3]Tiempo Objeto'!$B$24:$C$32,2,FALSE))))</f>
        <v>0.3133333333333333</v>
      </c>
      <c r="Y803" s="84">
        <f t="shared" si="118"/>
        <v>134.73333333333332</v>
      </c>
      <c r="Z803" s="80">
        <f t="shared" si="119"/>
        <v>187.12962962962962</v>
      </c>
      <c r="AA803" s="100">
        <v>1</v>
      </c>
      <c r="AB803" s="86">
        <f>+AA803*Analisis!$J$6</f>
        <v>25</v>
      </c>
      <c r="AC803" s="100"/>
      <c r="AD803" s="85">
        <f t="shared" si="120"/>
        <v>0</v>
      </c>
      <c r="AE803" s="86">
        <f>+AC803*Analisis!$J$7</f>
        <v>0</v>
      </c>
      <c r="AF803" s="308">
        <f>+H803*0.0254*I803*0.0254*2*(1+[3]Analisis!$G$2)</f>
        <v>0.49046418035999995</v>
      </c>
      <c r="AG803" s="86">
        <f>+AF803*Analisis!$J$8</f>
        <v>52.257790645500009</v>
      </c>
      <c r="AH803" s="309">
        <f t="shared" si="112"/>
        <v>582.65892056127427</v>
      </c>
      <c r="AI803" s="86">
        <f>+AH803/(1-Analisis!G808)</f>
        <v>582.65892056127427</v>
      </c>
      <c r="AJ803" s="86">
        <f t="shared" si="121"/>
        <v>626.51496834545628</v>
      </c>
      <c r="AK803" s="86">
        <f t="shared" si="113"/>
        <v>0</v>
      </c>
      <c r="AL803" s="310" t="e">
        <f>+VLOOKUP(B803,#REF!,2,FALSE)</f>
        <v>#REF!</v>
      </c>
      <c r="AM803" s="311" t="e">
        <f t="shared" si="124"/>
        <v>#REF!</v>
      </c>
      <c r="AN803" s="312" t="e">
        <f t="shared" si="110"/>
        <v>#REF!</v>
      </c>
    </row>
    <row r="804" spans="1:40" s="73" customFormat="1" x14ac:dyDescent="0.25">
      <c r="A804" s="313"/>
      <c r="B804" s="330" t="s">
        <v>1509</v>
      </c>
      <c r="D804" s="74">
        <f>IFERROR(VLOOKUP(B804,'REQ. PINTADO'!B:C,2,0),0)</f>
        <v>0</v>
      </c>
      <c r="E804" s="305">
        <f t="shared" si="114"/>
        <v>698.72329117043887</v>
      </c>
      <c r="F804" s="103" t="s">
        <v>165</v>
      </c>
      <c r="G804" s="75" t="s">
        <v>147</v>
      </c>
      <c r="H804" s="90">
        <v>21.94</v>
      </c>
      <c r="I804" s="90">
        <v>17</v>
      </c>
      <c r="J804" s="76">
        <v>0.105</v>
      </c>
      <c r="K804" s="306">
        <v>16.38</v>
      </c>
      <c r="L804" s="78">
        <f t="shared" si="115"/>
        <v>20.820731837606846</v>
      </c>
      <c r="M804" s="58">
        <f>+VLOOKUP(F804,Material!$H$2:$M$17,6,FALSE)*H804*I804*(1+Material!$K$14)</f>
        <v>155.01981250000003</v>
      </c>
      <c r="N804" s="79" t="str">
        <f t="shared" si="123"/>
        <v>T5.0</v>
      </c>
      <c r="O804" s="80">
        <f>+VLOOKUP(N804,[3]Material!$A$3:$B$58,2,FALSE)</f>
        <v>5000</v>
      </c>
      <c r="P804" s="79" t="s">
        <v>42</v>
      </c>
      <c r="Q804" s="79" t="str">
        <f>+VLOOKUP(F804,[3]Material!$C$2:$E$12,2,FALSE)</f>
        <v>Cal 14</v>
      </c>
      <c r="R804" s="81">
        <f>+IF(P804="ACERO A36",VLOOKUP(Q804,'[3]Velocidades Std 1500 w'!$B$2:$F$15,5,FALSE),IF(P804="INOXIDABLE",VLOOKUP(Q804,'[3]Velocidades Std 1500 w'!$B$17:$F$28,5,FALSE),IF(P804="ALUMINIO",VLOOKUP(Q804,'[3]Velocidades Std 1500 w'!$B$30:$F$38,5,FALSE))))</f>
        <v>2.0080321285140564E-6</v>
      </c>
      <c r="S804" s="82">
        <f t="shared" si="116"/>
        <v>1.0040160642570283E-2</v>
      </c>
      <c r="T804" s="83">
        <f t="shared" si="117"/>
        <v>139.36778024096387</v>
      </c>
      <c r="U804" s="307">
        <f t="shared" si="111"/>
        <v>19279.209599999998</v>
      </c>
      <c r="V804" s="80">
        <f t="shared" si="122"/>
        <v>193.56636144578314</v>
      </c>
      <c r="W804" s="98">
        <v>430</v>
      </c>
      <c r="X804" s="84">
        <f>+IF(P804="ACERO A36",VLOOKUP(Q804,'[3]Tiempo Objeto'!$B$2:$C$12,2,FALSE),IF(P804="INOXIDABLE",VLOOKUP(Q804,'[3]Tiempo Objeto'!$B$14:$C$22,2,FALSE),IF(P804="ALUMINIO",VLOOKUP(Q804,'[3]Tiempo Objeto'!$B$24:$C$32,2,FALSE))))</f>
        <v>0.3133333333333333</v>
      </c>
      <c r="Y804" s="84">
        <f t="shared" si="118"/>
        <v>134.73333333333332</v>
      </c>
      <c r="Z804" s="80">
        <f t="shared" si="119"/>
        <v>187.12962962962962</v>
      </c>
      <c r="AA804" s="100">
        <v>2</v>
      </c>
      <c r="AB804" s="86">
        <f>+AA804*Analisis!$J$6</f>
        <v>50</v>
      </c>
      <c r="AC804" s="100"/>
      <c r="AD804" s="85">
        <f t="shared" si="120"/>
        <v>0</v>
      </c>
      <c r="AE804" s="86">
        <f>+AC804*Analisis!$J$7</f>
        <v>0</v>
      </c>
      <c r="AF804" s="308">
        <f>+H804*0.0254*I804*0.0254*2*(1+[3]Analisis!$G$2)</f>
        <v>0.60157944199999991</v>
      </c>
      <c r="AG804" s="86">
        <f>+AF804*Analisis!$J$8</f>
        <v>64.096857213095248</v>
      </c>
      <c r="AH804" s="309">
        <f t="shared" si="112"/>
        <v>649.81266078850808</v>
      </c>
      <c r="AI804" s="86">
        <f>+AH804/(1-Analisis!G809)</f>
        <v>649.81266078850808</v>
      </c>
      <c r="AJ804" s="86">
        <f t="shared" si="121"/>
        <v>698.72329117043887</v>
      </c>
      <c r="AK804" s="86">
        <f t="shared" si="113"/>
        <v>0</v>
      </c>
      <c r="AL804" s="310" t="e">
        <f>+VLOOKUP(B804,#REF!,2,FALSE)</f>
        <v>#REF!</v>
      </c>
      <c r="AM804" s="311" t="e">
        <f t="shared" si="124"/>
        <v>#REF!</v>
      </c>
      <c r="AN804" s="312" t="e">
        <f t="shared" si="110"/>
        <v>#REF!</v>
      </c>
    </row>
    <row r="805" spans="1:40" s="73" customFormat="1" x14ac:dyDescent="0.25">
      <c r="A805" s="313"/>
      <c r="B805" s="330" t="s">
        <v>1510</v>
      </c>
      <c r="D805" s="74">
        <f>IFERROR(VLOOKUP(B805,'REQ. PINTADO'!B:C,2,0),0)</f>
        <v>0</v>
      </c>
      <c r="E805" s="305">
        <f t="shared" si="114"/>
        <v>54.728521351349386</v>
      </c>
      <c r="F805" s="103" t="s">
        <v>166</v>
      </c>
      <c r="G805" s="75" t="s">
        <v>147</v>
      </c>
      <c r="H805" s="90">
        <v>10.88</v>
      </c>
      <c r="I805" s="90">
        <v>4.7300000000000004</v>
      </c>
      <c r="J805" s="76">
        <v>0.105</v>
      </c>
      <c r="K805" s="306">
        <v>16.38</v>
      </c>
      <c r="L805" s="78">
        <f t="shared" si="115"/>
        <v>1.5665851337467904</v>
      </c>
      <c r="M805" s="58">
        <f>+VLOOKUP(F805,Material!$H$2:$M$17,6,FALSE)*H805*I805*(1+Material!$K$14)</f>
        <v>11.663938404896557</v>
      </c>
      <c r="N805" s="79" t="str">
        <f t="shared" si="123"/>
        <v>T5.0</v>
      </c>
      <c r="O805" s="80">
        <f>+VLOOKUP(N805,[3]Material!$A$3:$B$58,2,FALSE)</f>
        <v>5000</v>
      </c>
      <c r="P805" s="79" t="s">
        <v>42</v>
      </c>
      <c r="Q805" s="79" t="str">
        <f>+VLOOKUP(F805,[3]Material!$C$2:$E$12,2,FALSE)</f>
        <v>Cal 16</v>
      </c>
      <c r="R805" s="81">
        <f>+IF(P805="ACERO A36",VLOOKUP(Q805,'[3]Velocidades Std 1500 w'!$B$2:$F$15,5,FALSE),IF(P805="INOXIDABLE",VLOOKUP(Q805,'[3]Velocidades Std 1500 w'!$B$17:$F$28,5,FALSE),IF(P805="ALUMINIO",VLOOKUP(Q805,'[3]Velocidades Std 1500 w'!$B$30:$F$38,5,FALSE))))</f>
        <v>9.1575091575091579E-7</v>
      </c>
      <c r="S805" s="82">
        <f t="shared" si="116"/>
        <v>4.578754578754579E-3</v>
      </c>
      <c r="T805" s="83">
        <f t="shared" si="117"/>
        <v>3.1406123076923076</v>
      </c>
      <c r="U805" s="307">
        <f t="shared" si="111"/>
        <v>952.65239999999994</v>
      </c>
      <c r="V805" s="80">
        <f t="shared" si="122"/>
        <v>4.3619615384615384</v>
      </c>
      <c r="W805" s="98">
        <v>3</v>
      </c>
      <c r="X805" s="84">
        <f>+IF(P805="ACERO A36",VLOOKUP(Q805,'[3]Tiempo Objeto'!$B$2:$C$12,2,FALSE),IF(P805="INOXIDABLE",VLOOKUP(Q805,'[3]Tiempo Objeto'!$B$14:$C$22,2,FALSE),IF(P805="ALUMINIO",VLOOKUP(Q805,'[3]Tiempo Objeto'!$B$24:$C$32,2,FALSE))))</f>
        <v>0.24666666666666667</v>
      </c>
      <c r="Y805" s="84">
        <f t="shared" si="118"/>
        <v>0.74</v>
      </c>
      <c r="Z805" s="80">
        <f t="shared" si="119"/>
        <v>1.0277777777777777</v>
      </c>
      <c r="AA805" s="100">
        <v>1</v>
      </c>
      <c r="AB805" s="86">
        <f>+AA805*Analisis!$J$6</f>
        <v>25</v>
      </c>
      <c r="AC805" s="100"/>
      <c r="AD805" s="85">
        <f t="shared" si="120"/>
        <v>0</v>
      </c>
      <c r="AE805" s="86">
        <f>+AC805*Analisis!$J$7</f>
        <v>0</v>
      </c>
      <c r="AF805" s="308">
        <f>+H805*0.0254*I805*0.0254*2*(1+[3]Analisis!$G$2)</f>
        <v>8.3003704959999994E-2</v>
      </c>
      <c r="AG805" s="86">
        <f>+AF805*Analisis!$J$8</f>
        <v>8.8438471356190504</v>
      </c>
      <c r="AH805" s="309">
        <f t="shared" si="112"/>
        <v>50.897524856754927</v>
      </c>
      <c r="AI805" s="86">
        <f>+AH805/(1-Analisis!G810)</f>
        <v>50.897524856754927</v>
      </c>
      <c r="AJ805" s="86">
        <f t="shared" si="121"/>
        <v>54.728521351349386</v>
      </c>
      <c r="AK805" s="86">
        <f t="shared" si="113"/>
        <v>0</v>
      </c>
      <c r="AL805" s="310" t="e">
        <f>+VLOOKUP(B805,#REF!,2,FALSE)</f>
        <v>#REF!</v>
      </c>
      <c r="AM805" s="311" t="e">
        <f t="shared" si="124"/>
        <v>#REF!</v>
      </c>
      <c r="AN805" s="312" t="e">
        <f t="shared" si="110"/>
        <v>#REF!</v>
      </c>
    </row>
    <row r="806" spans="1:40" s="73" customFormat="1" x14ac:dyDescent="0.25">
      <c r="A806" s="313"/>
      <c r="B806" s="330" t="s">
        <v>1511</v>
      </c>
      <c r="D806" s="74">
        <f>IFERROR(VLOOKUP(B806,'REQ. PINTADO'!B:C,2,0),0)</f>
        <v>0</v>
      </c>
      <c r="E806" s="305">
        <f t="shared" si="114"/>
        <v>547.83480561123997</v>
      </c>
      <c r="F806" s="103" t="s">
        <v>163</v>
      </c>
      <c r="G806" s="75" t="s">
        <v>147</v>
      </c>
      <c r="H806" s="90">
        <v>21.94</v>
      </c>
      <c r="I806" s="90">
        <v>33.44</v>
      </c>
      <c r="J806" s="76">
        <v>0.105</v>
      </c>
      <c r="K806" s="306">
        <v>16.38</v>
      </c>
      <c r="L806" s="78">
        <f t="shared" si="115"/>
        <v>36.988365262870197</v>
      </c>
      <c r="M806" s="58">
        <f>+VLOOKUP(F806,Material!$H$2:$M$17,6,FALSE)*H806*I806*(1+Material!$K$14)</f>
        <v>275.39519227536988</v>
      </c>
      <c r="N806" s="79" t="str">
        <f t="shared" si="123"/>
        <v>T5.0</v>
      </c>
      <c r="O806" s="80">
        <f>+VLOOKUP(N806,[3]Material!$A$3:$B$58,2,FALSE)</f>
        <v>5000</v>
      </c>
      <c r="P806" s="79" t="s">
        <v>42</v>
      </c>
      <c r="Q806" s="79" t="str">
        <f>+VLOOKUP(F806,[3]Material!$C$2:$E$12,2,FALSE)</f>
        <v>Cal 12</v>
      </c>
      <c r="R806" s="81">
        <f>+IF(P806="ACERO A36",VLOOKUP(Q806,'[3]Velocidades Std 1500 w'!$B$2:$F$15,5,FALSE),IF(P806="INOXIDABLE",VLOOKUP(Q806,'[3]Velocidades Std 1500 w'!$B$17:$F$28,5,FALSE),IF(P806="ALUMINIO",VLOOKUP(Q806,'[3]Velocidades Std 1500 w'!$B$30:$F$38,5,FALSE))))</f>
        <v>4.3859649122807014E-6</v>
      </c>
      <c r="S806" s="82">
        <f t="shared" si="116"/>
        <v>2.1929824561403508E-2</v>
      </c>
      <c r="T806" s="83">
        <f t="shared" si="117"/>
        <v>62.433066315789475</v>
      </c>
      <c r="U806" s="307">
        <f t="shared" si="111"/>
        <v>3954.0942</v>
      </c>
      <c r="V806" s="80">
        <f t="shared" si="122"/>
        <v>86.712592105263155</v>
      </c>
      <c r="W806" s="98">
        <v>25</v>
      </c>
      <c r="X806" s="84">
        <f>+IF(P806="ACERO A36",VLOOKUP(Q806,'[3]Tiempo Objeto'!$B$2:$C$12,2,FALSE),IF(P806="INOXIDABLE",VLOOKUP(Q806,'[3]Tiempo Objeto'!$B$14:$C$22,2,FALSE),IF(P806="ALUMINIO",VLOOKUP(Q806,'[3]Tiempo Objeto'!$B$24:$C$32,2,FALSE))))</f>
        <v>0.6133333333333334</v>
      </c>
      <c r="Y806" s="84">
        <f t="shared" si="118"/>
        <v>15.333333333333336</v>
      </c>
      <c r="Z806" s="80">
        <f t="shared" si="119"/>
        <v>21.296296296296298</v>
      </c>
      <c r="AA806" s="100">
        <v>0</v>
      </c>
      <c r="AB806" s="86">
        <f>+AA806*Analisis!$J$6</f>
        <v>0</v>
      </c>
      <c r="AC806" s="100"/>
      <c r="AD806" s="85">
        <f t="shared" si="120"/>
        <v>0</v>
      </c>
      <c r="AE806" s="86">
        <f>+AC806*Analisis!$J$7</f>
        <v>0</v>
      </c>
      <c r="AF806" s="308">
        <f>+H806*0.0254*I806*0.0254*2*(1+[3]Analisis!$G$2)</f>
        <v>1.1833421494399996</v>
      </c>
      <c r="AG806" s="86">
        <f>+AF806*Analisis!$J$8</f>
        <v>126.08228854152381</v>
      </c>
      <c r="AH806" s="309">
        <f t="shared" si="112"/>
        <v>509.48636921845309</v>
      </c>
      <c r="AI806" s="86">
        <f>+AH806/(1-Analisis!G811)</f>
        <v>509.48636921845309</v>
      </c>
      <c r="AJ806" s="86">
        <f t="shared" si="121"/>
        <v>547.83480561123997</v>
      </c>
      <c r="AK806" s="86">
        <f t="shared" si="113"/>
        <v>0</v>
      </c>
      <c r="AL806" s="310" t="e">
        <f>+VLOOKUP(B806,#REF!,2,FALSE)</f>
        <v>#REF!</v>
      </c>
      <c r="AM806" s="311" t="e">
        <f t="shared" si="124"/>
        <v>#REF!</v>
      </c>
      <c r="AN806" s="312" t="e">
        <f t="shared" si="110"/>
        <v>#REF!</v>
      </c>
    </row>
    <row r="807" spans="1:40" s="73" customFormat="1" x14ac:dyDescent="0.25">
      <c r="A807" s="313"/>
      <c r="B807" s="330" t="s">
        <v>1512</v>
      </c>
      <c r="D807" s="74">
        <f>IFERROR(VLOOKUP(B807,'REQ. PINTADO'!B:C,2,0),0)</f>
        <v>0</v>
      </c>
      <c r="E807" s="305">
        <f t="shared" si="114"/>
        <v>757.17479793276368</v>
      </c>
      <c r="F807" s="103" t="s">
        <v>163</v>
      </c>
      <c r="G807" s="75" t="s">
        <v>147</v>
      </c>
      <c r="H807" s="90">
        <v>31.94</v>
      </c>
      <c r="I807" s="90">
        <v>33.44</v>
      </c>
      <c r="J807" s="76">
        <v>0.105</v>
      </c>
      <c r="K807" s="306">
        <v>16.38</v>
      </c>
      <c r="L807" s="78">
        <f t="shared" si="115"/>
        <v>53.847237306110948</v>
      </c>
      <c r="M807" s="58">
        <f>+VLOOKUP(F807,Material!$H$2:$M$17,6,FALSE)*H807*I807*(1+Material!$K$14)</f>
        <v>400.91715776095327</v>
      </c>
      <c r="N807" s="79" t="str">
        <f t="shared" si="123"/>
        <v>T5.0</v>
      </c>
      <c r="O807" s="80">
        <f>+VLOOKUP(N807,[3]Material!$A$3:$B$58,2,FALSE)</f>
        <v>5000</v>
      </c>
      <c r="P807" s="79" t="s">
        <v>42</v>
      </c>
      <c r="Q807" s="79" t="str">
        <f>+VLOOKUP(F807,[3]Material!$C$2:$E$12,2,FALSE)</f>
        <v>Cal 12</v>
      </c>
      <c r="R807" s="81">
        <f>+IF(P807="ACERO A36",VLOOKUP(Q807,'[3]Velocidades Std 1500 w'!$B$2:$F$15,5,FALSE),IF(P807="INOXIDABLE",VLOOKUP(Q807,'[3]Velocidades Std 1500 w'!$B$17:$F$28,5,FALSE),IF(P807="ALUMINIO",VLOOKUP(Q807,'[3]Velocidades Std 1500 w'!$B$30:$F$38,5,FALSE))))</f>
        <v>4.3859649122807014E-6</v>
      </c>
      <c r="S807" s="82">
        <f t="shared" si="116"/>
        <v>2.1929824561403508E-2</v>
      </c>
      <c r="T807" s="83">
        <f t="shared" si="117"/>
        <v>70.855171578947349</v>
      </c>
      <c r="U807" s="307">
        <f t="shared" ref="U807:U870" si="125">(+I807*2+H807*2+W807*1.5)*25.4*1.05</f>
        <v>4487.4941999999992</v>
      </c>
      <c r="V807" s="80">
        <f t="shared" si="122"/>
        <v>98.409960526315771</v>
      </c>
      <c r="W807" s="98">
        <v>25</v>
      </c>
      <c r="X807" s="84">
        <f>+IF(P807="ACERO A36",VLOOKUP(Q807,'[3]Tiempo Objeto'!$B$2:$C$12,2,FALSE),IF(P807="INOXIDABLE",VLOOKUP(Q807,'[3]Tiempo Objeto'!$B$14:$C$22,2,FALSE),IF(P807="ALUMINIO",VLOOKUP(Q807,'[3]Tiempo Objeto'!$B$24:$C$32,2,FALSE))))</f>
        <v>0.6133333333333334</v>
      </c>
      <c r="Y807" s="84">
        <f t="shared" si="118"/>
        <v>15.333333333333336</v>
      </c>
      <c r="Z807" s="80">
        <f t="shared" si="119"/>
        <v>21.296296296296298</v>
      </c>
      <c r="AA807" s="100">
        <v>0</v>
      </c>
      <c r="AB807" s="86">
        <f>+AA807*Analisis!$J$6</f>
        <v>0</v>
      </c>
      <c r="AC807" s="100"/>
      <c r="AD807" s="85">
        <f t="shared" si="120"/>
        <v>0</v>
      </c>
      <c r="AE807" s="86">
        <f>+AC807*Analisis!$J$7</f>
        <v>0</v>
      </c>
      <c r="AF807" s="308">
        <f>+H807*0.0254*I807*0.0254*2*(1+[3]Analisis!$G$2)</f>
        <v>1.7226959094399998</v>
      </c>
      <c r="AG807" s="86">
        <f>+AF807*Analisis!$J$8</f>
        <v>183.5491474939048</v>
      </c>
      <c r="AH807" s="309">
        <f t="shared" si="112"/>
        <v>704.17256207747016</v>
      </c>
      <c r="AI807" s="86">
        <f>+AH807/(1-Analisis!G812)</f>
        <v>704.17256207747016</v>
      </c>
      <c r="AJ807" s="86">
        <f t="shared" si="121"/>
        <v>757.17479793276368</v>
      </c>
      <c r="AK807" s="86">
        <f t="shared" si="113"/>
        <v>0</v>
      </c>
      <c r="AL807" s="310" t="e">
        <f>+VLOOKUP(B807,#REF!,2,FALSE)</f>
        <v>#REF!</v>
      </c>
      <c r="AM807" s="311" t="e">
        <f t="shared" si="124"/>
        <v>#REF!</v>
      </c>
      <c r="AN807" s="312" t="e">
        <f t="shared" si="110"/>
        <v>#REF!</v>
      </c>
    </row>
    <row r="808" spans="1:40" s="73" customFormat="1" x14ac:dyDescent="0.25">
      <c r="A808" s="313"/>
      <c r="B808" s="330" t="s">
        <v>1513</v>
      </c>
      <c r="D808" s="74">
        <f>IFERROR(VLOOKUP(B808,'REQ. PINTADO'!B:C,2,0),0)</f>
        <v>0</v>
      </c>
      <c r="E808" s="305">
        <f t="shared" si="114"/>
        <v>1394.0602279462207</v>
      </c>
      <c r="F808" s="103" t="s">
        <v>165</v>
      </c>
      <c r="G808" s="75" t="s">
        <v>147</v>
      </c>
      <c r="H808" s="90">
        <v>19.079999999999998</v>
      </c>
      <c r="I808" s="90">
        <v>93.55</v>
      </c>
      <c r="J808" s="76">
        <v>0.105</v>
      </c>
      <c r="K808" s="306">
        <v>16.38</v>
      </c>
      <c r="L808" s="78">
        <f t="shared" si="115"/>
        <v>99.6397451923077</v>
      </c>
      <c r="M808" s="58">
        <f>+VLOOKUP(F808,Material!$H$2:$M$17,6,FALSE)*H808*I808*(1+Material!$K$14)</f>
        <v>741.86319374999994</v>
      </c>
      <c r="N808" s="79" t="str">
        <f t="shared" si="123"/>
        <v>T5.0</v>
      </c>
      <c r="O808" s="80">
        <f>+VLOOKUP(N808,[3]Material!$A$3:$B$58,2,FALSE)</f>
        <v>5000</v>
      </c>
      <c r="P808" s="79" t="s">
        <v>42</v>
      </c>
      <c r="Q808" s="79" t="str">
        <f>+VLOOKUP(F808,[3]Material!$C$2:$E$12,2,FALSE)</f>
        <v>Cal 14</v>
      </c>
      <c r="R808" s="81">
        <f>+IF(P808="ACERO A36",VLOOKUP(Q808,'[3]Velocidades Std 1500 w'!$B$2:$F$15,5,FALSE),IF(P808="INOXIDABLE",VLOOKUP(Q808,'[3]Velocidades Std 1500 w'!$B$17:$F$28,5,FALSE),IF(P808="ALUMINIO",VLOOKUP(Q808,'[3]Velocidades Std 1500 w'!$B$30:$F$38,5,FALSE))))</f>
        <v>2.0080321285140564E-6</v>
      </c>
      <c r="S808" s="82">
        <f t="shared" si="116"/>
        <v>1.0040160642570283E-2</v>
      </c>
      <c r="T808" s="83">
        <f t="shared" si="117"/>
        <v>47.766933975903619</v>
      </c>
      <c r="U808" s="307">
        <f t="shared" si="125"/>
        <v>6607.7591999999995</v>
      </c>
      <c r="V808" s="80">
        <f t="shared" si="122"/>
        <v>66.342963855421687</v>
      </c>
      <c r="W808" s="98">
        <v>15</v>
      </c>
      <c r="X808" s="84">
        <f>+IF(P808="ACERO A36",VLOOKUP(Q808,'[3]Tiempo Objeto'!$B$2:$C$12,2,FALSE),IF(P808="INOXIDABLE",VLOOKUP(Q808,'[3]Tiempo Objeto'!$B$14:$C$22,2,FALSE),IF(P808="ALUMINIO",VLOOKUP(Q808,'[3]Tiempo Objeto'!$B$24:$C$32,2,FALSE))))</f>
        <v>0.3133333333333333</v>
      </c>
      <c r="Y808" s="84">
        <f t="shared" si="118"/>
        <v>4.6999999999999993</v>
      </c>
      <c r="Z808" s="80">
        <f t="shared" si="119"/>
        <v>6.5277777777777768</v>
      </c>
      <c r="AA808" s="100">
        <v>7</v>
      </c>
      <c r="AB808" s="86">
        <f>+AA808*Analisis!$J$6</f>
        <v>175</v>
      </c>
      <c r="AC808" s="100"/>
      <c r="AD808" s="85">
        <f t="shared" si="120"/>
        <v>0</v>
      </c>
      <c r="AE808" s="86">
        <f>+AC808*Analisis!$J$7</f>
        <v>0</v>
      </c>
      <c r="AF808" s="308">
        <f>+H808*0.0254*I808*0.0254*2*(1+[3]Analisis!$G$2)</f>
        <v>2.8789200485999995</v>
      </c>
      <c r="AG808" s="86">
        <f>+AF808*Analisis!$J$8</f>
        <v>306.74207660678576</v>
      </c>
      <c r="AH808" s="309">
        <f t="shared" si="112"/>
        <v>1296.4760119899852</v>
      </c>
      <c r="AI808" s="86">
        <f>+AH808/(1-Analisis!G813)</f>
        <v>1296.4760119899852</v>
      </c>
      <c r="AJ808" s="86">
        <f t="shared" si="121"/>
        <v>1394.0602279462207</v>
      </c>
      <c r="AK808" s="86">
        <f t="shared" si="113"/>
        <v>0</v>
      </c>
      <c r="AL808" s="310" t="e">
        <f>+VLOOKUP(B808,#REF!,2,FALSE)</f>
        <v>#REF!</v>
      </c>
      <c r="AM808" s="311" t="e">
        <f t="shared" si="124"/>
        <v>#REF!</v>
      </c>
      <c r="AN808" s="312" t="e">
        <f t="shared" si="110"/>
        <v>#REF!</v>
      </c>
    </row>
    <row r="809" spans="1:40" s="73" customFormat="1" x14ac:dyDescent="0.25">
      <c r="A809" s="313"/>
      <c r="B809" s="330" t="s">
        <v>145</v>
      </c>
      <c r="D809" s="74">
        <f>IFERROR(VLOOKUP(B809,'REQ. PINTADO'!B:C,2,0),0)</f>
        <v>0</v>
      </c>
      <c r="E809" s="305">
        <f t="shared" si="114"/>
        <v>102.97610685110514</v>
      </c>
      <c r="F809" s="103" t="s">
        <v>164</v>
      </c>
      <c r="G809" s="75" t="s">
        <v>147</v>
      </c>
      <c r="H809" s="90">
        <v>3.5</v>
      </c>
      <c r="I809" s="90">
        <v>9.15</v>
      </c>
      <c r="J809" s="76">
        <v>0.105</v>
      </c>
      <c r="K809" s="306">
        <v>16.38</v>
      </c>
      <c r="L809" s="78">
        <f t="shared" si="115"/>
        <v>2.9795339209401717</v>
      </c>
      <c r="M809" s="58">
        <f>+VLOOKUP(F809,Material!$H$2:$M$17,6,FALSE)*H809*I809*(1+Material!$K$14)</f>
        <v>22.183984375000001</v>
      </c>
      <c r="N809" s="79" t="str">
        <f t="shared" si="123"/>
        <v>T5.0</v>
      </c>
      <c r="O809" s="80">
        <f>+VLOOKUP(N809,[3]Material!$A$3:$B$58,2,FALSE)</f>
        <v>5000</v>
      </c>
      <c r="P809" s="79" t="s">
        <v>42</v>
      </c>
      <c r="Q809" s="79" t="str">
        <f>+VLOOKUP(F809,[3]Material!$C$2:$E$12,2,FALSE)</f>
        <v>Cal 10</v>
      </c>
      <c r="R809" s="81">
        <f>+IF(P809="ACERO A36",VLOOKUP(Q809,'[3]Velocidades Std 1500 w'!$B$2:$F$15,5,FALSE),IF(P809="INOXIDABLE",VLOOKUP(Q809,'[3]Velocidades Std 1500 w'!$B$17:$F$28,5,FALSE),IF(P809="ALUMINIO",VLOOKUP(Q809,'[3]Velocidades Std 1500 w'!$B$30:$F$38,5,FALSE))))</f>
        <v>6.1728395061728391E-6</v>
      </c>
      <c r="S809" s="82">
        <f t="shared" si="116"/>
        <v>3.0864197530864196E-2</v>
      </c>
      <c r="T809" s="83">
        <f t="shared" si="117"/>
        <v>23.884466666666665</v>
      </c>
      <c r="U809" s="307">
        <f t="shared" si="125"/>
        <v>1074.8009999999999</v>
      </c>
      <c r="V809" s="80">
        <f t="shared" si="122"/>
        <v>33.172870370370369</v>
      </c>
      <c r="W809" s="98">
        <v>10</v>
      </c>
      <c r="X809" s="84">
        <f>+IF(P809="ACERO A36",VLOOKUP(Q809,'[3]Tiempo Objeto'!$B$2:$C$12,2,FALSE),IF(P809="INOXIDABLE",VLOOKUP(Q809,'[3]Tiempo Objeto'!$B$14:$C$22,2,FALSE),IF(P809="ALUMINIO",VLOOKUP(Q809,'[3]Tiempo Objeto'!$B$24:$C$32,2,FALSE))))</f>
        <v>0.71333333333333337</v>
      </c>
      <c r="Y809" s="84">
        <f t="shared" si="118"/>
        <v>7.1333333333333337</v>
      </c>
      <c r="Z809" s="80">
        <f t="shared" si="119"/>
        <v>9.9074074074074083</v>
      </c>
      <c r="AA809" s="100">
        <v>1</v>
      </c>
      <c r="AB809" s="86">
        <f>+AA809*Analisis!$J$6</f>
        <v>25</v>
      </c>
      <c r="AC809" s="100"/>
      <c r="AD809" s="85">
        <f t="shared" si="120"/>
        <v>0</v>
      </c>
      <c r="AE809" s="86">
        <f>+AC809*Analisis!$J$7</f>
        <v>0</v>
      </c>
      <c r="AF809" s="308">
        <f>+H809*0.0254*I809*0.0254*2*(1+[3]Analisis!$G$2)</f>
        <v>5.1653122499999995E-2</v>
      </c>
      <c r="AG809" s="86">
        <f>+AF809*Analisis!$J$8</f>
        <v>5.5035172187500008</v>
      </c>
      <c r="AH809" s="309">
        <f t="shared" si="112"/>
        <v>95.76777937152778</v>
      </c>
      <c r="AI809" s="86">
        <f>+AH809/(1-Analisis!G814)</f>
        <v>95.76777937152778</v>
      </c>
      <c r="AJ809" s="86">
        <f t="shared" si="121"/>
        <v>102.97610685110514</v>
      </c>
      <c r="AK809" s="86">
        <f t="shared" si="113"/>
        <v>0</v>
      </c>
      <c r="AL809" s="310" t="e">
        <f>+VLOOKUP(B809,#REF!,2,FALSE)</f>
        <v>#REF!</v>
      </c>
      <c r="AM809" s="311" t="e">
        <f t="shared" si="124"/>
        <v>#REF!</v>
      </c>
      <c r="AN809" s="312" t="e">
        <f t="shared" si="110"/>
        <v>#REF!</v>
      </c>
    </row>
    <row r="810" spans="1:40" s="73" customFormat="1" x14ac:dyDescent="0.25">
      <c r="A810" s="313"/>
      <c r="B810" s="330" t="s">
        <v>1514</v>
      </c>
      <c r="D810" s="74">
        <f>IFERROR(VLOOKUP(B810,'REQ. PINTADO'!B:C,2,0),0)</f>
        <v>0</v>
      </c>
      <c r="E810" s="305">
        <f t="shared" si="114"/>
        <v>88.296522973404407</v>
      </c>
      <c r="F810" s="103" t="s">
        <v>163</v>
      </c>
      <c r="G810" s="75" t="s">
        <v>147</v>
      </c>
      <c r="H810" s="90">
        <v>4.57</v>
      </c>
      <c r="I810" s="90">
        <v>5.88</v>
      </c>
      <c r="J810" s="76">
        <v>0.105</v>
      </c>
      <c r="K810" s="306">
        <v>16.38</v>
      </c>
      <c r="L810" s="78">
        <f t="shared" si="115"/>
        <v>1.3547394318096533</v>
      </c>
      <c r="M810" s="58">
        <f>+VLOOKUP(F810,Material!$H$2:$M$17,6,FALSE)*H810*I810*(1+Material!$K$14)</f>
        <v>10.086650860473689</v>
      </c>
      <c r="N810" s="79" t="str">
        <f t="shared" si="123"/>
        <v>T5.0</v>
      </c>
      <c r="O810" s="80">
        <f>+VLOOKUP(N810,[3]Material!$A$3:$B$58,2,FALSE)</f>
        <v>5000</v>
      </c>
      <c r="P810" s="79" t="s">
        <v>42</v>
      </c>
      <c r="Q810" s="79" t="str">
        <f>+VLOOKUP(F810,[3]Material!$C$2:$E$12,2,FALSE)</f>
        <v>Cal 12</v>
      </c>
      <c r="R810" s="81">
        <f>+IF(P810="ACERO A36",VLOOKUP(Q810,'[3]Velocidades Std 1500 w'!$B$2:$F$15,5,FALSE),IF(P810="INOXIDABLE",VLOOKUP(Q810,'[3]Velocidades Std 1500 w'!$B$17:$F$28,5,FALSE),IF(P810="ALUMINIO",VLOOKUP(Q810,'[3]Velocidades Std 1500 w'!$B$30:$F$38,5,FALSE))))</f>
        <v>4.3859649122807014E-6</v>
      </c>
      <c r="S810" s="82">
        <f t="shared" si="116"/>
        <v>2.1929824561403508E-2</v>
      </c>
      <c r="T810" s="83">
        <f t="shared" si="117"/>
        <v>10.696073684210525</v>
      </c>
      <c r="U810" s="307">
        <f t="shared" si="125"/>
        <v>677.41800000000001</v>
      </c>
      <c r="V810" s="80">
        <f t="shared" si="122"/>
        <v>14.855657894736842</v>
      </c>
      <c r="W810" s="98">
        <v>3</v>
      </c>
      <c r="X810" s="84">
        <f>+IF(P810="ACERO A36",VLOOKUP(Q810,'[3]Tiempo Objeto'!$B$2:$C$12,2,FALSE),IF(P810="INOXIDABLE",VLOOKUP(Q810,'[3]Tiempo Objeto'!$B$14:$C$22,2,FALSE),IF(P810="ALUMINIO",VLOOKUP(Q810,'[3]Tiempo Objeto'!$B$24:$C$32,2,FALSE))))</f>
        <v>0.6133333333333334</v>
      </c>
      <c r="Y810" s="84">
        <f t="shared" si="118"/>
        <v>1.8400000000000003</v>
      </c>
      <c r="Z810" s="80">
        <f t="shared" si="119"/>
        <v>2.5555555555555562</v>
      </c>
      <c r="AA810" s="100">
        <v>2</v>
      </c>
      <c r="AB810" s="86">
        <f>+AA810*Analisis!$J$6</f>
        <v>50</v>
      </c>
      <c r="AC810" s="100"/>
      <c r="AD810" s="85">
        <f t="shared" si="120"/>
        <v>0</v>
      </c>
      <c r="AE810" s="86">
        <f>+AC810*Analisis!$J$7</f>
        <v>0</v>
      </c>
      <c r="AF810" s="308">
        <f>+H810*0.0254*I810*0.0254*2*(1+[3]Analisis!$G$2)</f>
        <v>4.3341203639999999E-2</v>
      </c>
      <c r="AG810" s="86">
        <f>+AF810*Analisis!$J$8</f>
        <v>4.6179020545000009</v>
      </c>
      <c r="AH810" s="309">
        <f t="shared" si="112"/>
        <v>82.115766365266097</v>
      </c>
      <c r="AI810" s="86">
        <f>+AH810/(1-Analisis!G815)</f>
        <v>82.115766365266097</v>
      </c>
      <c r="AJ810" s="86">
        <f t="shared" si="121"/>
        <v>88.296522973404407</v>
      </c>
      <c r="AK810" s="86">
        <f t="shared" si="113"/>
        <v>0</v>
      </c>
      <c r="AL810" s="310" t="e">
        <f>+VLOOKUP(B810,#REF!,2,FALSE)</f>
        <v>#REF!</v>
      </c>
      <c r="AM810" s="311" t="e">
        <f t="shared" si="124"/>
        <v>#REF!</v>
      </c>
      <c r="AN810" s="312" t="e">
        <f t="shared" si="110"/>
        <v>#REF!</v>
      </c>
    </row>
    <row r="811" spans="1:40" s="73" customFormat="1" x14ac:dyDescent="0.25">
      <c r="A811" s="313"/>
      <c r="B811" s="330" t="s">
        <v>1515</v>
      </c>
      <c r="D811" s="74">
        <f>IFERROR(VLOOKUP(B811,'REQ. PINTADO'!B:C,2,0),0)</f>
        <v>0</v>
      </c>
      <c r="E811" s="305">
        <f t="shared" si="114"/>
        <v>147.86775517051996</v>
      </c>
      <c r="F811" s="103" t="s">
        <v>165</v>
      </c>
      <c r="G811" s="75" t="s">
        <v>147</v>
      </c>
      <c r="H811" s="90">
        <v>19</v>
      </c>
      <c r="I811" s="90">
        <v>10.6</v>
      </c>
      <c r="J811" s="76">
        <v>0.105</v>
      </c>
      <c r="K811" s="306">
        <v>16.38</v>
      </c>
      <c r="L811" s="78">
        <f t="shared" si="115"/>
        <v>11.242681623931626</v>
      </c>
      <c r="M811" s="58">
        <f>+VLOOKUP(F811,Material!$H$2:$M$17,6,FALSE)*H811*I811*(1+Material!$K$14)</f>
        <v>83.706875000000011</v>
      </c>
      <c r="N811" s="79" t="str">
        <f t="shared" si="123"/>
        <v>T5.0</v>
      </c>
      <c r="O811" s="80">
        <f>+VLOOKUP(N811,[3]Material!$A$3:$B$58,2,FALSE)</f>
        <v>5000</v>
      </c>
      <c r="P811" s="79" t="s">
        <v>42</v>
      </c>
      <c r="Q811" s="79" t="str">
        <f>+VLOOKUP(F811,[3]Material!$C$2:$E$12,2,FALSE)</f>
        <v>Cal 14</v>
      </c>
      <c r="R811" s="81">
        <f>+IF(P811="ACERO A36",VLOOKUP(Q811,'[3]Velocidades Std 1500 w'!$B$2:$F$15,5,FALSE),IF(P811="INOXIDABLE",VLOOKUP(Q811,'[3]Velocidades Std 1500 w'!$B$17:$F$28,5,FALSE),IF(P811="ALUMINIO",VLOOKUP(Q811,'[3]Velocidades Std 1500 w'!$B$30:$F$38,5,FALSE))))</f>
        <v>2.0080321285140564E-6</v>
      </c>
      <c r="S811" s="82">
        <f t="shared" si="116"/>
        <v>1.0040160642570283E-2</v>
      </c>
      <c r="T811" s="83">
        <f t="shared" si="117"/>
        <v>12.570245783132531</v>
      </c>
      <c r="U811" s="307">
        <f t="shared" si="125"/>
        <v>1738.884</v>
      </c>
      <c r="V811" s="80">
        <f t="shared" si="122"/>
        <v>17.458674698795186</v>
      </c>
      <c r="W811" s="98">
        <v>4</v>
      </c>
      <c r="X811" s="84">
        <f>+IF(P811="ACERO A36",VLOOKUP(Q811,'[3]Tiempo Objeto'!$B$2:$C$12,2,FALSE),IF(P811="INOXIDABLE",VLOOKUP(Q811,'[3]Tiempo Objeto'!$B$14:$C$22,2,FALSE),IF(P811="ALUMINIO",VLOOKUP(Q811,'[3]Tiempo Objeto'!$B$24:$C$32,2,FALSE))))</f>
        <v>0.3133333333333333</v>
      </c>
      <c r="Y811" s="84">
        <f t="shared" si="118"/>
        <v>1.2533333333333332</v>
      </c>
      <c r="Z811" s="80">
        <f t="shared" si="119"/>
        <v>1.7407407407407405</v>
      </c>
      <c r="AA811" s="100">
        <v>0</v>
      </c>
      <c r="AB811" s="86">
        <f>+AA811*Analisis!$J$6</f>
        <v>0</v>
      </c>
      <c r="AC811" s="100"/>
      <c r="AD811" s="85">
        <f t="shared" si="120"/>
        <v>0</v>
      </c>
      <c r="AE811" s="86">
        <f>+AC811*Analisis!$J$7</f>
        <v>0</v>
      </c>
      <c r="AF811" s="308">
        <f>+H811*0.0254*I811*0.0254*2*(1+[3]Analisis!$G$2)</f>
        <v>0.32483805999999998</v>
      </c>
      <c r="AG811" s="86">
        <f>+AF811*Analisis!$J$8</f>
        <v>34.61072186904763</v>
      </c>
      <c r="AH811" s="309">
        <f t="shared" si="112"/>
        <v>137.51701230858356</v>
      </c>
      <c r="AI811" s="86">
        <f>+AH811/(1-Analisis!G816)</f>
        <v>137.51701230858356</v>
      </c>
      <c r="AJ811" s="86">
        <f t="shared" si="121"/>
        <v>147.86775517051996</v>
      </c>
      <c r="AK811" s="86">
        <f t="shared" si="113"/>
        <v>0</v>
      </c>
      <c r="AL811" s="310" t="e">
        <f>+VLOOKUP(B811,#REF!,2,FALSE)</f>
        <v>#REF!</v>
      </c>
      <c r="AM811" s="311" t="e">
        <f t="shared" si="124"/>
        <v>#REF!</v>
      </c>
      <c r="AN811" s="312" t="e">
        <f t="shared" si="110"/>
        <v>#REF!</v>
      </c>
    </row>
    <row r="812" spans="1:40" s="73" customFormat="1" x14ac:dyDescent="0.25">
      <c r="A812" s="313"/>
      <c r="B812" s="314" t="s">
        <v>1516</v>
      </c>
      <c r="D812" s="74">
        <f>IFERROR(VLOOKUP(B812,'REQ. PINTADO'!B:C,2,0),0)</f>
        <v>0</v>
      </c>
      <c r="E812" s="305">
        <f t="shared" si="114"/>
        <v>289.04252502174029</v>
      </c>
      <c r="F812" s="103" t="s">
        <v>166</v>
      </c>
      <c r="G812" s="75" t="s">
        <v>147</v>
      </c>
      <c r="H812" s="90">
        <v>12.09</v>
      </c>
      <c r="I812" s="90">
        <v>31.22</v>
      </c>
      <c r="J812" s="76">
        <v>0.105</v>
      </c>
      <c r="K812" s="306">
        <v>16.38</v>
      </c>
      <c r="L812" s="78">
        <f t="shared" si="115"/>
        <v>11.490082961845916</v>
      </c>
      <c r="M812" s="58">
        <f>+VLOOKUP(F812,Material!$H$2:$M$17,6,FALSE)*H812*I812*(1+Material!$K$14)</f>
        <v>85.548890415925484</v>
      </c>
      <c r="N812" s="79" t="str">
        <f t="shared" si="123"/>
        <v>T5.0</v>
      </c>
      <c r="O812" s="80">
        <f>+VLOOKUP(N812,[4]Material!$A$3:$B$58,2,FALSE)</f>
        <v>5000</v>
      </c>
      <c r="P812" s="79" t="s">
        <v>42</v>
      </c>
      <c r="Q812" s="79" t="str">
        <f>+VLOOKUP(F812,[4]Material!$H$2:$J$12,2,FALSE)</f>
        <v>Cal 16</v>
      </c>
      <c r="R812" s="81">
        <f>+IF(P812="ACERO A36",VLOOKUP(Q812,'[4]Velocidades Std 1500 w'!$B$2:$F$15,5,FALSE),IF(P812="INOXIDABLE",VLOOKUP(Q812,'[4]Velocidades Std 1500 w'!$B$17:$F$28,5,FALSE),IF(P812="ALUMINIO",VLOOKUP(Q812,'[4]Velocidades Std 1500 w'!$B$30:$F$38,5,FALSE))))</f>
        <v>9.1575091575091579E-7</v>
      </c>
      <c r="S812" s="82">
        <f t="shared" si="116"/>
        <v>4.578754578754579E-3</v>
      </c>
      <c r="T812" s="83">
        <f t="shared" si="117"/>
        <v>8.2753200000000007</v>
      </c>
      <c r="U812" s="307">
        <f t="shared" si="125"/>
        <v>2510.1804000000002</v>
      </c>
      <c r="V812" s="80">
        <f t="shared" si="122"/>
        <v>11.493500000000001</v>
      </c>
      <c r="W812" s="98">
        <v>5</v>
      </c>
      <c r="X812" s="84">
        <f>+IF(P812="ACERO A36",VLOOKUP(Q812,'[4]Tiempo Objeto'!$B$2:$C$12,2,FALSE),IF(P812="INOXIDABLE",VLOOKUP(Q812,'[4]Tiempo Objeto'!$B$14:$C$22,2,FALSE),IF(P812="ALUMINIO",VLOOKUP(Q812,'[4]Tiempo Objeto'!$B$24:$C$32,2,FALSE))))</f>
        <v>0.24666666666666667</v>
      </c>
      <c r="Y812" s="84">
        <f t="shared" si="118"/>
        <v>1.2333333333333334</v>
      </c>
      <c r="Z812" s="80">
        <f t="shared" si="119"/>
        <v>1.712962962962963</v>
      </c>
      <c r="AA812" s="100">
        <v>4</v>
      </c>
      <c r="AB812" s="86">
        <f>+AA812*Analisis!$J$6</f>
        <v>100</v>
      </c>
      <c r="AC812" s="100"/>
      <c r="AD812" s="85">
        <f t="shared" si="120"/>
        <v>0</v>
      </c>
      <c r="AE812" s="86">
        <f>+AC812*Analisis!$J$7</f>
        <v>0</v>
      </c>
      <c r="AF812" s="308">
        <f>+H812*0.0254*I812*0.0254*2*(1+[4]Analisis!$G$2)</f>
        <v>0.6574918850135999</v>
      </c>
      <c r="AG812" s="86">
        <f>+AF812*Analisis!$J$8</f>
        <v>70.054194891330013</v>
      </c>
      <c r="AH812" s="309">
        <f t="shared" si="112"/>
        <v>268.80954827021844</v>
      </c>
      <c r="AI812" s="86">
        <f>+AH812/(1-Analisis!G817)</f>
        <v>268.80954827021844</v>
      </c>
      <c r="AJ812" s="86">
        <f t="shared" si="121"/>
        <v>289.04252502174029</v>
      </c>
      <c r="AK812" s="86">
        <f t="shared" si="113"/>
        <v>0</v>
      </c>
      <c r="AL812" s="310" t="e">
        <f>+VLOOKUP(B812,[4]ref!A:B,2,FALSE)</f>
        <v>#N/A</v>
      </c>
      <c r="AM812" s="311" t="e">
        <f t="shared" si="124"/>
        <v>#N/A</v>
      </c>
      <c r="AN812" s="312" t="e">
        <f t="shared" si="110"/>
        <v>#N/A</v>
      </c>
    </row>
    <row r="813" spans="1:40" s="73" customFormat="1" x14ac:dyDescent="0.25">
      <c r="A813" s="313"/>
      <c r="B813" s="314" t="s">
        <v>1517</v>
      </c>
      <c r="D813" s="74">
        <f>IFERROR(VLOOKUP(B813,'REQ. PINTADO'!B:C,2,0),0)</f>
        <v>0</v>
      </c>
      <c r="E813" s="305">
        <f t="shared" si="114"/>
        <v>345.44952104876188</v>
      </c>
      <c r="F813" s="103" t="s">
        <v>166</v>
      </c>
      <c r="G813" s="75" t="s">
        <v>147</v>
      </c>
      <c r="H813" s="90">
        <v>16.09</v>
      </c>
      <c r="I813" s="90">
        <v>31.22</v>
      </c>
      <c r="J813" s="76">
        <v>0.105</v>
      </c>
      <c r="K813" s="306">
        <v>16.38</v>
      </c>
      <c r="L813" s="78">
        <f t="shared" si="115"/>
        <v>15.291599243680793</v>
      </c>
      <c r="M813" s="58">
        <f>+VLOOKUP(F813,Material!$H$2:$M$17,6,FALSE)*H813*I813*(1+Material!$K$14)</f>
        <v>113.85290709613243</v>
      </c>
      <c r="N813" s="79" t="str">
        <f t="shared" si="123"/>
        <v>T5.0</v>
      </c>
      <c r="O813" s="80">
        <f>+VLOOKUP(N813,[4]Material!$A$3:$B$58,2,FALSE)</f>
        <v>5000</v>
      </c>
      <c r="P813" s="79" t="s">
        <v>42</v>
      </c>
      <c r="Q813" s="79" t="str">
        <f>+VLOOKUP(F813,[4]Material!$H$2:$J$12,2,FALSE)</f>
        <v>Cal 16</v>
      </c>
      <c r="R813" s="81">
        <f>+IF(P813="ACERO A36",VLOOKUP(Q813,'[4]Velocidades Std 1500 w'!$B$2:$F$15,5,FALSE),IF(P813="INOXIDABLE",VLOOKUP(Q813,'[4]Velocidades Std 1500 w'!$B$17:$F$28,5,FALSE),IF(P813="ALUMINIO",VLOOKUP(Q813,'[4]Velocidades Std 1500 w'!$B$30:$F$38,5,FALSE))))</f>
        <v>9.1575091575091579E-7</v>
      </c>
      <c r="S813" s="82">
        <f t="shared" si="116"/>
        <v>4.578754578754579E-3</v>
      </c>
      <c r="T813" s="83">
        <f t="shared" si="117"/>
        <v>8.9787046153846148</v>
      </c>
      <c r="U813" s="307">
        <f t="shared" si="125"/>
        <v>2723.5403999999999</v>
      </c>
      <c r="V813" s="80">
        <f t="shared" si="122"/>
        <v>12.470423076923076</v>
      </c>
      <c r="W813" s="98">
        <v>5</v>
      </c>
      <c r="X813" s="84">
        <f>+IF(P813="ACERO A36",VLOOKUP(Q813,'[4]Tiempo Objeto'!$B$2:$C$12,2,FALSE),IF(P813="INOXIDABLE",VLOOKUP(Q813,'[4]Tiempo Objeto'!$B$14:$C$22,2,FALSE),IF(P813="ALUMINIO",VLOOKUP(Q813,'[4]Tiempo Objeto'!$B$24:$C$32,2,FALSE))))</f>
        <v>0.24666666666666667</v>
      </c>
      <c r="Y813" s="84">
        <f t="shared" si="118"/>
        <v>1.2333333333333334</v>
      </c>
      <c r="Z813" s="80">
        <f t="shared" si="119"/>
        <v>1.712962962962963</v>
      </c>
      <c r="AA813" s="100">
        <v>4</v>
      </c>
      <c r="AB813" s="86">
        <f>+AA813*Analisis!$J$6</f>
        <v>100</v>
      </c>
      <c r="AC813" s="100"/>
      <c r="AD813" s="85">
        <f t="shared" si="120"/>
        <v>0</v>
      </c>
      <c r="AE813" s="86">
        <f>+AC813*Analisis!$J$7</f>
        <v>0</v>
      </c>
      <c r="AF813" s="308">
        <f>+H813*0.0254*I813*0.0254*2*(1+[4]Analisis!$G$2)</f>
        <v>0.87502435317360006</v>
      </c>
      <c r="AG813" s="86">
        <f>+AF813*Analisis!$J$8</f>
        <v>93.231761439330029</v>
      </c>
      <c r="AH813" s="309">
        <f t="shared" si="112"/>
        <v>321.26805457534851</v>
      </c>
      <c r="AI813" s="86">
        <f>+AH813/(1-Analisis!G818)</f>
        <v>321.26805457534851</v>
      </c>
      <c r="AJ813" s="86">
        <f t="shared" si="121"/>
        <v>345.44952104876188</v>
      </c>
      <c r="AK813" s="86">
        <f t="shared" si="113"/>
        <v>0</v>
      </c>
      <c r="AL813" s="310" t="e">
        <f>+VLOOKUP(B813,[4]ref!A:B,2,FALSE)</f>
        <v>#N/A</v>
      </c>
      <c r="AM813" s="311" t="e">
        <f t="shared" si="124"/>
        <v>#N/A</v>
      </c>
      <c r="AN813" s="312" t="e">
        <f t="shared" si="110"/>
        <v>#N/A</v>
      </c>
    </row>
    <row r="814" spans="1:40" s="73" customFormat="1" x14ac:dyDescent="0.25">
      <c r="A814" s="313"/>
      <c r="B814" s="314" t="s">
        <v>1518</v>
      </c>
      <c r="D814" s="74">
        <f>IFERROR(VLOOKUP(B814,'REQ. PINTADO'!B:C,2,0),0)</f>
        <v>0</v>
      </c>
      <c r="E814" s="305">
        <f t="shared" si="114"/>
        <v>373.65301906227262</v>
      </c>
      <c r="F814" s="397" t="s">
        <v>166</v>
      </c>
      <c r="G814" s="75" t="s">
        <v>147</v>
      </c>
      <c r="H814" s="90">
        <v>18.09</v>
      </c>
      <c r="I814" s="90">
        <v>31.22</v>
      </c>
      <c r="J814" s="76">
        <v>0.105</v>
      </c>
      <c r="K814" s="306">
        <v>16.38</v>
      </c>
      <c r="L814" s="78">
        <f t="shared" si="115"/>
        <v>17.192357384598232</v>
      </c>
      <c r="M814" s="58">
        <f>+VLOOKUP(F814,Material!$H$2:$M$17,6,FALSE)*H814*I814*(1+Material!$K$14)</f>
        <v>128.0049154362359</v>
      </c>
      <c r="N814" s="79" t="str">
        <f t="shared" si="123"/>
        <v>T5.0</v>
      </c>
      <c r="O814" s="80">
        <f>+VLOOKUP(N814,[4]Material!$A$3:$B$58,2,FALSE)</f>
        <v>5000</v>
      </c>
      <c r="P814" s="79" t="s">
        <v>42</v>
      </c>
      <c r="Q814" s="79" t="str">
        <f>+VLOOKUP(F814,[4]Material!$H$2:$J$12,2,FALSE)</f>
        <v>Cal 16</v>
      </c>
      <c r="R814" s="81">
        <f>+IF(P814="ACERO A36",VLOOKUP(Q814,'[4]Velocidades Std 1500 w'!$B$2:$F$15,5,FALSE),IF(P814="INOXIDABLE",VLOOKUP(Q814,'[4]Velocidades Std 1500 w'!$B$17:$F$28,5,FALSE),IF(P814="ALUMINIO",VLOOKUP(Q814,'[4]Velocidades Std 1500 w'!$B$30:$F$38,5,FALSE))))</f>
        <v>9.1575091575091579E-7</v>
      </c>
      <c r="S814" s="82">
        <f t="shared" si="116"/>
        <v>4.578754578754579E-3</v>
      </c>
      <c r="T814" s="83">
        <f t="shared" si="117"/>
        <v>9.3303969230769237</v>
      </c>
      <c r="U814" s="307">
        <f t="shared" si="125"/>
        <v>2830.2204000000002</v>
      </c>
      <c r="V814" s="80">
        <f t="shared" si="122"/>
        <v>12.958884615384617</v>
      </c>
      <c r="W814" s="98">
        <v>5</v>
      </c>
      <c r="X814" s="84">
        <f>+IF(P814="ACERO A36",VLOOKUP(Q814,'[4]Tiempo Objeto'!$B$2:$C$12,2,FALSE),IF(P814="INOXIDABLE",VLOOKUP(Q814,'[4]Tiempo Objeto'!$B$14:$C$22,2,FALSE),IF(P814="ALUMINIO",VLOOKUP(Q814,'[4]Tiempo Objeto'!$B$24:$C$32,2,FALSE))))</f>
        <v>0.24666666666666667</v>
      </c>
      <c r="Y814" s="84">
        <f t="shared" si="118"/>
        <v>1.2333333333333334</v>
      </c>
      <c r="Z814" s="80">
        <f t="shared" si="119"/>
        <v>1.712962962962963</v>
      </c>
      <c r="AA814" s="100">
        <v>4</v>
      </c>
      <c r="AB814" s="86">
        <f>+AA814*Analisis!$J$6</f>
        <v>100</v>
      </c>
      <c r="AC814" s="100"/>
      <c r="AD814" s="85">
        <f t="shared" si="120"/>
        <v>0</v>
      </c>
      <c r="AE814" s="86">
        <f>+AC814*Analisis!$J$7</f>
        <v>0</v>
      </c>
      <c r="AF814" s="308">
        <f>+H814*0.0254*I814*0.0254*2*(1+[4]Analisis!$G$2)</f>
        <v>0.98379058725359991</v>
      </c>
      <c r="AG814" s="86">
        <f>+AF814*Analisis!$J$8</f>
        <v>104.82054471333002</v>
      </c>
      <c r="AH814" s="309">
        <f t="shared" si="112"/>
        <v>347.49730772791349</v>
      </c>
      <c r="AI814" s="86">
        <f>+AH814/(1-Analisis!G819)</f>
        <v>347.49730772791349</v>
      </c>
      <c r="AJ814" s="86">
        <f t="shared" si="121"/>
        <v>373.65301906227262</v>
      </c>
      <c r="AK814" s="86">
        <f t="shared" si="113"/>
        <v>0</v>
      </c>
      <c r="AL814" s="310" t="e">
        <f>+VLOOKUP(B814,[4]ref!A:B,2,FALSE)</f>
        <v>#N/A</v>
      </c>
      <c r="AM814" s="311" t="e">
        <f t="shared" si="124"/>
        <v>#N/A</v>
      </c>
      <c r="AN814" s="312" t="e">
        <f t="shared" si="110"/>
        <v>#N/A</v>
      </c>
    </row>
    <row r="815" spans="1:40" s="73" customFormat="1" x14ac:dyDescent="0.25">
      <c r="A815" s="313"/>
      <c r="B815" s="314" t="s">
        <v>1519</v>
      </c>
      <c r="D815" s="74">
        <f>IFERROR(VLOOKUP(B815,'REQ. PINTADO'!B:C,2,0),0)</f>
        <v>0</v>
      </c>
      <c r="E815" s="305">
        <f t="shared" si="114"/>
        <v>444.16176409604947</v>
      </c>
      <c r="F815" s="397" t="s">
        <v>166</v>
      </c>
      <c r="G815" s="75" t="s">
        <v>147</v>
      </c>
      <c r="H815" s="90">
        <v>23.09</v>
      </c>
      <c r="I815" s="90">
        <v>31.22</v>
      </c>
      <c r="J815" s="76">
        <v>0.105</v>
      </c>
      <c r="K815" s="306">
        <v>16.38</v>
      </c>
      <c r="L815" s="78">
        <f t="shared" si="115"/>
        <v>21.944252736891826</v>
      </c>
      <c r="M815" s="58">
        <f>+VLOOKUP(F815,Material!$H$2:$M$17,6,FALSE)*H815*I815*(1+Material!$K$14)</f>
        <v>163.38493628649456</v>
      </c>
      <c r="N815" s="79" t="str">
        <f t="shared" si="123"/>
        <v>T5.0</v>
      </c>
      <c r="O815" s="80">
        <f>+VLOOKUP(N815,[4]Material!$A$3:$B$58,2,FALSE)</f>
        <v>5000</v>
      </c>
      <c r="P815" s="79" t="s">
        <v>42</v>
      </c>
      <c r="Q815" s="79" t="str">
        <f>+VLOOKUP(F815,[4]Material!$H$2:$J$12,2,FALSE)</f>
        <v>Cal 16</v>
      </c>
      <c r="R815" s="81">
        <f>+IF(P815="ACERO A36",VLOOKUP(Q815,'[4]Velocidades Std 1500 w'!$B$2:$F$15,5,FALSE),IF(P815="INOXIDABLE",VLOOKUP(Q815,'[4]Velocidades Std 1500 w'!$B$17:$F$28,5,FALSE),IF(P815="ALUMINIO",VLOOKUP(Q815,'[4]Velocidades Std 1500 w'!$B$30:$F$38,5,FALSE))))</f>
        <v>9.1575091575091579E-7</v>
      </c>
      <c r="S815" s="82">
        <f t="shared" si="116"/>
        <v>4.578754578754579E-3</v>
      </c>
      <c r="T815" s="83">
        <f t="shared" si="117"/>
        <v>10.209627692307691</v>
      </c>
      <c r="U815" s="307">
        <f t="shared" si="125"/>
        <v>3096.9204</v>
      </c>
      <c r="V815" s="80">
        <f t="shared" si="122"/>
        <v>14.180038461538462</v>
      </c>
      <c r="W815" s="98">
        <v>5</v>
      </c>
      <c r="X815" s="84">
        <f>+IF(P815="ACERO A36",VLOOKUP(Q815,'[4]Tiempo Objeto'!$B$2:$C$12,2,FALSE),IF(P815="INOXIDABLE",VLOOKUP(Q815,'[4]Tiempo Objeto'!$B$14:$C$22,2,FALSE),IF(P815="ALUMINIO",VLOOKUP(Q815,'[4]Tiempo Objeto'!$B$24:$C$32,2,FALSE))))</f>
        <v>0.24666666666666667</v>
      </c>
      <c r="Y815" s="84">
        <f t="shared" si="118"/>
        <v>1.2333333333333334</v>
      </c>
      <c r="Z815" s="80">
        <f t="shared" si="119"/>
        <v>1.712962962962963</v>
      </c>
      <c r="AA815" s="100">
        <v>4</v>
      </c>
      <c r="AB815" s="86">
        <f>+AA815*Analisis!$J$6</f>
        <v>100</v>
      </c>
      <c r="AC815" s="100"/>
      <c r="AD815" s="85">
        <f t="shared" si="120"/>
        <v>0</v>
      </c>
      <c r="AE815" s="86">
        <f>+AC815*Analisis!$J$7</f>
        <v>0</v>
      </c>
      <c r="AF815" s="308">
        <f>+H815*0.0254*I815*0.0254*2*(1+[4]Analisis!$G$2)</f>
        <v>1.2557061724536001</v>
      </c>
      <c r="AG815" s="86">
        <f>+AF815*Analisis!$J$8</f>
        <v>133.79250289833004</v>
      </c>
      <c r="AH815" s="309">
        <f t="shared" si="112"/>
        <v>413.070440609326</v>
      </c>
      <c r="AI815" s="86">
        <f>+AH815/(1-Analisis!G820)</f>
        <v>413.070440609326</v>
      </c>
      <c r="AJ815" s="86">
        <f t="shared" si="121"/>
        <v>444.16176409604947</v>
      </c>
      <c r="AK815" s="86">
        <f t="shared" si="113"/>
        <v>0</v>
      </c>
      <c r="AL815" s="310" t="e">
        <f>+VLOOKUP(B815,[4]ref!A:B,2,FALSE)</f>
        <v>#N/A</v>
      </c>
      <c r="AM815" s="311" t="e">
        <f t="shared" si="124"/>
        <v>#N/A</v>
      </c>
      <c r="AN815" s="312" t="e">
        <f t="shared" si="110"/>
        <v>#N/A</v>
      </c>
    </row>
    <row r="816" spans="1:40" s="73" customFormat="1" x14ac:dyDescent="0.25">
      <c r="A816" s="313"/>
      <c r="B816" s="314" t="s">
        <v>1520</v>
      </c>
      <c r="D816" s="74">
        <f>IFERROR(VLOOKUP(B816,'REQ. PINTADO'!B:C,2,0),0)</f>
        <v>0</v>
      </c>
      <c r="E816" s="305">
        <f t="shared" si="114"/>
        <v>458.26351310280484</v>
      </c>
      <c r="F816" s="397" t="s">
        <v>166</v>
      </c>
      <c r="G816" s="75" t="s">
        <v>147</v>
      </c>
      <c r="H816" s="90">
        <v>24.09</v>
      </c>
      <c r="I816" s="90">
        <v>31.22</v>
      </c>
      <c r="J816" s="76">
        <v>0.105</v>
      </c>
      <c r="K816" s="306">
        <v>16.38</v>
      </c>
      <c r="L816" s="78">
        <f t="shared" si="115"/>
        <v>22.894631807350546</v>
      </c>
      <c r="M816" s="58">
        <f>+VLOOKUP(F816,Material!$H$2:$M$17,6,FALSE)*H816*I816*(1+Material!$K$14)</f>
        <v>170.4609404565463</v>
      </c>
      <c r="N816" s="79" t="str">
        <f t="shared" si="123"/>
        <v>T5.0</v>
      </c>
      <c r="O816" s="80">
        <f>+VLOOKUP(N816,[4]Material!$A$3:$B$58,2,FALSE)</f>
        <v>5000</v>
      </c>
      <c r="P816" s="79" t="s">
        <v>42</v>
      </c>
      <c r="Q816" s="79" t="str">
        <f>+VLOOKUP(F816,[4]Material!$H$2:$J$12,2,FALSE)</f>
        <v>Cal 16</v>
      </c>
      <c r="R816" s="81">
        <f>+IF(P816="ACERO A36",VLOOKUP(Q816,'[4]Velocidades Std 1500 w'!$B$2:$F$15,5,FALSE),IF(P816="INOXIDABLE",VLOOKUP(Q816,'[4]Velocidades Std 1500 w'!$B$17:$F$28,5,FALSE),IF(P816="ALUMINIO",VLOOKUP(Q816,'[4]Velocidades Std 1500 w'!$B$30:$F$38,5,FALSE))))</f>
        <v>9.1575091575091579E-7</v>
      </c>
      <c r="S816" s="82">
        <f t="shared" si="116"/>
        <v>4.578754578754579E-3</v>
      </c>
      <c r="T816" s="83">
        <f t="shared" si="117"/>
        <v>10.385473846153847</v>
      </c>
      <c r="U816" s="307">
        <f t="shared" si="125"/>
        <v>3150.2604000000001</v>
      </c>
      <c r="V816" s="80">
        <f t="shared" si="122"/>
        <v>14.424269230769232</v>
      </c>
      <c r="W816" s="98">
        <v>5</v>
      </c>
      <c r="X816" s="84">
        <f>+IF(P816="ACERO A36",VLOOKUP(Q816,'[4]Tiempo Objeto'!$B$2:$C$12,2,FALSE),IF(P816="INOXIDABLE",VLOOKUP(Q816,'[4]Tiempo Objeto'!$B$14:$C$22,2,FALSE),IF(P816="ALUMINIO",VLOOKUP(Q816,'[4]Tiempo Objeto'!$B$24:$C$32,2,FALSE))))</f>
        <v>0.24666666666666667</v>
      </c>
      <c r="Y816" s="84">
        <f t="shared" si="118"/>
        <v>1.2333333333333334</v>
      </c>
      <c r="Z816" s="80">
        <f t="shared" si="119"/>
        <v>1.712962962962963</v>
      </c>
      <c r="AA816" s="100">
        <v>4</v>
      </c>
      <c r="AB816" s="86">
        <f>+AA816*Analisis!$J$6</f>
        <v>100</v>
      </c>
      <c r="AC816" s="100"/>
      <c r="AD816" s="85">
        <f t="shared" si="120"/>
        <v>0</v>
      </c>
      <c r="AE816" s="86">
        <f>+AC816*Analisis!$J$7</f>
        <v>0</v>
      </c>
      <c r="AF816" s="308">
        <f>+H816*0.0254*I816*0.0254*2*(1+[4]Analisis!$G$2)</f>
        <v>1.3100892894935998</v>
      </c>
      <c r="AG816" s="86">
        <f>+AF816*Analisis!$J$8</f>
        <v>139.58689453533003</v>
      </c>
      <c r="AH816" s="309">
        <f t="shared" si="112"/>
        <v>426.18506718560849</v>
      </c>
      <c r="AI816" s="86">
        <f>+AH816/(1-Analisis!G821)</f>
        <v>426.18506718560849</v>
      </c>
      <c r="AJ816" s="86">
        <f t="shared" si="121"/>
        <v>458.26351310280484</v>
      </c>
      <c r="AK816" s="86">
        <f t="shared" si="113"/>
        <v>0</v>
      </c>
      <c r="AL816" s="310" t="e">
        <f>+VLOOKUP(B816,[4]ref!A:B,2,FALSE)</f>
        <v>#N/A</v>
      </c>
      <c r="AM816" s="311" t="e">
        <f t="shared" si="124"/>
        <v>#N/A</v>
      </c>
      <c r="AN816" s="312" t="e">
        <f t="shared" si="110"/>
        <v>#N/A</v>
      </c>
    </row>
    <row r="817" spans="1:40" s="73" customFormat="1" x14ac:dyDescent="0.25">
      <c r="A817" s="313"/>
      <c r="B817" s="314" t="s">
        <v>1521</v>
      </c>
      <c r="D817" s="74">
        <f>IFERROR(VLOOKUP(B817,'REQ. PINTADO'!B:C,2,0),0)</f>
        <v>0</v>
      </c>
      <c r="E817" s="305">
        <f t="shared" si="114"/>
        <v>542.87400714333717</v>
      </c>
      <c r="F817" s="397" t="s">
        <v>166</v>
      </c>
      <c r="G817" s="75" t="s">
        <v>147</v>
      </c>
      <c r="H817" s="90">
        <v>30.09</v>
      </c>
      <c r="I817" s="90">
        <v>31.22</v>
      </c>
      <c r="J817" s="76">
        <v>0.105</v>
      </c>
      <c r="K817" s="306">
        <v>16.38</v>
      </c>
      <c r="L817" s="78">
        <f t="shared" si="115"/>
        <v>28.59690623010286</v>
      </c>
      <c r="M817" s="58">
        <f>+VLOOKUP(F817,Material!$H$2:$M$17,6,FALSE)*H817*I817*(1+Material!$K$14)</f>
        <v>212.91696547685672</v>
      </c>
      <c r="N817" s="79" t="str">
        <f t="shared" si="123"/>
        <v>T5.0</v>
      </c>
      <c r="O817" s="80">
        <f>+VLOOKUP(N817,[4]Material!$A$3:$B$58,2,FALSE)</f>
        <v>5000</v>
      </c>
      <c r="P817" s="79" t="s">
        <v>42</v>
      </c>
      <c r="Q817" s="79" t="str">
        <f>+VLOOKUP(F817,[4]Material!$H$2:$J$12,2,FALSE)</f>
        <v>Cal 16</v>
      </c>
      <c r="R817" s="81">
        <f>+IF(P817="ACERO A36",VLOOKUP(Q817,'[4]Velocidades Std 1500 w'!$B$2:$F$15,5,FALSE),IF(P817="INOXIDABLE",VLOOKUP(Q817,'[4]Velocidades Std 1500 w'!$B$17:$F$28,5,FALSE),IF(P817="ALUMINIO",VLOOKUP(Q817,'[4]Velocidades Std 1500 w'!$B$30:$F$38,5,FALSE))))</f>
        <v>9.1575091575091579E-7</v>
      </c>
      <c r="S817" s="82">
        <f t="shared" si="116"/>
        <v>4.578754578754579E-3</v>
      </c>
      <c r="T817" s="83">
        <f t="shared" si="117"/>
        <v>11.44055076923077</v>
      </c>
      <c r="U817" s="307">
        <f t="shared" si="125"/>
        <v>3470.3004000000001</v>
      </c>
      <c r="V817" s="80">
        <f t="shared" si="122"/>
        <v>15.889653846153847</v>
      </c>
      <c r="W817" s="98">
        <v>5</v>
      </c>
      <c r="X817" s="84">
        <f>+IF(P817="ACERO A36",VLOOKUP(Q817,'[4]Tiempo Objeto'!$B$2:$C$12,2,FALSE),IF(P817="INOXIDABLE",VLOOKUP(Q817,'[4]Tiempo Objeto'!$B$14:$C$22,2,FALSE),IF(P817="ALUMINIO",VLOOKUP(Q817,'[4]Tiempo Objeto'!$B$24:$C$32,2,FALSE))))</f>
        <v>0.24666666666666667</v>
      </c>
      <c r="Y817" s="84">
        <f t="shared" si="118"/>
        <v>1.2333333333333334</v>
      </c>
      <c r="Z817" s="80">
        <f t="shared" si="119"/>
        <v>1.712962962962963</v>
      </c>
      <c r="AA817" s="100">
        <v>4</v>
      </c>
      <c r="AB817" s="86">
        <f>+AA817*Analisis!$J$6</f>
        <v>100</v>
      </c>
      <c r="AC817" s="100"/>
      <c r="AD817" s="85">
        <f t="shared" si="120"/>
        <v>0</v>
      </c>
      <c r="AE817" s="86">
        <f>+AC817*Analisis!$J$7</f>
        <v>0</v>
      </c>
      <c r="AF817" s="308">
        <f>+H817*0.0254*I817*0.0254*2*(1+[4]Analisis!$G$2)</f>
        <v>1.6363879917335997</v>
      </c>
      <c r="AG817" s="86">
        <f>+AF817*Analisis!$J$8</f>
        <v>174.35324435733003</v>
      </c>
      <c r="AH817" s="309">
        <f t="shared" si="112"/>
        <v>504.87282664330354</v>
      </c>
      <c r="AI817" s="86">
        <f>+AH817/(1-Analisis!G822)</f>
        <v>504.87282664330354</v>
      </c>
      <c r="AJ817" s="86">
        <f t="shared" si="121"/>
        <v>542.87400714333717</v>
      </c>
      <c r="AK817" s="86">
        <f t="shared" si="113"/>
        <v>0</v>
      </c>
      <c r="AL817" s="310" t="e">
        <f>+VLOOKUP(B817,[4]ref!A:B,2,FALSE)</f>
        <v>#N/A</v>
      </c>
      <c r="AM817" s="311" t="e">
        <f t="shared" si="124"/>
        <v>#N/A</v>
      </c>
      <c r="AN817" s="312" t="e">
        <f t="shared" si="110"/>
        <v>#N/A</v>
      </c>
    </row>
    <row r="818" spans="1:40" s="73" customFormat="1" x14ac:dyDescent="0.25">
      <c r="A818" s="313"/>
      <c r="B818" s="314" t="s">
        <v>1522</v>
      </c>
      <c r="D818" s="74">
        <f>IFERROR(VLOOKUP(B818,'REQ. PINTADO'!B:C,2,0),0)</f>
        <v>0</v>
      </c>
      <c r="E818" s="305">
        <f t="shared" si="114"/>
        <v>585.17925416360333</v>
      </c>
      <c r="F818" s="397" t="s">
        <v>166</v>
      </c>
      <c r="G818" s="75" t="s">
        <v>147</v>
      </c>
      <c r="H818" s="90">
        <v>33.090000000000003</v>
      </c>
      <c r="I818" s="90">
        <v>31.22</v>
      </c>
      <c r="J818" s="76">
        <v>0.105</v>
      </c>
      <c r="K818" s="306">
        <v>16.38</v>
      </c>
      <c r="L818" s="78">
        <f t="shared" si="115"/>
        <v>31.448043441479022</v>
      </c>
      <c r="M818" s="58">
        <f>+VLOOKUP(F818,Material!$H$2:$M$17,6,FALSE)*H818*I818*(1+Material!$K$14)</f>
        <v>234.14497798701197</v>
      </c>
      <c r="N818" s="79" t="str">
        <f t="shared" si="123"/>
        <v>T5.0</v>
      </c>
      <c r="O818" s="80">
        <f>+VLOOKUP(N818,[4]Material!$A$3:$B$58,2,FALSE)</f>
        <v>5000</v>
      </c>
      <c r="P818" s="79" t="s">
        <v>42</v>
      </c>
      <c r="Q818" s="79" t="str">
        <f>+VLOOKUP(F818,[4]Material!$H$2:$J$12,2,FALSE)</f>
        <v>Cal 16</v>
      </c>
      <c r="R818" s="81">
        <f>+IF(P818="ACERO A36",VLOOKUP(Q818,'[4]Velocidades Std 1500 w'!$B$2:$F$15,5,FALSE),IF(P818="INOXIDABLE",VLOOKUP(Q818,'[4]Velocidades Std 1500 w'!$B$17:$F$28,5,FALSE),IF(P818="ALUMINIO",VLOOKUP(Q818,'[4]Velocidades Std 1500 w'!$B$30:$F$38,5,FALSE))))</f>
        <v>9.1575091575091579E-7</v>
      </c>
      <c r="S818" s="82">
        <f t="shared" si="116"/>
        <v>4.578754578754579E-3</v>
      </c>
      <c r="T818" s="83">
        <f t="shared" si="117"/>
        <v>11.968089230769232</v>
      </c>
      <c r="U818" s="307">
        <f t="shared" si="125"/>
        <v>3630.3204000000001</v>
      </c>
      <c r="V818" s="80">
        <f t="shared" si="122"/>
        <v>16.622346153846156</v>
      </c>
      <c r="W818" s="98">
        <v>5</v>
      </c>
      <c r="X818" s="84">
        <f>+IF(P818="ACERO A36",VLOOKUP(Q818,'[4]Tiempo Objeto'!$B$2:$C$12,2,FALSE),IF(P818="INOXIDABLE",VLOOKUP(Q818,'[4]Tiempo Objeto'!$B$14:$C$22,2,FALSE),IF(P818="ALUMINIO",VLOOKUP(Q818,'[4]Tiempo Objeto'!$B$24:$C$32,2,FALSE))))</f>
        <v>0.24666666666666667</v>
      </c>
      <c r="Y818" s="84">
        <f t="shared" si="118"/>
        <v>1.2333333333333334</v>
      </c>
      <c r="Z818" s="80">
        <f t="shared" si="119"/>
        <v>1.712962962962963</v>
      </c>
      <c r="AA818" s="100">
        <v>4</v>
      </c>
      <c r="AB818" s="86">
        <f>+AA818*Analisis!$J$6</f>
        <v>100</v>
      </c>
      <c r="AC818" s="100"/>
      <c r="AD818" s="85">
        <f t="shared" si="120"/>
        <v>0</v>
      </c>
      <c r="AE818" s="86">
        <f>+AC818*Analisis!$J$7</f>
        <v>0</v>
      </c>
      <c r="AF818" s="308">
        <f>+H818*0.0254*I818*0.0254*2*(1+[4]Analisis!$G$2)</f>
        <v>1.7995373428535999</v>
      </c>
      <c r="AG818" s="86">
        <f>+AF818*Analisis!$J$8</f>
        <v>191.73641926833005</v>
      </c>
      <c r="AH818" s="309">
        <f t="shared" si="112"/>
        <v>544.21670637215107</v>
      </c>
      <c r="AI818" s="86">
        <f>+AH818/(1-Analisis!G823)</f>
        <v>544.21670637215107</v>
      </c>
      <c r="AJ818" s="86">
        <f t="shared" si="121"/>
        <v>585.17925416360333</v>
      </c>
      <c r="AK818" s="86">
        <f t="shared" si="113"/>
        <v>0</v>
      </c>
      <c r="AL818" s="310" t="e">
        <f>+VLOOKUP(B818,[4]ref!A:B,2,FALSE)</f>
        <v>#N/A</v>
      </c>
      <c r="AM818" s="311" t="e">
        <f t="shared" si="124"/>
        <v>#N/A</v>
      </c>
      <c r="AN818" s="312" t="e">
        <f t="shared" si="110"/>
        <v>#N/A</v>
      </c>
    </row>
    <row r="819" spans="1:40" s="73" customFormat="1" x14ac:dyDescent="0.25">
      <c r="A819" s="313"/>
      <c r="B819" s="314" t="s">
        <v>1523</v>
      </c>
      <c r="D819" s="74">
        <f>IFERROR(VLOOKUP(B819,'REQ. PINTADO'!B:C,2,0),0)</f>
        <v>0</v>
      </c>
      <c r="E819" s="305">
        <f t="shared" si="114"/>
        <v>627.48450118386961</v>
      </c>
      <c r="F819" s="397" t="s">
        <v>166</v>
      </c>
      <c r="G819" s="75" t="s">
        <v>147</v>
      </c>
      <c r="H819" s="90">
        <v>36.090000000000003</v>
      </c>
      <c r="I819" s="90">
        <v>31.22</v>
      </c>
      <c r="J819" s="76">
        <v>0.105</v>
      </c>
      <c r="K819" s="306">
        <v>16.38</v>
      </c>
      <c r="L819" s="78">
        <f t="shared" si="115"/>
        <v>34.299180652855178</v>
      </c>
      <c r="M819" s="58">
        <f>+VLOOKUP(F819,Material!$H$2:$M$17,6,FALSE)*H819*I819*(1+Material!$K$14)</f>
        <v>255.37299049716717</v>
      </c>
      <c r="N819" s="79" t="str">
        <f t="shared" si="123"/>
        <v>T5.0</v>
      </c>
      <c r="O819" s="80">
        <f>+VLOOKUP(N819,[4]Material!$A$3:$B$58,2,FALSE)</f>
        <v>5000</v>
      </c>
      <c r="P819" s="79" t="s">
        <v>42</v>
      </c>
      <c r="Q819" s="79" t="str">
        <f>+VLOOKUP(F819,[4]Material!$H$2:$J$12,2,FALSE)</f>
        <v>Cal 16</v>
      </c>
      <c r="R819" s="81">
        <f>+IF(P819="ACERO A36",VLOOKUP(Q819,'[4]Velocidades Std 1500 w'!$B$2:$F$15,5,FALSE),IF(P819="INOXIDABLE",VLOOKUP(Q819,'[4]Velocidades Std 1500 w'!$B$17:$F$28,5,FALSE),IF(P819="ALUMINIO",VLOOKUP(Q819,'[4]Velocidades Std 1500 w'!$B$30:$F$38,5,FALSE))))</f>
        <v>9.1575091575091579E-7</v>
      </c>
      <c r="S819" s="82">
        <f t="shared" si="116"/>
        <v>4.578754578754579E-3</v>
      </c>
      <c r="T819" s="83">
        <f t="shared" si="117"/>
        <v>12.495627692307693</v>
      </c>
      <c r="U819" s="307">
        <f t="shared" si="125"/>
        <v>3790.3404</v>
      </c>
      <c r="V819" s="80">
        <f t="shared" si="122"/>
        <v>17.355038461538463</v>
      </c>
      <c r="W819" s="98">
        <v>5</v>
      </c>
      <c r="X819" s="84">
        <f>+IF(P819="ACERO A36",VLOOKUP(Q819,'[4]Tiempo Objeto'!$B$2:$C$12,2,FALSE),IF(P819="INOXIDABLE",VLOOKUP(Q819,'[4]Tiempo Objeto'!$B$14:$C$22,2,FALSE),IF(P819="ALUMINIO",VLOOKUP(Q819,'[4]Tiempo Objeto'!$B$24:$C$32,2,FALSE))))</f>
        <v>0.24666666666666667</v>
      </c>
      <c r="Y819" s="84">
        <f t="shared" si="118"/>
        <v>1.2333333333333334</v>
      </c>
      <c r="Z819" s="80">
        <f t="shared" si="119"/>
        <v>1.712962962962963</v>
      </c>
      <c r="AA819" s="100">
        <v>4</v>
      </c>
      <c r="AB819" s="86">
        <f>+AA819*Analisis!$J$6</f>
        <v>100</v>
      </c>
      <c r="AC819" s="100"/>
      <c r="AD819" s="85">
        <f t="shared" si="120"/>
        <v>0</v>
      </c>
      <c r="AE819" s="86">
        <f>+AC819*Analisis!$J$7</f>
        <v>0</v>
      </c>
      <c r="AF819" s="308">
        <f>+H819*0.0254*I819*0.0254*2*(1+[4]Analisis!$G$2)</f>
        <v>1.9626866939736001</v>
      </c>
      <c r="AG819" s="86">
        <f>+AF819*Analisis!$J$8</f>
        <v>209.11959417933008</v>
      </c>
      <c r="AH819" s="309">
        <f t="shared" ref="AH819:AH1073" si="126">+AE819+AB819+Z819+V819+M819+AG819</f>
        <v>583.56058610099865</v>
      </c>
      <c r="AI819" s="86">
        <f>+AH819/(1-Analisis!G824)</f>
        <v>583.56058610099865</v>
      </c>
      <c r="AJ819" s="86">
        <f t="shared" si="121"/>
        <v>627.48450118386961</v>
      </c>
      <c r="AK819" s="86">
        <f t="shared" ref="AK819:AK1073" si="127">+AJ819*D819</f>
        <v>0</v>
      </c>
      <c r="AL819" s="310" t="e">
        <f>+VLOOKUP(B819,[4]ref!A:B,2,FALSE)</f>
        <v>#N/A</v>
      </c>
      <c r="AM819" s="311" t="e">
        <f t="shared" si="124"/>
        <v>#N/A</v>
      </c>
      <c r="AN819" s="312" t="e">
        <f t="shared" si="110"/>
        <v>#N/A</v>
      </c>
    </row>
    <row r="820" spans="1:40" s="73" customFormat="1" x14ac:dyDescent="0.25">
      <c r="A820" s="313"/>
      <c r="B820" s="314" t="s">
        <v>1524</v>
      </c>
      <c r="D820" s="74">
        <f>IFERROR(VLOOKUP(B820,'REQ. PINTADO'!B:C,2,0),0)</f>
        <v>0</v>
      </c>
      <c r="E820" s="305">
        <f t="shared" si="114"/>
        <v>655.68799919738024</v>
      </c>
      <c r="F820" s="397" t="s">
        <v>166</v>
      </c>
      <c r="G820" s="75" t="s">
        <v>147</v>
      </c>
      <c r="H820" s="90">
        <v>38.090000000000003</v>
      </c>
      <c r="I820" s="90">
        <v>31.22</v>
      </c>
      <c r="J820" s="76">
        <v>0.105</v>
      </c>
      <c r="K820" s="306">
        <v>16.38</v>
      </c>
      <c r="L820" s="78">
        <f t="shared" si="115"/>
        <v>36.199938793772624</v>
      </c>
      <c r="M820" s="58">
        <f>+VLOOKUP(F820,Material!$H$2:$M$17,6,FALSE)*H820*I820*(1+Material!$K$14)</f>
        <v>269.52499883727063</v>
      </c>
      <c r="N820" s="79" t="str">
        <f t="shared" si="123"/>
        <v>T5.0</v>
      </c>
      <c r="O820" s="80">
        <f>+VLOOKUP(N820,[4]Material!$A$3:$B$58,2,FALSE)</f>
        <v>5000</v>
      </c>
      <c r="P820" s="79" t="s">
        <v>42</v>
      </c>
      <c r="Q820" s="79" t="str">
        <f>+VLOOKUP(F820,[4]Material!$H$2:$J$12,2,FALSE)</f>
        <v>Cal 16</v>
      </c>
      <c r="R820" s="81">
        <f>+IF(P820="ACERO A36",VLOOKUP(Q820,'[4]Velocidades Std 1500 w'!$B$2:$F$15,5,FALSE),IF(P820="INOXIDABLE",VLOOKUP(Q820,'[4]Velocidades Std 1500 w'!$B$17:$F$28,5,FALSE),IF(P820="ALUMINIO",VLOOKUP(Q820,'[4]Velocidades Std 1500 w'!$B$30:$F$38,5,FALSE))))</f>
        <v>9.1575091575091579E-7</v>
      </c>
      <c r="S820" s="82">
        <f t="shared" si="116"/>
        <v>4.578754578754579E-3</v>
      </c>
      <c r="T820" s="83">
        <f t="shared" si="117"/>
        <v>12.84732</v>
      </c>
      <c r="U820" s="307">
        <f t="shared" si="125"/>
        <v>3897.0203999999999</v>
      </c>
      <c r="V820" s="80">
        <f t="shared" si="122"/>
        <v>17.843499999999999</v>
      </c>
      <c r="W820" s="98">
        <v>5</v>
      </c>
      <c r="X820" s="84">
        <f>+IF(P820="ACERO A36",VLOOKUP(Q820,'[4]Tiempo Objeto'!$B$2:$C$12,2,FALSE),IF(P820="INOXIDABLE",VLOOKUP(Q820,'[4]Tiempo Objeto'!$B$14:$C$22,2,FALSE),IF(P820="ALUMINIO",VLOOKUP(Q820,'[4]Tiempo Objeto'!$B$24:$C$32,2,FALSE))))</f>
        <v>0.24666666666666667</v>
      </c>
      <c r="Y820" s="84">
        <f t="shared" si="118"/>
        <v>1.2333333333333334</v>
      </c>
      <c r="Z820" s="80">
        <f t="shared" si="119"/>
        <v>1.712962962962963</v>
      </c>
      <c r="AA820" s="100">
        <v>4</v>
      </c>
      <c r="AB820" s="86">
        <f>+AA820*Analisis!$J$6</f>
        <v>100</v>
      </c>
      <c r="AC820" s="100"/>
      <c r="AD820" s="85">
        <f t="shared" si="120"/>
        <v>0</v>
      </c>
      <c r="AE820" s="86">
        <f>+AC820*Analisis!$J$7</f>
        <v>0</v>
      </c>
      <c r="AF820" s="308">
        <f>+H820*0.0254*I820*0.0254*2*(1+[4]Analisis!$G$2)</f>
        <v>2.0714529280536</v>
      </c>
      <c r="AG820" s="86">
        <f>+AF820*Analisis!$J$8</f>
        <v>220.70837745333006</v>
      </c>
      <c r="AH820" s="309">
        <f t="shared" si="126"/>
        <v>609.78983925356363</v>
      </c>
      <c r="AI820" s="86">
        <f>+AH820/(1-Analisis!G825)</f>
        <v>609.78983925356363</v>
      </c>
      <c r="AJ820" s="86">
        <f t="shared" si="121"/>
        <v>655.68799919738024</v>
      </c>
      <c r="AK820" s="86">
        <f t="shared" si="127"/>
        <v>0</v>
      </c>
      <c r="AL820" s="310" t="e">
        <f>+VLOOKUP(B820,[4]ref!A:B,2,FALSE)</f>
        <v>#N/A</v>
      </c>
      <c r="AM820" s="311" t="e">
        <f t="shared" si="124"/>
        <v>#N/A</v>
      </c>
      <c r="AN820" s="312" t="e">
        <f t="shared" si="110"/>
        <v>#N/A</v>
      </c>
    </row>
    <row r="821" spans="1:40" s="73" customFormat="1" x14ac:dyDescent="0.25">
      <c r="A821" s="313"/>
      <c r="B821" s="314" t="s">
        <v>1525</v>
      </c>
      <c r="D821" s="74">
        <f>IFERROR(VLOOKUP(B821,'REQ. PINTADO'!B:C,2,0),0)</f>
        <v>0</v>
      </c>
      <c r="E821" s="305">
        <f t="shared" si="114"/>
        <v>456.37384228145339</v>
      </c>
      <c r="F821" s="397" t="s">
        <v>166</v>
      </c>
      <c r="G821" s="75" t="s">
        <v>147</v>
      </c>
      <c r="H821" s="90">
        <v>46.22</v>
      </c>
      <c r="I821" s="90">
        <v>16.09</v>
      </c>
      <c r="J821" s="76">
        <v>0.105</v>
      </c>
      <c r="K821" s="306">
        <v>16.38</v>
      </c>
      <c r="L821" s="78">
        <f t="shared" si="115"/>
        <v>22.638620020593407</v>
      </c>
      <c r="M821" s="58">
        <f>+VLOOKUP(F821,Material!$H$2:$M$17,6,FALSE)*H821*I821*(1+Material!$K$14)</f>
        <v>168.55481633514543</v>
      </c>
      <c r="N821" s="79" t="str">
        <f t="shared" si="123"/>
        <v>T5.0</v>
      </c>
      <c r="O821" s="80">
        <f>+VLOOKUP(N821,[4]Material!$A$3:$B$58,2,FALSE)</f>
        <v>5000</v>
      </c>
      <c r="P821" s="79" t="s">
        <v>42</v>
      </c>
      <c r="Q821" s="79" t="str">
        <f>+VLOOKUP(F821,[4]Material!$H$2:$J$12,2,FALSE)</f>
        <v>Cal 16</v>
      </c>
      <c r="R821" s="81">
        <f>+IF(P821="ACERO A36",VLOOKUP(Q821,'[4]Velocidades Std 1500 w'!$B$2:$F$15,5,FALSE),IF(P821="INOXIDABLE",VLOOKUP(Q821,'[4]Velocidades Std 1500 w'!$B$17:$F$28,5,FALSE),IF(P821="ALUMINIO",VLOOKUP(Q821,'[4]Velocidades Std 1500 w'!$B$30:$F$38,5,FALSE))))</f>
        <v>9.1575091575091579E-7</v>
      </c>
      <c r="S821" s="82">
        <f t="shared" si="116"/>
        <v>4.578754578754579E-3</v>
      </c>
      <c r="T821" s="83">
        <f t="shared" si="117"/>
        <v>11.616396923076923</v>
      </c>
      <c r="U821" s="307">
        <f t="shared" si="125"/>
        <v>3523.6404000000002</v>
      </c>
      <c r="V821" s="80">
        <f t="shared" si="122"/>
        <v>16.133884615384616</v>
      </c>
      <c r="W821" s="98">
        <v>5</v>
      </c>
      <c r="X821" s="84">
        <f>+IF(P821="ACERO A36",VLOOKUP(Q821,'[4]Tiempo Objeto'!$B$2:$C$12,2,FALSE),IF(P821="INOXIDABLE",VLOOKUP(Q821,'[4]Tiempo Objeto'!$B$14:$C$22,2,FALSE),IF(P821="ALUMINIO",VLOOKUP(Q821,'[4]Tiempo Objeto'!$B$24:$C$32,2,FALSE))))</f>
        <v>0.24666666666666667</v>
      </c>
      <c r="Y821" s="84">
        <f t="shared" si="118"/>
        <v>1.2333333333333334</v>
      </c>
      <c r="Z821" s="80">
        <f t="shared" si="119"/>
        <v>1.712962962962963</v>
      </c>
      <c r="AA821" s="100">
        <v>4</v>
      </c>
      <c r="AB821" s="86">
        <f>+AA821*Analisis!$J$6</f>
        <v>100</v>
      </c>
      <c r="AC821" s="100"/>
      <c r="AD821" s="85">
        <f t="shared" si="120"/>
        <v>0</v>
      </c>
      <c r="AE821" s="86">
        <f>+AC821*Analisis!$J$7</f>
        <v>0</v>
      </c>
      <c r="AF821" s="308">
        <f>+H821*0.0254*I821*0.0254*2*(1+[4]Analisis!$G$2)</f>
        <v>1.2954396413736</v>
      </c>
      <c r="AG821" s="86">
        <f>+AF821*Analisis!$J$8</f>
        <v>138.0260094082586</v>
      </c>
      <c r="AH821" s="309">
        <f t="shared" si="126"/>
        <v>424.42767332175163</v>
      </c>
      <c r="AI821" s="86">
        <f>+AH821/(1-Analisis!G826)</f>
        <v>424.42767332175163</v>
      </c>
      <c r="AJ821" s="86">
        <f t="shared" si="121"/>
        <v>456.37384228145339</v>
      </c>
      <c r="AK821" s="86">
        <f t="shared" si="127"/>
        <v>0</v>
      </c>
      <c r="AL821" s="310" t="e">
        <f>+VLOOKUP(B821,[4]ref!A:B,2,FALSE)</f>
        <v>#N/A</v>
      </c>
      <c r="AM821" s="311" t="e">
        <f t="shared" si="124"/>
        <v>#N/A</v>
      </c>
      <c r="AN821" s="312" t="e">
        <f t="shared" si="110"/>
        <v>#N/A</v>
      </c>
    </row>
    <row r="822" spans="1:40" s="73" customFormat="1" x14ac:dyDescent="0.25">
      <c r="A822" s="313"/>
      <c r="B822" s="314" t="s">
        <v>1526</v>
      </c>
      <c r="D822" s="74">
        <f>IFERROR(VLOOKUP(B822,'REQ. PINTADO'!B:C,2,0),0)</f>
        <v>0</v>
      </c>
      <c r="E822" s="305">
        <f t="shared" si="114"/>
        <v>382.42429479299238</v>
      </c>
      <c r="F822" s="397" t="s">
        <v>166</v>
      </c>
      <c r="G822" s="75" t="s">
        <v>147</v>
      </c>
      <c r="H822" s="90">
        <v>36.22</v>
      </c>
      <c r="I822" s="90">
        <v>16.09</v>
      </c>
      <c r="J822" s="76">
        <v>0.105</v>
      </c>
      <c r="K822" s="306">
        <v>16.38</v>
      </c>
      <c r="L822" s="78">
        <f t="shared" si="115"/>
        <v>17.740606169318333</v>
      </c>
      <c r="M822" s="58">
        <f>+VLOOKUP(F822,Material!$H$2:$M$17,6,FALSE)*H822*I822*(1+Material!$K$14)</f>
        <v>132.0868768424701</v>
      </c>
      <c r="N822" s="79" t="str">
        <f t="shared" si="123"/>
        <v>T5.0</v>
      </c>
      <c r="O822" s="80">
        <f>+VLOOKUP(N822,[4]Material!$A$3:$B$58,2,FALSE)</f>
        <v>5000</v>
      </c>
      <c r="P822" s="79" t="s">
        <v>42</v>
      </c>
      <c r="Q822" s="79" t="str">
        <f>+VLOOKUP(F822,[4]Material!$H$2:$J$12,2,FALSE)</f>
        <v>Cal 16</v>
      </c>
      <c r="R822" s="81">
        <f>+IF(P822="ACERO A36",VLOOKUP(Q822,'[4]Velocidades Std 1500 w'!$B$2:$F$15,5,FALSE),IF(P822="INOXIDABLE",VLOOKUP(Q822,'[4]Velocidades Std 1500 w'!$B$17:$F$28,5,FALSE),IF(P822="ALUMINIO",VLOOKUP(Q822,'[4]Velocidades Std 1500 w'!$B$30:$F$38,5,FALSE))))</f>
        <v>9.1575091575091579E-7</v>
      </c>
      <c r="S822" s="82">
        <f t="shared" si="116"/>
        <v>4.578754578754579E-3</v>
      </c>
      <c r="T822" s="83">
        <f t="shared" si="117"/>
        <v>9.8579353846153861</v>
      </c>
      <c r="U822" s="307">
        <f t="shared" si="125"/>
        <v>2990.2404000000001</v>
      </c>
      <c r="V822" s="80">
        <f t="shared" si="122"/>
        <v>13.691576923076925</v>
      </c>
      <c r="W822" s="98">
        <v>5</v>
      </c>
      <c r="X822" s="84">
        <f>+IF(P822="ACERO A36",VLOOKUP(Q822,'[4]Tiempo Objeto'!$B$2:$C$12,2,FALSE),IF(P822="INOXIDABLE",VLOOKUP(Q822,'[4]Tiempo Objeto'!$B$14:$C$22,2,FALSE),IF(P822="ALUMINIO",VLOOKUP(Q822,'[4]Tiempo Objeto'!$B$24:$C$32,2,FALSE))))</f>
        <v>0.24666666666666667</v>
      </c>
      <c r="Y822" s="84">
        <f t="shared" si="118"/>
        <v>1.2333333333333334</v>
      </c>
      <c r="Z822" s="80">
        <f t="shared" si="119"/>
        <v>1.712962962962963</v>
      </c>
      <c r="AA822" s="100">
        <v>4</v>
      </c>
      <c r="AB822" s="86">
        <f>+AA822*Analisis!$J$6</f>
        <v>100</v>
      </c>
      <c r="AC822" s="100"/>
      <c r="AD822" s="85">
        <f t="shared" si="120"/>
        <v>0</v>
      </c>
      <c r="AE822" s="86">
        <f>+AC822*Analisis!$J$7</f>
        <v>0</v>
      </c>
      <c r="AF822" s="308">
        <f>+H822*0.0254*I822*0.0254*2*(1+[4]Analisis!$G$2)</f>
        <v>1.0151627825736</v>
      </c>
      <c r="AG822" s="86">
        <f>+AF822*Analisis!$J$8</f>
        <v>108.1631774289729</v>
      </c>
      <c r="AH822" s="309">
        <f t="shared" si="126"/>
        <v>355.6545941574829</v>
      </c>
      <c r="AI822" s="86">
        <f>+AH822/(1-Analisis!G827)</f>
        <v>355.6545941574829</v>
      </c>
      <c r="AJ822" s="86">
        <f t="shared" si="121"/>
        <v>382.42429479299238</v>
      </c>
      <c r="AK822" s="86">
        <f t="shared" si="127"/>
        <v>0</v>
      </c>
      <c r="AL822" s="310" t="e">
        <f>+VLOOKUP(B822,[4]ref!A:B,2,FALSE)</f>
        <v>#N/A</v>
      </c>
      <c r="AM822" s="311" t="e">
        <f t="shared" si="124"/>
        <v>#N/A</v>
      </c>
      <c r="AN822" s="312" t="e">
        <f t="shared" si="110"/>
        <v>#N/A</v>
      </c>
    </row>
    <row r="823" spans="1:40" s="73" customFormat="1" x14ac:dyDescent="0.25">
      <c r="A823" s="313"/>
      <c r="B823" s="314" t="s">
        <v>1527</v>
      </c>
      <c r="D823" s="74">
        <f>IFERROR(VLOOKUP(B823,'REQ. PINTADO'!B:C,2,0),0)</f>
        <v>0</v>
      </c>
      <c r="E823" s="305">
        <f t="shared" si="114"/>
        <v>197.55042607183975</v>
      </c>
      <c r="F823" s="397" t="s">
        <v>166</v>
      </c>
      <c r="G823" s="75" t="s">
        <v>147</v>
      </c>
      <c r="H823" s="90">
        <v>11.22</v>
      </c>
      <c r="I823" s="90">
        <v>16.09</v>
      </c>
      <c r="J823" s="76">
        <v>0.105</v>
      </c>
      <c r="K823" s="306">
        <v>16.38</v>
      </c>
      <c r="L823" s="78">
        <f t="shared" si="115"/>
        <v>5.4955715411306381</v>
      </c>
      <c r="M823" s="58">
        <f>+VLOOKUP(F823,Material!$H$2:$M$17,6,FALSE)*H823*I823*(1+Material!$K$14)</f>
        <v>40.917028110781743</v>
      </c>
      <c r="N823" s="79" t="str">
        <f t="shared" si="123"/>
        <v>T5.0</v>
      </c>
      <c r="O823" s="80">
        <f>+VLOOKUP(N823,[4]Material!$A$3:$B$58,2,FALSE)</f>
        <v>5000</v>
      </c>
      <c r="P823" s="79" t="s">
        <v>42</v>
      </c>
      <c r="Q823" s="79" t="str">
        <f>+VLOOKUP(F823,[4]Material!$H$2:$J$12,2,FALSE)</f>
        <v>Cal 16</v>
      </c>
      <c r="R823" s="81">
        <f>+IF(P823="ACERO A36",VLOOKUP(Q823,'[4]Velocidades Std 1500 w'!$B$2:$F$15,5,FALSE),IF(P823="INOXIDABLE",VLOOKUP(Q823,'[4]Velocidades Std 1500 w'!$B$17:$F$28,5,FALSE),IF(P823="ALUMINIO",VLOOKUP(Q823,'[4]Velocidades Std 1500 w'!$B$30:$F$38,5,FALSE))))</f>
        <v>9.1575091575091579E-7</v>
      </c>
      <c r="S823" s="82">
        <f t="shared" si="116"/>
        <v>4.578754578754579E-3</v>
      </c>
      <c r="T823" s="83">
        <f t="shared" si="117"/>
        <v>5.4617815384615396</v>
      </c>
      <c r="U823" s="307">
        <f t="shared" si="125"/>
        <v>1656.7404000000001</v>
      </c>
      <c r="V823" s="80">
        <f t="shared" si="122"/>
        <v>7.5858076923076929</v>
      </c>
      <c r="W823" s="98">
        <v>5</v>
      </c>
      <c r="X823" s="84">
        <f>+IF(P823="ACERO A36",VLOOKUP(Q823,'[4]Tiempo Objeto'!$B$2:$C$12,2,FALSE),IF(P823="INOXIDABLE",VLOOKUP(Q823,'[4]Tiempo Objeto'!$B$14:$C$22,2,FALSE),IF(P823="ALUMINIO",VLOOKUP(Q823,'[4]Tiempo Objeto'!$B$24:$C$32,2,FALSE))))</f>
        <v>0.24666666666666667</v>
      </c>
      <c r="Y823" s="84">
        <f t="shared" si="118"/>
        <v>1.2333333333333334</v>
      </c>
      <c r="Z823" s="80">
        <f t="shared" si="119"/>
        <v>1.712962962962963</v>
      </c>
      <c r="AA823" s="100">
        <v>4</v>
      </c>
      <c r="AB823" s="86">
        <f>+AA823*Analisis!$J$6</f>
        <v>100</v>
      </c>
      <c r="AC823" s="100"/>
      <c r="AD823" s="85">
        <f t="shared" si="120"/>
        <v>0</v>
      </c>
      <c r="AE823" s="86">
        <f>+AC823*Analisis!$J$7</f>
        <v>0</v>
      </c>
      <c r="AF823" s="308">
        <f>+H823*0.0254*I823*0.0254*2*(1+[4]Analisis!$G$2)</f>
        <v>0.3144706355736</v>
      </c>
      <c r="AG823" s="86">
        <f>+AF823*Analisis!$J$8</f>
        <v>33.506097480758584</v>
      </c>
      <c r="AH823" s="309">
        <f t="shared" si="126"/>
        <v>183.72189624681096</v>
      </c>
      <c r="AI823" s="86">
        <f>+AH823/(1-Analisis!G828)</f>
        <v>183.72189624681096</v>
      </c>
      <c r="AJ823" s="86">
        <f t="shared" si="121"/>
        <v>197.55042607183975</v>
      </c>
      <c r="AK823" s="86">
        <f t="shared" si="127"/>
        <v>0</v>
      </c>
      <c r="AL823" s="310" t="e">
        <f>+VLOOKUP(B823,[4]ref!A:B,2,FALSE)</f>
        <v>#N/A</v>
      </c>
      <c r="AM823" s="311" t="e">
        <f t="shared" si="124"/>
        <v>#N/A</v>
      </c>
      <c r="AN823" s="312" t="e">
        <f t="shared" si="110"/>
        <v>#N/A</v>
      </c>
    </row>
    <row r="824" spans="1:40" s="73" customFormat="1" x14ac:dyDescent="0.25">
      <c r="A824" s="313"/>
      <c r="B824" s="314" t="s">
        <v>1528</v>
      </c>
      <c r="D824" s="74">
        <f>IFERROR(VLOOKUP(B824,'REQ. PINTADO'!B:C,2,0),0)</f>
        <v>0</v>
      </c>
      <c r="E824" s="305">
        <f t="shared" si="114"/>
        <v>234.52519981607028</v>
      </c>
      <c r="F824" s="397" t="s">
        <v>166</v>
      </c>
      <c r="G824" s="75" t="s">
        <v>147</v>
      </c>
      <c r="H824" s="90">
        <v>16.22</v>
      </c>
      <c r="I824" s="90">
        <v>16.09</v>
      </c>
      <c r="J824" s="76">
        <v>0.105</v>
      </c>
      <c r="K824" s="306">
        <v>16.38</v>
      </c>
      <c r="L824" s="78">
        <f t="shared" si="115"/>
        <v>7.9445784667681769</v>
      </c>
      <c r="M824" s="58">
        <f>+VLOOKUP(F824,Material!$H$2:$M$17,6,FALSE)*H824*I824*(1+Material!$K$14)</f>
        <v>59.150997857119414</v>
      </c>
      <c r="N824" s="79" t="str">
        <f t="shared" si="123"/>
        <v>T5.0</v>
      </c>
      <c r="O824" s="80">
        <f>+VLOOKUP(N824,[4]Material!$A$3:$B$58,2,FALSE)</f>
        <v>5000</v>
      </c>
      <c r="P824" s="79" t="s">
        <v>42</v>
      </c>
      <c r="Q824" s="79" t="str">
        <f>+VLOOKUP(F824,[4]Material!$H$2:$J$12,2,FALSE)</f>
        <v>Cal 16</v>
      </c>
      <c r="R824" s="81">
        <f>+IF(P824="ACERO A36",VLOOKUP(Q824,'[4]Velocidades Std 1500 w'!$B$2:$F$15,5,FALSE),IF(P824="INOXIDABLE",VLOOKUP(Q824,'[4]Velocidades Std 1500 w'!$B$17:$F$28,5,FALSE),IF(P824="ALUMINIO",VLOOKUP(Q824,'[4]Velocidades Std 1500 w'!$B$30:$F$38,5,FALSE))))</f>
        <v>9.1575091575091579E-7</v>
      </c>
      <c r="S824" s="82">
        <f t="shared" si="116"/>
        <v>4.578754578754579E-3</v>
      </c>
      <c r="T824" s="83">
        <f t="shared" si="117"/>
        <v>6.3410123076923073</v>
      </c>
      <c r="U824" s="307">
        <f t="shared" si="125"/>
        <v>1923.4404</v>
      </c>
      <c r="V824" s="80">
        <f t="shared" si="122"/>
        <v>8.8069615384615378</v>
      </c>
      <c r="W824" s="98">
        <v>5</v>
      </c>
      <c r="X824" s="84">
        <f>+IF(P824="ACERO A36",VLOOKUP(Q824,'[4]Tiempo Objeto'!$B$2:$C$12,2,FALSE),IF(P824="INOXIDABLE",VLOOKUP(Q824,'[4]Tiempo Objeto'!$B$14:$C$22,2,FALSE),IF(P824="ALUMINIO",VLOOKUP(Q824,'[4]Tiempo Objeto'!$B$24:$C$32,2,FALSE))))</f>
        <v>0.24666666666666667</v>
      </c>
      <c r="Y824" s="84">
        <f t="shared" si="118"/>
        <v>1.2333333333333334</v>
      </c>
      <c r="Z824" s="80">
        <f t="shared" si="119"/>
        <v>1.712962962962963</v>
      </c>
      <c r="AA824" s="100">
        <v>4</v>
      </c>
      <c r="AB824" s="86">
        <f>+AA824*Analisis!$J$6</f>
        <v>100</v>
      </c>
      <c r="AC824" s="100"/>
      <c r="AD824" s="85">
        <f t="shared" si="120"/>
        <v>0</v>
      </c>
      <c r="AE824" s="86">
        <f>+AC824*Analisis!$J$7</f>
        <v>0</v>
      </c>
      <c r="AF824" s="308">
        <f>+H824*0.0254*I824*0.0254*2*(1+[4]Analisis!$G$2)</f>
        <v>0.45460906497359993</v>
      </c>
      <c r="AG824" s="86">
        <f>+AF824*Analisis!$J$8</f>
        <v>48.437513470401434</v>
      </c>
      <c r="AH824" s="309">
        <f t="shared" si="126"/>
        <v>218.10843582894535</v>
      </c>
      <c r="AI824" s="86">
        <f>+AH824/(1-Analisis!G829)</f>
        <v>218.10843582894535</v>
      </c>
      <c r="AJ824" s="86">
        <f t="shared" si="121"/>
        <v>234.52519981607028</v>
      </c>
      <c r="AK824" s="86">
        <f t="shared" si="127"/>
        <v>0</v>
      </c>
      <c r="AL824" s="310" t="e">
        <f>+VLOOKUP(B824,[4]ref!A:B,2,FALSE)</f>
        <v>#N/A</v>
      </c>
      <c r="AM824" s="311" t="e">
        <f t="shared" si="124"/>
        <v>#N/A</v>
      </c>
      <c r="AN824" s="312" t="e">
        <f t="shared" si="110"/>
        <v>#N/A</v>
      </c>
    </row>
    <row r="825" spans="1:40" s="73" customFormat="1" x14ac:dyDescent="0.25">
      <c r="A825" s="313"/>
      <c r="B825" s="314" t="s">
        <v>1529</v>
      </c>
      <c r="D825" s="74">
        <f>IFERROR(VLOOKUP(B825,'REQ. PINTADO'!B:C,2,0),0)</f>
        <v>0</v>
      </c>
      <c r="E825" s="305">
        <f t="shared" si="114"/>
        <v>271.49997356030082</v>
      </c>
      <c r="F825" s="397" t="s">
        <v>166</v>
      </c>
      <c r="G825" s="75" t="s">
        <v>147</v>
      </c>
      <c r="H825" s="90">
        <v>21.22</v>
      </c>
      <c r="I825" s="90">
        <v>16.09</v>
      </c>
      <c r="J825" s="76">
        <v>0.105</v>
      </c>
      <c r="K825" s="306">
        <v>16.38</v>
      </c>
      <c r="L825" s="78">
        <f t="shared" si="115"/>
        <v>10.393585392405715</v>
      </c>
      <c r="M825" s="58">
        <f>+VLOOKUP(F825,Material!$H$2:$M$17,6,FALSE)*H825*I825*(1+Material!$K$14)</f>
        <v>77.384967603457085</v>
      </c>
      <c r="N825" s="79" t="str">
        <f t="shared" si="123"/>
        <v>T5.0</v>
      </c>
      <c r="O825" s="80">
        <f>+VLOOKUP(N825,[4]Material!$A$3:$B$58,2,FALSE)</f>
        <v>5000</v>
      </c>
      <c r="P825" s="79" t="s">
        <v>42</v>
      </c>
      <c r="Q825" s="79" t="str">
        <f>+VLOOKUP(F825,[4]Material!$H$2:$J$12,2,FALSE)</f>
        <v>Cal 16</v>
      </c>
      <c r="R825" s="81">
        <f>+IF(P825="ACERO A36",VLOOKUP(Q825,'[4]Velocidades Std 1500 w'!$B$2:$F$15,5,FALSE),IF(P825="INOXIDABLE",VLOOKUP(Q825,'[4]Velocidades Std 1500 w'!$B$17:$F$28,5,FALSE),IF(P825="ALUMINIO",VLOOKUP(Q825,'[4]Velocidades Std 1500 w'!$B$30:$F$38,5,FALSE))))</f>
        <v>9.1575091575091579E-7</v>
      </c>
      <c r="S825" s="82">
        <f t="shared" si="116"/>
        <v>4.578754578754579E-3</v>
      </c>
      <c r="T825" s="83">
        <f t="shared" si="117"/>
        <v>7.2202430769230777</v>
      </c>
      <c r="U825" s="307">
        <f t="shared" si="125"/>
        <v>2190.1404000000002</v>
      </c>
      <c r="V825" s="80">
        <f t="shared" si="122"/>
        <v>10.028115384615386</v>
      </c>
      <c r="W825" s="98">
        <v>5</v>
      </c>
      <c r="X825" s="84">
        <f>+IF(P825="ACERO A36",VLOOKUP(Q825,'[4]Tiempo Objeto'!$B$2:$C$12,2,FALSE),IF(P825="INOXIDABLE",VLOOKUP(Q825,'[4]Tiempo Objeto'!$B$14:$C$22,2,FALSE),IF(P825="ALUMINIO",VLOOKUP(Q825,'[4]Tiempo Objeto'!$B$24:$C$32,2,FALSE))))</f>
        <v>0.24666666666666667</v>
      </c>
      <c r="Y825" s="84">
        <f t="shared" si="118"/>
        <v>1.2333333333333334</v>
      </c>
      <c r="Z825" s="80">
        <f t="shared" si="119"/>
        <v>1.712962962962963</v>
      </c>
      <c r="AA825" s="100">
        <v>4</v>
      </c>
      <c r="AB825" s="86">
        <f>+AA825*Analisis!$J$6</f>
        <v>100</v>
      </c>
      <c r="AC825" s="100"/>
      <c r="AD825" s="85">
        <f t="shared" si="120"/>
        <v>0</v>
      </c>
      <c r="AE825" s="86">
        <f>+AC825*Analisis!$J$7</f>
        <v>0</v>
      </c>
      <c r="AF825" s="308">
        <f>+H825*0.0254*I825*0.0254*2*(1+[4]Analisis!$G$2)</f>
        <v>0.59474749437359986</v>
      </c>
      <c r="AG825" s="86">
        <f>+AF825*Analisis!$J$8</f>
        <v>63.368929460044292</v>
      </c>
      <c r="AH825" s="309">
        <f t="shared" si="126"/>
        <v>252.49497541107974</v>
      </c>
      <c r="AI825" s="86">
        <f>+AH825/(1-Analisis!G830)</f>
        <v>252.49497541107974</v>
      </c>
      <c r="AJ825" s="86">
        <f t="shared" si="121"/>
        <v>271.49997356030082</v>
      </c>
      <c r="AK825" s="86">
        <f t="shared" si="127"/>
        <v>0</v>
      </c>
      <c r="AL825" s="310" t="e">
        <f>+VLOOKUP(B825,[4]ref!A:B,2,FALSE)</f>
        <v>#N/A</v>
      </c>
      <c r="AM825" s="311" t="e">
        <f t="shared" si="124"/>
        <v>#N/A</v>
      </c>
      <c r="AN825" s="312" t="e">
        <f t="shared" si="110"/>
        <v>#N/A</v>
      </c>
    </row>
    <row r="826" spans="1:40" s="73" customFormat="1" x14ac:dyDescent="0.25">
      <c r="A826" s="313"/>
      <c r="B826" s="314" t="s">
        <v>1530</v>
      </c>
      <c r="D826" s="74">
        <f>IFERROR(VLOOKUP(B826,'REQ. PINTADO'!B:C,2,0),0)</f>
        <v>0</v>
      </c>
      <c r="E826" s="305">
        <f t="shared" si="114"/>
        <v>308.47474730453126</v>
      </c>
      <c r="F826" s="397" t="s">
        <v>166</v>
      </c>
      <c r="G826" s="75" t="s">
        <v>147</v>
      </c>
      <c r="H826" s="90">
        <v>26.22</v>
      </c>
      <c r="I826" s="90">
        <v>16.09</v>
      </c>
      <c r="J826" s="76">
        <v>0.105</v>
      </c>
      <c r="K826" s="306">
        <v>16.38</v>
      </c>
      <c r="L826" s="78">
        <f t="shared" si="115"/>
        <v>12.842592318043252</v>
      </c>
      <c r="M826" s="58">
        <f>+VLOOKUP(F826,Material!$H$2:$M$17,6,FALSE)*H826*I826*(1+Material!$K$14)</f>
        <v>95.618937349794749</v>
      </c>
      <c r="N826" s="79" t="str">
        <f t="shared" si="123"/>
        <v>T5.0</v>
      </c>
      <c r="O826" s="80">
        <f>+VLOOKUP(N826,[4]Material!$A$3:$B$58,2,FALSE)</f>
        <v>5000</v>
      </c>
      <c r="P826" s="79" t="s">
        <v>42</v>
      </c>
      <c r="Q826" s="79" t="str">
        <f>+VLOOKUP(F826,[4]Material!$H$2:$J$12,2,FALSE)</f>
        <v>Cal 16</v>
      </c>
      <c r="R826" s="81">
        <f>+IF(P826="ACERO A36",VLOOKUP(Q826,'[4]Velocidades Std 1500 w'!$B$2:$F$15,5,FALSE),IF(P826="INOXIDABLE",VLOOKUP(Q826,'[4]Velocidades Std 1500 w'!$B$17:$F$28,5,FALSE),IF(P826="ALUMINIO",VLOOKUP(Q826,'[4]Velocidades Std 1500 w'!$B$30:$F$38,5,FALSE))))</f>
        <v>9.1575091575091579E-7</v>
      </c>
      <c r="S826" s="82">
        <f t="shared" si="116"/>
        <v>4.578754578754579E-3</v>
      </c>
      <c r="T826" s="83">
        <f t="shared" si="117"/>
        <v>8.0994738461538471</v>
      </c>
      <c r="U826" s="307">
        <f t="shared" si="125"/>
        <v>2456.8404</v>
      </c>
      <c r="V826" s="80">
        <f t="shared" si="122"/>
        <v>11.249269230769231</v>
      </c>
      <c r="W826" s="98">
        <v>5</v>
      </c>
      <c r="X826" s="84">
        <f>+IF(P826="ACERO A36",VLOOKUP(Q826,'[4]Tiempo Objeto'!$B$2:$C$12,2,FALSE),IF(P826="INOXIDABLE",VLOOKUP(Q826,'[4]Tiempo Objeto'!$B$14:$C$22,2,FALSE),IF(P826="ALUMINIO",VLOOKUP(Q826,'[4]Tiempo Objeto'!$B$24:$C$32,2,FALSE))))</f>
        <v>0.24666666666666667</v>
      </c>
      <c r="Y826" s="84">
        <f t="shared" si="118"/>
        <v>1.2333333333333334</v>
      </c>
      <c r="Z826" s="80">
        <f t="shared" si="119"/>
        <v>1.712962962962963</v>
      </c>
      <c r="AA826" s="100">
        <v>4</v>
      </c>
      <c r="AB826" s="86">
        <f>+AA826*Analisis!$J$6</f>
        <v>100</v>
      </c>
      <c r="AC826" s="100"/>
      <c r="AD826" s="85">
        <f t="shared" si="120"/>
        <v>0</v>
      </c>
      <c r="AE826" s="86">
        <f>+AC826*Analisis!$J$7</f>
        <v>0</v>
      </c>
      <c r="AF826" s="308">
        <f>+H826*0.0254*I826*0.0254*2*(1+[4]Analisis!$G$2)</f>
        <v>0.73488592377359996</v>
      </c>
      <c r="AG826" s="86">
        <f>+AF826*Analisis!$J$8</f>
        <v>78.300345449687157</v>
      </c>
      <c r="AH826" s="309">
        <f t="shared" si="126"/>
        <v>286.88151499321407</v>
      </c>
      <c r="AI826" s="86">
        <f>+AH826/(1-Analisis!G831)</f>
        <v>286.88151499321407</v>
      </c>
      <c r="AJ826" s="86">
        <f t="shared" si="121"/>
        <v>308.47474730453126</v>
      </c>
      <c r="AK826" s="86">
        <f t="shared" si="127"/>
        <v>0</v>
      </c>
      <c r="AL826" s="310" t="e">
        <f>+VLOOKUP(B826,[4]ref!A:B,2,FALSE)</f>
        <v>#N/A</v>
      </c>
      <c r="AM826" s="311" t="e">
        <f t="shared" si="124"/>
        <v>#N/A</v>
      </c>
      <c r="AN826" s="312" t="e">
        <f t="shared" si="110"/>
        <v>#N/A</v>
      </c>
    </row>
    <row r="827" spans="1:40" s="73" customFormat="1" x14ac:dyDescent="0.25">
      <c r="A827" s="313"/>
      <c r="B827" s="314" t="s">
        <v>1531</v>
      </c>
      <c r="D827" s="74">
        <f>IFERROR(VLOOKUP(B827,'REQ. PINTADO'!B:C,2,0),0)</f>
        <v>0</v>
      </c>
      <c r="E827" s="305">
        <f t="shared" si="114"/>
        <v>345.44952104876182</v>
      </c>
      <c r="F827" s="397" t="s">
        <v>166</v>
      </c>
      <c r="G827" s="75" t="s">
        <v>147</v>
      </c>
      <c r="H827" s="90">
        <v>31.22</v>
      </c>
      <c r="I827" s="90">
        <v>16.09</v>
      </c>
      <c r="J827" s="76">
        <v>0.105</v>
      </c>
      <c r="K827" s="306">
        <v>16.38</v>
      </c>
      <c r="L827" s="78">
        <f t="shared" si="115"/>
        <v>15.291599243680793</v>
      </c>
      <c r="M827" s="58">
        <f>+VLOOKUP(F827,Material!$H$2:$M$17,6,FALSE)*H827*I827*(1+Material!$K$14)</f>
        <v>113.85290709613243</v>
      </c>
      <c r="N827" s="79" t="str">
        <f t="shared" si="123"/>
        <v>T5.0</v>
      </c>
      <c r="O827" s="80">
        <f>+VLOOKUP(N827,[4]Material!$A$3:$B$58,2,FALSE)</f>
        <v>5000</v>
      </c>
      <c r="P827" s="79" t="s">
        <v>42</v>
      </c>
      <c r="Q827" s="79" t="str">
        <f>+VLOOKUP(F827,[4]Material!$H$2:$J$12,2,FALSE)</f>
        <v>Cal 16</v>
      </c>
      <c r="R827" s="81">
        <f>+IF(P827="ACERO A36",VLOOKUP(Q827,'[4]Velocidades Std 1500 w'!$B$2:$F$15,5,FALSE),IF(P827="INOXIDABLE",VLOOKUP(Q827,'[4]Velocidades Std 1500 w'!$B$17:$F$28,5,FALSE),IF(P827="ALUMINIO",VLOOKUP(Q827,'[4]Velocidades Std 1500 w'!$B$30:$F$38,5,FALSE))))</f>
        <v>9.1575091575091579E-7</v>
      </c>
      <c r="S827" s="82">
        <f t="shared" si="116"/>
        <v>4.578754578754579E-3</v>
      </c>
      <c r="T827" s="83">
        <f t="shared" si="117"/>
        <v>8.9787046153846148</v>
      </c>
      <c r="U827" s="307">
        <f t="shared" si="125"/>
        <v>2723.5403999999999</v>
      </c>
      <c r="V827" s="80">
        <f t="shared" si="122"/>
        <v>12.470423076923076</v>
      </c>
      <c r="W827" s="98">
        <v>5</v>
      </c>
      <c r="X827" s="84">
        <f>+IF(P827="ACERO A36",VLOOKUP(Q827,'[4]Tiempo Objeto'!$B$2:$C$12,2,FALSE),IF(P827="INOXIDABLE",VLOOKUP(Q827,'[4]Tiempo Objeto'!$B$14:$C$22,2,FALSE),IF(P827="ALUMINIO",VLOOKUP(Q827,'[4]Tiempo Objeto'!$B$24:$C$32,2,FALSE))))</f>
        <v>0.24666666666666667</v>
      </c>
      <c r="Y827" s="84">
        <f t="shared" si="118"/>
        <v>1.2333333333333334</v>
      </c>
      <c r="Z827" s="80">
        <f t="shared" si="119"/>
        <v>1.712962962962963</v>
      </c>
      <c r="AA827" s="100">
        <v>4</v>
      </c>
      <c r="AB827" s="86">
        <f>+AA827*Analisis!$J$6</f>
        <v>100</v>
      </c>
      <c r="AC827" s="100"/>
      <c r="AD827" s="85">
        <f t="shared" si="120"/>
        <v>0</v>
      </c>
      <c r="AE827" s="86">
        <f>+AC827*Analisis!$J$7</f>
        <v>0</v>
      </c>
      <c r="AF827" s="308">
        <f>+H827*0.0254*I827*0.0254*2*(1+[4]Analisis!$G$2)</f>
        <v>0.87502435317359983</v>
      </c>
      <c r="AG827" s="86">
        <f>+AF827*Analisis!$J$8</f>
        <v>93.231761439330015</v>
      </c>
      <c r="AH827" s="309">
        <f t="shared" si="126"/>
        <v>321.26805457534846</v>
      </c>
      <c r="AI827" s="86">
        <f>+AH827/(1-Analisis!G832)</f>
        <v>321.26805457534846</v>
      </c>
      <c r="AJ827" s="86">
        <f t="shared" si="121"/>
        <v>345.44952104876182</v>
      </c>
      <c r="AK827" s="86">
        <f t="shared" si="127"/>
        <v>0</v>
      </c>
      <c r="AL827" s="310" t="e">
        <f>+VLOOKUP(B827,[4]ref!A:B,2,FALSE)</f>
        <v>#N/A</v>
      </c>
      <c r="AM827" s="311" t="e">
        <f t="shared" si="124"/>
        <v>#N/A</v>
      </c>
      <c r="AN827" s="312" t="e">
        <f t="shared" si="110"/>
        <v>#N/A</v>
      </c>
    </row>
    <row r="828" spans="1:40" s="73" customFormat="1" x14ac:dyDescent="0.25">
      <c r="A828" s="313"/>
      <c r="B828" s="329" t="s">
        <v>1532</v>
      </c>
      <c r="D828" s="74">
        <f>IFERROR(VLOOKUP(B828,'REQ. PINTADO'!B:C,2,0),0)</f>
        <v>0</v>
      </c>
      <c r="E828" s="305">
        <f t="shared" si="114"/>
        <v>1507.7750687890918</v>
      </c>
      <c r="F828" s="103" t="s">
        <v>165</v>
      </c>
      <c r="G828" s="75" t="s">
        <v>147</v>
      </c>
      <c r="H828" s="90">
        <v>25.45</v>
      </c>
      <c r="I828" s="90">
        <v>83.74</v>
      </c>
      <c r="J828" s="76">
        <v>0.105</v>
      </c>
      <c r="K828" s="306">
        <v>16.38</v>
      </c>
      <c r="L828" s="78">
        <f t="shared" si="115"/>
        <v>118.96828178418805</v>
      </c>
      <c r="M828" s="58">
        <f>+VLOOKUP(F828,Material!$H$2:$M$17,6,FALSE)*H828*I828*(1+Material!$K$14)</f>
        <v>885.77293437499998</v>
      </c>
      <c r="N828" s="79" t="str">
        <f t="shared" si="123"/>
        <v>T5.0</v>
      </c>
      <c r="O828" s="80">
        <f>+VLOOKUP(N828,[3]Material!$A$3:$B$58,2,FALSE)</f>
        <v>5000</v>
      </c>
      <c r="P828" s="79" t="s">
        <v>42</v>
      </c>
      <c r="Q828" s="79" t="str">
        <f>+VLOOKUP(F828,[3]Material!$C$2:$E$12,2,FALSE)</f>
        <v>Cal 14</v>
      </c>
      <c r="R828" s="81">
        <f>+IF(P828="ACERO A36",VLOOKUP(Q828,'[3]Velocidades Std 1500 w'!$B$2:$F$15,5,FALSE),IF(P828="INOXIDABLE",VLOOKUP(Q828,'[3]Velocidades Std 1500 w'!$B$17:$F$28,5,FALSE),IF(P828="ALUMINIO",VLOOKUP(Q828,'[3]Velocidades Std 1500 w'!$B$30:$F$38,5,FALSE))))</f>
        <v>2.0080321285140564E-6</v>
      </c>
      <c r="S828" s="82">
        <f t="shared" si="116"/>
        <v>1.0040160642570283E-2</v>
      </c>
      <c r="T828" s="83">
        <f t="shared" si="117"/>
        <v>47.886466987951813</v>
      </c>
      <c r="U828" s="307">
        <f t="shared" si="125"/>
        <v>6624.2946000000002</v>
      </c>
      <c r="V828" s="80">
        <f t="shared" si="122"/>
        <v>66.508981927710863</v>
      </c>
      <c r="W828" s="98">
        <v>20</v>
      </c>
      <c r="X828" s="84">
        <f>+IF(P828="ACERO A36",VLOOKUP(Q828,'[3]Tiempo Objeto'!$B$2:$C$12,2,FALSE),IF(P828="INOXIDABLE",VLOOKUP(Q828,'[3]Tiempo Objeto'!$B$14:$C$22,2,FALSE),IF(P828="ALUMINIO",VLOOKUP(Q828,'[3]Tiempo Objeto'!$B$24:$C$32,2,FALSE))))</f>
        <v>0.3133333333333333</v>
      </c>
      <c r="Y828" s="84">
        <f t="shared" si="118"/>
        <v>6.2666666666666657</v>
      </c>
      <c r="Z828" s="80">
        <f t="shared" si="119"/>
        <v>8.7037037037037024</v>
      </c>
      <c r="AA828" s="100">
        <v>3</v>
      </c>
      <c r="AB828" s="86">
        <f>+AA828*Analisis!$J$6</f>
        <v>75</v>
      </c>
      <c r="AC828" s="100"/>
      <c r="AD828" s="85">
        <f t="shared" si="120"/>
        <v>0</v>
      </c>
      <c r="AE828" s="86">
        <f>+AC828*Analisis!$J$7</f>
        <v>0</v>
      </c>
      <c r="AF828" s="308">
        <f>+H828*0.0254*I828*0.0254*2*(1+[3]Analisis!$G$2)</f>
        <v>3.4373850606999996</v>
      </c>
      <c r="AG828" s="86">
        <f>+AF828*Analisis!$J$8</f>
        <v>366.24519396744057</v>
      </c>
      <c r="AH828" s="309">
        <f t="shared" si="126"/>
        <v>1402.2308139738552</v>
      </c>
      <c r="AI828" s="86">
        <f>+AH828/(1-Analisis!G833)</f>
        <v>1402.2308139738552</v>
      </c>
      <c r="AJ828" s="86">
        <f t="shared" si="121"/>
        <v>1507.7750687890918</v>
      </c>
      <c r="AK828" s="86">
        <f t="shared" si="127"/>
        <v>0</v>
      </c>
      <c r="AL828" s="310" t="e">
        <f>+VLOOKUP(B828,#REF!,2,FALSE)</f>
        <v>#REF!</v>
      </c>
      <c r="AM828" s="311" t="e">
        <f t="shared" si="124"/>
        <v>#REF!</v>
      </c>
      <c r="AN828" s="312" t="e">
        <f t="shared" si="110"/>
        <v>#REF!</v>
      </c>
    </row>
    <row r="829" spans="1:40" s="73" customFormat="1" x14ac:dyDescent="0.25">
      <c r="A829" s="313"/>
      <c r="B829" s="329" t="s">
        <v>1533</v>
      </c>
      <c r="D829" s="74">
        <f>IFERROR(VLOOKUP(B829,'REQ. PINTADO'!B:C,2,0),0)</f>
        <v>0</v>
      </c>
      <c r="E829" s="305">
        <f t="shared" si="114"/>
        <v>2042.5143537185172</v>
      </c>
      <c r="F829" s="103" t="s">
        <v>165</v>
      </c>
      <c r="G829" s="75" t="s">
        <v>147</v>
      </c>
      <c r="H829" s="90">
        <v>35.450000000000003</v>
      </c>
      <c r="I829" s="90">
        <v>83.74</v>
      </c>
      <c r="J829" s="76">
        <v>0.105</v>
      </c>
      <c r="K829" s="306">
        <v>16.38</v>
      </c>
      <c r="L829" s="78">
        <f t="shared" si="115"/>
        <v>165.71416853632479</v>
      </c>
      <c r="M829" s="58">
        <f>+VLOOKUP(F829,Material!$H$2:$M$17,6,FALSE)*H829*I829*(1+Material!$K$14)</f>
        <v>1233.8173093749999</v>
      </c>
      <c r="N829" s="79" t="str">
        <f t="shared" si="123"/>
        <v>T5.0</v>
      </c>
      <c r="O829" s="80">
        <f>+VLOOKUP(N829,[3]Material!$A$3:$B$58,2,FALSE)</f>
        <v>5000</v>
      </c>
      <c r="P829" s="79" t="s">
        <v>42</v>
      </c>
      <c r="Q829" s="79" t="str">
        <f>+VLOOKUP(F829,[3]Material!$C$2:$E$12,2,FALSE)</f>
        <v>Cal 14</v>
      </c>
      <c r="R829" s="81">
        <f>+IF(P829="ACERO A36",VLOOKUP(Q829,'[3]Velocidades Std 1500 w'!$B$2:$F$15,5,FALSE),IF(P829="INOXIDABLE",VLOOKUP(Q829,'[3]Velocidades Std 1500 w'!$B$17:$F$28,5,FALSE),IF(P829="ALUMINIO",VLOOKUP(Q829,'[3]Velocidades Std 1500 w'!$B$30:$F$38,5,FALSE))))</f>
        <v>2.0080321285140564E-6</v>
      </c>
      <c r="S829" s="82">
        <f t="shared" si="116"/>
        <v>1.0040160642570283E-2</v>
      </c>
      <c r="T829" s="83">
        <f t="shared" si="117"/>
        <v>51.742370602409643</v>
      </c>
      <c r="U829" s="307">
        <f t="shared" si="125"/>
        <v>7157.6945999999998</v>
      </c>
      <c r="V829" s="80">
        <f t="shared" si="122"/>
        <v>71.864403614457842</v>
      </c>
      <c r="W829" s="98">
        <v>20</v>
      </c>
      <c r="X829" s="84">
        <f>+IF(P829="ACERO A36",VLOOKUP(Q829,'[3]Tiempo Objeto'!$B$2:$C$12,2,FALSE),IF(P829="INOXIDABLE",VLOOKUP(Q829,'[3]Tiempo Objeto'!$B$14:$C$22,2,FALSE),IF(P829="ALUMINIO",VLOOKUP(Q829,'[3]Tiempo Objeto'!$B$24:$C$32,2,FALSE))))</f>
        <v>0.3133333333333333</v>
      </c>
      <c r="Y829" s="84">
        <f t="shared" si="118"/>
        <v>6.2666666666666657</v>
      </c>
      <c r="Z829" s="80">
        <f t="shared" si="119"/>
        <v>8.7037037037037024</v>
      </c>
      <c r="AA829" s="100">
        <v>3</v>
      </c>
      <c r="AB829" s="86">
        <f>+AA829*Analisis!$J$6</f>
        <v>75</v>
      </c>
      <c r="AC829" s="100"/>
      <c r="AD829" s="85">
        <f t="shared" si="120"/>
        <v>0</v>
      </c>
      <c r="AE829" s="86">
        <f>+AC829*Analisis!$J$7</f>
        <v>0</v>
      </c>
      <c r="AF829" s="308">
        <f>+H829*0.0254*I829*0.0254*2*(1+[3]Analisis!$G$2)</f>
        <v>4.7880275206999992</v>
      </c>
      <c r="AG829" s="86">
        <f>+AF829*Analisis!$J$8</f>
        <v>510.15293226505958</v>
      </c>
      <c r="AH829" s="309">
        <f t="shared" si="126"/>
        <v>1899.5383489582209</v>
      </c>
      <c r="AI829" s="86">
        <f>+AH829/(1-Analisis!G834)</f>
        <v>1899.5383489582209</v>
      </c>
      <c r="AJ829" s="86">
        <f t="shared" si="121"/>
        <v>2042.5143537185172</v>
      </c>
      <c r="AK829" s="86">
        <f t="shared" si="127"/>
        <v>0</v>
      </c>
      <c r="AL829" s="310" t="e">
        <f>+VLOOKUP(B829,#REF!,2,FALSE)</f>
        <v>#REF!</v>
      </c>
      <c r="AM829" s="311" t="e">
        <f t="shared" si="124"/>
        <v>#REF!</v>
      </c>
      <c r="AN829" s="312" t="e">
        <f t="shared" si="110"/>
        <v>#REF!</v>
      </c>
    </row>
    <row r="830" spans="1:40" s="73" customFormat="1" x14ac:dyDescent="0.25">
      <c r="A830" s="313"/>
      <c r="B830" s="329" t="s">
        <v>1534</v>
      </c>
      <c r="D830" s="74">
        <f>IFERROR(VLOOKUP(B830,'REQ. PINTADO'!B:C,2,0),0)</f>
        <v>0</v>
      </c>
      <c r="E830" s="305">
        <f t="shared" si="114"/>
        <v>1507.7750687890918</v>
      </c>
      <c r="F830" s="103" t="s">
        <v>165</v>
      </c>
      <c r="G830" s="75" t="s">
        <v>147</v>
      </c>
      <c r="H830" s="90">
        <v>25.45</v>
      </c>
      <c r="I830" s="90">
        <v>83.74</v>
      </c>
      <c r="J830" s="76">
        <v>0.105</v>
      </c>
      <c r="K830" s="306">
        <v>16.38</v>
      </c>
      <c r="L830" s="78">
        <f t="shared" si="115"/>
        <v>118.96828178418805</v>
      </c>
      <c r="M830" s="58">
        <f>+VLOOKUP(F830,Material!$H$2:$M$17,6,FALSE)*H830*I830*(1+Material!$K$14)</f>
        <v>885.77293437499998</v>
      </c>
      <c r="N830" s="79" t="str">
        <f t="shared" si="123"/>
        <v>T5.0</v>
      </c>
      <c r="O830" s="80">
        <f>+VLOOKUP(N830,[3]Material!$A$3:$B$58,2,FALSE)</f>
        <v>5000</v>
      </c>
      <c r="P830" s="79" t="s">
        <v>42</v>
      </c>
      <c r="Q830" s="79" t="str">
        <f>+VLOOKUP(F830,[3]Material!$C$2:$E$12,2,FALSE)</f>
        <v>Cal 14</v>
      </c>
      <c r="R830" s="81">
        <f>+IF(P830="ACERO A36",VLOOKUP(Q830,'[3]Velocidades Std 1500 w'!$B$2:$F$15,5,FALSE),IF(P830="INOXIDABLE",VLOOKUP(Q830,'[3]Velocidades Std 1500 w'!$B$17:$F$28,5,FALSE),IF(P830="ALUMINIO",VLOOKUP(Q830,'[3]Velocidades Std 1500 w'!$B$30:$F$38,5,FALSE))))</f>
        <v>2.0080321285140564E-6</v>
      </c>
      <c r="S830" s="82">
        <f t="shared" si="116"/>
        <v>1.0040160642570283E-2</v>
      </c>
      <c r="T830" s="83">
        <f t="shared" si="117"/>
        <v>47.886466987951813</v>
      </c>
      <c r="U830" s="307">
        <f t="shared" si="125"/>
        <v>6624.2946000000002</v>
      </c>
      <c r="V830" s="80">
        <f t="shared" si="122"/>
        <v>66.508981927710863</v>
      </c>
      <c r="W830" s="98">
        <v>20</v>
      </c>
      <c r="X830" s="84">
        <f>+IF(P830="ACERO A36",VLOOKUP(Q830,'[3]Tiempo Objeto'!$B$2:$C$12,2,FALSE),IF(P830="INOXIDABLE",VLOOKUP(Q830,'[3]Tiempo Objeto'!$B$14:$C$22,2,FALSE),IF(P830="ALUMINIO",VLOOKUP(Q830,'[3]Tiempo Objeto'!$B$24:$C$32,2,FALSE))))</f>
        <v>0.3133333333333333</v>
      </c>
      <c r="Y830" s="84">
        <f t="shared" si="118"/>
        <v>6.2666666666666657</v>
      </c>
      <c r="Z830" s="80">
        <f t="shared" si="119"/>
        <v>8.7037037037037024</v>
      </c>
      <c r="AA830" s="100">
        <v>3</v>
      </c>
      <c r="AB830" s="86">
        <f>+AA830*Analisis!$J$6</f>
        <v>75</v>
      </c>
      <c r="AC830" s="100"/>
      <c r="AD830" s="85">
        <f t="shared" si="120"/>
        <v>0</v>
      </c>
      <c r="AE830" s="86">
        <f>+AC830*Analisis!$J$7</f>
        <v>0</v>
      </c>
      <c r="AF830" s="308">
        <f>+H830*0.0254*I830*0.0254*2*(1+[3]Analisis!$G$2)</f>
        <v>3.4373850606999996</v>
      </c>
      <c r="AG830" s="86">
        <f>+AF830*Analisis!$J$8</f>
        <v>366.24519396744057</v>
      </c>
      <c r="AH830" s="309">
        <f t="shared" si="126"/>
        <v>1402.2308139738552</v>
      </c>
      <c r="AI830" s="86">
        <f>+AH830/(1-Analisis!G835)</f>
        <v>1402.2308139738552</v>
      </c>
      <c r="AJ830" s="86">
        <f t="shared" si="121"/>
        <v>1507.7750687890918</v>
      </c>
      <c r="AK830" s="86">
        <f t="shared" si="127"/>
        <v>0</v>
      </c>
      <c r="AL830" s="310" t="e">
        <f>+VLOOKUP(B830,#REF!,2,FALSE)</f>
        <v>#REF!</v>
      </c>
      <c r="AM830" s="311" t="e">
        <f t="shared" si="124"/>
        <v>#REF!</v>
      </c>
      <c r="AN830" s="312" t="e">
        <f t="shared" si="110"/>
        <v>#REF!</v>
      </c>
    </row>
    <row r="831" spans="1:40" s="73" customFormat="1" x14ac:dyDescent="0.25">
      <c r="A831" s="313"/>
      <c r="B831" s="329" t="s">
        <v>1535</v>
      </c>
      <c r="D831" s="74">
        <f>IFERROR(VLOOKUP(B831,'REQ. PINTADO'!B:C,2,0),0)</f>
        <v>0</v>
      </c>
      <c r="E831" s="305">
        <f t="shared" si="114"/>
        <v>2042.5143537185172</v>
      </c>
      <c r="F831" s="103" t="s">
        <v>165</v>
      </c>
      <c r="G831" s="75" t="s">
        <v>147</v>
      </c>
      <c r="H831" s="90">
        <v>35.450000000000003</v>
      </c>
      <c r="I831" s="90">
        <v>83.74</v>
      </c>
      <c r="J831" s="76">
        <v>0.105</v>
      </c>
      <c r="K831" s="306">
        <v>16.38</v>
      </c>
      <c r="L831" s="78">
        <f t="shared" si="115"/>
        <v>165.71416853632479</v>
      </c>
      <c r="M831" s="58">
        <f>+VLOOKUP(F831,Material!$H$2:$M$17,6,FALSE)*H831*I831*(1+Material!$K$14)</f>
        <v>1233.8173093749999</v>
      </c>
      <c r="N831" s="79" t="str">
        <f t="shared" si="123"/>
        <v>T5.0</v>
      </c>
      <c r="O831" s="80">
        <f>+VLOOKUP(N831,[3]Material!$A$3:$B$58,2,FALSE)</f>
        <v>5000</v>
      </c>
      <c r="P831" s="79" t="s">
        <v>42</v>
      </c>
      <c r="Q831" s="79" t="str">
        <f>+VLOOKUP(F831,[3]Material!$C$2:$E$12,2,FALSE)</f>
        <v>Cal 14</v>
      </c>
      <c r="R831" s="81">
        <f>+IF(P831="ACERO A36",VLOOKUP(Q831,'[3]Velocidades Std 1500 w'!$B$2:$F$15,5,FALSE),IF(P831="INOXIDABLE",VLOOKUP(Q831,'[3]Velocidades Std 1500 w'!$B$17:$F$28,5,FALSE),IF(P831="ALUMINIO",VLOOKUP(Q831,'[3]Velocidades Std 1500 w'!$B$30:$F$38,5,FALSE))))</f>
        <v>2.0080321285140564E-6</v>
      </c>
      <c r="S831" s="82">
        <f t="shared" si="116"/>
        <v>1.0040160642570283E-2</v>
      </c>
      <c r="T831" s="83">
        <f t="shared" si="117"/>
        <v>51.742370602409643</v>
      </c>
      <c r="U831" s="307">
        <f t="shared" si="125"/>
        <v>7157.6945999999998</v>
      </c>
      <c r="V831" s="80">
        <f t="shared" si="122"/>
        <v>71.864403614457842</v>
      </c>
      <c r="W831" s="98">
        <v>20</v>
      </c>
      <c r="X831" s="84">
        <f>+IF(P831="ACERO A36",VLOOKUP(Q831,'[3]Tiempo Objeto'!$B$2:$C$12,2,FALSE),IF(P831="INOXIDABLE",VLOOKUP(Q831,'[3]Tiempo Objeto'!$B$14:$C$22,2,FALSE),IF(P831="ALUMINIO",VLOOKUP(Q831,'[3]Tiempo Objeto'!$B$24:$C$32,2,FALSE))))</f>
        <v>0.3133333333333333</v>
      </c>
      <c r="Y831" s="84">
        <f t="shared" si="118"/>
        <v>6.2666666666666657</v>
      </c>
      <c r="Z831" s="80">
        <f t="shared" si="119"/>
        <v>8.7037037037037024</v>
      </c>
      <c r="AA831" s="100">
        <v>3</v>
      </c>
      <c r="AB831" s="86">
        <f>+AA831*Analisis!$J$6</f>
        <v>75</v>
      </c>
      <c r="AC831" s="100"/>
      <c r="AD831" s="85">
        <f t="shared" si="120"/>
        <v>0</v>
      </c>
      <c r="AE831" s="86">
        <f>+AC831*Analisis!$J$7</f>
        <v>0</v>
      </c>
      <c r="AF831" s="308">
        <f>+H831*0.0254*I831*0.0254*2*(1+[3]Analisis!$G$2)</f>
        <v>4.7880275206999992</v>
      </c>
      <c r="AG831" s="86">
        <f>+AF831*Analisis!$J$8</f>
        <v>510.15293226505958</v>
      </c>
      <c r="AH831" s="309">
        <f t="shared" si="126"/>
        <v>1899.5383489582209</v>
      </c>
      <c r="AI831" s="86">
        <f>+AH831/(1-Analisis!G836)</f>
        <v>1899.5383489582209</v>
      </c>
      <c r="AJ831" s="86">
        <f t="shared" si="121"/>
        <v>2042.5143537185172</v>
      </c>
      <c r="AK831" s="86">
        <f t="shared" si="127"/>
        <v>0</v>
      </c>
      <c r="AL831" s="310" t="e">
        <f>+VLOOKUP(B831,#REF!,2,FALSE)</f>
        <v>#REF!</v>
      </c>
      <c r="AM831" s="311" t="e">
        <f t="shared" si="124"/>
        <v>#REF!</v>
      </c>
      <c r="AN831" s="312" t="e">
        <f t="shared" si="110"/>
        <v>#REF!</v>
      </c>
    </row>
    <row r="832" spans="1:40" s="73" customFormat="1" x14ac:dyDescent="0.25">
      <c r="A832" s="313"/>
      <c r="B832" s="329" t="s">
        <v>1536</v>
      </c>
      <c r="D832" s="74">
        <f>IFERROR(VLOOKUP(B832,'REQ. PINTADO'!B:C,2,0),0)</f>
        <v>0</v>
      </c>
      <c r="E832" s="305">
        <f t="shared" si="114"/>
        <v>1757.5621265691752</v>
      </c>
      <c r="F832" s="103" t="s">
        <v>165</v>
      </c>
      <c r="G832" s="75" t="s">
        <v>147</v>
      </c>
      <c r="H832" s="90">
        <v>25.45</v>
      </c>
      <c r="I832" s="90">
        <v>98.74</v>
      </c>
      <c r="J832" s="76">
        <v>0.105</v>
      </c>
      <c r="K832" s="306">
        <v>16.38</v>
      </c>
      <c r="L832" s="78">
        <f t="shared" si="115"/>
        <v>140.27857825854701</v>
      </c>
      <c r="M832" s="58">
        <f>+VLOOKUP(F832,Material!$H$2:$M$17,6,FALSE)*H832*I832*(1+Material!$K$14)</f>
        <v>1044.437778125</v>
      </c>
      <c r="N832" s="79" t="str">
        <f t="shared" si="123"/>
        <v>T5.0</v>
      </c>
      <c r="O832" s="80">
        <f>+VLOOKUP(N832,[3]Material!$A$3:$B$58,2,FALSE)</f>
        <v>5000</v>
      </c>
      <c r="P832" s="79" t="s">
        <v>42</v>
      </c>
      <c r="Q832" s="79" t="str">
        <f>+VLOOKUP(F832,[3]Material!$C$2:$E$12,2,FALSE)</f>
        <v>Cal 14</v>
      </c>
      <c r="R832" s="81">
        <f>+IF(P832="ACERO A36",VLOOKUP(Q832,'[3]Velocidades Std 1500 w'!$B$2:$F$15,5,FALSE),IF(P832="INOXIDABLE",VLOOKUP(Q832,'[3]Velocidades Std 1500 w'!$B$17:$F$28,5,FALSE),IF(P832="ALUMINIO",VLOOKUP(Q832,'[3]Velocidades Std 1500 w'!$B$30:$F$38,5,FALSE))))</f>
        <v>2.0080321285140564E-6</v>
      </c>
      <c r="S832" s="82">
        <f t="shared" si="116"/>
        <v>1.0040160642570283E-2</v>
      </c>
      <c r="T832" s="83">
        <f t="shared" si="117"/>
        <v>53.670322409638565</v>
      </c>
      <c r="U832" s="307">
        <f t="shared" si="125"/>
        <v>7424.3946000000005</v>
      </c>
      <c r="V832" s="80">
        <f t="shared" si="122"/>
        <v>74.542114457831346</v>
      </c>
      <c r="W832" s="98">
        <v>20</v>
      </c>
      <c r="X832" s="84">
        <f>+IF(P832="ACERO A36",VLOOKUP(Q832,'[3]Tiempo Objeto'!$B$2:$C$12,2,FALSE),IF(P832="INOXIDABLE",VLOOKUP(Q832,'[3]Tiempo Objeto'!$B$14:$C$22,2,FALSE),IF(P832="ALUMINIO",VLOOKUP(Q832,'[3]Tiempo Objeto'!$B$24:$C$32,2,FALSE))))</f>
        <v>0.3133333333333333</v>
      </c>
      <c r="Y832" s="84">
        <f t="shared" si="118"/>
        <v>6.2666666666666657</v>
      </c>
      <c r="Z832" s="80">
        <f t="shared" si="119"/>
        <v>8.7037037037037024</v>
      </c>
      <c r="AA832" s="100">
        <v>3</v>
      </c>
      <c r="AB832" s="86">
        <f>+AA832*Analisis!$J$6</f>
        <v>75</v>
      </c>
      <c r="AC832" s="100"/>
      <c r="AD832" s="85">
        <f t="shared" si="120"/>
        <v>0</v>
      </c>
      <c r="AE832" s="86">
        <f>+AC832*Analisis!$J$7</f>
        <v>0</v>
      </c>
      <c r="AF832" s="308">
        <f>+H832*0.0254*I832*0.0254*2*(1+[3]Analisis!$G$2)</f>
        <v>4.0531096356999994</v>
      </c>
      <c r="AG832" s="86">
        <f>+AF832*Analisis!$J$8</f>
        <v>431.8491814227977</v>
      </c>
      <c r="AH832" s="309">
        <f t="shared" si="126"/>
        <v>1634.5327777093328</v>
      </c>
      <c r="AI832" s="86">
        <f>+AH832/(1-Analisis!G837)</f>
        <v>1634.5327777093328</v>
      </c>
      <c r="AJ832" s="86">
        <f t="shared" si="121"/>
        <v>1757.5621265691752</v>
      </c>
      <c r="AK832" s="86">
        <f t="shared" si="127"/>
        <v>0</v>
      </c>
      <c r="AL832" s="310" t="e">
        <f>+VLOOKUP(B832,#REF!,2,FALSE)</f>
        <v>#REF!</v>
      </c>
      <c r="AM832" s="311" t="e">
        <f t="shared" si="124"/>
        <v>#REF!</v>
      </c>
      <c r="AN832" s="312" t="e">
        <f t="shared" si="110"/>
        <v>#REF!</v>
      </c>
    </row>
    <row r="833" spans="1:40" s="73" customFormat="1" x14ac:dyDescent="0.25">
      <c r="A833" s="313"/>
      <c r="B833" s="329" t="s">
        <v>151</v>
      </c>
      <c r="D833" s="74">
        <f>IFERROR(VLOOKUP(B833,'REQ. PINTADO'!B:C,2,0),0)</f>
        <v>0</v>
      </c>
      <c r="E833" s="305">
        <f t="shared" si="114"/>
        <v>2387.0555493634247</v>
      </c>
      <c r="F833" s="103" t="s">
        <v>165</v>
      </c>
      <c r="G833" s="75" t="s">
        <v>147</v>
      </c>
      <c r="H833" s="90">
        <v>35.450000000000003</v>
      </c>
      <c r="I833" s="90">
        <v>98.74</v>
      </c>
      <c r="J833" s="76">
        <v>0.105</v>
      </c>
      <c r="K833" s="306">
        <v>16.38</v>
      </c>
      <c r="L833" s="78">
        <f t="shared" si="115"/>
        <v>195.39786244658126</v>
      </c>
      <c r="M833" s="58">
        <f>+VLOOKUP(F833,Material!$H$2:$M$17,6,FALSE)*H833*I833*(1+Material!$K$14)</f>
        <v>1454.8259031250002</v>
      </c>
      <c r="N833" s="79" t="str">
        <f t="shared" si="123"/>
        <v>T5.0</v>
      </c>
      <c r="O833" s="80">
        <f>+VLOOKUP(N833,[3]Material!$A$3:$B$58,2,FALSE)</f>
        <v>5000</v>
      </c>
      <c r="P833" s="79" t="s">
        <v>42</v>
      </c>
      <c r="Q833" s="79" t="str">
        <f>+VLOOKUP(F833,[3]Material!$C$2:$E$12,2,FALSE)</f>
        <v>Cal 14</v>
      </c>
      <c r="R833" s="81">
        <f>+IF(P833="ACERO A36",VLOOKUP(Q833,'[3]Velocidades Std 1500 w'!$B$2:$F$15,5,FALSE),IF(P833="INOXIDABLE",VLOOKUP(Q833,'[3]Velocidades Std 1500 w'!$B$17:$F$28,5,FALSE),IF(P833="ALUMINIO",VLOOKUP(Q833,'[3]Velocidades Std 1500 w'!$B$30:$F$38,5,FALSE))))</f>
        <v>2.0080321285140564E-6</v>
      </c>
      <c r="S833" s="82">
        <f t="shared" si="116"/>
        <v>1.0040160642570283E-2</v>
      </c>
      <c r="T833" s="83">
        <f t="shared" si="117"/>
        <v>57.526226024096395</v>
      </c>
      <c r="U833" s="307">
        <f t="shared" si="125"/>
        <v>7957.7946000000002</v>
      </c>
      <c r="V833" s="80">
        <f t="shared" si="122"/>
        <v>79.897536144578325</v>
      </c>
      <c r="W833" s="98">
        <v>20</v>
      </c>
      <c r="X833" s="84">
        <f>+IF(P833="ACERO A36",VLOOKUP(Q833,'[3]Tiempo Objeto'!$B$2:$C$12,2,FALSE),IF(P833="INOXIDABLE",VLOOKUP(Q833,'[3]Tiempo Objeto'!$B$14:$C$22,2,FALSE),IF(P833="ALUMINIO",VLOOKUP(Q833,'[3]Tiempo Objeto'!$B$24:$C$32,2,FALSE))))</f>
        <v>0.3133333333333333</v>
      </c>
      <c r="Y833" s="84">
        <f t="shared" si="118"/>
        <v>6.2666666666666657</v>
      </c>
      <c r="Z833" s="80">
        <f t="shared" si="119"/>
        <v>8.7037037037037024</v>
      </c>
      <c r="AA833" s="100">
        <v>3</v>
      </c>
      <c r="AB833" s="86">
        <f>+AA833*Analisis!$J$6</f>
        <v>75</v>
      </c>
      <c r="AC833" s="100"/>
      <c r="AD833" s="85">
        <f t="shared" si="120"/>
        <v>0</v>
      </c>
      <c r="AE833" s="86">
        <f>+AC833*Analisis!$J$7</f>
        <v>0</v>
      </c>
      <c r="AF833" s="308">
        <f>+H833*0.0254*I833*0.0254*2*(1+[3]Analisis!$G$2)</f>
        <v>5.6456870956999996</v>
      </c>
      <c r="AG833" s="86">
        <f>+AF833*Analisis!$J$8</f>
        <v>601.53451793470254</v>
      </c>
      <c r="AH833" s="309">
        <f t="shared" si="126"/>
        <v>2219.9616609079849</v>
      </c>
      <c r="AI833" s="86">
        <f>+AH833/(1-Analisis!G838)</f>
        <v>2219.9616609079849</v>
      </c>
      <c r="AJ833" s="86">
        <f t="shared" si="121"/>
        <v>2387.0555493634247</v>
      </c>
      <c r="AK833" s="86">
        <f t="shared" si="127"/>
        <v>0</v>
      </c>
      <c r="AL833" s="310" t="e">
        <f>+VLOOKUP(B833,#REF!,2,FALSE)</f>
        <v>#REF!</v>
      </c>
      <c r="AM833" s="311" t="e">
        <f t="shared" si="124"/>
        <v>#REF!</v>
      </c>
      <c r="AN833" s="312" t="e">
        <f t="shared" si="110"/>
        <v>#REF!</v>
      </c>
    </row>
    <row r="834" spans="1:40" s="73" customFormat="1" x14ac:dyDescent="0.25">
      <c r="A834" s="313"/>
      <c r="B834" s="329" t="s">
        <v>1537</v>
      </c>
      <c r="D834" s="74">
        <f>IFERROR(VLOOKUP(B834,'REQ. PINTADO'!B:C,2,0),0)</f>
        <v>0</v>
      </c>
      <c r="E834" s="305">
        <f t="shared" si="114"/>
        <v>1757.5621265691752</v>
      </c>
      <c r="F834" s="103" t="s">
        <v>165</v>
      </c>
      <c r="G834" s="75" t="s">
        <v>147</v>
      </c>
      <c r="H834" s="90">
        <v>25.45</v>
      </c>
      <c r="I834" s="90">
        <v>98.74</v>
      </c>
      <c r="J834" s="76">
        <v>0.105</v>
      </c>
      <c r="K834" s="306">
        <v>16.38</v>
      </c>
      <c r="L834" s="78">
        <f t="shared" si="115"/>
        <v>140.27857825854701</v>
      </c>
      <c r="M834" s="58">
        <f>+VLOOKUP(F834,Material!$H$2:$M$17,6,FALSE)*H834*I834*(1+Material!$K$14)</f>
        <v>1044.437778125</v>
      </c>
      <c r="N834" s="79" t="str">
        <f t="shared" si="123"/>
        <v>T5.0</v>
      </c>
      <c r="O834" s="80">
        <f>+VLOOKUP(N834,[3]Material!$A$3:$B$58,2,FALSE)</f>
        <v>5000</v>
      </c>
      <c r="P834" s="79" t="s">
        <v>42</v>
      </c>
      <c r="Q834" s="79" t="str">
        <f>+VLOOKUP(F834,[3]Material!$C$2:$E$12,2,FALSE)</f>
        <v>Cal 14</v>
      </c>
      <c r="R834" s="81">
        <f>+IF(P834="ACERO A36",VLOOKUP(Q834,'[3]Velocidades Std 1500 w'!$B$2:$F$15,5,FALSE),IF(P834="INOXIDABLE",VLOOKUP(Q834,'[3]Velocidades Std 1500 w'!$B$17:$F$28,5,FALSE),IF(P834="ALUMINIO",VLOOKUP(Q834,'[3]Velocidades Std 1500 w'!$B$30:$F$38,5,FALSE))))</f>
        <v>2.0080321285140564E-6</v>
      </c>
      <c r="S834" s="82">
        <f t="shared" si="116"/>
        <v>1.0040160642570283E-2</v>
      </c>
      <c r="T834" s="83">
        <f t="shared" si="117"/>
        <v>53.670322409638565</v>
      </c>
      <c r="U834" s="307">
        <f t="shared" si="125"/>
        <v>7424.3946000000005</v>
      </c>
      <c r="V834" s="80">
        <f t="shared" si="122"/>
        <v>74.542114457831346</v>
      </c>
      <c r="W834" s="98">
        <v>20</v>
      </c>
      <c r="X834" s="84">
        <f>+IF(P834="ACERO A36",VLOOKUP(Q834,'[3]Tiempo Objeto'!$B$2:$C$12,2,FALSE),IF(P834="INOXIDABLE",VLOOKUP(Q834,'[3]Tiempo Objeto'!$B$14:$C$22,2,FALSE),IF(P834="ALUMINIO",VLOOKUP(Q834,'[3]Tiempo Objeto'!$B$24:$C$32,2,FALSE))))</f>
        <v>0.3133333333333333</v>
      </c>
      <c r="Y834" s="84">
        <f t="shared" si="118"/>
        <v>6.2666666666666657</v>
      </c>
      <c r="Z834" s="80">
        <f t="shared" si="119"/>
        <v>8.7037037037037024</v>
      </c>
      <c r="AA834" s="100">
        <v>3</v>
      </c>
      <c r="AB834" s="86">
        <f>+AA834*Analisis!$J$6</f>
        <v>75</v>
      </c>
      <c r="AC834" s="100"/>
      <c r="AD834" s="85">
        <f t="shared" si="120"/>
        <v>0</v>
      </c>
      <c r="AE834" s="86">
        <f>+AC834*Analisis!$J$7</f>
        <v>0</v>
      </c>
      <c r="AF834" s="308">
        <f>+H834*0.0254*I834*0.0254*2*(1+[3]Analisis!$G$2)</f>
        <v>4.0531096356999994</v>
      </c>
      <c r="AG834" s="86">
        <f>+AF834*Analisis!$J$8</f>
        <v>431.8491814227977</v>
      </c>
      <c r="AH834" s="309">
        <f t="shared" si="126"/>
        <v>1634.5327777093328</v>
      </c>
      <c r="AI834" s="86">
        <f>+AH834/(1-Analisis!G839)</f>
        <v>1634.5327777093328</v>
      </c>
      <c r="AJ834" s="86">
        <f t="shared" si="121"/>
        <v>1757.5621265691752</v>
      </c>
      <c r="AK834" s="86">
        <f t="shared" si="127"/>
        <v>0</v>
      </c>
      <c r="AL834" s="310" t="e">
        <f>+VLOOKUP(B834,#REF!,2,FALSE)</f>
        <v>#REF!</v>
      </c>
      <c r="AM834" s="311" t="e">
        <f t="shared" si="124"/>
        <v>#REF!</v>
      </c>
      <c r="AN834" s="312" t="e">
        <f t="shared" si="110"/>
        <v>#REF!</v>
      </c>
    </row>
    <row r="835" spans="1:40" s="73" customFormat="1" x14ac:dyDescent="0.25">
      <c r="A835" s="313"/>
      <c r="B835" s="329" t="s">
        <v>1538</v>
      </c>
      <c r="D835" s="74">
        <f>IFERROR(VLOOKUP(B835,'REQ. PINTADO'!B:C,2,0),0)</f>
        <v>0</v>
      </c>
      <c r="E835" s="305">
        <f t="shared" si="114"/>
        <v>2387.0555493634247</v>
      </c>
      <c r="F835" s="103" t="s">
        <v>165</v>
      </c>
      <c r="G835" s="75" t="s">
        <v>147</v>
      </c>
      <c r="H835" s="90">
        <v>35.450000000000003</v>
      </c>
      <c r="I835" s="90">
        <v>98.74</v>
      </c>
      <c r="J835" s="76">
        <v>0.105</v>
      </c>
      <c r="K835" s="306">
        <v>16.38</v>
      </c>
      <c r="L835" s="78">
        <f t="shared" si="115"/>
        <v>195.39786244658126</v>
      </c>
      <c r="M835" s="58">
        <f>+VLOOKUP(F835,Material!$H$2:$M$17,6,FALSE)*H835*I835*(1+Material!$K$14)</f>
        <v>1454.8259031250002</v>
      </c>
      <c r="N835" s="79" t="str">
        <f t="shared" si="123"/>
        <v>T5.0</v>
      </c>
      <c r="O835" s="80">
        <f>+VLOOKUP(N835,[3]Material!$A$3:$B$58,2,FALSE)</f>
        <v>5000</v>
      </c>
      <c r="P835" s="79" t="s">
        <v>42</v>
      </c>
      <c r="Q835" s="79" t="str">
        <f>+VLOOKUP(F835,[3]Material!$C$2:$E$12,2,FALSE)</f>
        <v>Cal 14</v>
      </c>
      <c r="R835" s="81">
        <f>+IF(P835="ACERO A36",VLOOKUP(Q835,'[3]Velocidades Std 1500 w'!$B$2:$F$15,5,FALSE),IF(P835="INOXIDABLE",VLOOKUP(Q835,'[3]Velocidades Std 1500 w'!$B$17:$F$28,5,FALSE),IF(P835="ALUMINIO",VLOOKUP(Q835,'[3]Velocidades Std 1500 w'!$B$30:$F$38,5,FALSE))))</f>
        <v>2.0080321285140564E-6</v>
      </c>
      <c r="S835" s="82">
        <f t="shared" si="116"/>
        <v>1.0040160642570283E-2</v>
      </c>
      <c r="T835" s="83">
        <f t="shared" si="117"/>
        <v>57.526226024096395</v>
      </c>
      <c r="U835" s="307">
        <f t="shared" si="125"/>
        <v>7957.7946000000002</v>
      </c>
      <c r="V835" s="80">
        <f t="shared" si="122"/>
        <v>79.897536144578325</v>
      </c>
      <c r="W835" s="98">
        <v>20</v>
      </c>
      <c r="X835" s="84">
        <f>+IF(P835="ACERO A36",VLOOKUP(Q835,'[3]Tiempo Objeto'!$B$2:$C$12,2,FALSE),IF(P835="INOXIDABLE",VLOOKUP(Q835,'[3]Tiempo Objeto'!$B$14:$C$22,2,FALSE),IF(P835="ALUMINIO",VLOOKUP(Q835,'[3]Tiempo Objeto'!$B$24:$C$32,2,FALSE))))</f>
        <v>0.3133333333333333</v>
      </c>
      <c r="Y835" s="84">
        <f t="shared" si="118"/>
        <v>6.2666666666666657</v>
      </c>
      <c r="Z835" s="80">
        <f t="shared" si="119"/>
        <v>8.7037037037037024</v>
      </c>
      <c r="AA835" s="100">
        <v>3</v>
      </c>
      <c r="AB835" s="86">
        <f>+AA835*Analisis!$J$6</f>
        <v>75</v>
      </c>
      <c r="AC835" s="100"/>
      <c r="AD835" s="85">
        <f t="shared" si="120"/>
        <v>0</v>
      </c>
      <c r="AE835" s="86">
        <f>+AC835*Analisis!$J$7</f>
        <v>0</v>
      </c>
      <c r="AF835" s="308">
        <f>+H835*0.0254*I835*0.0254*2*(1+[3]Analisis!$G$2)</f>
        <v>5.6456870956999996</v>
      </c>
      <c r="AG835" s="86">
        <f>+AF835*Analisis!$J$8</f>
        <v>601.53451793470254</v>
      </c>
      <c r="AH835" s="309">
        <f t="shared" si="126"/>
        <v>2219.9616609079849</v>
      </c>
      <c r="AI835" s="86">
        <f>+AH835/(1-Analisis!G840)</f>
        <v>2219.9616609079849</v>
      </c>
      <c r="AJ835" s="86">
        <f t="shared" si="121"/>
        <v>2387.0555493634247</v>
      </c>
      <c r="AK835" s="86">
        <f t="shared" si="127"/>
        <v>0</v>
      </c>
      <c r="AL835" s="310" t="e">
        <f>+VLOOKUP(B835,#REF!,2,FALSE)</f>
        <v>#REF!</v>
      </c>
      <c r="AM835" s="311" t="e">
        <f t="shared" si="124"/>
        <v>#REF!</v>
      </c>
      <c r="AN835" s="312" t="e">
        <f t="shared" si="110"/>
        <v>#REF!</v>
      </c>
    </row>
    <row r="836" spans="1:40" s="73" customFormat="1" x14ac:dyDescent="0.25">
      <c r="A836" s="313"/>
      <c r="B836" s="329" t="s">
        <v>1532</v>
      </c>
      <c r="D836" s="74">
        <f>IFERROR(VLOOKUP(B836,'REQ. PINTADO'!B:C,2,0),0)</f>
        <v>0</v>
      </c>
      <c r="E836" s="305">
        <f t="shared" si="114"/>
        <v>1507.7750687890918</v>
      </c>
      <c r="F836" s="103" t="s">
        <v>165</v>
      </c>
      <c r="G836" s="75" t="s">
        <v>147</v>
      </c>
      <c r="H836" s="90">
        <v>25.45</v>
      </c>
      <c r="I836" s="90">
        <v>83.74</v>
      </c>
      <c r="J836" s="76">
        <v>0.105</v>
      </c>
      <c r="K836" s="306">
        <v>16.38</v>
      </c>
      <c r="L836" s="78">
        <f t="shared" si="115"/>
        <v>118.96828178418805</v>
      </c>
      <c r="M836" s="58">
        <f>+VLOOKUP(F836,Material!$H$2:$M$17,6,FALSE)*H836*I836*(1+Material!$K$14)</f>
        <v>885.77293437499998</v>
      </c>
      <c r="N836" s="79" t="str">
        <f t="shared" ref="N836:N899" si="128">+N835</f>
        <v>T5.0</v>
      </c>
      <c r="O836" s="80">
        <f>+VLOOKUP(N836,[3]Material!$A$3:$B$58,2,FALSE)</f>
        <v>5000</v>
      </c>
      <c r="P836" s="79" t="s">
        <v>42</v>
      </c>
      <c r="Q836" s="79" t="str">
        <f>+VLOOKUP(F836,[3]Material!$C$2:$E$12,2,FALSE)</f>
        <v>Cal 14</v>
      </c>
      <c r="R836" s="81">
        <f>+IF(P836="ACERO A36",VLOOKUP(Q836,'[3]Velocidades Std 1500 w'!$B$2:$F$15,5,FALSE),IF(P836="INOXIDABLE",VLOOKUP(Q836,'[3]Velocidades Std 1500 w'!$B$17:$F$28,5,FALSE),IF(P836="ALUMINIO",VLOOKUP(Q836,'[3]Velocidades Std 1500 w'!$B$30:$F$38,5,FALSE))))</f>
        <v>2.0080321285140564E-6</v>
      </c>
      <c r="S836" s="82">
        <f t="shared" si="116"/>
        <v>1.0040160642570283E-2</v>
      </c>
      <c r="T836" s="83">
        <f t="shared" si="117"/>
        <v>47.886466987951813</v>
      </c>
      <c r="U836" s="307">
        <f t="shared" si="125"/>
        <v>6624.2946000000002</v>
      </c>
      <c r="V836" s="80">
        <f t="shared" si="122"/>
        <v>66.508981927710863</v>
      </c>
      <c r="W836" s="98">
        <v>20</v>
      </c>
      <c r="X836" s="84">
        <f>+IF(P836="ACERO A36",VLOOKUP(Q836,'[3]Tiempo Objeto'!$B$2:$C$12,2,FALSE),IF(P836="INOXIDABLE",VLOOKUP(Q836,'[3]Tiempo Objeto'!$B$14:$C$22,2,FALSE),IF(P836="ALUMINIO",VLOOKUP(Q836,'[3]Tiempo Objeto'!$B$24:$C$32,2,FALSE))))</f>
        <v>0.3133333333333333</v>
      </c>
      <c r="Y836" s="84">
        <f t="shared" si="118"/>
        <v>6.2666666666666657</v>
      </c>
      <c r="Z836" s="80">
        <f t="shared" si="119"/>
        <v>8.7037037037037024</v>
      </c>
      <c r="AA836" s="100">
        <v>3</v>
      </c>
      <c r="AB836" s="86">
        <f>+AA836*Analisis!$J$6</f>
        <v>75</v>
      </c>
      <c r="AC836" s="100"/>
      <c r="AD836" s="85">
        <f t="shared" si="120"/>
        <v>0</v>
      </c>
      <c r="AE836" s="86">
        <f>+AC836*Analisis!$J$7</f>
        <v>0</v>
      </c>
      <c r="AF836" s="308">
        <f>+H836*0.0254*I836*0.0254*2*(1+[3]Analisis!$G$2)</f>
        <v>3.4373850606999996</v>
      </c>
      <c r="AG836" s="86">
        <f>+AF836*Analisis!$J$8</f>
        <v>366.24519396744057</v>
      </c>
      <c r="AH836" s="309">
        <f t="shared" si="126"/>
        <v>1402.2308139738552</v>
      </c>
      <c r="AI836" s="86">
        <f>+AH836/(1-Analisis!G841)</f>
        <v>1402.2308139738552</v>
      </c>
      <c r="AJ836" s="86">
        <f t="shared" si="121"/>
        <v>1507.7750687890918</v>
      </c>
      <c r="AK836" s="86">
        <f t="shared" si="127"/>
        <v>0</v>
      </c>
      <c r="AL836" s="310" t="e">
        <f>+VLOOKUP(B836,#REF!,2,FALSE)</f>
        <v>#REF!</v>
      </c>
      <c r="AM836" s="311" t="e">
        <f t="shared" si="124"/>
        <v>#REF!</v>
      </c>
      <c r="AN836" s="312" t="e">
        <f t="shared" si="110"/>
        <v>#REF!</v>
      </c>
    </row>
    <row r="837" spans="1:40" s="73" customFormat="1" x14ac:dyDescent="0.25">
      <c r="A837" s="313"/>
      <c r="B837" s="329" t="s">
        <v>1533</v>
      </c>
      <c r="D837" s="74">
        <f>IFERROR(VLOOKUP(B837,'REQ. PINTADO'!B:C,2,0),0)</f>
        <v>0</v>
      </c>
      <c r="E837" s="305">
        <f t="shared" si="114"/>
        <v>2042.5143537185172</v>
      </c>
      <c r="F837" s="103" t="s">
        <v>165</v>
      </c>
      <c r="G837" s="75" t="s">
        <v>147</v>
      </c>
      <c r="H837" s="90">
        <v>35.450000000000003</v>
      </c>
      <c r="I837" s="90">
        <v>83.74</v>
      </c>
      <c r="J837" s="76">
        <v>0.105</v>
      </c>
      <c r="K837" s="306">
        <v>16.38</v>
      </c>
      <c r="L837" s="78">
        <f t="shared" si="115"/>
        <v>165.71416853632479</v>
      </c>
      <c r="M837" s="58">
        <f>+VLOOKUP(F837,Material!$H$2:$M$17,6,FALSE)*H837*I837*(1+Material!$K$14)</f>
        <v>1233.8173093749999</v>
      </c>
      <c r="N837" s="79" t="str">
        <f t="shared" si="128"/>
        <v>T5.0</v>
      </c>
      <c r="O837" s="80">
        <f>+VLOOKUP(N837,[3]Material!$A$3:$B$58,2,FALSE)</f>
        <v>5000</v>
      </c>
      <c r="P837" s="79" t="s">
        <v>42</v>
      </c>
      <c r="Q837" s="79" t="str">
        <f>+VLOOKUP(F837,[3]Material!$C$2:$E$12,2,FALSE)</f>
        <v>Cal 14</v>
      </c>
      <c r="R837" s="81">
        <f>+IF(P837="ACERO A36",VLOOKUP(Q837,'[3]Velocidades Std 1500 w'!$B$2:$F$15,5,FALSE),IF(P837="INOXIDABLE",VLOOKUP(Q837,'[3]Velocidades Std 1500 w'!$B$17:$F$28,5,FALSE),IF(P837="ALUMINIO",VLOOKUP(Q837,'[3]Velocidades Std 1500 w'!$B$30:$F$38,5,FALSE))))</f>
        <v>2.0080321285140564E-6</v>
      </c>
      <c r="S837" s="82">
        <f t="shared" si="116"/>
        <v>1.0040160642570283E-2</v>
      </c>
      <c r="T837" s="83">
        <f t="shared" si="117"/>
        <v>51.742370602409643</v>
      </c>
      <c r="U837" s="307">
        <f t="shared" si="125"/>
        <v>7157.6945999999998</v>
      </c>
      <c r="V837" s="80">
        <f t="shared" si="122"/>
        <v>71.864403614457842</v>
      </c>
      <c r="W837" s="98">
        <v>20</v>
      </c>
      <c r="X837" s="84">
        <f>+IF(P837="ACERO A36",VLOOKUP(Q837,'[3]Tiempo Objeto'!$B$2:$C$12,2,FALSE),IF(P837="INOXIDABLE",VLOOKUP(Q837,'[3]Tiempo Objeto'!$B$14:$C$22,2,FALSE),IF(P837="ALUMINIO",VLOOKUP(Q837,'[3]Tiempo Objeto'!$B$24:$C$32,2,FALSE))))</f>
        <v>0.3133333333333333</v>
      </c>
      <c r="Y837" s="84">
        <f t="shared" si="118"/>
        <v>6.2666666666666657</v>
      </c>
      <c r="Z837" s="80">
        <f t="shared" si="119"/>
        <v>8.7037037037037024</v>
      </c>
      <c r="AA837" s="100">
        <v>3</v>
      </c>
      <c r="AB837" s="86">
        <f>+AA837*Analisis!$J$6</f>
        <v>75</v>
      </c>
      <c r="AC837" s="100"/>
      <c r="AD837" s="85">
        <f t="shared" si="120"/>
        <v>0</v>
      </c>
      <c r="AE837" s="86">
        <f>+AC837*Analisis!$J$7</f>
        <v>0</v>
      </c>
      <c r="AF837" s="308">
        <f>+H837*0.0254*I837*0.0254*2*(1+[3]Analisis!$G$2)</f>
        <v>4.7880275206999992</v>
      </c>
      <c r="AG837" s="86">
        <f>+AF837*Analisis!$J$8</f>
        <v>510.15293226505958</v>
      </c>
      <c r="AH837" s="309">
        <f t="shared" si="126"/>
        <v>1899.5383489582209</v>
      </c>
      <c r="AI837" s="86">
        <f>+AH837/(1-Analisis!G842)</f>
        <v>1899.5383489582209</v>
      </c>
      <c r="AJ837" s="86">
        <f t="shared" si="121"/>
        <v>2042.5143537185172</v>
      </c>
      <c r="AK837" s="86">
        <f t="shared" si="127"/>
        <v>0</v>
      </c>
      <c r="AL837" s="310" t="e">
        <f>+VLOOKUP(B837,#REF!,2,FALSE)</f>
        <v>#REF!</v>
      </c>
      <c r="AM837" s="311" t="e">
        <f t="shared" si="124"/>
        <v>#REF!</v>
      </c>
      <c r="AN837" s="312" t="e">
        <f t="shared" si="110"/>
        <v>#REF!</v>
      </c>
    </row>
    <row r="838" spans="1:40" s="73" customFormat="1" x14ac:dyDescent="0.25">
      <c r="A838" s="313"/>
      <c r="B838" s="329" t="s">
        <v>1534</v>
      </c>
      <c r="D838" s="74">
        <f>IFERROR(VLOOKUP(B838,'REQ. PINTADO'!B:C,2,0),0)</f>
        <v>0</v>
      </c>
      <c r="E838" s="305">
        <f t="shared" si="114"/>
        <v>1591.0374213824525</v>
      </c>
      <c r="F838" s="103" t="s">
        <v>165</v>
      </c>
      <c r="G838" s="75" t="s">
        <v>147</v>
      </c>
      <c r="H838" s="90">
        <v>25.45</v>
      </c>
      <c r="I838" s="90">
        <v>88.74</v>
      </c>
      <c r="J838" s="76">
        <v>0.105</v>
      </c>
      <c r="K838" s="306">
        <v>16.38</v>
      </c>
      <c r="L838" s="78">
        <f t="shared" si="115"/>
        <v>126.07171394230771</v>
      </c>
      <c r="M838" s="58">
        <f>+VLOOKUP(F838,Material!$H$2:$M$17,6,FALSE)*H838*I838*(1+Material!$K$14)</f>
        <v>938.66121562499995</v>
      </c>
      <c r="N838" s="79" t="str">
        <f t="shared" si="128"/>
        <v>T5.0</v>
      </c>
      <c r="O838" s="80">
        <f>+VLOOKUP(N838,[3]Material!$A$3:$B$58,2,FALSE)</f>
        <v>5000</v>
      </c>
      <c r="P838" s="79" t="s">
        <v>42</v>
      </c>
      <c r="Q838" s="79" t="str">
        <f>+VLOOKUP(F838,[3]Material!$C$2:$E$12,2,FALSE)</f>
        <v>Cal 14</v>
      </c>
      <c r="R838" s="81">
        <f>+IF(P838="ACERO A36",VLOOKUP(Q838,'[3]Velocidades Std 1500 w'!$B$2:$F$15,5,FALSE),IF(P838="INOXIDABLE",VLOOKUP(Q838,'[3]Velocidades Std 1500 w'!$B$17:$F$28,5,FALSE),IF(P838="ALUMINIO",VLOOKUP(Q838,'[3]Velocidades Std 1500 w'!$B$30:$F$38,5,FALSE))))</f>
        <v>2.0080321285140564E-6</v>
      </c>
      <c r="S838" s="82">
        <f t="shared" si="116"/>
        <v>1.0040160642570283E-2</v>
      </c>
      <c r="T838" s="83">
        <f t="shared" si="117"/>
        <v>49.814418795180721</v>
      </c>
      <c r="U838" s="307">
        <f t="shared" si="125"/>
        <v>6890.9946</v>
      </c>
      <c r="V838" s="80">
        <f t="shared" si="122"/>
        <v>69.186692771084353</v>
      </c>
      <c r="W838" s="98">
        <v>20</v>
      </c>
      <c r="X838" s="84">
        <f>+IF(P838="ACERO A36",VLOOKUP(Q838,'[3]Tiempo Objeto'!$B$2:$C$12,2,FALSE),IF(P838="INOXIDABLE",VLOOKUP(Q838,'[3]Tiempo Objeto'!$B$14:$C$22,2,FALSE),IF(P838="ALUMINIO",VLOOKUP(Q838,'[3]Tiempo Objeto'!$B$24:$C$32,2,FALSE))))</f>
        <v>0.3133333333333333</v>
      </c>
      <c r="Y838" s="84">
        <f t="shared" si="118"/>
        <v>6.2666666666666657</v>
      </c>
      <c r="Z838" s="80">
        <f t="shared" si="119"/>
        <v>8.7037037037037024</v>
      </c>
      <c r="AA838" s="100">
        <v>3</v>
      </c>
      <c r="AB838" s="86">
        <f>+AA838*Analisis!$J$6</f>
        <v>75</v>
      </c>
      <c r="AC838" s="100"/>
      <c r="AD838" s="85">
        <f t="shared" si="120"/>
        <v>0</v>
      </c>
      <c r="AE838" s="86">
        <f>+AC838*Analisis!$J$7</f>
        <v>0</v>
      </c>
      <c r="AF838" s="308">
        <f>+H838*0.0254*I838*0.0254*2*(1+[3]Analisis!$G$2)</f>
        <v>3.6426265856999991</v>
      </c>
      <c r="AG838" s="86">
        <f>+AF838*Analisis!$J$8</f>
        <v>388.11318978589287</v>
      </c>
      <c r="AH838" s="309">
        <f t="shared" si="126"/>
        <v>1479.6648018856808</v>
      </c>
      <c r="AI838" s="86">
        <f>+AH838/(1-Analisis!G843)</f>
        <v>1479.6648018856808</v>
      </c>
      <c r="AJ838" s="86">
        <f t="shared" si="121"/>
        <v>1591.0374213824525</v>
      </c>
      <c r="AK838" s="86">
        <f t="shared" si="127"/>
        <v>0</v>
      </c>
      <c r="AL838" s="310" t="e">
        <f>+VLOOKUP(B838,#REF!,2,FALSE)</f>
        <v>#REF!</v>
      </c>
      <c r="AM838" s="311" t="e">
        <f t="shared" si="124"/>
        <v>#REF!</v>
      </c>
      <c r="AN838" s="312" t="e">
        <f t="shared" si="110"/>
        <v>#REF!</v>
      </c>
    </row>
    <row r="839" spans="1:40" s="73" customFormat="1" x14ac:dyDescent="0.25">
      <c r="A839" s="313"/>
      <c r="B839" s="329" t="s">
        <v>1535</v>
      </c>
      <c r="D839" s="74">
        <f>IFERROR(VLOOKUP(B839,'REQ. PINTADO'!B:C,2,0),0)</f>
        <v>0</v>
      </c>
      <c r="E839" s="305">
        <f t="shared" si="114"/>
        <v>2157.3614189334867</v>
      </c>
      <c r="F839" s="103" t="s">
        <v>165</v>
      </c>
      <c r="G839" s="75" t="s">
        <v>147</v>
      </c>
      <c r="H839" s="90">
        <v>35.450000000000003</v>
      </c>
      <c r="I839" s="90">
        <v>88.74</v>
      </c>
      <c r="J839" s="76">
        <v>0.105</v>
      </c>
      <c r="K839" s="306">
        <v>16.38</v>
      </c>
      <c r="L839" s="78">
        <f t="shared" si="115"/>
        <v>175.60873317307696</v>
      </c>
      <c r="M839" s="58">
        <f>+VLOOKUP(F839,Material!$H$2:$M$17,6,FALSE)*H839*I839*(1+Material!$K$14)</f>
        <v>1307.486840625</v>
      </c>
      <c r="N839" s="79" t="str">
        <f t="shared" si="128"/>
        <v>T5.0</v>
      </c>
      <c r="O839" s="80">
        <f>+VLOOKUP(N839,[3]Material!$A$3:$B$58,2,FALSE)</f>
        <v>5000</v>
      </c>
      <c r="P839" s="79" t="s">
        <v>42</v>
      </c>
      <c r="Q839" s="79" t="str">
        <f>+VLOOKUP(F839,[3]Material!$C$2:$E$12,2,FALSE)</f>
        <v>Cal 14</v>
      </c>
      <c r="R839" s="81">
        <f>+IF(P839="ACERO A36",VLOOKUP(Q839,'[3]Velocidades Std 1500 w'!$B$2:$F$15,5,FALSE),IF(P839="INOXIDABLE",VLOOKUP(Q839,'[3]Velocidades Std 1500 w'!$B$17:$F$28,5,FALSE),IF(P839="ALUMINIO",VLOOKUP(Q839,'[3]Velocidades Std 1500 w'!$B$30:$F$38,5,FALSE))))</f>
        <v>2.0080321285140564E-6</v>
      </c>
      <c r="S839" s="82">
        <f t="shared" si="116"/>
        <v>1.0040160642570283E-2</v>
      </c>
      <c r="T839" s="83">
        <f t="shared" si="117"/>
        <v>53.670322409638565</v>
      </c>
      <c r="U839" s="307">
        <f t="shared" si="125"/>
        <v>7424.3946000000005</v>
      </c>
      <c r="V839" s="80">
        <f t="shared" si="122"/>
        <v>74.542114457831346</v>
      </c>
      <c r="W839" s="98">
        <v>20</v>
      </c>
      <c r="X839" s="84">
        <f>+IF(P839="ACERO A36",VLOOKUP(Q839,'[3]Tiempo Objeto'!$B$2:$C$12,2,FALSE),IF(P839="INOXIDABLE",VLOOKUP(Q839,'[3]Tiempo Objeto'!$B$14:$C$22,2,FALSE),IF(P839="ALUMINIO",VLOOKUP(Q839,'[3]Tiempo Objeto'!$B$24:$C$32,2,FALSE))))</f>
        <v>0.3133333333333333</v>
      </c>
      <c r="Y839" s="84">
        <f t="shared" si="118"/>
        <v>6.2666666666666657</v>
      </c>
      <c r="Z839" s="80">
        <f t="shared" si="119"/>
        <v>8.7037037037037024</v>
      </c>
      <c r="AA839" s="100">
        <v>3</v>
      </c>
      <c r="AB839" s="86">
        <f>+AA839*Analisis!$J$6</f>
        <v>75</v>
      </c>
      <c r="AC839" s="100"/>
      <c r="AD839" s="85">
        <f t="shared" si="120"/>
        <v>0</v>
      </c>
      <c r="AE839" s="86">
        <f>+AC839*Analisis!$J$7</f>
        <v>0</v>
      </c>
      <c r="AF839" s="308">
        <f>+H839*0.0254*I839*0.0254*2*(1+[3]Analisis!$G$2)</f>
        <v>5.0739140456999996</v>
      </c>
      <c r="AG839" s="86">
        <f>+AF839*Analisis!$J$8</f>
        <v>540.6134608216073</v>
      </c>
      <c r="AH839" s="309">
        <f t="shared" si="126"/>
        <v>2006.3461196081423</v>
      </c>
      <c r="AI839" s="86">
        <f>+AH839/(1-Analisis!G844)</f>
        <v>2006.3461196081423</v>
      </c>
      <c r="AJ839" s="86">
        <f t="shared" si="121"/>
        <v>2157.3614189334867</v>
      </c>
      <c r="AK839" s="86">
        <f t="shared" si="127"/>
        <v>0</v>
      </c>
      <c r="AL839" s="310" t="e">
        <f>+VLOOKUP(B839,#REF!,2,FALSE)</f>
        <v>#REF!</v>
      </c>
      <c r="AM839" s="311" t="e">
        <f t="shared" si="124"/>
        <v>#REF!</v>
      </c>
      <c r="AN839" s="312" t="e">
        <f t="shared" si="110"/>
        <v>#REF!</v>
      </c>
    </row>
    <row r="840" spans="1:40" s="73" customFormat="1" x14ac:dyDescent="0.25">
      <c r="A840" s="313"/>
      <c r="B840" s="329" t="s">
        <v>1536</v>
      </c>
      <c r="D840" s="74">
        <f>IFERROR(VLOOKUP(B840,'REQ. PINTADO'!B:C,2,0),0)</f>
        <v>0</v>
      </c>
      <c r="E840" s="305">
        <f t="shared" si="114"/>
        <v>1757.5621265691752</v>
      </c>
      <c r="F840" s="103" t="s">
        <v>165</v>
      </c>
      <c r="G840" s="75" t="s">
        <v>147</v>
      </c>
      <c r="H840" s="90">
        <v>25.45</v>
      </c>
      <c r="I840" s="90">
        <v>98.74</v>
      </c>
      <c r="J840" s="76">
        <v>0.105</v>
      </c>
      <c r="K840" s="306">
        <v>16.38</v>
      </c>
      <c r="L840" s="78">
        <f t="shared" si="115"/>
        <v>140.27857825854701</v>
      </c>
      <c r="M840" s="58">
        <f>+VLOOKUP(F840,Material!$H$2:$M$17,6,FALSE)*H840*I840*(1+Material!$K$14)</f>
        <v>1044.437778125</v>
      </c>
      <c r="N840" s="79" t="str">
        <f t="shared" si="128"/>
        <v>T5.0</v>
      </c>
      <c r="O840" s="80">
        <f>+VLOOKUP(N840,[3]Material!$A$3:$B$58,2,FALSE)</f>
        <v>5000</v>
      </c>
      <c r="P840" s="79" t="s">
        <v>42</v>
      </c>
      <c r="Q840" s="79" t="str">
        <f>+VLOOKUP(F840,[3]Material!$C$2:$E$12,2,FALSE)</f>
        <v>Cal 14</v>
      </c>
      <c r="R840" s="81">
        <f>+IF(P840="ACERO A36",VLOOKUP(Q840,'[3]Velocidades Std 1500 w'!$B$2:$F$15,5,FALSE),IF(P840="INOXIDABLE",VLOOKUP(Q840,'[3]Velocidades Std 1500 w'!$B$17:$F$28,5,FALSE),IF(P840="ALUMINIO",VLOOKUP(Q840,'[3]Velocidades Std 1500 w'!$B$30:$F$38,5,FALSE))))</f>
        <v>2.0080321285140564E-6</v>
      </c>
      <c r="S840" s="82">
        <f t="shared" si="116"/>
        <v>1.0040160642570283E-2</v>
      </c>
      <c r="T840" s="83">
        <f t="shared" si="117"/>
        <v>53.670322409638565</v>
      </c>
      <c r="U840" s="307">
        <f t="shared" si="125"/>
        <v>7424.3946000000005</v>
      </c>
      <c r="V840" s="80">
        <f t="shared" si="122"/>
        <v>74.542114457831346</v>
      </c>
      <c r="W840" s="98">
        <v>20</v>
      </c>
      <c r="X840" s="84">
        <f>+IF(P840="ACERO A36",VLOOKUP(Q840,'[3]Tiempo Objeto'!$B$2:$C$12,2,FALSE),IF(P840="INOXIDABLE",VLOOKUP(Q840,'[3]Tiempo Objeto'!$B$14:$C$22,2,FALSE),IF(P840="ALUMINIO",VLOOKUP(Q840,'[3]Tiempo Objeto'!$B$24:$C$32,2,FALSE))))</f>
        <v>0.3133333333333333</v>
      </c>
      <c r="Y840" s="84">
        <f t="shared" si="118"/>
        <v>6.2666666666666657</v>
      </c>
      <c r="Z840" s="80">
        <f t="shared" si="119"/>
        <v>8.7037037037037024</v>
      </c>
      <c r="AA840" s="100">
        <v>3</v>
      </c>
      <c r="AB840" s="86">
        <f>+AA840*Analisis!$J$6</f>
        <v>75</v>
      </c>
      <c r="AC840" s="100"/>
      <c r="AD840" s="85">
        <f t="shared" si="120"/>
        <v>0</v>
      </c>
      <c r="AE840" s="86">
        <f>+AC840*Analisis!$J$7</f>
        <v>0</v>
      </c>
      <c r="AF840" s="308">
        <f>+H840*0.0254*I840*0.0254*2*(1+[3]Analisis!$G$2)</f>
        <v>4.0531096356999994</v>
      </c>
      <c r="AG840" s="86">
        <f>+AF840*Analisis!$J$8</f>
        <v>431.8491814227977</v>
      </c>
      <c r="AH840" s="309">
        <f t="shared" si="126"/>
        <v>1634.5327777093328</v>
      </c>
      <c r="AI840" s="86">
        <f>+AH840/(1-Analisis!G845)</f>
        <v>1634.5327777093328</v>
      </c>
      <c r="AJ840" s="86">
        <f t="shared" si="121"/>
        <v>1757.5621265691752</v>
      </c>
      <c r="AK840" s="86">
        <f t="shared" si="127"/>
        <v>0</v>
      </c>
      <c r="AL840" s="310" t="e">
        <f>+VLOOKUP(B840,#REF!,2,FALSE)</f>
        <v>#REF!</v>
      </c>
      <c r="AM840" s="311" t="e">
        <f t="shared" si="124"/>
        <v>#REF!</v>
      </c>
      <c r="AN840" s="312" t="e">
        <f t="shared" si="110"/>
        <v>#REF!</v>
      </c>
    </row>
    <row r="841" spans="1:40" s="73" customFormat="1" x14ac:dyDescent="0.25">
      <c r="A841" s="313"/>
      <c r="B841" s="329" t="s">
        <v>151</v>
      </c>
      <c r="D841" s="74">
        <f>IFERROR(VLOOKUP(B841,'REQ. PINTADO'!B:C,2,0),0)</f>
        <v>0</v>
      </c>
      <c r="E841" s="305">
        <f t="shared" si="114"/>
        <v>2387.0555493634247</v>
      </c>
      <c r="F841" s="103" t="s">
        <v>165</v>
      </c>
      <c r="G841" s="75" t="s">
        <v>147</v>
      </c>
      <c r="H841" s="90">
        <v>35.450000000000003</v>
      </c>
      <c r="I841" s="90">
        <v>98.74</v>
      </c>
      <c r="J841" s="76">
        <v>0.105</v>
      </c>
      <c r="K841" s="306">
        <v>16.38</v>
      </c>
      <c r="L841" s="78">
        <f t="shared" si="115"/>
        <v>195.39786244658126</v>
      </c>
      <c r="M841" s="58">
        <f>+VLOOKUP(F841,Material!$H$2:$M$17,6,FALSE)*H841*I841*(1+Material!$K$14)</f>
        <v>1454.8259031250002</v>
      </c>
      <c r="N841" s="79" t="str">
        <f t="shared" si="128"/>
        <v>T5.0</v>
      </c>
      <c r="O841" s="80">
        <f>+VLOOKUP(N841,[3]Material!$A$3:$B$58,2,FALSE)</f>
        <v>5000</v>
      </c>
      <c r="P841" s="79" t="s">
        <v>42</v>
      </c>
      <c r="Q841" s="79" t="str">
        <f>+VLOOKUP(F841,[3]Material!$C$2:$E$12,2,FALSE)</f>
        <v>Cal 14</v>
      </c>
      <c r="R841" s="81">
        <f>+IF(P841="ACERO A36",VLOOKUP(Q841,'[3]Velocidades Std 1500 w'!$B$2:$F$15,5,FALSE),IF(P841="INOXIDABLE",VLOOKUP(Q841,'[3]Velocidades Std 1500 w'!$B$17:$F$28,5,FALSE),IF(P841="ALUMINIO",VLOOKUP(Q841,'[3]Velocidades Std 1500 w'!$B$30:$F$38,5,FALSE))))</f>
        <v>2.0080321285140564E-6</v>
      </c>
      <c r="S841" s="82">
        <f t="shared" si="116"/>
        <v>1.0040160642570283E-2</v>
      </c>
      <c r="T841" s="83">
        <f t="shared" si="117"/>
        <v>57.526226024096395</v>
      </c>
      <c r="U841" s="307">
        <f t="shared" si="125"/>
        <v>7957.7946000000002</v>
      </c>
      <c r="V841" s="80">
        <f t="shared" si="122"/>
        <v>79.897536144578325</v>
      </c>
      <c r="W841" s="98">
        <v>20</v>
      </c>
      <c r="X841" s="84">
        <f>+IF(P841="ACERO A36",VLOOKUP(Q841,'[3]Tiempo Objeto'!$B$2:$C$12,2,FALSE),IF(P841="INOXIDABLE",VLOOKUP(Q841,'[3]Tiempo Objeto'!$B$14:$C$22,2,FALSE),IF(P841="ALUMINIO",VLOOKUP(Q841,'[3]Tiempo Objeto'!$B$24:$C$32,2,FALSE))))</f>
        <v>0.3133333333333333</v>
      </c>
      <c r="Y841" s="84">
        <f t="shared" si="118"/>
        <v>6.2666666666666657</v>
      </c>
      <c r="Z841" s="80">
        <f t="shared" si="119"/>
        <v>8.7037037037037024</v>
      </c>
      <c r="AA841" s="100">
        <v>3</v>
      </c>
      <c r="AB841" s="86">
        <f>+AA841*Analisis!$J$6</f>
        <v>75</v>
      </c>
      <c r="AC841" s="100"/>
      <c r="AD841" s="85">
        <f t="shared" si="120"/>
        <v>0</v>
      </c>
      <c r="AE841" s="86">
        <f>+AC841*Analisis!$J$7</f>
        <v>0</v>
      </c>
      <c r="AF841" s="308">
        <f>+H841*0.0254*I841*0.0254*2*(1+[3]Analisis!$G$2)</f>
        <v>5.6456870956999996</v>
      </c>
      <c r="AG841" s="86">
        <f>+AF841*Analisis!$J$8</f>
        <v>601.53451793470254</v>
      </c>
      <c r="AH841" s="309">
        <f t="shared" si="126"/>
        <v>2219.9616609079849</v>
      </c>
      <c r="AI841" s="86">
        <f>+AH841/(1-Analisis!G846)</f>
        <v>2219.9616609079849</v>
      </c>
      <c r="AJ841" s="86">
        <f t="shared" si="121"/>
        <v>2387.0555493634247</v>
      </c>
      <c r="AK841" s="86">
        <f t="shared" si="127"/>
        <v>0</v>
      </c>
      <c r="AL841" s="310" t="e">
        <f>+VLOOKUP(B841,#REF!,2,FALSE)</f>
        <v>#REF!</v>
      </c>
      <c r="AM841" s="311" t="e">
        <f t="shared" si="124"/>
        <v>#REF!</v>
      </c>
      <c r="AN841" s="312" t="e">
        <f t="shared" si="110"/>
        <v>#REF!</v>
      </c>
    </row>
    <row r="842" spans="1:40" s="73" customFormat="1" x14ac:dyDescent="0.25">
      <c r="A842" s="313"/>
      <c r="B842" s="329" t="s">
        <v>1537</v>
      </c>
      <c r="D842" s="74">
        <f>IFERROR(VLOOKUP(B842,'REQ. PINTADO'!B:C,2,0),0)</f>
        <v>0</v>
      </c>
      <c r="E842" s="305">
        <f t="shared" si="114"/>
        <v>1757.5621265691752</v>
      </c>
      <c r="F842" s="103" t="s">
        <v>165</v>
      </c>
      <c r="G842" s="75" t="s">
        <v>147</v>
      </c>
      <c r="H842" s="90">
        <v>25.45</v>
      </c>
      <c r="I842" s="90">
        <v>98.74</v>
      </c>
      <c r="J842" s="76">
        <v>0.105</v>
      </c>
      <c r="K842" s="306">
        <v>16.38</v>
      </c>
      <c r="L842" s="78">
        <f t="shared" si="115"/>
        <v>140.27857825854701</v>
      </c>
      <c r="M842" s="58">
        <f>+VLOOKUP(F842,Material!$H$2:$M$17,6,FALSE)*H842*I842*(1+Material!$K$14)</f>
        <v>1044.437778125</v>
      </c>
      <c r="N842" s="79" t="str">
        <f t="shared" si="128"/>
        <v>T5.0</v>
      </c>
      <c r="O842" s="80">
        <f>+VLOOKUP(N842,[3]Material!$A$3:$B$58,2,FALSE)</f>
        <v>5000</v>
      </c>
      <c r="P842" s="79" t="s">
        <v>42</v>
      </c>
      <c r="Q842" s="79" t="str">
        <f>+VLOOKUP(F842,[3]Material!$C$2:$E$12,2,FALSE)</f>
        <v>Cal 14</v>
      </c>
      <c r="R842" s="81">
        <f>+IF(P842="ACERO A36",VLOOKUP(Q842,'[3]Velocidades Std 1500 w'!$B$2:$F$15,5,FALSE),IF(P842="INOXIDABLE",VLOOKUP(Q842,'[3]Velocidades Std 1500 w'!$B$17:$F$28,5,FALSE),IF(P842="ALUMINIO",VLOOKUP(Q842,'[3]Velocidades Std 1500 w'!$B$30:$F$38,5,FALSE))))</f>
        <v>2.0080321285140564E-6</v>
      </c>
      <c r="S842" s="82">
        <f t="shared" si="116"/>
        <v>1.0040160642570283E-2</v>
      </c>
      <c r="T842" s="83">
        <f t="shared" si="117"/>
        <v>53.670322409638565</v>
      </c>
      <c r="U842" s="307">
        <f t="shared" si="125"/>
        <v>7424.3946000000005</v>
      </c>
      <c r="V842" s="80">
        <f t="shared" si="122"/>
        <v>74.542114457831346</v>
      </c>
      <c r="W842" s="98">
        <v>20</v>
      </c>
      <c r="X842" s="84">
        <f>+IF(P842="ACERO A36",VLOOKUP(Q842,'[3]Tiempo Objeto'!$B$2:$C$12,2,FALSE),IF(P842="INOXIDABLE",VLOOKUP(Q842,'[3]Tiempo Objeto'!$B$14:$C$22,2,FALSE),IF(P842="ALUMINIO",VLOOKUP(Q842,'[3]Tiempo Objeto'!$B$24:$C$32,2,FALSE))))</f>
        <v>0.3133333333333333</v>
      </c>
      <c r="Y842" s="84">
        <f t="shared" si="118"/>
        <v>6.2666666666666657</v>
      </c>
      <c r="Z842" s="80">
        <f t="shared" si="119"/>
        <v>8.7037037037037024</v>
      </c>
      <c r="AA842" s="100">
        <v>3</v>
      </c>
      <c r="AB842" s="86">
        <f>+AA842*Analisis!$J$6</f>
        <v>75</v>
      </c>
      <c r="AC842" s="100"/>
      <c r="AD842" s="85">
        <f t="shared" si="120"/>
        <v>0</v>
      </c>
      <c r="AE842" s="86">
        <f>+AC842*Analisis!$J$7</f>
        <v>0</v>
      </c>
      <c r="AF842" s="308">
        <f>+H842*0.0254*I842*0.0254*2*(1+[3]Analisis!$G$2)</f>
        <v>4.0531096356999994</v>
      </c>
      <c r="AG842" s="86">
        <f>+AF842*Analisis!$J$8</f>
        <v>431.8491814227977</v>
      </c>
      <c r="AH842" s="309">
        <f t="shared" si="126"/>
        <v>1634.5327777093328</v>
      </c>
      <c r="AI842" s="86">
        <f>+AH842/(1-Analisis!G847)</f>
        <v>1634.5327777093328</v>
      </c>
      <c r="AJ842" s="86">
        <f t="shared" si="121"/>
        <v>1757.5621265691752</v>
      </c>
      <c r="AK842" s="86">
        <f t="shared" si="127"/>
        <v>0</v>
      </c>
      <c r="AL842" s="310" t="e">
        <f>+VLOOKUP(B842,#REF!,2,FALSE)</f>
        <v>#REF!</v>
      </c>
      <c r="AM842" s="311" t="e">
        <f t="shared" si="124"/>
        <v>#REF!</v>
      </c>
      <c r="AN842" s="312" t="e">
        <f t="shared" si="110"/>
        <v>#REF!</v>
      </c>
    </row>
    <row r="843" spans="1:40" s="73" customFormat="1" x14ac:dyDescent="0.25">
      <c r="A843" s="313"/>
      <c r="B843" s="329" t="s">
        <v>1538</v>
      </c>
      <c r="D843" s="74">
        <f>IFERROR(VLOOKUP(B843,'REQ. PINTADO'!B:C,2,0),0)</f>
        <v>0</v>
      </c>
      <c r="E843" s="305">
        <f t="shared" si="114"/>
        <v>2387.0555493634247</v>
      </c>
      <c r="F843" s="103" t="s">
        <v>165</v>
      </c>
      <c r="G843" s="75" t="s">
        <v>147</v>
      </c>
      <c r="H843" s="90">
        <v>35.450000000000003</v>
      </c>
      <c r="I843" s="90">
        <v>98.74</v>
      </c>
      <c r="J843" s="76">
        <v>0.105</v>
      </c>
      <c r="K843" s="306">
        <v>16.38</v>
      </c>
      <c r="L843" s="78">
        <f t="shared" si="115"/>
        <v>195.39786244658126</v>
      </c>
      <c r="M843" s="58">
        <f>+VLOOKUP(F843,Material!$H$2:$M$17,6,FALSE)*H843*I843*(1+Material!$K$14)</f>
        <v>1454.8259031250002</v>
      </c>
      <c r="N843" s="79" t="str">
        <f t="shared" si="128"/>
        <v>T5.0</v>
      </c>
      <c r="O843" s="80">
        <f>+VLOOKUP(N843,[3]Material!$A$3:$B$58,2,FALSE)</f>
        <v>5000</v>
      </c>
      <c r="P843" s="79" t="s">
        <v>42</v>
      </c>
      <c r="Q843" s="79" t="str">
        <f>+VLOOKUP(F843,[3]Material!$C$2:$E$12,2,FALSE)</f>
        <v>Cal 14</v>
      </c>
      <c r="R843" s="81">
        <f>+IF(P843="ACERO A36",VLOOKUP(Q843,'[3]Velocidades Std 1500 w'!$B$2:$F$15,5,FALSE),IF(P843="INOXIDABLE",VLOOKUP(Q843,'[3]Velocidades Std 1500 w'!$B$17:$F$28,5,FALSE),IF(P843="ALUMINIO",VLOOKUP(Q843,'[3]Velocidades Std 1500 w'!$B$30:$F$38,5,FALSE))))</f>
        <v>2.0080321285140564E-6</v>
      </c>
      <c r="S843" s="82">
        <f t="shared" si="116"/>
        <v>1.0040160642570283E-2</v>
      </c>
      <c r="T843" s="83">
        <f t="shared" si="117"/>
        <v>57.526226024096395</v>
      </c>
      <c r="U843" s="307">
        <f t="shared" si="125"/>
        <v>7957.7946000000002</v>
      </c>
      <c r="V843" s="80">
        <f t="shared" si="122"/>
        <v>79.897536144578325</v>
      </c>
      <c r="W843" s="98">
        <v>20</v>
      </c>
      <c r="X843" s="84">
        <f>+IF(P843="ACERO A36",VLOOKUP(Q843,'[3]Tiempo Objeto'!$B$2:$C$12,2,FALSE),IF(P843="INOXIDABLE",VLOOKUP(Q843,'[3]Tiempo Objeto'!$B$14:$C$22,2,FALSE),IF(P843="ALUMINIO",VLOOKUP(Q843,'[3]Tiempo Objeto'!$B$24:$C$32,2,FALSE))))</f>
        <v>0.3133333333333333</v>
      </c>
      <c r="Y843" s="84">
        <f t="shared" si="118"/>
        <v>6.2666666666666657</v>
      </c>
      <c r="Z843" s="80">
        <f t="shared" si="119"/>
        <v>8.7037037037037024</v>
      </c>
      <c r="AA843" s="100">
        <v>3</v>
      </c>
      <c r="AB843" s="86">
        <f>+AA843*Analisis!$J$6</f>
        <v>75</v>
      </c>
      <c r="AC843" s="100"/>
      <c r="AD843" s="85">
        <f t="shared" si="120"/>
        <v>0</v>
      </c>
      <c r="AE843" s="86">
        <f>+AC843*Analisis!$J$7</f>
        <v>0</v>
      </c>
      <c r="AF843" s="308">
        <f>+H843*0.0254*I843*0.0254*2*(1+[3]Analisis!$G$2)</f>
        <v>5.6456870956999996</v>
      </c>
      <c r="AG843" s="86">
        <f>+AF843*Analisis!$J$8</f>
        <v>601.53451793470254</v>
      </c>
      <c r="AH843" s="309">
        <f t="shared" si="126"/>
        <v>2219.9616609079849</v>
      </c>
      <c r="AI843" s="86">
        <f>+AH843/(1-Analisis!G848)</f>
        <v>2219.9616609079849</v>
      </c>
      <c r="AJ843" s="86">
        <f t="shared" si="121"/>
        <v>2387.0555493634247</v>
      </c>
      <c r="AK843" s="86">
        <f t="shared" si="127"/>
        <v>0</v>
      </c>
      <c r="AL843" s="310" t="e">
        <f>+VLOOKUP(B843,#REF!,2,FALSE)</f>
        <v>#REF!</v>
      </c>
      <c r="AM843" s="311" t="e">
        <f t="shared" si="124"/>
        <v>#REF!</v>
      </c>
      <c r="AN843" s="312" t="e">
        <f t="shared" si="110"/>
        <v>#REF!</v>
      </c>
    </row>
    <row r="844" spans="1:40" s="73" customFormat="1" x14ac:dyDescent="0.25">
      <c r="A844" s="313"/>
      <c r="B844" s="314" t="s">
        <v>1539</v>
      </c>
      <c r="D844" s="74">
        <f>IFERROR(VLOOKUP(B844,'REQ. PINTADO'!B:C,2,0),0)</f>
        <v>0</v>
      </c>
      <c r="E844" s="305">
        <f t="shared" si="114"/>
        <v>1817.9168851545173</v>
      </c>
      <c r="F844" s="103" t="s">
        <v>165</v>
      </c>
      <c r="G844" s="75" t="s">
        <v>147</v>
      </c>
      <c r="H844" s="90">
        <v>22.72</v>
      </c>
      <c r="I844" s="90">
        <v>70.91</v>
      </c>
      <c r="J844" s="76">
        <v>0.105</v>
      </c>
      <c r="K844" s="306">
        <v>16.38</v>
      </c>
      <c r="L844" s="78">
        <f t="shared" si="115"/>
        <v>89.934486324786334</v>
      </c>
      <c r="M844" s="58">
        <f>+VLOOKUP(F844,Material!$H$2:$M$17,6,FALSE)*H844*I844*(1+Material!$K$14)</f>
        <v>669.60312999999996</v>
      </c>
      <c r="N844" s="79" t="str">
        <f t="shared" si="128"/>
        <v>T5.0</v>
      </c>
      <c r="O844" s="80">
        <f>+VLOOKUP(N844,[3]Material!$A$3:$B$58,2,FALSE)</f>
        <v>5000</v>
      </c>
      <c r="P844" s="79" t="s">
        <v>42</v>
      </c>
      <c r="Q844" s="79" t="str">
        <f>+VLOOKUP(F844,[3]Material!$C$2:$E$12,2,FALSE)</f>
        <v>Cal 14</v>
      </c>
      <c r="R844" s="81">
        <f>+IF(P844="ACERO A36",VLOOKUP(Q844,'[3]Velocidades Std 1500 w'!$B$2:$F$15,5,FALSE),IF(P844="INOXIDABLE",VLOOKUP(Q844,'[3]Velocidades Std 1500 w'!$B$17:$F$28,5,FALSE),IF(P844="ALUMINIO",VLOOKUP(Q844,'[3]Velocidades Std 1500 w'!$B$30:$F$38,5,FALSE))))</f>
        <v>2.0080321285140564E-6</v>
      </c>
      <c r="S844" s="82">
        <f t="shared" si="116"/>
        <v>1.0040160642570283E-2</v>
      </c>
      <c r="T844" s="83">
        <f t="shared" si="117"/>
        <v>232.75390987951806</v>
      </c>
      <c r="U844" s="307">
        <f t="shared" si="125"/>
        <v>32197.624199999998</v>
      </c>
      <c r="V844" s="80">
        <f t="shared" si="122"/>
        <v>323.26931927710848</v>
      </c>
      <c r="W844" s="98">
        <v>680</v>
      </c>
      <c r="X844" s="84">
        <f>+IF(P844="ACERO A36",VLOOKUP(Q844,'[3]Tiempo Objeto'!$B$2:$C$12,2,FALSE),IF(P844="INOXIDABLE",VLOOKUP(Q844,'[3]Tiempo Objeto'!$B$14:$C$22,2,FALSE),IF(P844="ALUMINIO",VLOOKUP(Q844,'[3]Tiempo Objeto'!$B$24:$C$32,2,FALSE))))</f>
        <v>0.3133333333333333</v>
      </c>
      <c r="Y844" s="84">
        <f t="shared" si="118"/>
        <v>213.06666666666663</v>
      </c>
      <c r="Z844" s="80">
        <f t="shared" si="119"/>
        <v>295.92592592592592</v>
      </c>
      <c r="AA844" s="100">
        <v>5</v>
      </c>
      <c r="AB844" s="86">
        <f>+AA844*Analisis!$J$6</f>
        <v>125</v>
      </c>
      <c r="AC844" s="100"/>
      <c r="AD844" s="85">
        <f t="shared" si="120"/>
        <v>0</v>
      </c>
      <c r="AE844" s="86">
        <f>+AC844*Analisis!$J$7</f>
        <v>0</v>
      </c>
      <c r="AF844" s="308">
        <f>+H844*0.0254*I844*0.0254*2*(1+[3]Analisis!$G$2)</f>
        <v>2.5985031900799993</v>
      </c>
      <c r="AG844" s="86">
        <f>+AF844*Analisis!$J$8</f>
        <v>276.86432799066665</v>
      </c>
      <c r="AH844" s="309">
        <f t="shared" si="126"/>
        <v>1690.662703193701</v>
      </c>
      <c r="AI844" s="86">
        <f>+AH844/(1-Analisis!G849)</f>
        <v>1690.662703193701</v>
      </c>
      <c r="AJ844" s="86">
        <f t="shared" si="121"/>
        <v>1817.9168851545173</v>
      </c>
      <c r="AK844" s="86">
        <f t="shared" si="127"/>
        <v>0</v>
      </c>
      <c r="AL844" s="310" t="e">
        <f>+VLOOKUP(B844,#REF!,2,FALSE)</f>
        <v>#REF!</v>
      </c>
      <c r="AM844" s="311" t="e">
        <f t="shared" si="124"/>
        <v>#REF!</v>
      </c>
      <c r="AN844" s="312" t="e">
        <f t="shared" si="110"/>
        <v>#REF!</v>
      </c>
    </row>
    <row r="845" spans="1:40" s="73" customFormat="1" x14ac:dyDescent="0.25">
      <c r="A845" s="313"/>
      <c r="B845" s="314" t="s">
        <v>1540</v>
      </c>
      <c r="D845" s="74">
        <f>IFERROR(VLOOKUP(B845,'REQ. PINTADO'!B:C,2,0),0)</f>
        <v>0</v>
      </c>
      <c r="E845" s="305">
        <f t="shared" si="114"/>
        <v>0</v>
      </c>
      <c r="F845" s="103" t="s">
        <v>165</v>
      </c>
      <c r="G845" s="75" t="s">
        <v>147</v>
      </c>
      <c r="H845" s="90"/>
      <c r="I845" s="90"/>
      <c r="J845" s="76">
        <v>0.105</v>
      </c>
      <c r="K845" s="306">
        <v>16.38</v>
      </c>
      <c r="L845" s="78">
        <f t="shared" si="115"/>
        <v>0</v>
      </c>
      <c r="M845" s="58">
        <f>+VLOOKUP(F845,Material!$H$2:$M$17,6,FALSE)*H845*I845*(1+Material!$K$14)</f>
        <v>0</v>
      </c>
      <c r="N845" s="79" t="str">
        <f t="shared" si="128"/>
        <v>T5.0</v>
      </c>
      <c r="O845" s="80">
        <f>+VLOOKUP(N845,[3]Material!$A$3:$B$58,2,FALSE)</f>
        <v>5000</v>
      </c>
      <c r="P845" s="79" t="s">
        <v>42</v>
      </c>
      <c r="Q845" s="79" t="str">
        <f>+VLOOKUP(F845,[3]Material!$C$2:$E$12,2,FALSE)</f>
        <v>Cal 14</v>
      </c>
      <c r="R845" s="81">
        <f>+IF(P845="ACERO A36",VLOOKUP(Q845,'[3]Velocidades Std 1500 w'!$B$2:$F$15,5,FALSE),IF(P845="INOXIDABLE",VLOOKUP(Q845,'[3]Velocidades Std 1500 w'!$B$17:$F$28,5,FALSE),IF(P845="ALUMINIO",VLOOKUP(Q845,'[3]Velocidades Std 1500 w'!$B$30:$F$38,5,FALSE))))</f>
        <v>2.0080321285140564E-6</v>
      </c>
      <c r="S845" s="82">
        <f t="shared" si="116"/>
        <v>1.0040160642570283E-2</v>
      </c>
      <c r="T845" s="83">
        <f t="shared" si="117"/>
        <v>0</v>
      </c>
      <c r="U845" s="307">
        <f t="shared" si="125"/>
        <v>0</v>
      </c>
      <c r="V845" s="80">
        <f t="shared" si="122"/>
        <v>0</v>
      </c>
      <c r="W845" s="98"/>
      <c r="X845" s="84">
        <f>+IF(P845="ACERO A36",VLOOKUP(Q845,'[3]Tiempo Objeto'!$B$2:$C$12,2,FALSE),IF(P845="INOXIDABLE",VLOOKUP(Q845,'[3]Tiempo Objeto'!$B$14:$C$22,2,FALSE),IF(P845="ALUMINIO",VLOOKUP(Q845,'[3]Tiempo Objeto'!$B$24:$C$32,2,FALSE))))</f>
        <v>0.3133333333333333</v>
      </c>
      <c r="Y845" s="84">
        <f t="shared" si="118"/>
        <v>0</v>
      </c>
      <c r="Z845" s="80">
        <f t="shared" si="119"/>
        <v>0</v>
      </c>
      <c r="AA845" s="100"/>
      <c r="AB845" s="86">
        <f>+AA845*Analisis!$J$6</f>
        <v>0</v>
      </c>
      <c r="AC845" s="100"/>
      <c r="AD845" s="85">
        <f t="shared" si="120"/>
        <v>0</v>
      </c>
      <c r="AE845" s="86">
        <f>+AC845*Analisis!$J$7</f>
        <v>0</v>
      </c>
      <c r="AF845" s="308">
        <f>+H845*0.0254*I845*0.0254*2*(1+[3]Analisis!$G$2)</f>
        <v>0</v>
      </c>
      <c r="AG845" s="86">
        <f>+AF845*Analisis!$J$8</f>
        <v>0</v>
      </c>
      <c r="AH845" s="309">
        <f t="shared" si="126"/>
        <v>0</v>
      </c>
      <c r="AI845" s="86">
        <f>+AH845/(1-Analisis!G850)</f>
        <v>0</v>
      </c>
      <c r="AJ845" s="86">
        <f t="shared" si="121"/>
        <v>0</v>
      </c>
      <c r="AK845" s="86">
        <f t="shared" si="127"/>
        <v>0</v>
      </c>
      <c r="AL845" s="310" t="e">
        <f>+VLOOKUP(B845,#REF!,2,FALSE)</f>
        <v>#REF!</v>
      </c>
      <c r="AM845" s="311" t="e">
        <f t="shared" si="124"/>
        <v>#REF!</v>
      </c>
      <c r="AN845" s="312" t="e">
        <f t="shared" si="110"/>
        <v>#REF!</v>
      </c>
    </row>
    <row r="846" spans="1:40" s="73" customFormat="1" x14ac:dyDescent="0.25">
      <c r="A846" s="313"/>
      <c r="B846" s="314" t="s">
        <v>1541</v>
      </c>
      <c r="D846" s="74">
        <f>IFERROR(VLOOKUP(B846,'REQ. PINTADO'!B:C,2,0),0)</f>
        <v>0</v>
      </c>
      <c r="E846" s="305">
        <f t="shared" si="114"/>
        <v>0</v>
      </c>
      <c r="F846" s="103" t="s">
        <v>165</v>
      </c>
      <c r="G846" s="75" t="s">
        <v>147</v>
      </c>
      <c r="H846" s="90"/>
      <c r="I846" s="90"/>
      <c r="J846" s="76">
        <v>0.105</v>
      </c>
      <c r="K846" s="306">
        <v>16.38</v>
      </c>
      <c r="L846" s="78">
        <f t="shared" si="115"/>
        <v>0</v>
      </c>
      <c r="M846" s="58">
        <f>+VLOOKUP(F846,Material!$H$2:$M$17,6,FALSE)*H846*I846*(1+Material!$K$14)</f>
        <v>0</v>
      </c>
      <c r="N846" s="79" t="str">
        <f t="shared" si="128"/>
        <v>T5.0</v>
      </c>
      <c r="O846" s="80">
        <f>+VLOOKUP(N846,[3]Material!$A$3:$B$58,2,FALSE)</f>
        <v>5000</v>
      </c>
      <c r="P846" s="79" t="s">
        <v>42</v>
      </c>
      <c r="Q846" s="79" t="str">
        <f>+VLOOKUP(F846,[3]Material!$C$2:$E$12,2,FALSE)</f>
        <v>Cal 14</v>
      </c>
      <c r="R846" s="81">
        <f>+IF(P846="ACERO A36",VLOOKUP(Q846,'[3]Velocidades Std 1500 w'!$B$2:$F$15,5,FALSE),IF(P846="INOXIDABLE",VLOOKUP(Q846,'[3]Velocidades Std 1500 w'!$B$17:$F$28,5,FALSE),IF(P846="ALUMINIO",VLOOKUP(Q846,'[3]Velocidades Std 1500 w'!$B$30:$F$38,5,FALSE))))</f>
        <v>2.0080321285140564E-6</v>
      </c>
      <c r="S846" s="82">
        <f t="shared" si="116"/>
        <v>1.0040160642570283E-2</v>
      </c>
      <c r="T846" s="83">
        <f t="shared" si="117"/>
        <v>0</v>
      </c>
      <c r="U846" s="307">
        <f t="shared" si="125"/>
        <v>0</v>
      </c>
      <c r="V846" s="80">
        <f t="shared" si="122"/>
        <v>0</v>
      </c>
      <c r="W846" s="98"/>
      <c r="X846" s="84">
        <f>+IF(P846="ACERO A36",VLOOKUP(Q846,'[3]Tiempo Objeto'!$B$2:$C$12,2,FALSE),IF(P846="INOXIDABLE",VLOOKUP(Q846,'[3]Tiempo Objeto'!$B$14:$C$22,2,FALSE),IF(P846="ALUMINIO",VLOOKUP(Q846,'[3]Tiempo Objeto'!$B$24:$C$32,2,FALSE))))</f>
        <v>0.3133333333333333</v>
      </c>
      <c r="Y846" s="84">
        <f t="shared" si="118"/>
        <v>0</v>
      </c>
      <c r="Z846" s="80">
        <f t="shared" si="119"/>
        <v>0</v>
      </c>
      <c r="AA846" s="100"/>
      <c r="AB846" s="86">
        <f>+AA846*Analisis!$J$6</f>
        <v>0</v>
      </c>
      <c r="AC846" s="100"/>
      <c r="AD846" s="85">
        <f t="shared" si="120"/>
        <v>0</v>
      </c>
      <c r="AE846" s="86">
        <f>+AC846*Analisis!$J$7</f>
        <v>0</v>
      </c>
      <c r="AF846" s="308">
        <f>+H846*0.0254*I846*0.0254*2*(1+[3]Analisis!$G$2)</f>
        <v>0</v>
      </c>
      <c r="AG846" s="86">
        <f>+AF846*Analisis!$J$8</f>
        <v>0</v>
      </c>
      <c r="AH846" s="309">
        <f t="shared" si="126"/>
        <v>0</v>
      </c>
      <c r="AI846" s="86">
        <f>+AH846/(1-Analisis!G851)</f>
        <v>0</v>
      </c>
      <c r="AJ846" s="86">
        <f t="shared" si="121"/>
        <v>0</v>
      </c>
      <c r="AK846" s="86">
        <f t="shared" si="127"/>
        <v>0</v>
      </c>
      <c r="AL846" s="310" t="e">
        <f>+VLOOKUP(B846,#REF!,2,FALSE)</f>
        <v>#REF!</v>
      </c>
      <c r="AM846" s="311" t="e">
        <f t="shared" si="124"/>
        <v>#REF!</v>
      </c>
      <c r="AN846" s="312" t="e">
        <f t="shared" si="110"/>
        <v>#REF!</v>
      </c>
    </row>
    <row r="847" spans="1:40" s="73" customFormat="1" x14ac:dyDescent="0.25">
      <c r="A847" s="313"/>
      <c r="B847" s="331" t="s">
        <v>271</v>
      </c>
      <c r="D847" s="74">
        <f>IFERROR(VLOOKUP(B847,'REQ. PINTADO'!B:C,2,0),0)</f>
        <v>0</v>
      </c>
      <c r="E847" s="305">
        <f t="shared" si="114"/>
        <v>0</v>
      </c>
      <c r="F847" s="103" t="s">
        <v>165</v>
      </c>
      <c r="G847" s="75" t="s">
        <v>147</v>
      </c>
      <c r="H847" s="90"/>
      <c r="I847" s="90"/>
      <c r="J847" s="76">
        <v>0.105</v>
      </c>
      <c r="K847" s="306">
        <v>16.38</v>
      </c>
      <c r="L847" s="78">
        <f t="shared" si="115"/>
        <v>0</v>
      </c>
      <c r="M847" s="58">
        <f>+VLOOKUP(F847,Material!$H$2:$M$17,6,FALSE)*H847*I847*(1+Material!$K$14)</f>
        <v>0</v>
      </c>
      <c r="N847" s="79" t="str">
        <f t="shared" si="128"/>
        <v>T5.0</v>
      </c>
      <c r="O847" s="80">
        <f>+VLOOKUP(N847,[3]Material!$A$3:$B$58,2,FALSE)</f>
        <v>5000</v>
      </c>
      <c r="P847" s="79" t="s">
        <v>42</v>
      </c>
      <c r="Q847" s="79" t="str">
        <f>+VLOOKUP(F847,[3]Material!$C$2:$E$12,2,FALSE)</f>
        <v>Cal 14</v>
      </c>
      <c r="R847" s="81">
        <f>+IF(P847="ACERO A36",VLOOKUP(Q847,'[3]Velocidades Std 1500 w'!$B$2:$F$15,5,FALSE),IF(P847="INOXIDABLE",VLOOKUP(Q847,'[3]Velocidades Std 1500 w'!$B$17:$F$28,5,FALSE),IF(P847="ALUMINIO",VLOOKUP(Q847,'[3]Velocidades Std 1500 w'!$B$30:$F$38,5,FALSE))))</f>
        <v>2.0080321285140564E-6</v>
      </c>
      <c r="S847" s="82">
        <f t="shared" si="116"/>
        <v>1.0040160642570283E-2</v>
      </c>
      <c r="T847" s="83">
        <f t="shared" si="117"/>
        <v>0</v>
      </c>
      <c r="U847" s="307">
        <f t="shared" si="125"/>
        <v>0</v>
      </c>
      <c r="V847" s="80">
        <f t="shared" si="122"/>
        <v>0</v>
      </c>
      <c r="W847" s="98"/>
      <c r="X847" s="84">
        <f>+IF(P847="ACERO A36",VLOOKUP(Q847,'[3]Tiempo Objeto'!$B$2:$C$12,2,FALSE),IF(P847="INOXIDABLE",VLOOKUP(Q847,'[3]Tiempo Objeto'!$B$14:$C$22,2,FALSE),IF(P847="ALUMINIO",VLOOKUP(Q847,'[3]Tiempo Objeto'!$B$24:$C$32,2,FALSE))))</f>
        <v>0.3133333333333333</v>
      </c>
      <c r="Y847" s="84">
        <f t="shared" si="118"/>
        <v>0</v>
      </c>
      <c r="Z847" s="80">
        <f t="shared" si="119"/>
        <v>0</v>
      </c>
      <c r="AA847" s="100"/>
      <c r="AB847" s="86">
        <f>+AA847*Analisis!$J$6</f>
        <v>0</v>
      </c>
      <c r="AC847" s="100"/>
      <c r="AD847" s="85">
        <f t="shared" si="120"/>
        <v>0</v>
      </c>
      <c r="AE847" s="86">
        <f>+AC847*Analisis!$J$7</f>
        <v>0</v>
      </c>
      <c r="AF847" s="308">
        <f>+H847*0.0254*I847*0.0254*2*(1+[3]Analisis!$G$2)</f>
        <v>0</v>
      </c>
      <c r="AG847" s="86">
        <f>+AF847*Analisis!$J$8</f>
        <v>0</v>
      </c>
      <c r="AH847" s="309">
        <f t="shared" si="126"/>
        <v>0</v>
      </c>
      <c r="AI847" s="86">
        <f>+AH847/(1-Analisis!G852)</f>
        <v>0</v>
      </c>
      <c r="AJ847" s="86">
        <f t="shared" si="121"/>
        <v>0</v>
      </c>
      <c r="AK847" s="86">
        <f t="shared" si="127"/>
        <v>0</v>
      </c>
      <c r="AL847" s="310" t="e">
        <f>+VLOOKUP(B847,#REF!,2,FALSE)</f>
        <v>#REF!</v>
      </c>
      <c r="AM847" s="311" t="e">
        <f t="shared" si="124"/>
        <v>#REF!</v>
      </c>
      <c r="AN847" s="312" t="e">
        <f t="shared" si="110"/>
        <v>#REF!</v>
      </c>
    </row>
    <row r="848" spans="1:40" s="73" customFormat="1" x14ac:dyDescent="0.25">
      <c r="A848" s="313"/>
      <c r="B848" s="331" t="s">
        <v>273</v>
      </c>
      <c r="D848" s="74">
        <f>IFERROR(VLOOKUP(B848,'REQ. PINTADO'!B:C,2,0),0)</f>
        <v>0</v>
      </c>
      <c r="E848" s="305">
        <f t="shared" si="114"/>
        <v>0</v>
      </c>
      <c r="F848" s="103" t="s">
        <v>165</v>
      </c>
      <c r="G848" s="75" t="s">
        <v>147</v>
      </c>
      <c r="H848" s="90"/>
      <c r="I848" s="90"/>
      <c r="J848" s="76">
        <v>0.105</v>
      </c>
      <c r="K848" s="306">
        <v>16.38</v>
      </c>
      <c r="L848" s="78">
        <f t="shared" si="115"/>
        <v>0</v>
      </c>
      <c r="M848" s="58">
        <f>+VLOOKUP(F848,Material!$H$2:$M$17,6,FALSE)*H848*I848*(1+Material!$K$14)</f>
        <v>0</v>
      </c>
      <c r="N848" s="79" t="str">
        <f t="shared" si="128"/>
        <v>T5.0</v>
      </c>
      <c r="O848" s="80">
        <f>+VLOOKUP(N848,[3]Material!$A$3:$B$58,2,FALSE)</f>
        <v>5000</v>
      </c>
      <c r="P848" s="79" t="s">
        <v>42</v>
      </c>
      <c r="Q848" s="79" t="str">
        <f>+VLOOKUP(F848,[3]Material!$C$2:$E$12,2,FALSE)</f>
        <v>Cal 14</v>
      </c>
      <c r="R848" s="81">
        <f>+IF(P848="ACERO A36",VLOOKUP(Q848,'[3]Velocidades Std 1500 w'!$B$2:$F$15,5,FALSE),IF(P848="INOXIDABLE",VLOOKUP(Q848,'[3]Velocidades Std 1500 w'!$B$17:$F$28,5,FALSE),IF(P848="ALUMINIO",VLOOKUP(Q848,'[3]Velocidades Std 1500 w'!$B$30:$F$38,5,FALSE))))</f>
        <v>2.0080321285140564E-6</v>
      </c>
      <c r="S848" s="82">
        <f t="shared" si="116"/>
        <v>1.0040160642570283E-2</v>
      </c>
      <c r="T848" s="83">
        <f t="shared" si="117"/>
        <v>0</v>
      </c>
      <c r="U848" s="307">
        <f t="shared" si="125"/>
        <v>0</v>
      </c>
      <c r="V848" s="80">
        <f t="shared" si="122"/>
        <v>0</v>
      </c>
      <c r="W848" s="98"/>
      <c r="X848" s="84">
        <f>+IF(P848="ACERO A36",VLOOKUP(Q848,'[3]Tiempo Objeto'!$B$2:$C$12,2,FALSE),IF(P848="INOXIDABLE",VLOOKUP(Q848,'[3]Tiempo Objeto'!$B$14:$C$22,2,FALSE),IF(P848="ALUMINIO",VLOOKUP(Q848,'[3]Tiempo Objeto'!$B$24:$C$32,2,FALSE))))</f>
        <v>0.3133333333333333</v>
      </c>
      <c r="Y848" s="84">
        <f t="shared" si="118"/>
        <v>0</v>
      </c>
      <c r="Z848" s="80">
        <f t="shared" si="119"/>
        <v>0</v>
      </c>
      <c r="AA848" s="100"/>
      <c r="AB848" s="86">
        <f>+AA848*Analisis!$J$6</f>
        <v>0</v>
      </c>
      <c r="AC848" s="100"/>
      <c r="AD848" s="85">
        <f t="shared" si="120"/>
        <v>0</v>
      </c>
      <c r="AE848" s="86">
        <f>+AC848*Analisis!$J$7</f>
        <v>0</v>
      </c>
      <c r="AF848" s="308">
        <f>+H848*0.0254*I848*0.0254*2*(1+[3]Analisis!$G$2)</f>
        <v>0</v>
      </c>
      <c r="AG848" s="86">
        <f>+AF848*Analisis!$J$8</f>
        <v>0</v>
      </c>
      <c r="AH848" s="309">
        <f t="shared" si="126"/>
        <v>0</v>
      </c>
      <c r="AI848" s="86">
        <f>+AH848/(1-Analisis!G853)</f>
        <v>0</v>
      </c>
      <c r="AJ848" s="86">
        <f t="shared" si="121"/>
        <v>0</v>
      </c>
      <c r="AK848" s="86">
        <f t="shared" si="127"/>
        <v>0</v>
      </c>
      <c r="AL848" s="310" t="e">
        <f>+VLOOKUP(B848,#REF!,2,FALSE)</f>
        <v>#REF!</v>
      </c>
      <c r="AM848" s="311" t="e">
        <f t="shared" si="124"/>
        <v>#REF!</v>
      </c>
      <c r="AN848" s="312" t="e">
        <f t="shared" ref="AN848:AN1102" si="129">+AM848/AL848</f>
        <v>#REF!</v>
      </c>
    </row>
    <row r="849" spans="1:40" s="73" customFormat="1" x14ac:dyDescent="0.25">
      <c r="A849" s="313"/>
      <c r="B849" s="331" t="s">
        <v>1542</v>
      </c>
      <c r="D849" s="74">
        <f>IFERROR(VLOOKUP(B849,'REQ. PINTADO'!B:C,2,0),0)</f>
        <v>0</v>
      </c>
      <c r="E849" s="305">
        <f t="shared" si="114"/>
        <v>0</v>
      </c>
      <c r="F849" s="103" t="s">
        <v>165</v>
      </c>
      <c r="G849" s="75" t="s">
        <v>147</v>
      </c>
      <c r="H849" s="90"/>
      <c r="I849" s="90"/>
      <c r="J849" s="76">
        <v>0.105</v>
      </c>
      <c r="K849" s="306">
        <v>16.38</v>
      </c>
      <c r="L849" s="78">
        <f t="shared" si="115"/>
        <v>0</v>
      </c>
      <c r="M849" s="58">
        <f>+VLOOKUP(F849,Material!$H$2:$M$17,6,FALSE)*H849*I849*(1+Material!$K$14)</f>
        <v>0</v>
      </c>
      <c r="N849" s="79" t="str">
        <f t="shared" si="128"/>
        <v>T5.0</v>
      </c>
      <c r="O849" s="80">
        <f>+VLOOKUP(N849,[3]Material!$A$3:$B$58,2,FALSE)</f>
        <v>5000</v>
      </c>
      <c r="P849" s="79" t="s">
        <v>42</v>
      </c>
      <c r="Q849" s="79" t="str">
        <f>+VLOOKUP(F849,[3]Material!$C$2:$E$12,2,FALSE)</f>
        <v>Cal 14</v>
      </c>
      <c r="R849" s="81">
        <f>+IF(P849="ACERO A36",VLOOKUP(Q849,'[3]Velocidades Std 1500 w'!$B$2:$F$15,5,FALSE),IF(P849="INOXIDABLE",VLOOKUP(Q849,'[3]Velocidades Std 1500 w'!$B$17:$F$28,5,FALSE),IF(P849="ALUMINIO",VLOOKUP(Q849,'[3]Velocidades Std 1500 w'!$B$30:$F$38,5,FALSE))))</f>
        <v>2.0080321285140564E-6</v>
      </c>
      <c r="S849" s="82">
        <f t="shared" si="116"/>
        <v>1.0040160642570283E-2</v>
      </c>
      <c r="T849" s="83">
        <f t="shared" si="117"/>
        <v>0</v>
      </c>
      <c r="U849" s="307">
        <f t="shared" si="125"/>
        <v>0</v>
      </c>
      <c r="V849" s="80">
        <f t="shared" si="122"/>
        <v>0</v>
      </c>
      <c r="W849" s="98"/>
      <c r="X849" s="84">
        <f>+IF(P849="ACERO A36",VLOOKUP(Q849,'[3]Tiempo Objeto'!$B$2:$C$12,2,FALSE),IF(P849="INOXIDABLE",VLOOKUP(Q849,'[3]Tiempo Objeto'!$B$14:$C$22,2,FALSE),IF(P849="ALUMINIO",VLOOKUP(Q849,'[3]Tiempo Objeto'!$B$24:$C$32,2,FALSE))))</f>
        <v>0.3133333333333333</v>
      </c>
      <c r="Y849" s="84">
        <f t="shared" si="118"/>
        <v>0</v>
      </c>
      <c r="Z849" s="80">
        <f t="shared" si="119"/>
        <v>0</v>
      </c>
      <c r="AA849" s="100"/>
      <c r="AB849" s="86">
        <f>+AA849*Analisis!$J$6</f>
        <v>0</v>
      </c>
      <c r="AC849" s="100"/>
      <c r="AD849" s="85">
        <f t="shared" si="120"/>
        <v>0</v>
      </c>
      <c r="AE849" s="86">
        <f>+AC849*Analisis!$J$7</f>
        <v>0</v>
      </c>
      <c r="AF849" s="308">
        <f>+H849*0.0254*I849*0.0254*2*(1+[3]Analisis!$G$2)</f>
        <v>0</v>
      </c>
      <c r="AG849" s="86">
        <f>+AF849*Analisis!$J$8</f>
        <v>0</v>
      </c>
      <c r="AH849" s="309">
        <f t="shared" si="126"/>
        <v>0</v>
      </c>
      <c r="AI849" s="86">
        <f>+AH849/(1-Analisis!G854)</f>
        <v>0</v>
      </c>
      <c r="AJ849" s="86">
        <f t="shared" si="121"/>
        <v>0</v>
      </c>
      <c r="AK849" s="86">
        <f t="shared" si="127"/>
        <v>0</v>
      </c>
      <c r="AL849" s="310" t="e">
        <f>+VLOOKUP(B849,#REF!,2,FALSE)</f>
        <v>#REF!</v>
      </c>
      <c r="AM849" s="311" t="e">
        <f t="shared" si="124"/>
        <v>#REF!</v>
      </c>
      <c r="AN849" s="312" t="e">
        <f t="shared" si="129"/>
        <v>#REF!</v>
      </c>
    </row>
    <row r="850" spans="1:40" s="73" customFormat="1" x14ac:dyDescent="0.25">
      <c r="A850" s="313"/>
      <c r="B850" s="331" t="s">
        <v>271</v>
      </c>
      <c r="D850" s="74">
        <f>IFERROR(VLOOKUP(B850,'REQ. PINTADO'!B:C,2,0),0)</f>
        <v>0</v>
      </c>
      <c r="E850" s="305">
        <f t="shared" si="114"/>
        <v>0</v>
      </c>
      <c r="F850" s="103" t="s">
        <v>165</v>
      </c>
      <c r="G850" s="75" t="s">
        <v>147</v>
      </c>
      <c r="H850" s="90"/>
      <c r="I850" s="90"/>
      <c r="J850" s="76">
        <v>0.105</v>
      </c>
      <c r="K850" s="306">
        <v>16.38</v>
      </c>
      <c r="L850" s="78">
        <f t="shared" si="115"/>
        <v>0</v>
      </c>
      <c r="M850" s="58">
        <f>+VLOOKUP(F850,Material!$H$2:$M$17,6,FALSE)*H850*I850*(1+Material!$K$14)</f>
        <v>0</v>
      </c>
      <c r="N850" s="79" t="str">
        <f t="shared" si="128"/>
        <v>T5.0</v>
      </c>
      <c r="O850" s="80">
        <f>+VLOOKUP(N850,[3]Material!$A$3:$B$58,2,FALSE)</f>
        <v>5000</v>
      </c>
      <c r="P850" s="79" t="s">
        <v>42</v>
      </c>
      <c r="Q850" s="79" t="str">
        <f>+VLOOKUP(F850,[3]Material!$C$2:$E$12,2,FALSE)</f>
        <v>Cal 14</v>
      </c>
      <c r="R850" s="81">
        <f>+IF(P850="ACERO A36",VLOOKUP(Q850,'[3]Velocidades Std 1500 w'!$B$2:$F$15,5,FALSE),IF(P850="INOXIDABLE",VLOOKUP(Q850,'[3]Velocidades Std 1500 w'!$B$17:$F$28,5,FALSE),IF(P850="ALUMINIO",VLOOKUP(Q850,'[3]Velocidades Std 1500 w'!$B$30:$F$38,5,FALSE))))</f>
        <v>2.0080321285140564E-6</v>
      </c>
      <c r="S850" s="82">
        <f t="shared" si="116"/>
        <v>1.0040160642570283E-2</v>
      </c>
      <c r="T850" s="83">
        <f t="shared" si="117"/>
        <v>0</v>
      </c>
      <c r="U850" s="307">
        <f t="shared" si="125"/>
        <v>0</v>
      </c>
      <c r="V850" s="80">
        <f t="shared" si="122"/>
        <v>0</v>
      </c>
      <c r="W850" s="98"/>
      <c r="X850" s="84">
        <f>+IF(P850="ACERO A36",VLOOKUP(Q850,'[3]Tiempo Objeto'!$B$2:$C$12,2,FALSE),IF(P850="INOXIDABLE",VLOOKUP(Q850,'[3]Tiempo Objeto'!$B$14:$C$22,2,FALSE),IF(P850="ALUMINIO",VLOOKUP(Q850,'[3]Tiempo Objeto'!$B$24:$C$32,2,FALSE))))</f>
        <v>0.3133333333333333</v>
      </c>
      <c r="Y850" s="84">
        <f t="shared" si="118"/>
        <v>0</v>
      </c>
      <c r="Z850" s="80">
        <f t="shared" si="119"/>
        <v>0</v>
      </c>
      <c r="AA850" s="100"/>
      <c r="AB850" s="86">
        <f>+AA850*Analisis!$J$6</f>
        <v>0</v>
      </c>
      <c r="AC850" s="100"/>
      <c r="AD850" s="85">
        <f t="shared" si="120"/>
        <v>0</v>
      </c>
      <c r="AE850" s="86">
        <f>+AC850*Analisis!$J$7</f>
        <v>0</v>
      </c>
      <c r="AF850" s="308">
        <f>+H850*0.0254*I850*0.0254*2*(1+[3]Analisis!$G$2)</f>
        <v>0</v>
      </c>
      <c r="AG850" s="86">
        <f>+AF850*Analisis!$J$8</f>
        <v>0</v>
      </c>
      <c r="AH850" s="309">
        <f t="shared" si="126"/>
        <v>0</v>
      </c>
      <c r="AI850" s="86">
        <f>+AH850/(1-Analisis!G855)</f>
        <v>0</v>
      </c>
      <c r="AJ850" s="86">
        <f t="shared" si="121"/>
        <v>0</v>
      </c>
      <c r="AK850" s="86">
        <f t="shared" si="127"/>
        <v>0</v>
      </c>
      <c r="AL850" s="310" t="e">
        <f>+VLOOKUP(B850,#REF!,2,FALSE)</f>
        <v>#REF!</v>
      </c>
      <c r="AM850" s="311" t="e">
        <f t="shared" si="124"/>
        <v>#REF!</v>
      </c>
      <c r="AN850" s="312" t="e">
        <f t="shared" si="129"/>
        <v>#REF!</v>
      </c>
    </row>
    <row r="851" spans="1:40" s="73" customFormat="1" x14ac:dyDescent="0.25">
      <c r="A851" s="313"/>
      <c r="B851" s="331" t="s">
        <v>271</v>
      </c>
      <c r="D851" s="74">
        <f>IFERROR(VLOOKUP(B851,'REQ. PINTADO'!B:C,2,0),0)</f>
        <v>0</v>
      </c>
      <c r="E851" s="305">
        <f t="shared" si="114"/>
        <v>0</v>
      </c>
      <c r="F851" s="103" t="s">
        <v>165</v>
      </c>
      <c r="G851" s="75" t="s">
        <v>147</v>
      </c>
      <c r="H851" s="90"/>
      <c r="I851" s="90"/>
      <c r="J851" s="76">
        <v>0.105</v>
      </c>
      <c r="K851" s="306">
        <v>16.38</v>
      </c>
      <c r="L851" s="78">
        <f t="shared" si="115"/>
        <v>0</v>
      </c>
      <c r="M851" s="58">
        <f>+VLOOKUP(F851,Material!$H$2:$M$17,6,FALSE)*H851*I851*(1+Material!$K$14)</f>
        <v>0</v>
      </c>
      <c r="N851" s="79" t="str">
        <f t="shared" si="128"/>
        <v>T5.0</v>
      </c>
      <c r="O851" s="80">
        <f>+VLOOKUP(N851,[3]Material!$A$3:$B$58,2,FALSE)</f>
        <v>5000</v>
      </c>
      <c r="P851" s="79" t="s">
        <v>42</v>
      </c>
      <c r="Q851" s="79" t="str">
        <f>+VLOOKUP(F851,[3]Material!$C$2:$E$12,2,FALSE)</f>
        <v>Cal 14</v>
      </c>
      <c r="R851" s="81">
        <f>+IF(P851="ACERO A36",VLOOKUP(Q851,'[3]Velocidades Std 1500 w'!$B$2:$F$15,5,FALSE),IF(P851="INOXIDABLE",VLOOKUP(Q851,'[3]Velocidades Std 1500 w'!$B$17:$F$28,5,FALSE),IF(P851="ALUMINIO",VLOOKUP(Q851,'[3]Velocidades Std 1500 w'!$B$30:$F$38,5,FALSE))))</f>
        <v>2.0080321285140564E-6</v>
      </c>
      <c r="S851" s="82">
        <f t="shared" si="116"/>
        <v>1.0040160642570283E-2</v>
      </c>
      <c r="T851" s="83">
        <f t="shared" si="117"/>
        <v>0</v>
      </c>
      <c r="U851" s="307">
        <f t="shared" si="125"/>
        <v>0</v>
      </c>
      <c r="V851" s="80">
        <f t="shared" si="122"/>
        <v>0</v>
      </c>
      <c r="W851" s="98"/>
      <c r="X851" s="84">
        <f>+IF(P851="ACERO A36",VLOOKUP(Q851,'[3]Tiempo Objeto'!$B$2:$C$12,2,FALSE),IF(P851="INOXIDABLE",VLOOKUP(Q851,'[3]Tiempo Objeto'!$B$14:$C$22,2,FALSE),IF(P851="ALUMINIO",VLOOKUP(Q851,'[3]Tiempo Objeto'!$B$24:$C$32,2,FALSE))))</f>
        <v>0.3133333333333333</v>
      </c>
      <c r="Y851" s="84">
        <f t="shared" si="118"/>
        <v>0</v>
      </c>
      <c r="Z851" s="80">
        <f t="shared" si="119"/>
        <v>0</v>
      </c>
      <c r="AA851" s="100"/>
      <c r="AB851" s="86">
        <f>+AA851*Analisis!$J$6</f>
        <v>0</v>
      </c>
      <c r="AC851" s="100"/>
      <c r="AD851" s="85">
        <f t="shared" si="120"/>
        <v>0</v>
      </c>
      <c r="AE851" s="86">
        <f>+AC851*Analisis!$J$7</f>
        <v>0</v>
      </c>
      <c r="AF851" s="308">
        <f>+H851*0.0254*I851*0.0254*2*(1+[3]Analisis!$G$2)</f>
        <v>0</v>
      </c>
      <c r="AG851" s="86">
        <f>+AF851*Analisis!$J$8</f>
        <v>0</v>
      </c>
      <c r="AH851" s="309">
        <f t="shared" si="126"/>
        <v>0</v>
      </c>
      <c r="AI851" s="86">
        <f>+AH851/(1-Analisis!G856)</f>
        <v>0</v>
      </c>
      <c r="AJ851" s="86">
        <f t="shared" si="121"/>
        <v>0</v>
      </c>
      <c r="AK851" s="86">
        <f t="shared" si="127"/>
        <v>0</v>
      </c>
      <c r="AL851" s="310" t="e">
        <f>+VLOOKUP(B851,#REF!,2,FALSE)</f>
        <v>#REF!</v>
      </c>
      <c r="AM851" s="311" t="e">
        <f t="shared" si="124"/>
        <v>#REF!</v>
      </c>
      <c r="AN851" s="312" t="e">
        <f t="shared" si="129"/>
        <v>#REF!</v>
      </c>
    </row>
    <row r="852" spans="1:40" s="73" customFormat="1" x14ac:dyDescent="0.25">
      <c r="A852" s="313"/>
      <c r="B852" s="314" t="s">
        <v>1543</v>
      </c>
      <c r="D852" s="74">
        <f>IFERROR(VLOOKUP(B852,'REQ. PINTADO'!B:C,2,0),0)</f>
        <v>0</v>
      </c>
      <c r="E852" s="305">
        <f t="shared" si="114"/>
        <v>537.20884716636931</v>
      </c>
      <c r="F852" s="103" t="s">
        <v>165</v>
      </c>
      <c r="G852" s="75" t="s">
        <v>147</v>
      </c>
      <c r="H852" s="90">
        <v>23.35</v>
      </c>
      <c r="I852" s="90">
        <v>23.35</v>
      </c>
      <c r="J852" s="76">
        <v>0.105</v>
      </c>
      <c r="K852" s="306">
        <v>16.38</v>
      </c>
      <c r="L852" s="78">
        <f t="shared" si="115"/>
        <v>30.435764556623941</v>
      </c>
      <c r="M852" s="58">
        <f>+VLOOKUP(F852,Material!$H$2:$M$17,6,FALSE)*H852*I852*(1+Material!$K$14)</f>
        <v>226.60810156250002</v>
      </c>
      <c r="N852" s="79" t="str">
        <f t="shared" si="128"/>
        <v>T5.0</v>
      </c>
      <c r="O852" s="80">
        <f>+VLOOKUP(N852,[3]Material!$A$3:$B$58,2,FALSE)</f>
        <v>5000</v>
      </c>
      <c r="P852" s="79" t="s">
        <v>42</v>
      </c>
      <c r="Q852" s="79" t="str">
        <f>+VLOOKUP(F852,[3]Material!$C$2:$E$12,2,FALSE)</f>
        <v>Cal 14</v>
      </c>
      <c r="R852" s="81">
        <f>+IF(P852="ACERO A36",VLOOKUP(Q852,'[3]Velocidades Std 1500 w'!$B$2:$F$15,5,FALSE),IF(P852="INOXIDABLE",VLOOKUP(Q852,'[3]Velocidades Std 1500 w'!$B$17:$F$28,5,FALSE),IF(P852="ALUMINIO",VLOOKUP(Q852,'[3]Velocidades Std 1500 w'!$B$30:$F$38,5,FALSE))))</f>
        <v>2.0080321285140564E-6</v>
      </c>
      <c r="S852" s="82">
        <f t="shared" si="116"/>
        <v>1.0040160642570283E-2</v>
      </c>
      <c r="T852" s="83">
        <f t="shared" si="117"/>
        <v>28.128816867469887</v>
      </c>
      <c r="U852" s="307">
        <f t="shared" si="125"/>
        <v>3891.1530000000002</v>
      </c>
      <c r="V852" s="80">
        <f t="shared" si="122"/>
        <v>39.067801204819283</v>
      </c>
      <c r="W852" s="98">
        <v>35</v>
      </c>
      <c r="X852" s="84">
        <f>+IF(P852="ACERO A36",VLOOKUP(Q852,'[3]Tiempo Objeto'!$B$2:$C$12,2,FALSE),IF(P852="INOXIDABLE",VLOOKUP(Q852,'[3]Tiempo Objeto'!$B$14:$C$22,2,FALSE),IF(P852="ALUMINIO",VLOOKUP(Q852,'[3]Tiempo Objeto'!$B$24:$C$32,2,FALSE))))</f>
        <v>0.3133333333333333</v>
      </c>
      <c r="Y852" s="84">
        <f t="shared" si="118"/>
        <v>10.966666666666665</v>
      </c>
      <c r="Z852" s="80">
        <f t="shared" si="119"/>
        <v>15.231481481481481</v>
      </c>
      <c r="AA852" s="100">
        <v>5</v>
      </c>
      <c r="AB852" s="86">
        <f>+AA852*Analisis!$J$6</f>
        <v>125</v>
      </c>
      <c r="AC852" s="100"/>
      <c r="AD852" s="85">
        <f t="shared" si="120"/>
        <v>0</v>
      </c>
      <c r="AE852" s="86">
        <f>+AC852*Analisis!$J$7</f>
        <v>0</v>
      </c>
      <c r="AF852" s="308">
        <f>+H852*0.0254*I852*0.0254*2*(1+[3]Analisis!$G$2)</f>
        <v>0.87938937024999997</v>
      </c>
      <c r="AG852" s="86">
        <f>+AF852*Analisis!$J$8</f>
        <v>93.696843615922646</v>
      </c>
      <c r="AH852" s="309">
        <f t="shared" si="126"/>
        <v>499.60422786472344</v>
      </c>
      <c r="AI852" s="86">
        <f>+AH852/(1-Analisis!G857)</f>
        <v>499.60422786472344</v>
      </c>
      <c r="AJ852" s="86">
        <f t="shared" si="121"/>
        <v>537.20884716636931</v>
      </c>
      <c r="AK852" s="86">
        <f t="shared" si="127"/>
        <v>0</v>
      </c>
      <c r="AL852" s="310" t="e">
        <f>+VLOOKUP(B852,#REF!,2,FALSE)</f>
        <v>#REF!</v>
      </c>
      <c r="AM852" s="311" t="e">
        <f t="shared" si="124"/>
        <v>#REF!</v>
      </c>
      <c r="AN852" s="312" t="e">
        <f t="shared" si="129"/>
        <v>#REF!</v>
      </c>
    </row>
    <row r="853" spans="1:40" s="73" customFormat="1" x14ac:dyDescent="0.25">
      <c r="A853" s="313"/>
      <c r="B853" s="314" t="s">
        <v>1485</v>
      </c>
      <c r="D853" s="74">
        <f>IFERROR(VLOOKUP(B853,'REQ. PINTADO'!B:C,2,0),0)</f>
        <v>0</v>
      </c>
      <c r="E853" s="305">
        <f t="shared" si="114"/>
        <v>537.20884716636931</v>
      </c>
      <c r="F853" s="103" t="s">
        <v>165</v>
      </c>
      <c r="G853" s="75" t="s">
        <v>147</v>
      </c>
      <c r="H853" s="90">
        <v>23.35</v>
      </c>
      <c r="I853" s="90">
        <v>23.35</v>
      </c>
      <c r="J853" s="76">
        <v>0.105</v>
      </c>
      <c r="K853" s="306">
        <v>16.38</v>
      </c>
      <c r="L853" s="78">
        <f t="shared" si="115"/>
        <v>30.435764556623941</v>
      </c>
      <c r="M853" s="58">
        <f>+VLOOKUP(F853,Material!$H$2:$M$17,6,FALSE)*H853*I853*(1+Material!$K$14)</f>
        <v>226.60810156250002</v>
      </c>
      <c r="N853" s="79" t="str">
        <f t="shared" si="128"/>
        <v>T5.0</v>
      </c>
      <c r="O853" s="80">
        <f>+VLOOKUP(N853,[3]Material!$A$3:$B$58,2,FALSE)</f>
        <v>5000</v>
      </c>
      <c r="P853" s="79" t="s">
        <v>42</v>
      </c>
      <c r="Q853" s="79" t="str">
        <f>+VLOOKUP(F853,[3]Material!$C$2:$E$12,2,FALSE)</f>
        <v>Cal 14</v>
      </c>
      <c r="R853" s="81">
        <f>+IF(P853="ACERO A36",VLOOKUP(Q853,'[3]Velocidades Std 1500 w'!$B$2:$F$15,5,FALSE),IF(P853="INOXIDABLE",VLOOKUP(Q853,'[3]Velocidades Std 1500 w'!$B$17:$F$28,5,FALSE),IF(P853="ALUMINIO",VLOOKUP(Q853,'[3]Velocidades Std 1500 w'!$B$30:$F$38,5,FALSE))))</f>
        <v>2.0080321285140564E-6</v>
      </c>
      <c r="S853" s="82">
        <f t="shared" si="116"/>
        <v>1.0040160642570283E-2</v>
      </c>
      <c r="T853" s="83">
        <f t="shared" si="117"/>
        <v>28.128816867469887</v>
      </c>
      <c r="U853" s="307">
        <f t="shared" si="125"/>
        <v>3891.1530000000002</v>
      </c>
      <c r="V853" s="80">
        <f t="shared" si="122"/>
        <v>39.067801204819283</v>
      </c>
      <c r="W853" s="98">
        <v>35</v>
      </c>
      <c r="X853" s="84">
        <f>+IF(P853="ACERO A36",VLOOKUP(Q853,'[3]Tiempo Objeto'!$B$2:$C$12,2,FALSE),IF(P853="INOXIDABLE",VLOOKUP(Q853,'[3]Tiempo Objeto'!$B$14:$C$22,2,FALSE),IF(P853="ALUMINIO",VLOOKUP(Q853,'[3]Tiempo Objeto'!$B$24:$C$32,2,FALSE))))</f>
        <v>0.3133333333333333</v>
      </c>
      <c r="Y853" s="84">
        <f t="shared" si="118"/>
        <v>10.966666666666665</v>
      </c>
      <c r="Z853" s="80">
        <f t="shared" si="119"/>
        <v>15.231481481481481</v>
      </c>
      <c r="AA853" s="100">
        <v>5</v>
      </c>
      <c r="AB853" s="86">
        <f>+AA853*Analisis!$J$6</f>
        <v>125</v>
      </c>
      <c r="AC853" s="100"/>
      <c r="AD853" s="85">
        <f t="shared" si="120"/>
        <v>0</v>
      </c>
      <c r="AE853" s="86">
        <f>+AC853*Analisis!$J$7</f>
        <v>0</v>
      </c>
      <c r="AF853" s="308">
        <f>+H853*0.0254*I853*0.0254*2*(1+[3]Analisis!$G$2)</f>
        <v>0.87938937024999997</v>
      </c>
      <c r="AG853" s="86">
        <f>+AF853*Analisis!$J$8</f>
        <v>93.696843615922646</v>
      </c>
      <c r="AH853" s="309">
        <f t="shared" si="126"/>
        <v>499.60422786472344</v>
      </c>
      <c r="AI853" s="86">
        <f>+AH853/(1-Analisis!G858)</f>
        <v>499.60422786472344</v>
      </c>
      <c r="AJ853" s="86">
        <f t="shared" si="121"/>
        <v>537.20884716636931</v>
      </c>
      <c r="AK853" s="86">
        <f t="shared" si="127"/>
        <v>0</v>
      </c>
      <c r="AL853" s="310" t="e">
        <f>+VLOOKUP(B853,#REF!,2,FALSE)</f>
        <v>#REF!</v>
      </c>
      <c r="AM853" s="311" t="e">
        <f t="shared" si="124"/>
        <v>#REF!</v>
      </c>
      <c r="AN853" s="312" t="e">
        <f t="shared" si="129"/>
        <v>#REF!</v>
      </c>
    </row>
    <row r="854" spans="1:40" s="73" customFormat="1" x14ac:dyDescent="0.25">
      <c r="A854" s="313"/>
      <c r="B854" s="314" t="s">
        <v>1486</v>
      </c>
      <c r="D854" s="74">
        <f>IFERROR(VLOOKUP(B854,'REQ. PINTADO'!B:C,2,0),0)</f>
        <v>0</v>
      </c>
      <c r="E854" s="305">
        <f t="shared" si="114"/>
        <v>537.20884716636931</v>
      </c>
      <c r="F854" s="103" t="s">
        <v>165</v>
      </c>
      <c r="G854" s="75" t="s">
        <v>147</v>
      </c>
      <c r="H854" s="90">
        <v>23.35</v>
      </c>
      <c r="I854" s="90">
        <v>23.35</v>
      </c>
      <c r="J854" s="76">
        <v>0.105</v>
      </c>
      <c r="K854" s="306">
        <v>16.38</v>
      </c>
      <c r="L854" s="78">
        <f t="shared" si="115"/>
        <v>30.435764556623941</v>
      </c>
      <c r="M854" s="58">
        <f>+VLOOKUP(F854,Material!$H$2:$M$17,6,FALSE)*H854*I854*(1+Material!$K$14)</f>
        <v>226.60810156250002</v>
      </c>
      <c r="N854" s="79" t="str">
        <f t="shared" si="128"/>
        <v>T5.0</v>
      </c>
      <c r="O854" s="80">
        <f>+VLOOKUP(N854,[3]Material!$A$3:$B$58,2,FALSE)</f>
        <v>5000</v>
      </c>
      <c r="P854" s="79" t="s">
        <v>42</v>
      </c>
      <c r="Q854" s="79" t="str">
        <f>+VLOOKUP(F854,[3]Material!$C$2:$E$12,2,FALSE)</f>
        <v>Cal 14</v>
      </c>
      <c r="R854" s="81">
        <f>+IF(P854="ACERO A36",VLOOKUP(Q854,'[3]Velocidades Std 1500 w'!$B$2:$F$15,5,FALSE),IF(P854="INOXIDABLE",VLOOKUP(Q854,'[3]Velocidades Std 1500 w'!$B$17:$F$28,5,FALSE),IF(P854="ALUMINIO",VLOOKUP(Q854,'[3]Velocidades Std 1500 w'!$B$30:$F$38,5,FALSE))))</f>
        <v>2.0080321285140564E-6</v>
      </c>
      <c r="S854" s="82">
        <f t="shared" si="116"/>
        <v>1.0040160642570283E-2</v>
      </c>
      <c r="T854" s="83">
        <f t="shared" si="117"/>
        <v>28.128816867469887</v>
      </c>
      <c r="U854" s="307">
        <f t="shared" si="125"/>
        <v>3891.1530000000002</v>
      </c>
      <c r="V854" s="80">
        <f t="shared" si="122"/>
        <v>39.067801204819283</v>
      </c>
      <c r="W854" s="98">
        <v>35</v>
      </c>
      <c r="X854" s="84">
        <f>+IF(P854="ACERO A36",VLOOKUP(Q854,'[3]Tiempo Objeto'!$B$2:$C$12,2,FALSE),IF(P854="INOXIDABLE",VLOOKUP(Q854,'[3]Tiempo Objeto'!$B$14:$C$22,2,FALSE),IF(P854="ALUMINIO",VLOOKUP(Q854,'[3]Tiempo Objeto'!$B$24:$C$32,2,FALSE))))</f>
        <v>0.3133333333333333</v>
      </c>
      <c r="Y854" s="84">
        <f t="shared" si="118"/>
        <v>10.966666666666665</v>
      </c>
      <c r="Z854" s="80">
        <f t="shared" si="119"/>
        <v>15.231481481481481</v>
      </c>
      <c r="AA854" s="100">
        <v>5</v>
      </c>
      <c r="AB854" s="86">
        <f>+AA854*Analisis!$J$6</f>
        <v>125</v>
      </c>
      <c r="AC854" s="100"/>
      <c r="AD854" s="85">
        <f t="shared" si="120"/>
        <v>0</v>
      </c>
      <c r="AE854" s="86">
        <f>+AC854*Analisis!$J$7</f>
        <v>0</v>
      </c>
      <c r="AF854" s="308">
        <f>+H854*0.0254*I854*0.0254*2*(1+[3]Analisis!$G$2)</f>
        <v>0.87938937024999997</v>
      </c>
      <c r="AG854" s="86">
        <f>+AF854*Analisis!$J$8</f>
        <v>93.696843615922646</v>
      </c>
      <c r="AH854" s="309">
        <f t="shared" si="126"/>
        <v>499.60422786472344</v>
      </c>
      <c r="AI854" s="86">
        <f>+AH854/(1-Analisis!G859)</f>
        <v>499.60422786472344</v>
      </c>
      <c r="AJ854" s="86">
        <f t="shared" si="121"/>
        <v>537.20884716636931</v>
      </c>
      <c r="AK854" s="86">
        <f t="shared" si="127"/>
        <v>0</v>
      </c>
      <c r="AL854" s="310" t="e">
        <f>+VLOOKUP(B854,#REF!,2,FALSE)</f>
        <v>#REF!</v>
      </c>
      <c r="AM854" s="311" t="e">
        <f t="shared" si="124"/>
        <v>#REF!</v>
      </c>
      <c r="AN854" s="312" t="e">
        <f t="shared" si="129"/>
        <v>#REF!</v>
      </c>
    </row>
    <row r="855" spans="1:40" s="73" customFormat="1" x14ac:dyDescent="0.25">
      <c r="A855" s="313"/>
      <c r="B855" s="314" t="s">
        <v>1487</v>
      </c>
      <c r="D855" s="74">
        <f>IFERROR(VLOOKUP(B855,'REQ. PINTADO'!B:C,2,0),0)</f>
        <v>0</v>
      </c>
      <c r="E855" s="305">
        <f t="shared" si="114"/>
        <v>537.20884716636931</v>
      </c>
      <c r="F855" s="103" t="s">
        <v>165</v>
      </c>
      <c r="G855" s="75" t="s">
        <v>147</v>
      </c>
      <c r="H855" s="90">
        <v>23.35</v>
      </c>
      <c r="I855" s="90">
        <v>23.35</v>
      </c>
      <c r="J855" s="76">
        <v>0.105</v>
      </c>
      <c r="K855" s="306">
        <v>16.38</v>
      </c>
      <c r="L855" s="78">
        <f t="shared" si="115"/>
        <v>30.435764556623941</v>
      </c>
      <c r="M855" s="58">
        <f>+VLOOKUP(F855,Material!$H$2:$M$17,6,FALSE)*H855*I855*(1+Material!$K$14)</f>
        <v>226.60810156250002</v>
      </c>
      <c r="N855" s="79" t="str">
        <f t="shared" si="128"/>
        <v>T5.0</v>
      </c>
      <c r="O855" s="80">
        <f>+VLOOKUP(N855,[3]Material!$A$3:$B$58,2,FALSE)</f>
        <v>5000</v>
      </c>
      <c r="P855" s="79" t="s">
        <v>42</v>
      </c>
      <c r="Q855" s="79" t="str">
        <f>+VLOOKUP(F855,[3]Material!$C$2:$E$12,2,FALSE)</f>
        <v>Cal 14</v>
      </c>
      <c r="R855" s="81">
        <f>+IF(P855="ACERO A36",VLOOKUP(Q855,'[3]Velocidades Std 1500 w'!$B$2:$F$15,5,FALSE),IF(P855="INOXIDABLE",VLOOKUP(Q855,'[3]Velocidades Std 1500 w'!$B$17:$F$28,5,FALSE),IF(P855="ALUMINIO",VLOOKUP(Q855,'[3]Velocidades Std 1500 w'!$B$30:$F$38,5,FALSE))))</f>
        <v>2.0080321285140564E-6</v>
      </c>
      <c r="S855" s="82">
        <f t="shared" si="116"/>
        <v>1.0040160642570283E-2</v>
      </c>
      <c r="T855" s="83">
        <f t="shared" si="117"/>
        <v>28.128816867469887</v>
      </c>
      <c r="U855" s="307">
        <f t="shared" si="125"/>
        <v>3891.1530000000002</v>
      </c>
      <c r="V855" s="80">
        <f t="shared" si="122"/>
        <v>39.067801204819283</v>
      </c>
      <c r="W855" s="98">
        <v>35</v>
      </c>
      <c r="X855" s="84">
        <f>+IF(P855="ACERO A36",VLOOKUP(Q855,'[3]Tiempo Objeto'!$B$2:$C$12,2,FALSE),IF(P855="INOXIDABLE",VLOOKUP(Q855,'[3]Tiempo Objeto'!$B$14:$C$22,2,FALSE),IF(P855="ALUMINIO",VLOOKUP(Q855,'[3]Tiempo Objeto'!$B$24:$C$32,2,FALSE))))</f>
        <v>0.3133333333333333</v>
      </c>
      <c r="Y855" s="84">
        <f t="shared" si="118"/>
        <v>10.966666666666665</v>
      </c>
      <c r="Z855" s="80">
        <f t="shared" si="119"/>
        <v>15.231481481481481</v>
      </c>
      <c r="AA855" s="100">
        <v>5</v>
      </c>
      <c r="AB855" s="86">
        <f>+AA855*Analisis!$J$6</f>
        <v>125</v>
      </c>
      <c r="AC855" s="100"/>
      <c r="AD855" s="85">
        <f t="shared" si="120"/>
        <v>0</v>
      </c>
      <c r="AE855" s="86">
        <f>+AC855*Analisis!$J$7</f>
        <v>0</v>
      </c>
      <c r="AF855" s="308">
        <f>+H855*0.0254*I855*0.0254*2*(1+[3]Analisis!$G$2)</f>
        <v>0.87938937024999997</v>
      </c>
      <c r="AG855" s="86">
        <f>+AF855*Analisis!$J$8</f>
        <v>93.696843615922646</v>
      </c>
      <c r="AH855" s="309">
        <f t="shared" si="126"/>
        <v>499.60422786472344</v>
      </c>
      <c r="AI855" s="86">
        <f>+AH855/(1-Analisis!G860)</f>
        <v>499.60422786472344</v>
      </c>
      <c r="AJ855" s="86">
        <f t="shared" si="121"/>
        <v>537.20884716636931</v>
      </c>
      <c r="AK855" s="86">
        <f t="shared" si="127"/>
        <v>0</v>
      </c>
      <c r="AL855" s="310" t="e">
        <f>+VLOOKUP(B855,#REF!,2,FALSE)</f>
        <v>#REF!</v>
      </c>
      <c r="AM855" s="311" t="e">
        <f t="shared" si="124"/>
        <v>#REF!</v>
      </c>
      <c r="AN855" s="312" t="e">
        <f t="shared" si="129"/>
        <v>#REF!</v>
      </c>
    </row>
    <row r="856" spans="1:40" s="73" customFormat="1" x14ac:dyDescent="0.25">
      <c r="A856" s="313"/>
      <c r="B856" s="314" t="s">
        <v>1488</v>
      </c>
      <c r="D856" s="74">
        <f>IFERROR(VLOOKUP(B856,'REQ. PINTADO'!B:C,2,0),0)</f>
        <v>0</v>
      </c>
      <c r="E856" s="305">
        <f t="shared" si="114"/>
        <v>537.20884716636931</v>
      </c>
      <c r="F856" s="103" t="s">
        <v>165</v>
      </c>
      <c r="G856" s="75" t="s">
        <v>147</v>
      </c>
      <c r="H856" s="90">
        <v>23.35</v>
      </c>
      <c r="I856" s="90">
        <v>23.35</v>
      </c>
      <c r="J856" s="76">
        <v>0.105</v>
      </c>
      <c r="K856" s="306">
        <v>16.38</v>
      </c>
      <c r="L856" s="78">
        <f t="shared" si="115"/>
        <v>30.435764556623941</v>
      </c>
      <c r="M856" s="58">
        <f>+VLOOKUP(F856,Material!$H$2:$M$17,6,FALSE)*H856*I856*(1+Material!$K$14)</f>
        <v>226.60810156250002</v>
      </c>
      <c r="N856" s="79" t="str">
        <f t="shared" si="128"/>
        <v>T5.0</v>
      </c>
      <c r="O856" s="80">
        <f>+VLOOKUP(N856,[3]Material!$A$3:$B$58,2,FALSE)</f>
        <v>5000</v>
      </c>
      <c r="P856" s="79" t="s">
        <v>42</v>
      </c>
      <c r="Q856" s="79" t="str">
        <f>+VLOOKUP(F856,[3]Material!$C$2:$E$12,2,FALSE)</f>
        <v>Cal 14</v>
      </c>
      <c r="R856" s="81">
        <f>+IF(P856="ACERO A36",VLOOKUP(Q856,'[3]Velocidades Std 1500 w'!$B$2:$F$15,5,FALSE),IF(P856="INOXIDABLE",VLOOKUP(Q856,'[3]Velocidades Std 1500 w'!$B$17:$F$28,5,FALSE),IF(P856="ALUMINIO",VLOOKUP(Q856,'[3]Velocidades Std 1500 w'!$B$30:$F$38,5,FALSE))))</f>
        <v>2.0080321285140564E-6</v>
      </c>
      <c r="S856" s="82">
        <f t="shared" si="116"/>
        <v>1.0040160642570283E-2</v>
      </c>
      <c r="T856" s="83">
        <f t="shared" si="117"/>
        <v>28.128816867469887</v>
      </c>
      <c r="U856" s="307">
        <f t="shared" si="125"/>
        <v>3891.1530000000002</v>
      </c>
      <c r="V856" s="80">
        <f t="shared" si="122"/>
        <v>39.067801204819283</v>
      </c>
      <c r="W856" s="98">
        <v>35</v>
      </c>
      <c r="X856" s="84">
        <f>+IF(P856="ACERO A36",VLOOKUP(Q856,'[3]Tiempo Objeto'!$B$2:$C$12,2,FALSE),IF(P856="INOXIDABLE",VLOOKUP(Q856,'[3]Tiempo Objeto'!$B$14:$C$22,2,FALSE),IF(P856="ALUMINIO",VLOOKUP(Q856,'[3]Tiempo Objeto'!$B$24:$C$32,2,FALSE))))</f>
        <v>0.3133333333333333</v>
      </c>
      <c r="Y856" s="84">
        <f t="shared" si="118"/>
        <v>10.966666666666665</v>
      </c>
      <c r="Z856" s="80">
        <f t="shared" si="119"/>
        <v>15.231481481481481</v>
      </c>
      <c r="AA856" s="100">
        <v>5</v>
      </c>
      <c r="AB856" s="86">
        <f>+AA856*Analisis!$J$6</f>
        <v>125</v>
      </c>
      <c r="AC856" s="100"/>
      <c r="AD856" s="85">
        <f t="shared" si="120"/>
        <v>0</v>
      </c>
      <c r="AE856" s="86">
        <f>+AC856*Analisis!$J$7</f>
        <v>0</v>
      </c>
      <c r="AF856" s="308">
        <f>+H856*0.0254*I856*0.0254*2*(1+[3]Analisis!$G$2)</f>
        <v>0.87938937024999997</v>
      </c>
      <c r="AG856" s="86">
        <f>+AF856*Analisis!$J$8</f>
        <v>93.696843615922646</v>
      </c>
      <c r="AH856" s="309">
        <f t="shared" si="126"/>
        <v>499.60422786472344</v>
      </c>
      <c r="AI856" s="86">
        <f>+AH856/(1-Analisis!G861)</f>
        <v>499.60422786472344</v>
      </c>
      <c r="AJ856" s="86">
        <f t="shared" si="121"/>
        <v>537.20884716636931</v>
      </c>
      <c r="AK856" s="86">
        <f t="shared" si="127"/>
        <v>0</v>
      </c>
      <c r="AL856" s="310" t="e">
        <f>+VLOOKUP(B856,#REF!,2,FALSE)</f>
        <v>#REF!</v>
      </c>
      <c r="AM856" s="311" t="e">
        <f t="shared" si="124"/>
        <v>#REF!</v>
      </c>
      <c r="AN856" s="312" t="e">
        <f t="shared" si="129"/>
        <v>#REF!</v>
      </c>
    </row>
    <row r="857" spans="1:40" s="73" customFormat="1" x14ac:dyDescent="0.25">
      <c r="A857" s="313"/>
      <c r="B857" s="314" t="s">
        <v>1489</v>
      </c>
      <c r="D857" s="74">
        <f>IFERROR(VLOOKUP(B857,'REQ. PINTADO'!B:C,2,0),0)</f>
        <v>0</v>
      </c>
      <c r="E857" s="305">
        <f t="shared" si="114"/>
        <v>537.20884716636931</v>
      </c>
      <c r="F857" s="103" t="s">
        <v>165</v>
      </c>
      <c r="G857" s="75" t="s">
        <v>147</v>
      </c>
      <c r="H857" s="90">
        <v>23.35</v>
      </c>
      <c r="I857" s="90">
        <v>23.35</v>
      </c>
      <c r="J857" s="76">
        <v>0.105</v>
      </c>
      <c r="K857" s="306">
        <v>16.38</v>
      </c>
      <c r="L857" s="78">
        <f t="shared" si="115"/>
        <v>30.435764556623941</v>
      </c>
      <c r="M857" s="58">
        <f>+VLOOKUP(F857,Material!$H$2:$M$17,6,FALSE)*H857*I857*(1+Material!$K$14)</f>
        <v>226.60810156250002</v>
      </c>
      <c r="N857" s="79" t="str">
        <f t="shared" si="128"/>
        <v>T5.0</v>
      </c>
      <c r="O857" s="80">
        <f>+VLOOKUP(N857,[3]Material!$A$3:$B$58,2,FALSE)</f>
        <v>5000</v>
      </c>
      <c r="P857" s="79" t="s">
        <v>42</v>
      </c>
      <c r="Q857" s="79" t="str">
        <f>+VLOOKUP(F857,[3]Material!$C$2:$E$12,2,FALSE)</f>
        <v>Cal 14</v>
      </c>
      <c r="R857" s="81">
        <f>+IF(P857="ACERO A36",VLOOKUP(Q857,'[3]Velocidades Std 1500 w'!$B$2:$F$15,5,FALSE),IF(P857="INOXIDABLE",VLOOKUP(Q857,'[3]Velocidades Std 1500 w'!$B$17:$F$28,5,FALSE),IF(P857="ALUMINIO",VLOOKUP(Q857,'[3]Velocidades Std 1500 w'!$B$30:$F$38,5,FALSE))))</f>
        <v>2.0080321285140564E-6</v>
      </c>
      <c r="S857" s="82">
        <f t="shared" si="116"/>
        <v>1.0040160642570283E-2</v>
      </c>
      <c r="T857" s="83">
        <f t="shared" si="117"/>
        <v>28.128816867469887</v>
      </c>
      <c r="U857" s="307">
        <f t="shared" si="125"/>
        <v>3891.1530000000002</v>
      </c>
      <c r="V857" s="80">
        <f t="shared" si="122"/>
        <v>39.067801204819283</v>
      </c>
      <c r="W857" s="98">
        <v>35</v>
      </c>
      <c r="X857" s="84">
        <f>+IF(P857="ACERO A36",VLOOKUP(Q857,'[3]Tiempo Objeto'!$B$2:$C$12,2,FALSE),IF(P857="INOXIDABLE",VLOOKUP(Q857,'[3]Tiempo Objeto'!$B$14:$C$22,2,FALSE),IF(P857="ALUMINIO",VLOOKUP(Q857,'[3]Tiempo Objeto'!$B$24:$C$32,2,FALSE))))</f>
        <v>0.3133333333333333</v>
      </c>
      <c r="Y857" s="84">
        <f t="shared" si="118"/>
        <v>10.966666666666665</v>
      </c>
      <c r="Z857" s="80">
        <f t="shared" si="119"/>
        <v>15.231481481481481</v>
      </c>
      <c r="AA857" s="100">
        <v>5</v>
      </c>
      <c r="AB857" s="86">
        <f>+AA857*Analisis!$J$6</f>
        <v>125</v>
      </c>
      <c r="AC857" s="100"/>
      <c r="AD857" s="85">
        <f t="shared" si="120"/>
        <v>0</v>
      </c>
      <c r="AE857" s="86">
        <f>+AC857*Analisis!$J$7</f>
        <v>0</v>
      </c>
      <c r="AF857" s="308">
        <f>+H857*0.0254*I857*0.0254*2*(1+[3]Analisis!$G$2)</f>
        <v>0.87938937024999997</v>
      </c>
      <c r="AG857" s="86">
        <f>+AF857*Analisis!$J$8</f>
        <v>93.696843615922646</v>
      </c>
      <c r="AH857" s="309">
        <f t="shared" si="126"/>
        <v>499.60422786472344</v>
      </c>
      <c r="AI857" s="86">
        <f>+AH857/(1-Analisis!G862)</f>
        <v>499.60422786472344</v>
      </c>
      <c r="AJ857" s="86">
        <f t="shared" si="121"/>
        <v>537.20884716636931</v>
      </c>
      <c r="AK857" s="86">
        <f t="shared" si="127"/>
        <v>0</v>
      </c>
      <c r="AL857" s="310" t="e">
        <f>+VLOOKUP(B857,#REF!,2,FALSE)</f>
        <v>#REF!</v>
      </c>
      <c r="AM857" s="311" t="e">
        <f t="shared" si="124"/>
        <v>#REF!</v>
      </c>
      <c r="AN857" s="312" t="e">
        <f t="shared" si="129"/>
        <v>#REF!</v>
      </c>
    </row>
    <row r="858" spans="1:40" s="73" customFormat="1" x14ac:dyDescent="0.25">
      <c r="A858" s="313"/>
      <c r="B858" s="332" t="s">
        <v>1544</v>
      </c>
      <c r="D858" s="74">
        <f>IFERROR(VLOOKUP(B858,'REQ. PINTADO'!B:C,2,0),0)</f>
        <v>0</v>
      </c>
      <c r="E858" s="305">
        <f t="shared" si="114"/>
        <v>52.722465955114785</v>
      </c>
      <c r="F858" s="103" t="s">
        <v>166</v>
      </c>
      <c r="G858" s="75" t="s">
        <v>147</v>
      </c>
      <c r="H858" s="90">
        <v>3.32</v>
      </c>
      <c r="I858" s="90">
        <v>13.81</v>
      </c>
      <c r="J858" s="76">
        <v>0.105</v>
      </c>
      <c r="K858" s="306">
        <v>16.38</v>
      </c>
      <c r="L858" s="78">
        <f t="shared" si="115"/>
        <v>1.3957117257295293</v>
      </c>
      <c r="M858" s="58">
        <f>+VLOOKUP(F858,Material!$H$2:$M$17,6,FALSE)*H858*I858*(1+Material!$K$14)</f>
        <v>10.391708212477131</v>
      </c>
      <c r="N858" s="79" t="str">
        <f t="shared" si="128"/>
        <v>T5.0</v>
      </c>
      <c r="O858" s="80">
        <f>+VLOOKUP(N858,[3]Material!$A$3:$B$58,2,FALSE)</f>
        <v>5000</v>
      </c>
      <c r="P858" s="79" t="s">
        <v>42</v>
      </c>
      <c r="Q858" s="79" t="str">
        <f>+VLOOKUP(F858,[3]Material!$C$2:$E$12,2,FALSE)</f>
        <v>Cal 16</v>
      </c>
      <c r="R858" s="81">
        <f>+IF(P858="ACERO A36",VLOOKUP(Q858,'[3]Velocidades Std 1500 w'!$B$2:$F$15,5,FALSE),IF(P858="INOXIDABLE",VLOOKUP(Q858,'[3]Velocidades Std 1500 w'!$B$17:$F$28,5,FALSE),IF(P858="ALUMINIO",VLOOKUP(Q858,'[3]Velocidades Std 1500 w'!$B$30:$F$38,5,FALSE))))</f>
        <v>9.1575091575091579E-7</v>
      </c>
      <c r="S858" s="82">
        <f t="shared" si="116"/>
        <v>4.578754578754579E-3</v>
      </c>
      <c r="T858" s="83">
        <f t="shared" si="117"/>
        <v>3.407898461538462</v>
      </c>
      <c r="U858" s="307">
        <f t="shared" si="125"/>
        <v>1033.7292</v>
      </c>
      <c r="V858" s="80">
        <f t="shared" si="122"/>
        <v>4.7331923076923079</v>
      </c>
      <c r="W858" s="98">
        <v>3</v>
      </c>
      <c r="X858" s="84">
        <f>+IF(P858="ACERO A36",VLOOKUP(Q858,'[3]Tiempo Objeto'!$B$2:$C$12,2,FALSE),IF(P858="INOXIDABLE",VLOOKUP(Q858,'[3]Tiempo Objeto'!$B$14:$C$22,2,FALSE),IF(P858="ALUMINIO",VLOOKUP(Q858,'[3]Tiempo Objeto'!$B$24:$C$32,2,FALSE))))</f>
        <v>0.24666666666666667</v>
      </c>
      <c r="Y858" s="84">
        <f t="shared" si="118"/>
        <v>0.74</v>
      </c>
      <c r="Z858" s="80">
        <f t="shared" si="119"/>
        <v>1.0277777777777777</v>
      </c>
      <c r="AA858" s="100">
        <v>1</v>
      </c>
      <c r="AB858" s="86">
        <f>+AA858*Analisis!$J$6</f>
        <v>25</v>
      </c>
      <c r="AC858" s="100"/>
      <c r="AD858" s="85">
        <f t="shared" si="120"/>
        <v>0</v>
      </c>
      <c r="AE858" s="86">
        <f>+AC858*Analisis!$J$7</f>
        <v>0</v>
      </c>
      <c r="AF858" s="308">
        <f>+H858*0.0254*I858*0.0254*2*(1+[3]Analisis!$G$2)</f>
        <v>7.395017467999998E-2</v>
      </c>
      <c r="AG858" s="86">
        <f>+AF858*Analisis!$J$8</f>
        <v>7.879215040309524</v>
      </c>
      <c r="AH858" s="309">
        <f t="shared" si="126"/>
        <v>49.031893338256744</v>
      </c>
      <c r="AI858" s="86">
        <f>+AH858/(1-Analisis!G863)</f>
        <v>49.031893338256744</v>
      </c>
      <c r="AJ858" s="86">
        <f t="shared" si="121"/>
        <v>52.722465955114785</v>
      </c>
      <c r="AK858" s="86">
        <f t="shared" si="127"/>
        <v>0</v>
      </c>
      <c r="AL858" s="310" t="e">
        <f>+VLOOKUP(B858,#REF!,2,FALSE)</f>
        <v>#REF!</v>
      </c>
      <c r="AM858" s="311" t="e">
        <f t="shared" si="124"/>
        <v>#REF!</v>
      </c>
      <c r="AN858" s="312" t="e">
        <f t="shared" si="129"/>
        <v>#REF!</v>
      </c>
    </row>
    <row r="859" spans="1:40" s="73" customFormat="1" x14ac:dyDescent="0.25">
      <c r="A859" s="313"/>
      <c r="B859" s="332" t="s">
        <v>1545</v>
      </c>
      <c r="D859" s="74">
        <f>IFERROR(VLOOKUP(B859,'REQ. PINTADO'!B:C,2,0),0)</f>
        <v>0</v>
      </c>
      <c r="E859" s="305">
        <f t="shared" si="114"/>
        <v>221.24945976140688</v>
      </c>
      <c r="F859" s="103" t="s">
        <v>163</v>
      </c>
      <c r="G859" s="75" t="s">
        <v>147</v>
      </c>
      <c r="H859" s="90">
        <v>30.19</v>
      </c>
      <c r="I859" s="90">
        <v>6.32</v>
      </c>
      <c r="J859" s="76">
        <v>0.105</v>
      </c>
      <c r="K859" s="306">
        <v>16.38</v>
      </c>
      <c r="L859" s="78">
        <f t="shared" si="115"/>
        <v>9.6192771320214412</v>
      </c>
      <c r="M859" s="58">
        <f>+VLOOKUP(F859,Material!$H$2:$M$17,6,FALSE)*H859*I859*(1+Material!$K$14)</f>
        <v>71.619890646595991</v>
      </c>
      <c r="N859" s="79" t="str">
        <f t="shared" si="128"/>
        <v>T5.0</v>
      </c>
      <c r="O859" s="80">
        <f>+VLOOKUP(N859,[3]Material!$A$3:$B$58,2,FALSE)</f>
        <v>5000</v>
      </c>
      <c r="P859" s="79" t="s">
        <v>42</v>
      </c>
      <c r="Q859" s="79" t="str">
        <f>+VLOOKUP(F859,[3]Material!$C$2:$E$12,2,FALSE)</f>
        <v>Cal 12</v>
      </c>
      <c r="R859" s="81">
        <f>+IF(P859="ACERO A36",VLOOKUP(Q859,'[3]Velocidades Std 1500 w'!$B$2:$F$15,5,FALSE),IF(P859="INOXIDABLE",VLOOKUP(Q859,'[3]Velocidades Std 1500 w'!$B$17:$F$28,5,FALSE),IF(P859="ALUMINIO",VLOOKUP(Q859,'[3]Velocidades Std 1500 w'!$B$30:$F$38,5,FALSE))))</f>
        <v>4.3859649122807014E-6</v>
      </c>
      <c r="S859" s="82">
        <f t="shared" si="116"/>
        <v>2.1929824561403508E-2</v>
      </c>
      <c r="T859" s="83">
        <f t="shared" si="117"/>
        <v>33.907395789473682</v>
      </c>
      <c r="U859" s="307">
        <f t="shared" si="125"/>
        <v>2147.4684000000002</v>
      </c>
      <c r="V859" s="80">
        <f t="shared" si="122"/>
        <v>47.093605263157897</v>
      </c>
      <c r="W859" s="98">
        <v>5</v>
      </c>
      <c r="X859" s="84">
        <f>+IF(P859="ACERO A36",VLOOKUP(Q859,'[3]Tiempo Objeto'!$B$2:$C$12,2,FALSE),IF(P859="INOXIDABLE",VLOOKUP(Q859,'[3]Tiempo Objeto'!$B$14:$C$22,2,FALSE),IF(P859="ALUMINIO",VLOOKUP(Q859,'[3]Tiempo Objeto'!$B$24:$C$32,2,FALSE))))</f>
        <v>0.6133333333333334</v>
      </c>
      <c r="Y859" s="84">
        <f t="shared" si="118"/>
        <v>3.0666666666666669</v>
      </c>
      <c r="Z859" s="80">
        <f t="shared" si="119"/>
        <v>4.2592592592592595</v>
      </c>
      <c r="AA859" s="100">
        <v>2</v>
      </c>
      <c r="AB859" s="86">
        <f>+AA859*Analisis!$J$6</f>
        <v>50</v>
      </c>
      <c r="AC859" s="100"/>
      <c r="AD859" s="85">
        <f t="shared" si="120"/>
        <v>0</v>
      </c>
      <c r="AE859" s="86">
        <f>+AC859*Analisis!$J$7</f>
        <v>0</v>
      </c>
      <c r="AF859" s="308">
        <f>+H859*0.0254*I859*0.0254*2*(1+[3]Analisis!$G$2)</f>
        <v>0.30774261032</v>
      </c>
      <c r="AG859" s="86">
        <f>+AF859*Analisis!$J$8</f>
        <v>32.789242409095245</v>
      </c>
      <c r="AH859" s="309">
        <f t="shared" si="126"/>
        <v>205.76199757810838</v>
      </c>
      <c r="AI859" s="86">
        <f>+AH859/(1-Analisis!G864)</f>
        <v>205.76199757810838</v>
      </c>
      <c r="AJ859" s="86">
        <f t="shared" si="121"/>
        <v>221.24945976140688</v>
      </c>
      <c r="AK859" s="86">
        <f t="shared" si="127"/>
        <v>0</v>
      </c>
      <c r="AL859" s="310" t="e">
        <f>+VLOOKUP(B859,#REF!,2,FALSE)</f>
        <v>#REF!</v>
      </c>
      <c r="AM859" s="311" t="e">
        <f t="shared" si="124"/>
        <v>#REF!</v>
      </c>
      <c r="AN859" s="312" t="e">
        <f t="shared" si="129"/>
        <v>#REF!</v>
      </c>
    </row>
    <row r="860" spans="1:40" s="73" customFormat="1" x14ac:dyDescent="0.25">
      <c r="A860" s="313"/>
      <c r="B860" s="332" t="s">
        <v>1546</v>
      </c>
      <c r="D860" s="74">
        <f>IFERROR(VLOOKUP(B860,'REQ. PINTADO'!B:C,2,0),0)</f>
        <v>0</v>
      </c>
      <c r="E860" s="305">
        <f t="shared" si="114"/>
        <v>74.048195484511012</v>
      </c>
      <c r="F860" s="103" t="s">
        <v>44</v>
      </c>
      <c r="G860" s="75" t="s">
        <v>147</v>
      </c>
      <c r="H860" s="90">
        <v>2.5</v>
      </c>
      <c r="I860" s="90">
        <v>2.5</v>
      </c>
      <c r="J860" s="76">
        <v>0.105</v>
      </c>
      <c r="K860" s="306">
        <v>16.38</v>
      </c>
      <c r="L860" s="78">
        <f t="shared" si="115"/>
        <v>0.75593171296296324</v>
      </c>
      <c r="M860" s="58">
        <f>+VLOOKUP(F860,Material!$H$2:$M$17,6,FALSE)*H860*I860*(1+Material!$K$14)</f>
        <v>5.6282552083333348</v>
      </c>
      <c r="N860" s="79" t="str">
        <f t="shared" si="128"/>
        <v>T5.0</v>
      </c>
      <c r="O860" s="80">
        <f>+VLOOKUP(N860,[3]Material!$A$3:$B$58,2,FALSE)</f>
        <v>5000</v>
      </c>
      <c r="P860" s="79" t="s">
        <v>42</v>
      </c>
      <c r="Q860" s="79" t="str">
        <f>+VLOOKUP(F860,[3]Material!$C$2:$E$12,2,FALSE)</f>
        <v>Cal 10</v>
      </c>
      <c r="R860" s="81">
        <f>+IF(P860="ACERO A36",VLOOKUP(Q860,'[3]Velocidades Std 1500 w'!$B$2:$F$15,5,FALSE),IF(P860="INOXIDABLE",VLOOKUP(Q860,'[3]Velocidades Std 1500 w'!$B$17:$F$28,5,FALSE),IF(P860="ALUMINIO",VLOOKUP(Q860,'[3]Velocidades Std 1500 w'!$B$30:$F$38,5,FALSE))))</f>
        <v>6.1728395061728391E-6</v>
      </c>
      <c r="S860" s="82">
        <f t="shared" si="116"/>
        <v>3.0864197530864196E-2</v>
      </c>
      <c r="T860" s="83">
        <f t="shared" si="117"/>
        <v>17.483666666666664</v>
      </c>
      <c r="U860" s="307">
        <f t="shared" si="125"/>
        <v>786.76499999999999</v>
      </c>
      <c r="V860" s="80">
        <f t="shared" si="122"/>
        <v>24.282870370370368</v>
      </c>
      <c r="W860" s="98">
        <v>13</v>
      </c>
      <c r="X860" s="84">
        <f>+IF(P860="ACERO A36",VLOOKUP(Q860,'[3]Tiempo Objeto'!$B$2:$C$12,2,FALSE),IF(P860="INOXIDABLE",VLOOKUP(Q860,'[3]Tiempo Objeto'!$B$14:$C$22,2,FALSE),IF(P860="ALUMINIO",VLOOKUP(Q860,'[3]Tiempo Objeto'!$B$24:$C$32,2,FALSE))))</f>
        <v>0.71333333333333337</v>
      </c>
      <c r="Y860" s="84">
        <f t="shared" si="118"/>
        <v>9.2733333333333334</v>
      </c>
      <c r="Z860" s="80">
        <f t="shared" si="119"/>
        <v>12.87962962962963</v>
      </c>
      <c r="AA860" s="100">
        <v>1</v>
      </c>
      <c r="AB860" s="86">
        <f>+AA860*Analisis!$J$6</f>
        <v>25</v>
      </c>
      <c r="AC860" s="100"/>
      <c r="AD860" s="85">
        <f t="shared" si="120"/>
        <v>0</v>
      </c>
      <c r="AE860" s="86">
        <f>+AC860*Analisis!$J$7</f>
        <v>0</v>
      </c>
      <c r="AF860" s="308">
        <f>+H860*0.0254*I860*0.0254*2*(1+[3]Analisis!$G$2)</f>
        <v>1.0080625000000001E-2</v>
      </c>
      <c r="AG860" s="86">
        <f>+AF860*Analisis!$J$8</f>
        <v>1.0740665922619053</v>
      </c>
      <c r="AH860" s="309">
        <f t="shared" si="126"/>
        <v>68.864821800595237</v>
      </c>
      <c r="AI860" s="86">
        <f>+AH860/(1-Analisis!G865)</f>
        <v>68.864821800595237</v>
      </c>
      <c r="AJ860" s="86">
        <f t="shared" si="121"/>
        <v>74.048195484511012</v>
      </c>
      <c r="AK860" s="86">
        <f t="shared" si="127"/>
        <v>0</v>
      </c>
      <c r="AL860" s="310" t="e">
        <f>+VLOOKUP(B860,#REF!,2,FALSE)</f>
        <v>#REF!</v>
      </c>
      <c r="AM860" s="311" t="e">
        <f t="shared" si="124"/>
        <v>#REF!</v>
      </c>
      <c r="AN860" s="312" t="e">
        <f t="shared" si="129"/>
        <v>#REF!</v>
      </c>
    </row>
    <row r="861" spans="1:40" s="73" customFormat="1" x14ac:dyDescent="0.25">
      <c r="A861" s="313"/>
      <c r="B861" s="332" t="s">
        <v>1547</v>
      </c>
      <c r="D861" s="74">
        <f>IFERROR(VLOOKUP(B861,'REQ. PINTADO'!B:C,2,0),0)</f>
        <v>0</v>
      </c>
      <c r="E861" s="305">
        <f t="shared" si="114"/>
        <v>287.04725254752287</v>
      </c>
      <c r="F861" s="103" t="s">
        <v>163</v>
      </c>
      <c r="G861" s="75" t="s">
        <v>147</v>
      </c>
      <c r="H861" s="90">
        <v>23.88</v>
      </c>
      <c r="I861" s="90">
        <v>9.39</v>
      </c>
      <c r="J861" s="76">
        <v>0.105</v>
      </c>
      <c r="K861" s="306">
        <v>16.38</v>
      </c>
      <c r="L861" s="78">
        <f t="shared" si="115"/>
        <v>11.304781180162712</v>
      </c>
      <c r="M861" s="58">
        <f>+VLOOKUP(F861,Material!$H$2:$M$17,6,FALSE)*H861*I861*(1+Material!$K$14)</f>
        <v>84.169234423211449</v>
      </c>
      <c r="N861" s="79" t="str">
        <f t="shared" si="128"/>
        <v>T5.0</v>
      </c>
      <c r="O861" s="80">
        <f>+VLOOKUP(N861,[3]Material!$A$3:$B$58,2,FALSE)</f>
        <v>5000</v>
      </c>
      <c r="P861" s="79" t="s">
        <v>42</v>
      </c>
      <c r="Q861" s="79" t="str">
        <f>+VLOOKUP(F861,[3]Material!$C$2:$E$12,2,FALSE)</f>
        <v>Cal 12</v>
      </c>
      <c r="R861" s="81">
        <f>+IF(P861="ACERO A36",VLOOKUP(Q861,'[3]Velocidades Std 1500 w'!$B$2:$F$15,5,FALSE),IF(P861="INOXIDABLE",VLOOKUP(Q861,'[3]Velocidades Std 1500 w'!$B$17:$F$28,5,FALSE),IF(P861="ALUMINIO",VLOOKUP(Q861,'[3]Velocidades Std 1500 w'!$B$30:$F$38,5,FALSE))))</f>
        <v>4.3859649122807014E-6</v>
      </c>
      <c r="S861" s="82">
        <f t="shared" si="116"/>
        <v>2.1929824561403508E-2</v>
      </c>
      <c r="T861" s="83">
        <f t="shared" si="117"/>
        <v>48.233396842105257</v>
      </c>
      <c r="U861" s="307">
        <f t="shared" si="125"/>
        <v>3054.7817999999997</v>
      </c>
      <c r="V861" s="80">
        <f t="shared" si="122"/>
        <v>66.990828947368414</v>
      </c>
      <c r="W861" s="98">
        <v>32</v>
      </c>
      <c r="X861" s="84">
        <f>+IF(P861="ACERO A36",VLOOKUP(Q861,'[3]Tiempo Objeto'!$B$2:$C$12,2,FALSE),IF(P861="INOXIDABLE",VLOOKUP(Q861,'[3]Tiempo Objeto'!$B$14:$C$22,2,FALSE),IF(P861="ALUMINIO",VLOOKUP(Q861,'[3]Tiempo Objeto'!$B$24:$C$32,2,FALSE))))</f>
        <v>0.6133333333333334</v>
      </c>
      <c r="Y861" s="84">
        <f t="shared" si="118"/>
        <v>19.626666666666669</v>
      </c>
      <c r="Z861" s="80">
        <f t="shared" si="119"/>
        <v>27.259259259259263</v>
      </c>
      <c r="AA861" s="100">
        <v>2</v>
      </c>
      <c r="AB861" s="86">
        <f>+AA861*Analisis!$J$6</f>
        <v>50</v>
      </c>
      <c r="AC861" s="100"/>
      <c r="AD861" s="85">
        <f t="shared" si="120"/>
        <v>0</v>
      </c>
      <c r="AE861" s="86">
        <f>+AC861*Analisis!$J$7</f>
        <v>0</v>
      </c>
      <c r="AF861" s="308">
        <f>+H861*0.0254*I861*0.0254*2*(1+[3]Analisis!$G$2)</f>
        <v>0.36166572827999999</v>
      </c>
      <c r="AG861" s="86">
        <f>+AF861*Analisis!$J$8</f>
        <v>38.534622239357155</v>
      </c>
      <c r="AH861" s="309">
        <f t="shared" si="126"/>
        <v>266.95394486919628</v>
      </c>
      <c r="AI861" s="86">
        <f>+AH861/(1-Analisis!G866)</f>
        <v>266.95394486919628</v>
      </c>
      <c r="AJ861" s="86">
        <f t="shared" si="121"/>
        <v>287.04725254752287</v>
      </c>
      <c r="AK861" s="86">
        <f t="shared" si="127"/>
        <v>0</v>
      </c>
      <c r="AL861" s="310" t="e">
        <f>+VLOOKUP(B861,#REF!,2,FALSE)</f>
        <v>#REF!</v>
      </c>
      <c r="AM861" s="311" t="e">
        <f t="shared" si="124"/>
        <v>#REF!</v>
      </c>
      <c r="AN861" s="312" t="e">
        <f t="shared" si="129"/>
        <v>#REF!</v>
      </c>
    </row>
    <row r="862" spans="1:40" s="73" customFormat="1" x14ac:dyDescent="0.25">
      <c r="A862" s="313"/>
      <c r="B862" s="332" t="s">
        <v>1547</v>
      </c>
      <c r="D862" s="74">
        <f>IFERROR(VLOOKUP(B862,'REQ. PINTADO'!B:C,2,0),0)</f>
        <v>0</v>
      </c>
      <c r="E862" s="305">
        <f t="shared" si="114"/>
        <v>287.04725254752287</v>
      </c>
      <c r="F862" s="103" t="s">
        <v>163</v>
      </c>
      <c r="G862" s="75" t="s">
        <v>147</v>
      </c>
      <c r="H862" s="90">
        <v>23.88</v>
      </c>
      <c r="I862" s="90">
        <v>9.39</v>
      </c>
      <c r="J862" s="76">
        <v>0.105</v>
      </c>
      <c r="K862" s="306">
        <v>16.38</v>
      </c>
      <c r="L862" s="78">
        <f t="shared" si="115"/>
        <v>11.304781180162712</v>
      </c>
      <c r="M862" s="58">
        <f>+VLOOKUP(F862,Material!$H$2:$M$17,6,FALSE)*H862*I862*(1+Material!$K$14)</f>
        <v>84.169234423211449</v>
      </c>
      <c r="N862" s="79" t="str">
        <f t="shared" si="128"/>
        <v>T5.0</v>
      </c>
      <c r="O862" s="80">
        <f>+VLOOKUP(N862,[3]Material!$A$3:$B$58,2,FALSE)</f>
        <v>5000</v>
      </c>
      <c r="P862" s="79" t="s">
        <v>42</v>
      </c>
      <c r="Q862" s="79" t="str">
        <f>+VLOOKUP(F862,[3]Material!$C$2:$E$12,2,FALSE)</f>
        <v>Cal 12</v>
      </c>
      <c r="R862" s="81">
        <f>+IF(P862="ACERO A36",VLOOKUP(Q862,'[3]Velocidades Std 1500 w'!$B$2:$F$15,5,FALSE),IF(P862="INOXIDABLE",VLOOKUP(Q862,'[3]Velocidades Std 1500 w'!$B$17:$F$28,5,FALSE),IF(P862="ALUMINIO",VLOOKUP(Q862,'[3]Velocidades Std 1500 w'!$B$30:$F$38,5,FALSE))))</f>
        <v>4.3859649122807014E-6</v>
      </c>
      <c r="S862" s="82">
        <f t="shared" si="116"/>
        <v>2.1929824561403508E-2</v>
      </c>
      <c r="T862" s="83">
        <f t="shared" si="117"/>
        <v>48.233396842105257</v>
      </c>
      <c r="U862" s="307">
        <f t="shared" si="125"/>
        <v>3054.7817999999997</v>
      </c>
      <c r="V862" s="80">
        <f t="shared" si="122"/>
        <v>66.990828947368414</v>
      </c>
      <c r="W862" s="98">
        <v>32</v>
      </c>
      <c r="X862" s="84">
        <f>+IF(P862="ACERO A36",VLOOKUP(Q862,'[3]Tiempo Objeto'!$B$2:$C$12,2,FALSE),IF(P862="INOXIDABLE",VLOOKUP(Q862,'[3]Tiempo Objeto'!$B$14:$C$22,2,FALSE),IF(P862="ALUMINIO",VLOOKUP(Q862,'[3]Tiempo Objeto'!$B$24:$C$32,2,FALSE))))</f>
        <v>0.6133333333333334</v>
      </c>
      <c r="Y862" s="84">
        <f t="shared" si="118"/>
        <v>19.626666666666669</v>
      </c>
      <c r="Z862" s="80">
        <f t="shared" si="119"/>
        <v>27.259259259259263</v>
      </c>
      <c r="AA862" s="100">
        <v>2</v>
      </c>
      <c r="AB862" s="86">
        <f>+AA862*Analisis!$J$6</f>
        <v>50</v>
      </c>
      <c r="AC862" s="100"/>
      <c r="AD862" s="85">
        <f t="shared" si="120"/>
        <v>0</v>
      </c>
      <c r="AE862" s="86">
        <f>+AC862*Analisis!$J$7</f>
        <v>0</v>
      </c>
      <c r="AF862" s="308">
        <f>+H862*0.0254*I862*0.0254*2*(1+[3]Analisis!$G$2)</f>
        <v>0.36166572827999999</v>
      </c>
      <c r="AG862" s="86">
        <f>+AF862*Analisis!$J$8</f>
        <v>38.534622239357155</v>
      </c>
      <c r="AH862" s="309">
        <f t="shared" si="126"/>
        <v>266.95394486919628</v>
      </c>
      <c r="AI862" s="86">
        <f>+AH862/(1-Analisis!G867)</f>
        <v>266.95394486919628</v>
      </c>
      <c r="AJ862" s="86">
        <f t="shared" si="121"/>
        <v>287.04725254752287</v>
      </c>
      <c r="AK862" s="86">
        <f t="shared" si="127"/>
        <v>0</v>
      </c>
      <c r="AL862" s="310" t="e">
        <f>+VLOOKUP(B862,#REF!,2,FALSE)</f>
        <v>#REF!</v>
      </c>
      <c r="AM862" s="311" t="e">
        <f t="shared" si="124"/>
        <v>#REF!</v>
      </c>
      <c r="AN862" s="312" t="e">
        <f t="shared" si="129"/>
        <v>#REF!</v>
      </c>
    </row>
    <row r="863" spans="1:40" s="73" customFormat="1" x14ac:dyDescent="0.25">
      <c r="A863" s="313"/>
      <c r="B863" s="332" t="s">
        <v>1548</v>
      </c>
      <c r="D863" s="74">
        <f>IFERROR(VLOOKUP(B863,'REQ. PINTADO'!B:C,2,0),0)</f>
        <v>0</v>
      </c>
      <c r="E863" s="305">
        <f t="shared" si="114"/>
        <v>1161.2059054039908</v>
      </c>
      <c r="F863" s="103" t="s">
        <v>163</v>
      </c>
      <c r="G863" s="75" t="s">
        <v>147</v>
      </c>
      <c r="H863" s="90">
        <v>45.83</v>
      </c>
      <c r="I863" s="90">
        <v>33.020000000000003</v>
      </c>
      <c r="J863" s="76">
        <v>0.105</v>
      </c>
      <c r="K863" s="306">
        <v>16.38</v>
      </c>
      <c r="L863" s="78">
        <f t="shared" si="115"/>
        <v>76.29378687676946</v>
      </c>
      <c r="M863" s="58">
        <f>+VLOOKUP(F863,Material!$H$2:$M$17,6,FALSE)*H863*I863*(1+Material!$K$14)</f>
        <v>568.04192229158343</v>
      </c>
      <c r="N863" s="79" t="str">
        <f t="shared" si="128"/>
        <v>T5.0</v>
      </c>
      <c r="O863" s="80">
        <f>+VLOOKUP(N863,[3]Material!$A$3:$B$58,2,FALSE)</f>
        <v>5000</v>
      </c>
      <c r="P863" s="79" t="s">
        <v>42</v>
      </c>
      <c r="Q863" s="79" t="str">
        <f>+VLOOKUP(F863,[3]Material!$C$2:$E$12,2,FALSE)</f>
        <v>Cal 12</v>
      </c>
      <c r="R863" s="81">
        <f>+IF(P863="ACERO A36",VLOOKUP(Q863,'[3]Velocidades Std 1500 w'!$B$2:$F$15,5,FALSE),IF(P863="INOXIDABLE",VLOOKUP(Q863,'[3]Velocidades Std 1500 w'!$B$17:$F$28,5,FALSE),IF(P863="ALUMINIO",VLOOKUP(Q863,'[3]Velocidades Std 1500 w'!$B$30:$F$38,5,FALSE))))</f>
        <v>4.3859649122807014E-6</v>
      </c>
      <c r="S863" s="82">
        <f t="shared" si="116"/>
        <v>2.1929824561403508E-2</v>
      </c>
      <c r="T863" s="83">
        <f t="shared" si="117"/>
        <v>79.041457894736823</v>
      </c>
      <c r="U863" s="307">
        <f t="shared" si="125"/>
        <v>5005.9589999999989</v>
      </c>
      <c r="V863" s="80">
        <f t="shared" si="122"/>
        <v>109.77980263157892</v>
      </c>
      <c r="W863" s="98">
        <v>20</v>
      </c>
      <c r="X863" s="84">
        <f>+IF(P863="ACERO A36",VLOOKUP(Q863,'[3]Tiempo Objeto'!$B$2:$C$12,2,FALSE),IF(P863="INOXIDABLE",VLOOKUP(Q863,'[3]Tiempo Objeto'!$B$14:$C$22,2,FALSE),IF(P863="ALUMINIO",VLOOKUP(Q863,'[3]Tiempo Objeto'!$B$24:$C$32,2,FALSE))))</f>
        <v>0.6133333333333334</v>
      </c>
      <c r="Y863" s="84">
        <f t="shared" si="118"/>
        <v>12.266666666666667</v>
      </c>
      <c r="Z863" s="80">
        <f t="shared" si="119"/>
        <v>17.037037037037038</v>
      </c>
      <c r="AA863" s="100">
        <v>5</v>
      </c>
      <c r="AB863" s="86">
        <f>+AA863*Analisis!$J$6</f>
        <v>125</v>
      </c>
      <c r="AC863" s="100"/>
      <c r="AD863" s="85">
        <f t="shared" si="120"/>
        <v>0</v>
      </c>
      <c r="AE863" s="86">
        <f>+AC863*Analisis!$J$7</f>
        <v>0</v>
      </c>
      <c r="AF863" s="308">
        <f>+H863*0.0254*I863*0.0254*2*(1+[3]Analisis!$G$2)</f>
        <v>2.4408122151399998</v>
      </c>
      <c r="AG863" s="86">
        <f>+AF863*Analisis!$J$8</f>
        <v>260.06273006551197</v>
      </c>
      <c r="AH863" s="309">
        <f t="shared" si="126"/>
        <v>1079.9214920257114</v>
      </c>
      <c r="AI863" s="86">
        <f>+AH863/(1-Analisis!G868)</f>
        <v>1079.9214920257114</v>
      </c>
      <c r="AJ863" s="86">
        <f t="shared" si="121"/>
        <v>1161.2059054039908</v>
      </c>
      <c r="AK863" s="86">
        <f t="shared" si="127"/>
        <v>0</v>
      </c>
      <c r="AL863" s="310" t="e">
        <f>+VLOOKUP(B863,#REF!,2,FALSE)</f>
        <v>#REF!</v>
      </c>
      <c r="AM863" s="311" t="e">
        <f t="shared" si="124"/>
        <v>#REF!</v>
      </c>
      <c r="AN863" s="312" t="e">
        <f t="shared" si="129"/>
        <v>#REF!</v>
      </c>
    </row>
    <row r="864" spans="1:40" s="73" customFormat="1" x14ac:dyDescent="0.25">
      <c r="A864" s="313"/>
      <c r="B864" s="332" t="s">
        <v>1549</v>
      </c>
      <c r="D864" s="74">
        <f>IFERROR(VLOOKUP(B864,'REQ. PINTADO'!B:C,2,0),0)</f>
        <v>0</v>
      </c>
      <c r="E864" s="305">
        <f t="shared" si="114"/>
        <v>1161.2059054039908</v>
      </c>
      <c r="F864" s="103" t="s">
        <v>163</v>
      </c>
      <c r="G864" s="75" t="s">
        <v>147</v>
      </c>
      <c r="H864" s="90">
        <v>45.83</v>
      </c>
      <c r="I864" s="90">
        <v>33.020000000000003</v>
      </c>
      <c r="J864" s="76">
        <v>0.105</v>
      </c>
      <c r="K864" s="306">
        <v>16.38</v>
      </c>
      <c r="L864" s="78">
        <f t="shared" si="115"/>
        <v>76.29378687676946</v>
      </c>
      <c r="M864" s="58">
        <f>+VLOOKUP(F864,Material!$H$2:$M$17,6,FALSE)*H864*I864*(1+Material!$K$14)</f>
        <v>568.04192229158343</v>
      </c>
      <c r="N864" s="79" t="str">
        <f t="shared" si="128"/>
        <v>T5.0</v>
      </c>
      <c r="O864" s="80">
        <f>+VLOOKUP(N864,[3]Material!$A$3:$B$58,2,FALSE)</f>
        <v>5000</v>
      </c>
      <c r="P864" s="79" t="s">
        <v>42</v>
      </c>
      <c r="Q864" s="79" t="str">
        <f>+VLOOKUP(F864,[3]Material!$C$2:$E$12,2,FALSE)</f>
        <v>Cal 12</v>
      </c>
      <c r="R864" s="81">
        <f>+IF(P864="ACERO A36",VLOOKUP(Q864,'[3]Velocidades Std 1500 w'!$B$2:$F$15,5,FALSE),IF(P864="INOXIDABLE",VLOOKUP(Q864,'[3]Velocidades Std 1500 w'!$B$17:$F$28,5,FALSE),IF(P864="ALUMINIO",VLOOKUP(Q864,'[3]Velocidades Std 1500 w'!$B$30:$F$38,5,FALSE))))</f>
        <v>4.3859649122807014E-6</v>
      </c>
      <c r="S864" s="82">
        <f t="shared" si="116"/>
        <v>2.1929824561403508E-2</v>
      </c>
      <c r="T864" s="83">
        <f t="shared" si="117"/>
        <v>79.041457894736823</v>
      </c>
      <c r="U864" s="307">
        <f t="shared" si="125"/>
        <v>5005.9589999999989</v>
      </c>
      <c r="V864" s="80">
        <f t="shared" si="122"/>
        <v>109.77980263157892</v>
      </c>
      <c r="W864" s="98">
        <v>20</v>
      </c>
      <c r="X864" s="84">
        <f>+IF(P864="ACERO A36",VLOOKUP(Q864,'[3]Tiempo Objeto'!$B$2:$C$12,2,FALSE),IF(P864="INOXIDABLE",VLOOKUP(Q864,'[3]Tiempo Objeto'!$B$14:$C$22,2,FALSE),IF(P864="ALUMINIO",VLOOKUP(Q864,'[3]Tiempo Objeto'!$B$24:$C$32,2,FALSE))))</f>
        <v>0.6133333333333334</v>
      </c>
      <c r="Y864" s="84">
        <f t="shared" si="118"/>
        <v>12.266666666666667</v>
      </c>
      <c r="Z864" s="80">
        <f t="shared" si="119"/>
        <v>17.037037037037038</v>
      </c>
      <c r="AA864" s="100">
        <v>5</v>
      </c>
      <c r="AB864" s="86">
        <f>+AA864*Analisis!$J$6</f>
        <v>125</v>
      </c>
      <c r="AC864" s="100"/>
      <c r="AD864" s="85">
        <f t="shared" si="120"/>
        <v>0</v>
      </c>
      <c r="AE864" s="86">
        <f>+AC864*Analisis!$J$7</f>
        <v>0</v>
      </c>
      <c r="AF864" s="308">
        <f>+H864*0.0254*I864*0.0254*2*(1+[3]Analisis!$G$2)</f>
        <v>2.4408122151399998</v>
      </c>
      <c r="AG864" s="86">
        <f>+AF864*Analisis!$J$8</f>
        <v>260.06273006551197</v>
      </c>
      <c r="AH864" s="309">
        <f t="shared" si="126"/>
        <v>1079.9214920257114</v>
      </c>
      <c r="AI864" s="86">
        <f>+AH864/(1-Analisis!G869)</f>
        <v>1079.9214920257114</v>
      </c>
      <c r="AJ864" s="86">
        <f t="shared" si="121"/>
        <v>1161.2059054039908</v>
      </c>
      <c r="AK864" s="86">
        <f t="shared" si="127"/>
        <v>0</v>
      </c>
      <c r="AL864" s="310" t="e">
        <f>+VLOOKUP(B864,#REF!,2,FALSE)</f>
        <v>#REF!</v>
      </c>
      <c r="AM864" s="311" t="e">
        <f t="shared" si="124"/>
        <v>#REF!</v>
      </c>
      <c r="AN864" s="312" t="e">
        <f t="shared" si="129"/>
        <v>#REF!</v>
      </c>
    </row>
    <row r="865" spans="1:40" s="73" customFormat="1" x14ac:dyDescent="0.25">
      <c r="A865" s="313"/>
      <c r="B865" s="332" t="s">
        <v>1550</v>
      </c>
      <c r="D865" s="74">
        <f>IFERROR(VLOOKUP(B865,'REQ. PINTADO'!B:C,2,0),0)</f>
        <v>0</v>
      </c>
      <c r="E865" s="305">
        <f t="shared" si="114"/>
        <v>524.07255171701365</v>
      </c>
      <c r="F865" s="103" t="s">
        <v>165</v>
      </c>
      <c r="G865" s="75" t="s">
        <v>147</v>
      </c>
      <c r="H865" s="90">
        <v>23.35</v>
      </c>
      <c r="I865" s="90">
        <v>23.08</v>
      </c>
      <c r="J865" s="76">
        <v>0.105</v>
      </c>
      <c r="K865" s="306">
        <v>16.38</v>
      </c>
      <c r="L865" s="78">
        <f t="shared" si="115"/>
        <v>30.083830662393162</v>
      </c>
      <c r="M865" s="58">
        <f>+VLOOKUP(F865,Material!$H$2:$M$17,6,FALSE)*H865*I865*(1+Material!$K$14)</f>
        <v>223.98779374999998</v>
      </c>
      <c r="N865" s="79" t="str">
        <f t="shared" si="128"/>
        <v>T5.0</v>
      </c>
      <c r="O865" s="80">
        <f>+VLOOKUP(N865,[3]Material!$A$3:$B$58,2,FALSE)</f>
        <v>5000</v>
      </c>
      <c r="P865" s="79" t="s">
        <v>42</v>
      </c>
      <c r="Q865" s="79" t="str">
        <f>+VLOOKUP(F865,[3]Material!$C$2:$E$12,2,FALSE)</f>
        <v>Cal 14</v>
      </c>
      <c r="R865" s="81">
        <f>+IF(P865="ACERO A36",VLOOKUP(Q865,'[3]Velocidades Std 1500 w'!$B$2:$F$15,5,FALSE),IF(P865="INOXIDABLE",VLOOKUP(Q865,'[3]Velocidades Std 1500 w'!$B$17:$F$28,5,FALSE),IF(P865="ALUMINIO",VLOOKUP(Q865,'[3]Velocidades Std 1500 w'!$B$30:$F$38,5,FALSE))))</f>
        <v>2.0080321285140564E-6</v>
      </c>
      <c r="S865" s="82">
        <f t="shared" si="116"/>
        <v>1.0040160642570283E-2</v>
      </c>
      <c r="T865" s="83">
        <f t="shared" si="117"/>
        <v>25.132779759036151</v>
      </c>
      <c r="U865" s="307">
        <f t="shared" si="125"/>
        <v>3476.7012000000004</v>
      </c>
      <c r="V865" s="80">
        <f t="shared" si="122"/>
        <v>34.906638554216876</v>
      </c>
      <c r="W865" s="98">
        <v>25</v>
      </c>
      <c r="X865" s="84">
        <f>+IF(P865="ACERO A36",VLOOKUP(Q865,'[3]Tiempo Objeto'!$B$2:$C$12,2,FALSE),IF(P865="INOXIDABLE",VLOOKUP(Q865,'[3]Tiempo Objeto'!$B$14:$C$22,2,FALSE),IF(P865="ALUMINIO",VLOOKUP(Q865,'[3]Tiempo Objeto'!$B$24:$C$32,2,FALSE))))</f>
        <v>0.3133333333333333</v>
      </c>
      <c r="Y865" s="84">
        <f t="shared" si="118"/>
        <v>7.8333333333333321</v>
      </c>
      <c r="Z865" s="80">
        <f t="shared" si="119"/>
        <v>10.87962962962963</v>
      </c>
      <c r="AA865" s="100">
        <v>5</v>
      </c>
      <c r="AB865" s="86">
        <f>+AA865*Analisis!$J$6</f>
        <v>125</v>
      </c>
      <c r="AC865" s="100"/>
      <c r="AD865" s="85">
        <f t="shared" si="120"/>
        <v>0</v>
      </c>
      <c r="AE865" s="86">
        <f>+AC865*Analisis!$J$7</f>
        <v>0</v>
      </c>
      <c r="AF865" s="308">
        <f>+H865*0.0254*I865*0.0254*2*(1+[3]Analisis!$G$2)</f>
        <v>0.86922084220000007</v>
      </c>
      <c r="AG865" s="86">
        <f>+AF865*Analisis!$J$8</f>
        <v>92.61341116297622</v>
      </c>
      <c r="AH865" s="309">
        <f t="shared" si="126"/>
        <v>487.3874730968227</v>
      </c>
      <c r="AI865" s="86">
        <f>+AH865/(1-Analisis!G870)</f>
        <v>487.3874730968227</v>
      </c>
      <c r="AJ865" s="86">
        <f t="shared" si="121"/>
        <v>524.07255171701365</v>
      </c>
      <c r="AK865" s="86">
        <f t="shared" si="127"/>
        <v>0</v>
      </c>
      <c r="AL865" s="310" t="e">
        <f>+VLOOKUP(B865,#REF!,2,FALSE)</f>
        <v>#REF!</v>
      </c>
      <c r="AM865" s="311" t="e">
        <f t="shared" si="124"/>
        <v>#REF!</v>
      </c>
      <c r="AN865" s="312" t="e">
        <f t="shared" si="129"/>
        <v>#REF!</v>
      </c>
    </row>
    <row r="866" spans="1:40" s="73" customFormat="1" x14ac:dyDescent="0.25">
      <c r="A866" s="313"/>
      <c r="B866" s="332" t="s">
        <v>1551</v>
      </c>
      <c r="D866" s="74">
        <f>IFERROR(VLOOKUP(B866,'REQ. PINTADO'!B:C,2,0),0)</f>
        <v>0</v>
      </c>
      <c r="E866" s="305">
        <f t="shared" si="114"/>
        <v>524.07255171701365</v>
      </c>
      <c r="F866" s="103" t="s">
        <v>165</v>
      </c>
      <c r="G866" s="75" t="s">
        <v>147</v>
      </c>
      <c r="H866" s="90">
        <v>23.35</v>
      </c>
      <c r="I866" s="90">
        <v>23.08</v>
      </c>
      <c r="J866" s="76">
        <v>0.105</v>
      </c>
      <c r="K866" s="306">
        <v>16.38</v>
      </c>
      <c r="L866" s="78">
        <f t="shared" si="115"/>
        <v>30.083830662393162</v>
      </c>
      <c r="M866" s="58">
        <f>+VLOOKUP(F866,Material!$H$2:$M$17,6,FALSE)*H866*I866*(1+Material!$K$14)</f>
        <v>223.98779374999998</v>
      </c>
      <c r="N866" s="79" t="str">
        <f t="shared" si="128"/>
        <v>T5.0</v>
      </c>
      <c r="O866" s="80">
        <f>+VLOOKUP(N866,[3]Material!$A$3:$B$58,2,FALSE)</f>
        <v>5000</v>
      </c>
      <c r="P866" s="79" t="s">
        <v>42</v>
      </c>
      <c r="Q866" s="79" t="str">
        <f>+VLOOKUP(F866,[3]Material!$C$2:$E$12,2,FALSE)</f>
        <v>Cal 14</v>
      </c>
      <c r="R866" s="81">
        <f>+IF(P866="ACERO A36",VLOOKUP(Q866,'[3]Velocidades Std 1500 w'!$B$2:$F$15,5,FALSE),IF(P866="INOXIDABLE",VLOOKUP(Q866,'[3]Velocidades Std 1500 w'!$B$17:$F$28,5,FALSE),IF(P866="ALUMINIO",VLOOKUP(Q866,'[3]Velocidades Std 1500 w'!$B$30:$F$38,5,FALSE))))</f>
        <v>2.0080321285140564E-6</v>
      </c>
      <c r="S866" s="82">
        <f t="shared" si="116"/>
        <v>1.0040160642570283E-2</v>
      </c>
      <c r="T866" s="83">
        <f t="shared" si="117"/>
        <v>25.132779759036151</v>
      </c>
      <c r="U866" s="307">
        <f t="shared" si="125"/>
        <v>3476.7012000000004</v>
      </c>
      <c r="V866" s="80">
        <f t="shared" si="122"/>
        <v>34.906638554216876</v>
      </c>
      <c r="W866" s="98">
        <v>25</v>
      </c>
      <c r="X866" s="84">
        <f>+IF(P866="ACERO A36",VLOOKUP(Q866,'[3]Tiempo Objeto'!$B$2:$C$12,2,FALSE),IF(P866="INOXIDABLE",VLOOKUP(Q866,'[3]Tiempo Objeto'!$B$14:$C$22,2,FALSE),IF(P866="ALUMINIO",VLOOKUP(Q866,'[3]Tiempo Objeto'!$B$24:$C$32,2,FALSE))))</f>
        <v>0.3133333333333333</v>
      </c>
      <c r="Y866" s="84">
        <f t="shared" si="118"/>
        <v>7.8333333333333321</v>
      </c>
      <c r="Z866" s="80">
        <f t="shared" si="119"/>
        <v>10.87962962962963</v>
      </c>
      <c r="AA866" s="100">
        <v>5</v>
      </c>
      <c r="AB866" s="86">
        <f>+AA866*Analisis!$J$6</f>
        <v>125</v>
      </c>
      <c r="AC866" s="100"/>
      <c r="AD866" s="85">
        <f t="shared" si="120"/>
        <v>0</v>
      </c>
      <c r="AE866" s="86">
        <f>+AC866*Analisis!$J$7</f>
        <v>0</v>
      </c>
      <c r="AF866" s="308">
        <f>+H866*0.0254*I866*0.0254*2*(1+[3]Analisis!$G$2)</f>
        <v>0.86922084220000007</v>
      </c>
      <c r="AG866" s="86">
        <f>+AF866*Analisis!$J$8</f>
        <v>92.61341116297622</v>
      </c>
      <c r="AH866" s="309">
        <f t="shared" si="126"/>
        <v>487.3874730968227</v>
      </c>
      <c r="AI866" s="86">
        <f>+AH866/(1-Analisis!G871)</f>
        <v>487.3874730968227</v>
      </c>
      <c r="AJ866" s="86">
        <f t="shared" si="121"/>
        <v>524.07255171701365</v>
      </c>
      <c r="AK866" s="86">
        <f t="shared" si="127"/>
        <v>0</v>
      </c>
      <c r="AL866" s="310" t="e">
        <f>+VLOOKUP(B866,#REF!,2,FALSE)</f>
        <v>#REF!</v>
      </c>
      <c r="AM866" s="311" t="e">
        <f t="shared" si="124"/>
        <v>#REF!</v>
      </c>
      <c r="AN866" s="312" t="e">
        <f t="shared" si="129"/>
        <v>#REF!</v>
      </c>
    </row>
    <row r="867" spans="1:40" s="73" customFormat="1" x14ac:dyDescent="0.25">
      <c r="A867" s="313"/>
      <c r="B867" s="332" t="s">
        <v>1552</v>
      </c>
      <c r="D867" s="74">
        <f>IFERROR(VLOOKUP(B867,'REQ. PINTADO'!B:C,2,0),0)</f>
        <v>0</v>
      </c>
      <c r="E867" s="305">
        <f t="shared" si="114"/>
        <v>524.07255171701365</v>
      </c>
      <c r="F867" s="103" t="s">
        <v>165</v>
      </c>
      <c r="G867" s="75" t="s">
        <v>147</v>
      </c>
      <c r="H867" s="90">
        <v>23.35</v>
      </c>
      <c r="I867" s="90">
        <v>23.08</v>
      </c>
      <c r="J867" s="76">
        <v>0.105</v>
      </c>
      <c r="K867" s="306">
        <v>16.38</v>
      </c>
      <c r="L867" s="78">
        <f t="shared" si="115"/>
        <v>30.083830662393162</v>
      </c>
      <c r="M867" s="58">
        <f>+VLOOKUP(F867,Material!$H$2:$M$17,6,FALSE)*H867*I867*(1+Material!$K$14)</f>
        <v>223.98779374999998</v>
      </c>
      <c r="N867" s="79" t="str">
        <f t="shared" si="128"/>
        <v>T5.0</v>
      </c>
      <c r="O867" s="80">
        <f>+VLOOKUP(N867,[3]Material!$A$3:$B$58,2,FALSE)</f>
        <v>5000</v>
      </c>
      <c r="P867" s="79" t="s">
        <v>42</v>
      </c>
      <c r="Q867" s="79" t="str">
        <f>+VLOOKUP(F867,[3]Material!$C$2:$E$12,2,FALSE)</f>
        <v>Cal 14</v>
      </c>
      <c r="R867" s="81">
        <f>+IF(P867="ACERO A36",VLOOKUP(Q867,'[3]Velocidades Std 1500 w'!$B$2:$F$15,5,FALSE),IF(P867="INOXIDABLE",VLOOKUP(Q867,'[3]Velocidades Std 1500 w'!$B$17:$F$28,5,FALSE),IF(P867="ALUMINIO",VLOOKUP(Q867,'[3]Velocidades Std 1500 w'!$B$30:$F$38,5,FALSE))))</f>
        <v>2.0080321285140564E-6</v>
      </c>
      <c r="S867" s="82">
        <f t="shared" si="116"/>
        <v>1.0040160642570283E-2</v>
      </c>
      <c r="T867" s="83">
        <f t="shared" si="117"/>
        <v>25.132779759036151</v>
      </c>
      <c r="U867" s="307">
        <f t="shared" si="125"/>
        <v>3476.7012000000004</v>
      </c>
      <c r="V867" s="80">
        <f t="shared" si="122"/>
        <v>34.906638554216876</v>
      </c>
      <c r="W867" s="98">
        <v>25</v>
      </c>
      <c r="X867" s="84">
        <f>+IF(P867="ACERO A36",VLOOKUP(Q867,'[3]Tiempo Objeto'!$B$2:$C$12,2,FALSE),IF(P867="INOXIDABLE",VLOOKUP(Q867,'[3]Tiempo Objeto'!$B$14:$C$22,2,FALSE),IF(P867="ALUMINIO",VLOOKUP(Q867,'[3]Tiempo Objeto'!$B$24:$C$32,2,FALSE))))</f>
        <v>0.3133333333333333</v>
      </c>
      <c r="Y867" s="84">
        <f t="shared" si="118"/>
        <v>7.8333333333333321</v>
      </c>
      <c r="Z867" s="80">
        <f t="shared" si="119"/>
        <v>10.87962962962963</v>
      </c>
      <c r="AA867" s="100">
        <v>5</v>
      </c>
      <c r="AB867" s="86">
        <f>+AA867*Analisis!$J$6</f>
        <v>125</v>
      </c>
      <c r="AC867" s="100"/>
      <c r="AD867" s="85">
        <f t="shared" si="120"/>
        <v>0</v>
      </c>
      <c r="AE867" s="86">
        <f>+AC867*Analisis!$J$7</f>
        <v>0</v>
      </c>
      <c r="AF867" s="308">
        <f>+H867*0.0254*I867*0.0254*2*(1+[3]Analisis!$G$2)</f>
        <v>0.86922084220000007</v>
      </c>
      <c r="AG867" s="86">
        <f>+AF867*Analisis!$J$8</f>
        <v>92.61341116297622</v>
      </c>
      <c r="AH867" s="309">
        <f t="shared" si="126"/>
        <v>487.3874730968227</v>
      </c>
      <c r="AI867" s="86">
        <f>+AH867/(1-Analisis!G872)</f>
        <v>487.3874730968227</v>
      </c>
      <c r="AJ867" s="86">
        <f t="shared" si="121"/>
        <v>524.07255171701365</v>
      </c>
      <c r="AK867" s="86">
        <f t="shared" si="127"/>
        <v>0</v>
      </c>
      <c r="AL867" s="310" t="e">
        <f>+VLOOKUP(B867,#REF!,2,FALSE)</f>
        <v>#REF!</v>
      </c>
      <c r="AM867" s="311" t="e">
        <f t="shared" si="124"/>
        <v>#REF!</v>
      </c>
      <c r="AN867" s="312" t="e">
        <f t="shared" si="129"/>
        <v>#REF!</v>
      </c>
    </row>
    <row r="868" spans="1:40" s="73" customFormat="1" x14ac:dyDescent="0.25">
      <c r="A868" s="313"/>
      <c r="B868" s="332" t="s">
        <v>1553</v>
      </c>
      <c r="D868" s="74">
        <f>IFERROR(VLOOKUP(B868,'REQ. PINTADO'!B:C,2,0),0)</f>
        <v>0</v>
      </c>
      <c r="E868" s="305">
        <f t="shared" si="114"/>
        <v>524.07255171701365</v>
      </c>
      <c r="F868" s="103" t="s">
        <v>165</v>
      </c>
      <c r="G868" s="75" t="s">
        <v>147</v>
      </c>
      <c r="H868" s="90">
        <v>23.35</v>
      </c>
      <c r="I868" s="90">
        <v>23.08</v>
      </c>
      <c r="J868" s="76">
        <v>0.105</v>
      </c>
      <c r="K868" s="306">
        <v>16.38</v>
      </c>
      <c r="L868" s="78">
        <f t="shared" si="115"/>
        <v>30.083830662393162</v>
      </c>
      <c r="M868" s="58">
        <f>+VLOOKUP(F868,Material!$H$2:$M$17,6,FALSE)*H868*I868*(1+Material!$K$14)</f>
        <v>223.98779374999998</v>
      </c>
      <c r="N868" s="79" t="str">
        <f t="shared" si="128"/>
        <v>T5.0</v>
      </c>
      <c r="O868" s="80">
        <f>+VLOOKUP(N868,[3]Material!$A$3:$B$58,2,FALSE)</f>
        <v>5000</v>
      </c>
      <c r="P868" s="79" t="s">
        <v>42</v>
      </c>
      <c r="Q868" s="79" t="str">
        <f>+VLOOKUP(F868,[3]Material!$C$2:$E$12,2,FALSE)</f>
        <v>Cal 14</v>
      </c>
      <c r="R868" s="81">
        <f>+IF(P868="ACERO A36",VLOOKUP(Q868,'[3]Velocidades Std 1500 w'!$B$2:$F$15,5,FALSE),IF(P868="INOXIDABLE",VLOOKUP(Q868,'[3]Velocidades Std 1500 w'!$B$17:$F$28,5,FALSE),IF(P868="ALUMINIO",VLOOKUP(Q868,'[3]Velocidades Std 1500 w'!$B$30:$F$38,5,FALSE))))</f>
        <v>2.0080321285140564E-6</v>
      </c>
      <c r="S868" s="82">
        <f t="shared" si="116"/>
        <v>1.0040160642570283E-2</v>
      </c>
      <c r="T868" s="83">
        <f t="shared" si="117"/>
        <v>25.132779759036151</v>
      </c>
      <c r="U868" s="307">
        <f t="shared" si="125"/>
        <v>3476.7012000000004</v>
      </c>
      <c r="V868" s="80">
        <f t="shared" si="122"/>
        <v>34.906638554216876</v>
      </c>
      <c r="W868" s="98">
        <v>25</v>
      </c>
      <c r="X868" s="84">
        <f>+IF(P868="ACERO A36",VLOOKUP(Q868,'[3]Tiempo Objeto'!$B$2:$C$12,2,FALSE),IF(P868="INOXIDABLE",VLOOKUP(Q868,'[3]Tiempo Objeto'!$B$14:$C$22,2,FALSE),IF(P868="ALUMINIO",VLOOKUP(Q868,'[3]Tiempo Objeto'!$B$24:$C$32,2,FALSE))))</f>
        <v>0.3133333333333333</v>
      </c>
      <c r="Y868" s="84">
        <f t="shared" si="118"/>
        <v>7.8333333333333321</v>
      </c>
      <c r="Z868" s="80">
        <f t="shared" si="119"/>
        <v>10.87962962962963</v>
      </c>
      <c r="AA868" s="100">
        <v>5</v>
      </c>
      <c r="AB868" s="86">
        <f>+AA868*Analisis!$J$6</f>
        <v>125</v>
      </c>
      <c r="AC868" s="100"/>
      <c r="AD868" s="85">
        <f t="shared" si="120"/>
        <v>0</v>
      </c>
      <c r="AE868" s="86">
        <f>+AC868*Analisis!$J$7</f>
        <v>0</v>
      </c>
      <c r="AF868" s="308">
        <f>+H868*0.0254*I868*0.0254*2*(1+[3]Analisis!$G$2)</f>
        <v>0.86922084220000007</v>
      </c>
      <c r="AG868" s="86">
        <f>+AF868*Analisis!$J$8</f>
        <v>92.61341116297622</v>
      </c>
      <c r="AH868" s="309">
        <f t="shared" si="126"/>
        <v>487.3874730968227</v>
      </c>
      <c r="AI868" s="86">
        <f>+AH868/(1-Analisis!G873)</f>
        <v>487.3874730968227</v>
      </c>
      <c r="AJ868" s="86">
        <f t="shared" si="121"/>
        <v>524.07255171701365</v>
      </c>
      <c r="AK868" s="86">
        <f t="shared" si="127"/>
        <v>0</v>
      </c>
      <c r="AL868" s="310" t="e">
        <f>+VLOOKUP(B868,#REF!,2,FALSE)</f>
        <v>#REF!</v>
      </c>
      <c r="AM868" s="311" t="e">
        <f t="shared" si="124"/>
        <v>#REF!</v>
      </c>
      <c r="AN868" s="312" t="e">
        <f t="shared" si="129"/>
        <v>#REF!</v>
      </c>
    </row>
    <row r="869" spans="1:40" s="73" customFormat="1" x14ac:dyDescent="0.25">
      <c r="A869" s="313"/>
      <c r="B869" s="332" t="s">
        <v>1554</v>
      </c>
      <c r="D869" s="74">
        <f>IFERROR(VLOOKUP(B869,'REQ. PINTADO'!B:C,2,0),0)</f>
        <v>0</v>
      </c>
      <c r="E869" s="305">
        <f t="shared" si="114"/>
        <v>524.07255171701365</v>
      </c>
      <c r="F869" s="103" t="s">
        <v>165</v>
      </c>
      <c r="G869" s="75" t="s">
        <v>147</v>
      </c>
      <c r="H869" s="90">
        <v>23.35</v>
      </c>
      <c r="I869" s="90">
        <v>23.08</v>
      </c>
      <c r="J869" s="76">
        <v>0.105</v>
      </c>
      <c r="K869" s="306">
        <v>16.38</v>
      </c>
      <c r="L869" s="78">
        <f t="shared" si="115"/>
        <v>30.083830662393162</v>
      </c>
      <c r="M869" s="58">
        <f>+VLOOKUP(F869,Material!$H$2:$M$17,6,FALSE)*H869*I869*(1+Material!$K$14)</f>
        <v>223.98779374999998</v>
      </c>
      <c r="N869" s="79" t="str">
        <f t="shared" si="128"/>
        <v>T5.0</v>
      </c>
      <c r="O869" s="80">
        <f>+VLOOKUP(N869,[3]Material!$A$3:$B$58,2,FALSE)</f>
        <v>5000</v>
      </c>
      <c r="P869" s="79" t="s">
        <v>42</v>
      </c>
      <c r="Q869" s="79" t="str">
        <f>+VLOOKUP(F869,[3]Material!$C$2:$E$12,2,FALSE)</f>
        <v>Cal 14</v>
      </c>
      <c r="R869" s="81">
        <f>+IF(P869="ACERO A36",VLOOKUP(Q869,'[3]Velocidades Std 1500 w'!$B$2:$F$15,5,FALSE),IF(P869="INOXIDABLE",VLOOKUP(Q869,'[3]Velocidades Std 1500 w'!$B$17:$F$28,5,FALSE),IF(P869="ALUMINIO",VLOOKUP(Q869,'[3]Velocidades Std 1500 w'!$B$30:$F$38,5,FALSE))))</f>
        <v>2.0080321285140564E-6</v>
      </c>
      <c r="S869" s="82">
        <f t="shared" si="116"/>
        <v>1.0040160642570283E-2</v>
      </c>
      <c r="T869" s="83">
        <f t="shared" si="117"/>
        <v>25.132779759036151</v>
      </c>
      <c r="U869" s="307">
        <f t="shared" si="125"/>
        <v>3476.7012000000004</v>
      </c>
      <c r="V869" s="80">
        <f t="shared" si="122"/>
        <v>34.906638554216876</v>
      </c>
      <c r="W869" s="98">
        <v>25</v>
      </c>
      <c r="X869" s="84">
        <f>+IF(P869="ACERO A36",VLOOKUP(Q869,'[3]Tiempo Objeto'!$B$2:$C$12,2,FALSE),IF(P869="INOXIDABLE",VLOOKUP(Q869,'[3]Tiempo Objeto'!$B$14:$C$22,2,FALSE),IF(P869="ALUMINIO",VLOOKUP(Q869,'[3]Tiempo Objeto'!$B$24:$C$32,2,FALSE))))</f>
        <v>0.3133333333333333</v>
      </c>
      <c r="Y869" s="84">
        <f t="shared" si="118"/>
        <v>7.8333333333333321</v>
      </c>
      <c r="Z869" s="80">
        <f t="shared" si="119"/>
        <v>10.87962962962963</v>
      </c>
      <c r="AA869" s="100">
        <v>5</v>
      </c>
      <c r="AB869" s="86">
        <f>+AA869*Analisis!$J$6</f>
        <v>125</v>
      </c>
      <c r="AC869" s="100"/>
      <c r="AD869" s="85">
        <f t="shared" si="120"/>
        <v>0</v>
      </c>
      <c r="AE869" s="86">
        <f>+AC869*Analisis!$J$7</f>
        <v>0</v>
      </c>
      <c r="AF869" s="308">
        <f>+H869*0.0254*I869*0.0254*2*(1+[3]Analisis!$G$2)</f>
        <v>0.86922084220000007</v>
      </c>
      <c r="AG869" s="86">
        <f>+AF869*Analisis!$J$8</f>
        <v>92.61341116297622</v>
      </c>
      <c r="AH869" s="309">
        <f t="shared" si="126"/>
        <v>487.3874730968227</v>
      </c>
      <c r="AI869" s="86">
        <f>+AH869/(1-Analisis!G874)</f>
        <v>487.3874730968227</v>
      </c>
      <c r="AJ869" s="86">
        <f t="shared" si="121"/>
        <v>524.07255171701365</v>
      </c>
      <c r="AK869" s="86">
        <f t="shared" si="127"/>
        <v>0</v>
      </c>
      <c r="AL869" s="310" t="e">
        <f>+VLOOKUP(B869,#REF!,2,FALSE)</f>
        <v>#REF!</v>
      </c>
      <c r="AM869" s="311" t="e">
        <f t="shared" si="124"/>
        <v>#REF!</v>
      </c>
      <c r="AN869" s="312" t="e">
        <f t="shared" si="129"/>
        <v>#REF!</v>
      </c>
    </row>
    <row r="870" spans="1:40" s="73" customFormat="1" x14ac:dyDescent="0.25">
      <c r="A870" s="313"/>
      <c r="B870" s="332" t="s">
        <v>1555</v>
      </c>
      <c r="D870" s="74">
        <f>IFERROR(VLOOKUP(B870,'REQ. PINTADO'!B:C,2,0),0)</f>
        <v>0</v>
      </c>
      <c r="E870" s="305">
        <f t="shared" si="114"/>
        <v>524.07255171701365</v>
      </c>
      <c r="F870" s="103" t="s">
        <v>165</v>
      </c>
      <c r="G870" s="75" t="s">
        <v>147</v>
      </c>
      <c r="H870" s="90">
        <v>23.35</v>
      </c>
      <c r="I870" s="90">
        <v>23.08</v>
      </c>
      <c r="J870" s="76">
        <v>0.105</v>
      </c>
      <c r="K870" s="306">
        <v>16.38</v>
      </c>
      <c r="L870" s="78">
        <f t="shared" si="115"/>
        <v>30.083830662393162</v>
      </c>
      <c r="M870" s="58">
        <f>+VLOOKUP(F870,Material!$H$2:$M$17,6,FALSE)*H870*I870*(1+Material!$K$14)</f>
        <v>223.98779374999998</v>
      </c>
      <c r="N870" s="79" t="str">
        <f t="shared" si="128"/>
        <v>T5.0</v>
      </c>
      <c r="O870" s="80">
        <f>+VLOOKUP(N870,[3]Material!$A$3:$B$58,2,FALSE)</f>
        <v>5000</v>
      </c>
      <c r="P870" s="79" t="s">
        <v>42</v>
      </c>
      <c r="Q870" s="79" t="str">
        <f>+VLOOKUP(F870,[3]Material!$C$2:$E$12,2,FALSE)</f>
        <v>Cal 14</v>
      </c>
      <c r="R870" s="81">
        <f>+IF(P870="ACERO A36",VLOOKUP(Q870,'[3]Velocidades Std 1500 w'!$B$2:$F$15,5,FALSE),IF(P870="INOXIDABLE",VLOOKUP(Q870,'[3]Velocidades Std 1500 w'!$B$17:$F$28,5,FALSE),IF(P870="ALUMINIO",VLOOKUP(Q870,'[3]Velocidades Std 1500 w'!$B$30:$F$38,5,FALSE))))</f>
        <v>2.0080321285140564E-6</v>
      </c>
      <c r="S870" s="82">
        <f t="shared" si="116"/>
        <v>1.0040160642570283E-2</v>
      </c>
      <c r="T870" s="83">
        <f t="shared" si="117"/>
        <v>25.132779759036151</v>
      </c>
      <c r="U870" s="307">
        <f t="shared" si="125"/>
        <v>3476.7012000000004</v>
      </c>
      <c r="V870" s="80">
        <f t="shared" si="122"/>
        <v>34.906638554216876</v>
      </c>
      <c r="W870" s="98">
        <v>25</v>
      </c>
      <c r="X870" s="84">
        <f>+IF(P870="ACERO A36",VLOOKUP(Q870,'[3]Tiempo Objeto'!$B$2:$C$12,2,FALSE),IF(P870="INOXIDABLE",VLOOKUP(Q870,'[3]Tiempo Objeto'!$B$14:$C$22,2,FALSE),IF(P870="ALUMINIO",VLOOKUP(Q870,'[3]Tiempo Objeto'!$B$24:$C$32,2,FALSE))))</f>
        <v>0.3133333333333333</v>
      </c>
      <c r="Y870" s="84">
        <f t="shared" si="118"/>
        <v>7.8333333333333321</v>
      </c>
      <c r="Z870" s="80">
        <f t="shared" si="119"/>
        <v>10.87962962962963</v>
      </c>
      <c r="AA870" s="100">
        <v>5</v>
      </c>
      <c r="AB870" s="86">
        <f>+AA870*Analisis!$J$6</f>
        <v>125</v>
      </c>
      <c r="AC870" s="100"/>
      <c r="AD870" s="85">
        <f t="shared" si="120"/>
        <v>0</v>
      </c>
      <c r="AE870" s="86">
        <f>+AC870*Analisis!$J$7</f>
        <v>0</v>
      </c>
      <c r="AF870" s="308">
        <f>+H870*0.0254*I870*0.0254*2*(1+[3]Analisis!$G$2)</f>
        <v>0.86922084220000007</v>
      </c>
      <c r="AG870" s="86">
        <f>+AF870*Analisis!$J$8</f>
        <v>92.61341116297622</v>
      </c>
      <c r="AH870" s="309">
        <f t="shared" si="126"/>
        <v>487.3874730968227</v>
      </c>
      <c r="AI870" s="86">
        <f>+AH870/(1-Analisis!G875)</f>
        <v>487.3874730968227</v>
      </c>
      <c r="AJ870" s="86">
        <f t="shared" si="121"/>
        <v>524.07255171701365</v>
      </c>
      <c r="AK870" s="86">
        <f t="shared" si="127"/>
        <v>0</v>
      </c>
      <c r="AL870" s="310" t="e">
        <f>+VLOOKUP(B870,#REF!,2,FALSE)</f>
        <v>#REF!</v>
      </c>
      <c r="AM870" s="311" t="e">
        <f t="shared" si="124"/>
        <v>#REF!</v>
      </c>
      <c r="AN870" s="312" t="e">
        <f t="shared" si="129"/>
        <v>#REF!</v>
      </c>
    </row>
    <row r="871" spans="1:40" s="73" customFormat="1" x14ac:dyDescent="0.25">
      <c r="A871" s="313"/>
      <c r="B871" s="332" t="s">
        <v>1556</v>
      </c>
      <c r="D871" s="74">
        <f>IFERROR(VLOOKUP(B871,'REQ. PINTADO'!B:C,2,0),0)</f>
        <v>0</v>
      </c>
      <c r="E871" s="305">
        <f t="shared" si="114"/>
        <v>682.8424416502221</v>
      </c>
      <c r="F871" s="103" t="s">
        <v>165</v>
      </c>
      <c r="G871" s="75" t="s">
        <v>147</v>
      </c>
      <c r="H871" s="90">
        <v>23.65</v>
      </c>
      <c r="I871" s="90">
        <v>33.020000000000003</v>
      </c>
      <c r="J871" s="76">
        <v>0.105</v>
      </c>
      <c r="K871" s="306">
        <v>16.38</v>
      </c>
      <c r="L871" s="78">
        <f t="shared" si="115"/>
        <v>43.593190972222231</v>
      </c>
      <c r="M871" s="58">
        <f>+VLOOKUP(F871,Material!$H$2:$M$17,6,FALSE)*H871*I871*(1+Material!$K$14)</f>
        <v>324.57112187500002</v>
      </c>
      <c r="N871" s="79" t="str">
        <f t="shared" si="128"/>
        <v>T5.0</v>
      </c>
      <c r="O871" s="80">
        <f>+VLOOKUP(N871,[3]Material!$A$3:$B$58,2,FALSE)</f>
        <v>5000</v>
      </c>
      <c r="P871" s="79" t="s">
        <v>42</v>
      </c>
      <c r="Q871" s="79" t="str">
        <f>+VLOOKUP(F871,[3]Material!$C$2:$E$12,2,FALSE)</f>
        <v>Cal 14</v>
      </c>
      <c r="R871" s="81">
        <f>+IF(P871="ACERO A36",VLOOKUP(Q871,'[3]Velocidades Std 1500 w'!$B$2:$F$15,5,FALSE),IF(P871="INOXIDABLE",VLOOKUP(Q871,'[3]Velocidades Std 1500 w'!$B$17:$F$28,5,FALSE),IF(P871="ALUMINIO",VLOOKUP(Q871,'[3]Velocidades Std 1500 w'!$B$30:$F$38,5,FALSE))))</f>
        <v>2.0080321285140564E-6</v>
      </c>
      <c r="S871" s="82">
        <f t="shared" si="116"/>
        <v>1.0040160642570283E-2</v>
      </c>
      <c r="T871" s="83">
        <f t="shared" si="117"/>
        <v>29.081225060240968</v>
      </c>
      <c r="U871" s="307">
        <f t="shared" ref="U871:U1115" si="130">(+I871*2+H871*2+W871*1.5)*25.4*1.05</f>
        <v>4022.9027999999998</v>
      </c>
      <c r="V871" s="80">
        <f t="shared" si="122"/>
        <v>40.390590361445788</v>
      </c>
      <c r="W871" s="98">
        <v>25</v>
      </c>
      <c r="X871" s="84">
        <f>+IF(P871="ACERO A36",VLOOKUP(Q871,'[3]Tiempo Objeto'!$B$2:$C$12,2,FALSE),IF(P871="INOXIDABLE",VLOOKUP(Q871,'[3]Tiempo Objeto'!$B$14:$C$22,2,FALSE),IF(P871="ALUMINIO",VLOOKUP(Q871,'[3]Tiempo Objeto'!$B$24:$C$32,2,FALSE))))</f>
        <v>0.3133333333333333</v>
      </c>
      <c r="Y871" s="84">
        <f t="shared" si="118"/>
        <v>7.8333333333333321</v>
      </c>
      <c r="Z871" s="80">
        <f t="shared" si="119"/>
        <v>10.87962962962963</v>
      </c>
      <c r="AA871" s="100">
        <v>5</v>
      </c>
      <c r="AB871" s="86">
        <f>+AA871*Analisis!$J$6</f>
        <v>125</v>
      </c>
      <c r="AC871" s="100"/>
      <c r="AD871" s="85">
        <f t="shared" si="120"/>
        <v>0</v>
      </c>
      <c r="AE871" s="86">
        <f>+AC871*Analisis!$J$7</f>
        <v>0</v>
      </c>
      <c r="AF871" s="308">
        <f>+H871*0.0254*I871*0.0254*2*(1+[3]Analisis!$G$2)</f>
        <v>1.2595507067</v>
      </c>
      <c r="AG871" s="86">
        <f>+AF871*Analisis!$J$8</f>
        <v>134.20212886863101</v>
      </c>
      <c r="AH871" s="309">
        <f t="shared" si="126"/>
        <v>635.04347073470649</v>
      </c>
      <c r="AI871" s="86">
        <f>+AH871/(1-Analisis!G876)</f>
        <v>635.04347073470649</v>
      </c>
      <c r="AJ871" s="86">
        <f t="shared" si="121"/>
        <v>682.8424416502221</v>
      </c>
      <c r="AK871" s="86">
        <f t="shared" si="127"/>
        <v>0</v>
      </c>
      <c r="AL871" s="310" t="e">
        <f>+VLOOKUP(B871,#REF!,2,FALSE)</f>
        <v>#REF!</v>
      </c>
      <c r="AM871" s="311" t="e">
        <f t="shared" si="124"/>
        <v>#REF!</v>
      </c>
      <c r="AN871" s="312" t="e">
        <f t="shared" si="129"/>
        <v>#REF!</v>
      </c>
    </row>
    <row r="872" spans="1:40" s="73" customFormat="1" x14ac:dyDescent="0.25">
      <c r="A872" s="313"/>
      <c r="B872" s="332" t="s">
        <v>1557</v>
      </c>
      <c r="D872" s="74">
        <f>IFERROR(VLOOKUP(B872,'REQ. PINTADO'!B:C,2,0),0)</f>
        <v>0</v>
      </c>
      <c r="E872" s="305">
        <f t="shared" si="114"/>
        <v>682.8424416502221</v>
      </c>
      <c r="F872" s="103" t="s">
        <v>165</v>
      </c>
      <c r="G872" s="75" t="s">
        <v>147</v>
      </c>
      <c r="H872" s="90">
        <v>23.65</v>
      </c>
      <c r="I872" s="90">
        <v>33.020000000000003</v>
      </c>
      <c r="J872" s="76">
        <v>0.105</v>
      </c>
      <c r="K872" s="306">
        <v>16.38</v>
      </c>
      <c r="L872" s="78">
        <f t="shared" si="115"/>
        <v>43.593190972222231</v>
      </c>
      <c r="M872" s="58">
        <f>+VLOOKUP(F872,Material!$H$2:$M$17,6,FALSE)*H872*I872*(1+Material!$K$14)</f>
        <v>324.57112187500002</v>
      </c>
      <c r="N872" s="79" t="str">
        <f t="shared" si="128"/>
        <v>T5.0</v>
      </c>
      <c r="O872" s="80">
        <f>+VLOOKUP(N872,[3]Material!$A$3:$B$58,2,FALSE)</f>
        <v>5000</v>
      </c>
      <c r="P872" s="79" t="s">
        <v>42</v>
      </c>
      <c r="Q872" s="79" t="str">
        <f>+VLOOKUP(F872,[3]Material!$C$2:$E$12,2,FALSE)</f>
        <v>Cal 14</v>
      </c>
      <c r="R872" s="81">
        <f>+IF(P872="ACERO A36",VLOOKUP(Q872,'[3]Velocidades Std 1500 w'!$B$2:$F$15,5,FALSE),IF(P872="INOXIDABLE",VLOOKUP(Q872,'[3]Velocidades Std 1500 w'!$B$17:$F$28,5,FALSE),IF(P872="ALUMINIO",VLOOKUP(Q872,'[3]Velocidades Std 1500 w'!$B$30:$F$38,5,FALSE))))</f>
        <v>2.0080321285140564E-6</v>
      </c>
      <c r="S872" s="82">
        <f t="shared" si="116"/>
        <v>1.0040160642570283E-2</v>
      </c>
      <c r="T872" s="83">
        <f t="shared" si="117"/>
        <v>29.081225060240968</v>
      </c>
      <c r="U872" s="307">
        <f t="shared" si="130"/>
        <v>4022.9027999999998</v>
      </c>
      <c r="V872" s="80">
        <f t="shared" si="122"/>
        <v>40.390590361445788</v>
      </c>
      <c r="W872" s="98">
        <v>25</v>
      </c>
      <c r="X872" s="84">
        <f>+IF(P872="ACERO A36",VLOOKUP(Q872,'[3]Tiempo Objeto'!$B$2:$C$12,2,FALSE),IF(P872="INOXIDABLE",VLOOKUP(Q872,'[3]Tiempo Objeto'!$B$14:$C$22,2,FALSE),IF(P872="ALUMINIO",VLOOKUP(Q872,'[3]Tiempo Objeto'!$B$24:$C$32,2,FALSE))))</f>
        <v>0.3133333333333333</v>
      </c>
      <c r="Y872" s="84">
        <f t="shared" si="118"/>
        <v>7.8333333333333321</v>
      </c>
      <c r="Z872" s="80">
        <f t="shared" si="119"/>
        <v>10.87962962962963</v>
      </c>
      <c r="AA872" s="100">
        <v>5</v>
      </c>
      <c r="AB872" s="86">
        <f>+AA872*Analisis!$J$6</f>
        <v>125</v>
      </c>
      <c r="AC872" s="100"/>
      <c r="AD872" s="85">
        <f t="shared" si="120"/>
        <v>0</v>
      </c>
      <c r="AE872" s="86">
        <f>+AC872*Analisis!$J$7</f>
        <v>0</v>
      </c>
      <c r="AF872" s="308">
        <f>+H872*0.0254*I872*0.0254*2*(1+[3]Analisis!$G$2)</f>
        <v>1.2595507067</v>
      </c>
      <c r="AG872" s="86">
        <f>+AF872*Analisis!$J$8</f>
        <v>134.20212886863101</v>
      </c>
      <c r="AH872" s="309">
        <f t="shared" si="126"/>
        <v>635.04347073470649</v>
      </c>
      <c r="AI872" s="86">
        <f>+AH872/(1-Analisis!G877)</f>
        <v>635.04347073470649</v>
      </c>
      <c r="AJ872" s="86">
        <f t="shared" si="121"/>
        <v>682.8424416502221</v>
      </c>
      <c r="AK872" s="86">
        <f t="shared" si="127"/>
        <v>0</v>
      </c>
      <c r="AL872" s="310" t="e">
        <f>+VLOOKUP(B872,#REF!,2,FALSE)</f>
        <v>#REF!</v>
      </c>
      <c r="AM872" s="311" t="e">
        <f t="shared" si="124"/>
        <v>#REF!</v>
      </c>
      <c r="AN872" s="312" t="e">
        <f t="shared" si="129"/>
        <v>#REF!</v>
      </c>
    </row>
    <row r="873" spans="1:40" s="73" customFormat="1" x14ac:dyDescent="0.25">
      <c r="A873" s="313"/>
      <c r="B873" s="332" t="s">
        <v>1558</v>
      </c>
      <c r="D873" s="74">
        <f>IFERROR(VLOOKUP(B873,'REQ. PINTADO'!B:C,2,0),0)</f>
        <v>0</v>
      </c>
      <c r="E873" s="305">
        <f t="shared" si="114"/>
        <v>682.8424416502221</v>
      </c>
      <c r="F873" s="103" t="s">
        <v>165</v>
      </c>
      <c r="G873" s="75" t="s">
        <v>147</v>
      </c>
      <c r="H873" s="90">
        <v>23.65</v>
      </c>
      <c r="I873" s="90">
        <v>33.020000000000003</v>
      </c>
      <c r="J873" s="76">
        <v>0.105</v>
      </c>
      <c r="K873" s="306">
        <v>16.38</v>
      </c>
      <c r="L873" s="78">
        <f t="shared" si="115"/>
        <v>43.593190972222231</v>
      </c>
      <c r="M873" s="58">
        <f>+VLOOKUP(F873,Material!$H$2:$M$17,6,FALSE)*H873*I873*(1+Material!$K$14)</f>
        <v>324.57112187500002</v>
      </c>
      <c r="N873" s="79" t="str">
        <f t="shared" si="128"/>
        <v>T5.0</v>
      </c>
      <c r="O873" s="80">
        <f>+VLOOKUP(N873,[3]Material!$A$3:$B$58,2,FALSE)</f>
        <v>5000</v>
      </c>
      <c r="P873" s="79" t="s">
        <v>42</v>
      </c>
      <c r="Q873" s="79" t="str">
        <f>+VLOOKUP(F873,[3]Material!$C$2:$E$12,2,FALSE)</f>
        <v>Cal 14</v>
      </c>
      <c r="R873" s="81">
        <f>+IF(P873="ACERO A36",VLOOKUP(Q873,'[3]Velocidades Std 1500 w'!$B$2:$F$15,5,FALSE),IF(P873="INOXIDABLE",VLOOKUP(Q873,'[3]Velocidades Std 1500 w'!$B$17:$F$28,5,FALSE),IF(P873="ALUMINIO",VLOOKUP(Q873,'[3]Velocidades Std 1500 w'!$B$30:$F$38,5,FALSE))))</f>
        <v>2.0080321285140564E-6</v>
      </c>
      <c r="S873" s="82">
        <f t="shared" si="116"/>
        <v>1.0040160642570283E-2</v>
      </c>
      <c r="T873" s="83">
        <f t="shared" si="117"/>
        <v>29.081225060240968</v>
      </c>
      <c r="U873" s="307">
        <f t="shared" si="130"/>
        <v>4022.9027999999998</v>
      </c>
      <c r="V873" s="80">
        <f t="shared" si="122"/>
        <v>40.390590361445788</v>
      </c>
      <c r="W873" s="98">
        <v>25</v>
      </c>
      <c r="X873" s="84">
        <f>+IF(P873="ACERO A36",VLOOKUP(Q873,'[3]Tiempo Objeto'!$B$2:$C$12,2,FALSE),IF(P873="INOXIDABLE",VLOOKUP(Q873,'[3]Tiempo Objeto'!$B$14:$C$22,2,FALSE),IF(P873="ALUMINIO",VLOOKUP(Q873,'[3]Tiempo Objeto'!$B$24:$C$32,2,FALSE))))</f>
        <v>0.3133333333333333</v>
      </c>
      <c r="Y873" s="84">
        <f t="shared" si="118"/>
        <v>7.8333333333333321</v>
      </c>
      <c r="Z873" s="80">
        <f t="shared" si="119"/>
        <v>10.87962962962963</v>
      </c>
      <c r="AA873" s="100">
        <v>5</v>
      </c>
      <c r="AB873" s="86">
        <f>+AA873*Analisis!$J$6</f>
        <v>125</v>
      </c>
      <c r="AC873" s="100"/>
      <c r="AD873" s="85">
        <f t="shared" si="120"/>
        <v>0</v>
      </c>
      <c r="AE873" s="86">
        <f>+AC873*Analisis!$J$7</f>
        <v>0</v>
      </c>
      <c r="AF873" s="308">
        <f>+H873*0.0254*I873*0.0254*2*(1+[3]Analisis!$G$2)</f>
        <v>1.2595507067</v>
      </c>
      <c r="AG873" s="86">
        <f>+AF873*Analisis!$J$8</f>
        <v>134.20212886863101</v>
      </c>
      <c r="AH873" s="309">
        <f t="shared" si="126"/>
        <v>635.04347073470649</v>
      </c>
      <c r="AI873" s="86">
        <f>+AH873/(1-Analisis!G878)</f>
        <v>635.04347073470649</v>
      </c>
      <c r="AJ873" s="86">
        <f t="shared" si="121"/>
        <v>682.8424416502221</v>
      </c>
      <c r="AK873" s="86">
        <f t="shared" si="127"/>
        <v>0</v>
      </c>
      <c r="AL873" s="310" t="e">
        <f>+VLOOKUP(B873,#REF!,2,FALSE)</f>
        <v>#REF!</v>
      </c>
      <c r="AM873" s="311" t="e">
        <f t="shared" si="124"/>
        <v>#REF!</v>
      </c>
      <c r="AN873" s="312" t="e">
        <f t="shared" si="129"/>
        <v>#REF!</v>
      </c>
    </row>
    <row r="874" spans="1:40" s="73" customFormat="1" x14ac:dyDescent="0.25">
      <c r="A874" s="313"/>
      <c r="B874" s="332" t="s">
        <v>1559</v>
      </c>
      <c r="D874" s="74">
        <f>IFERROR(VLOOKUP(B874,'REQ. PINTADO'!B:C,2,0),0)</f>
        <v>0</v>
      </c>
      <c r="E874" s="305">
        <f t="shared" si="114"/>
        <v>682.8424416502221</v>
      </c>
      <c r="F874" s="103" t="s">
        <v>165</v>
      </c>
      <c r="G874" s="75" t="s">
        <v>147</v>
      </c>
      <c r="H874" s="90">
        <v>23.65</v>
      </c>
      <c r="I874" s="90">
        <v>33.020000000000003</v>
      </c>
      <c r="J874" s="76">
        <v>0.105</v>
      </c>
      <c r="K874" s="306">
        <v>16.38</v>
      </c>
      <c r="L874" s="78">
        <f t="shared" si="115"/>
        <v>43.593190972222231</v>
      </c>
      <c r="M874" s="58">
        <f>+VLOOKUP(F874,Material!$H$2:$M$17,6,FALSE)*H874*I874*(1+Material!$K$14)</f>
        <v>324.57112187500002</v>
      </c>
      <c r="N874" s="79" t="str">
        <f t="shared" si="128"/>
        <v>T5.0</v>
      </c>
      <c r="O874" s="80">
        <f>+VLOOKUP(N874,[3]Material!$A$3:$B$58,2,FALSE)</f>
        <v>5000</v>
      </c>
      <c r="P874" s="79" t="s">
        <v>42</v>
      </c>
      <c r="Q874" s="79" t="str">
        <f>+VLOOKUP(F874,[3]Material!$C$2:$E$12,2,FALSE)</f>
        <v>Cal 14</v>
      </c>
      <c r="R874" s="81">
        <f>+IF(P874="ACERO A36",VLOOKUP(Q874,'[3]Velocidades Std 1500 w'!$B$2:$F$15,5,FALSE),IF(P874="INOXIDABLE",VLOOKUP(Q874,'[3]Velocidades Std 1500 w'!$B$17:$F$28,5,FALSE),IF(P874="ALUMINIO",VLOOKUP(Q874,'[3]Velocidades Std 1500 w'!$B$30:$F$38,5,FALSE))))</f>
        <v>2.0080321285140564E-6</v>
      </c>
      <c r="S874" s="82">
        <f t="shared" si="116"/>
        <v>1.0040160642570283E-2</v>
      </c>
      <c r="T874" s="83">
        <f t="shared" si="117"/>
        <v>29.081225060240968</v>
      </c>
      <c r="U874" s="307">
        <f t="shared" si="130"/>
        <v>4022.9027999999998</v>
      </c>
      <c r="V874" s="80">
        <f t="shared" si="122"/>
        <v>40.390590361445788</v>
      </c>
      <c r="W874" s="98">
        <v>25</v>
      </c>
      <c r="X874" s="84">
        <f>+IF(P874="ACERO A36",VLOOKUP(Q874,'[3]Tiempo Objeto'!$B$2:$C$12,2,FALSE),IF(P874="INOXIDABLE",VLOOKUP(Q874,'[3]Tiempo Objeto'!$B$14:$C$22,2,FALSE),IF(P874="ALUMINIO",VLOOKUP(Q874,'[3]Tiempo Objeto'!$B$24:$C$32,2,FALSE))))</f>
        <v>0.3133333333333333</v>
      </c>
      <c r="Y874" s="84">
        <f t="shared" si="118"/>
        <v>7.8333333333333321</v>
      </c>
      <c r="Z874" s="80">
        <f t="shared" si="119"/>
        <v>10.87962962962963</v>
      </c>
      <c r="AA874" s="100">
        <v>5</v>
      </c>
      <c r="AB874" s="86">
        <f>+AA874*Analisis!$J$6</f>
        <v>125</v>
      </c>
      <c r="AC874" s="100"/>
      <c r="AD874" s="85">
        <f t="shared" si="120"/>
        <v>0</v>
      </c>
      <c r="AE874" s="86">
        <f>+AC874*Analisis!$J$7</f>
        <v>0</v>
      </c>
      <c r="AF874" s="308">
        <f>+H874*0.0254*I874*0.0254*2*(1+[3]Analisis!$G$2)</f>
        <v>1.2595507067</v>
      </c>
      <c r="AG874" s="86">
        <f>+AF874*Analisis!$J$8</f>
        <v>134.20212886863101</v>
      </c>
      <c r="AH874" s="309">
        <f t="shared" si="126"/>
        <v>635.04347073470649</v>
      </c>
      <c r="AI874" s="86">
        <f>+AH874/(1-Analisis!G879)</f>
        <v>635.04347073470649</v>
      </c>
      <c r="AJ874" s="86">
        <f t="shared" si="121"/>
        <v>682.8424416502221</v>
      </c>
      <c r="AK874" s="86">
        <f t="shared" si="127"/>
        <v>0</v>
      </c>
      <c r="AL874" s="310" t="e">
        <f>+VLOOKUP(B874,#REF!,2,FALSE)</f>
        <v>#REF!</v>
      </c>
      <c r="AM874" s="311" t="e">
        <f t="shared" si="124"/>
        <v>#REF!</v>
      </c>
      <c r="AN874" s="312" t="e">
        <f t="shared" si="129"/>
        <v>#REF!</v>
      </c>
    </row>
    <row r="875" spans="1:40" s="73" customFormat="1" x14ac:dyDescent="0.25">
      <c r="A875" s="313"/>
      <c r="B875" s="332" t="s">
        <v>1560</v>
      </c>
      <c r="D875" s="74">
        <f>IFERROR(VLOOKUP(B875,'REQ. PINTADO'!B:C,2,0),0)</f>
        <v>0</v>
      </c>
      <c r="E875" s="305">
        <f t="shared" si="114"/>
        <v>682.8424416502221</v>
      </c>
      <c r="F875" s="103" t="s">
        <v>165</v>
      </c>
      <c r="G875" s="75" t="s">
        <v>147</v>
      </c>
      <c r="H875" s="90">
        <v>23.65</v>
      </c>
      <c r="I875" s="90">
        <v>33.020000000000003</v>
      </c>
      <c r="J875" s="76">
        <v>0.105</v>
      </c>
      <c r="K875" s="306">
        <v>16.38</v>
      </c>
      <c r="L875" s="78">
        <f t="shared" si="115"/>
        <v>43.593190972222231</v>
      </c>
      <c r="M875" s="58">
        <f>+VLOOKUP(F875,Material!$H$2:$M$17,6,FALSE)*H875*I875*(1+Material!$K$14)</f>
        <v>324.57112187500002</v>
      </c>
      <c r="N875" s="79" t="str">
        <f t="shared" si="128"/>
        <v>T5.0</v>
      </c>
      <c r="O875" s="80">
        <f>+VLOOKUP(N875,[3]Material!$A$3:$B$58,2,FALSE)</f>
        <v>5000</v>
      </c>
      <c r="P875" s="79" t="s">
        <v>42</v>
      </c>
      <c r="Q875" s="79" t="str">
        <f>+VLOOKUP(F875,[3]Material!$C$2:$E$12,2,FALSE)</f>
        <v>Cal 14</v>
      </c>
      <c r="R875" s="81">
        <f>+IF(P875="ACERO A36",VLOOKUP(Q875,'[3]Velocidades Std 1500 w'!$B$2:$F$15,5,FALSE),IF(P875="INOXIDABLE",VLOOKUP(Q875,'[3]Velocidades Std 1500 w'!$B$17:$F$28,5,FALSE),IF(P875="ALUMINIO",VLOOKUP(Q875,'[3]Velocidades Std 1500 w'!$B$30:$F$38,5,FALSE))))</f>
        <v>2.0080321285140564E-6</v>
      </c>
      <c r="S875" s="82">
        <f t="shared" si="116"/>
        <v>1.0040160642570283E-2</v>
      </c>
      <c r="T875" s="83">
        <f t="shared" si="117"/>
        <v>29.081225060240968</v>
      </c>
      <c r="U875" s="307">
        <f t="shared" si="130"/>
        <v>4022.9027999999998</v>
      </c>
      <c r="V875" s="80">
        <f t="shared" si="122"/>
        <v>40.390590361445788</v>
      </c>
      <c r="W875" s="98">
        <v>25</v>
      </c>
      <c r="X875" s="84">
        <f>+IF(P875="ACERO A36",VLOOKUP(Q875,'[3]Tiempo Objeto'!$B$2:$C$12,2,FALSE),IF(P875="INOXIDABLE",VLOOKUP(Q875,'[3]Tiempo Objeto'!$B$14:$C$22,2,FALSE),IF(P875="ALUMINIO",VLOOKUP(Q875,'[3]Tiempo Objeto'!$B$24:$C$32,2,FALSE))))</f>
        <v>0.3133333333333333</v>
      </c>
      <c r="Y875" s="84">
        <f t="shared" si="118"/>
        <v>7.8333333333333321</v>
      </c>
      <c r="Z875" s="80">
        <f t="shared" si="119"/>
        <v>10.87962962962963</v>
      </c>
      <c r="AA875" s="100">
        <v>5</v>
      </c>
      <c r="AB875" s="86">
        <f>+AA875*Analisis!$J$6</f>
        <v>125</v>
      </c>
      <c r="AC875" s="100"/>
      <c r="AD875" s="85">
        <f t="shared" si="120"/>
        <v>0</v>
      </c>
      <c r="AE875" s="86">
        <f>+AC875*Analisis!$J$7</f>
        <v>0</v>
      </c>
      <c r="AF875" s="308">
        <f>+H875*0.0254*I875*0.0254*2*(1+[3]Analisis!$G$2)</f>
        <v>1.2595507067</v>
      </c>
      <c r="AG875" s="86">
        <f>+AF875*Analisis!$J$8</f>
        <v>134.20212886863101</v>
      </c>
      <c r="AH875" s="309">
        <f t="shared" si="126"/>
        <v>635.04347073470649</v>
      </c>
      <c r="AI875" s="86">
        <f>+AH875/(1-Analisis!G880)</f>
        <v>635.04347073470649</v>
      </c>
      <c r="AJ875" s="86">
        <f t="shared" si="121"/>
        <v>682.8424416502221</v>
      </c>
      <c r="AK875" s="86">
        <f t="shared" si="127"/>
        <v>0</v>
      </c>
      <c r="AL875" s="310" t="e">
        <f>+VLOOKUP(B875,#REF!,2,FALSE)</f>
        <v>#REF!</v>
      </c>
      <c r="AM875" s="311" t="e">
        <f t="shared" si="124"/>
        <v>#REF!</v>
      </c>
      <c r="AN875" s="312" t="e">
        <f t="shared" si="129"/>
        <v>#REF!</v>
      </c>
    </row>
    <row r="876" spans="1:40" s="73" customFormat="1" x14ac:dyDescent="0.25">
      <c r="A876" s="313"/>
      <c r="B876" s="332" t="s">
        <v>1561</v>
      </c>
      <c r="D876" s="74">
        <f>IFERROR(VLOOKUP(B876,'REQ. PINTADO'!B:C,2,0),0)</f>
        <v>0</v>
      </c>
      <c r="E876" s="305">
        <f t="shared" si="114"/>
        <v>682.8424416502221</v>
      </c>
      <c r="F876" s="103" t="s">
        <v>165</v>
      </c>
      <c r="G876" s="75" t="s">
        <v>147</v>
      </c>
      <c r="H876" s="90">
        <v>23.65</v>
      </c>
      <c r="I876" s="90">
        <v>33.020000000000003</v>
      </c>
      <c r="J876" s="76">
        <v>0.105</v>
      </c>
      <c r="K876" s="306">
        <v>16.38</v>
      </c>
      <c r="L876" s="78">
        <f t="shared" si="115"/>
        <v>43.593190972222231</v>
      </c>
      <c r="M876" s="58">
        <f>+VLOOKUP(F876,Material!$H$2:$M$17,6,FALSE)*H876*I876*(1+Material!$K$14)</f>
        <v>324.57112187500002</v>
      </c>
      <c r="N876" s="79" t="str">
        <f t="shared" si="128"/>
        <v>T5.0</v>
      </c>
      <c r="O876" s="80">
        <f>+VLOOKUP(N876,[3]Material!$A$3:$B$58,2,FALSE)</f>
        <v>5000</v>
      </c>
      <c r="P876" s="79" t="s">
        <v>42</v>
      </c>
      <c r="Q876" s="79" t="str">
        <f>+VLOOKUP(F876,[3]Material!$C$2:$E$12,2,FALSE)</f>
        <v>Cal 14</v>
      </c>
      <c r="R876" s="81">
        <f>+IF(P876="ACERO A36",VLOOKUP(Q876,'[3]Velocidades Std 1500 w'!$B$2:$F$15,5,FALSE),IF(P876="INOXIDABLE",VLOOKUP(Q876,'[3]Velocidades Std 1500 w'!$B$17:$F$28,5,FALSE),IF(P876="ALUMINIO",VLOOKUP(Q876,'[3]Velocidades Std 1500 w'!$B$30:$F$38,5,FALSE))))</f>
        <v>2.0080321285140564E-6</v>
      </c>
      <c r="S876" s="82">
        <f t="shared" si="116"/>
        <v>1.0040160642570283E-2</v>
      </c>
      <c r="T876" s="83">
        <f t="shared" si="117"/>
        <v>29.081225060240968</v>
      </c>
      <c r="U876" s="307">
        <f t="shared" si="130"/>
        <v>4022.9027999999998</v>
      </c>
      <c r="V876" s="80">
        <f t="shared" si="122"/>
        <v>40.390590361445788</v>
      </c>
      <c r="W876" s="98">
        <v>25</v>
      </c>
      <c r="X876" s="84">
        <f>+IF(P876="ACERO A36",VLOOKUP(Q876,'[3]Tiempo Objeto'!$B$2:$C$12,2,FALSE),IF(P876="INOXIDABLE",VLOOKUP(Q876,'[3]Tiempo Objeto'!$B$14:$C$22,2,FALSE),IF(P876="ALUMINIO",VLOOKUP(Q876,'[3]Tiempo Objeto'!$B$24:$C$32,2,FALSE))))</f>
        <v>0.3133333333333333</v>
      </c>
      <c r="Y876" s="84">
        <f t="shared" si="118"/>
        <v>7.8333333333333321</v>
      </c>
      <c r="Z876" s="80">
        <f t="shared" si="119"/>
        <v>10.87962962962963</v>
      </c>
      <c r="AA876" s="100">
        <v>5</v>
      </c>
      <c r="AB876" s="86">
        <f>+AA876*Analisis!$J$6</f>
        <v>125</v>
      </c>
      <c r="AC876" s="100"/>
      <c r="AD876" s="85">
        <f t="shared" si="120"/>
        <v>0</v>
      </c>
      <c r="AE876" s="86">
        <f>+AC876*Analisis!$J$7</f>
        <v>0</v>
      </c>
      <c r="AF876" s="308">
        <f>+H876*0.0254*I876*0.0254*2*(1+[3]Analisis!$G$2)</f>
        <v>1.2595507067</v>
      </c>
      <c r="AG876" s="86">
        <f>+AF876*Analisis!$J$8</f>
        <v>134.20212886863101</v>
      </c>
      <c r="AH876" s="309">
        <f t="shared" si="126"/>
        <v>635.04347073470649</v>
      </c>
      <c r="AI876" s="86">
        <f>+AH876/(1-Analisis!G881)</f>
        <v>635.04347073470649</v>
      </c>
      <c r="AJ876" s="86">
        <f t="shared" si="121"/>
        <v>682.8424416502221</v>
      </c>
      <c r="AK876" s="86">
        <f t="shared" si="127"/>
        <v>0</v>
      </c>
      <c r="AL876" s="310" t="e">
        <f>+VLOOKUP(B876,#REF!,2,FALSE)</f>
        <v>#REF!</v>
      </c>
      <c r="AM876" s="311" t="e">
        <f t="shared" si="124"/>
        <v>#REF!</v>
      </c>
      <c r="AN876" s="312" t="e">
        <f t="shared" si="129"/>
        <v>#REF!</v>
      </c>
    </row>
    <row r="877" spans="1:40" s="73" customFormat="1" x14ac:dyDescent="0.25">
      <c r="A877" s="313"/>
      <c r="B877" s="332" t="s">
        <v>1562</v>
      </c>
      <c r="D877" s="74">
        <f>IFERROR(VLOOKUP(B877,'REQ. PINTADO'!B:C,2,0),0)</f>
        <v>0</v>
      </c>
      <c r="E877" s="305">
        <f t="shared" si="114"/>
        <v>1019.5153312690298</v>
      </c>
      <c r="F877" s="103" t="s">
        <v>165</v>
      </c>
      <c r="G877" s="75" t="s">
        <v>147</v>
      </c>
      <c r="H877" s="90">
        <v>22.85</v>
      </c>
      <c r="I877" s="90">
        <v>35.909999999999997</v>
      </c>
      <c r="J877" s="76">
        <v>0.105</v>
      </c>
      <c r="K877" s="306">
        <v>16.38</v>
      </c>
      <c r="L877" s="78">
        <f t="shared" si="115"/>
        <v>45.804912259615385</v>
      </c>
      <c r="M877" s="58">
        <f>+VLOOKUP(F877,Material!$H$2:$M$17,6,FALSE)*H877*I877*(1+Material!$K$14)</f>
        <v>341.03839218749999</v>
      </c>
      <c r="N877" s="79" t="str">
        <f t="shared" si="128"/>
        <v>T5.0</v>
      </c>
      <c r="O877" s="80">
        <f>+VLOOKUP(N877,[3]Material!$A$3:$B$58,2,FALSE)</f>
        <v>5000</v>
      </c>
      <c r="P877" s="79" t="s">
        <v>42</v>
      </c>
      <c r="Q877" s="79" t="str">
        <f>+VLOOKUP(F877,[3]Material!$C$2:$E$12,2,FALSE)</f>
        <v>Cal 14</v>
      </c>
      <c r="R877" s="81">
        <f>+IF(P877="ACERO A36",VLOOKUP(Q877,'[3]Velocidades Std 1500 w'!$B$2:$F$15,5,FALSE),IF(P877="INOXIDABLE",VLOOKUP(Q877,'[3]Velocidades Std 1500 w'!$B$17:$F$28,5,FALSE),IF(P877="ALUMINIO",VLOOKUP(Q877,'[3]Velocidades Std 1500 w'!$B$30:$F$38,5,FALSE))))</f>
        <v>2.0080321285140564E-6</v>
      </c>
      <c r="S877" s="82">
        <f t="shared" si="116"/>
        <v>1.0040160642570283E-2</v>
      </c>
      <c r="T877" s="83">
        <f t="shared" si="117"/>
        <v>129.65861493975905</v>
      </c>
      <c r="U877" s="307">
        <f t="shared" si="130"/>
        <v>17936.108399999997</v>
      </c>
      <c r="V877" s="80">
        <f t="shared" si="122"/>
        <v>180.08140963855422</v>
      </c>
      <c r="W877" s="98">
        <v>370</v>
      </c>
      <c r="X877" s="84">
        <f>+IF(P877="ACERO A36",VLOOKUP(Q877,'[3]Tiempo Objeto'!$B$2:$C$12,2,FALSE),IF(P877="INOXIDABLE",VLOOKUP(Q877,'[3]Tiempo Objeto'!$B$14:$C$22,2,FALSE),IF(P877="ALUMINIO",VLOOKUP(Q877,'[3]Tiempo Objeto'!$B$24:$C$32,2,FALSE))))</f>
        <v>0.3133333333333333</v>
      </c>
      <c r="Y877" s="84">
        <f t="shared" si="118"/>
        <v>115.93333333333332</v>
      </c>
      <c r="Z877" s="80">
        <f t="shared" si="119"/>
        <v>161.0185185185185</v>
      </c>
      <c r="AA877" s="100">
        <v>5</v>
      </c>
      <c r="AB877" s="86">
        <f>+AA877*Analisis!$J$6</f>
        <v>125</v>
      </c>
      <c r="AC877" s="100"/>
      <c r="AD877" s="85">
        <f t="shared" si="120"/>
        <v>0</v>
      </c>
      <c r="AE877" s="86">
        <f>+AC877*Analisis!$J$7</f>
        <v>0</v>
      </c>
      <c r="AF877" s="308">
        <f>+H877*0.0254*I877*0.0254*2*(1+[3]Analisis!$G$2)</f>
        <v>1.3234546111499998</v>
      </c>
      <c r="AG877" s="86">
        <f>+AF877*Analisis!$J$8</f>
        <v>141.01093773562502</v>
      </c>
      <c r="AH877" s="309">
        <f t="shared" si="126"/>
        <v>948.14925808019768</v>
      </c>
      <c r="AI877" s="86">
        <f>+AH877/(1-Analisis!G882)</f>
        <v>948.14925808019768</v>
      </c>
      <c r="AJ877" s="86">
        <f t="shared" si="121"/>
        <v>1019.5153312690298</v>
      </c>
      <c r="AK877" s="86">
        <f t="shared" si="127"/>
        <v>0</v>
      </c>
      <c r="AL877" s="310" t="e">
        <f>+VLOOKUP(B877,#REF!,2,FALSE)</f>
        <v>#REF!</v>
      </c>
      <c r="AM877" s="311" t="e">
        <f t="shared" si="124"/>
        <v>#REF!</v>
      </c>
      <c r="AN877" s="312" t="e">
        <f t="shared" si="129"/>
        <v>#REF!</v>
      </c>
    </row>
    <row r="878" spans="1:40" s="73" customFormat="1" x14ac:dyDescent="0.25">
      <c r="A878" s="313"/>
      <c r="B878" s="332" t="s">
        <v>1563</v>
      </c>
      <c r="D878" s="74">
        <f>IFERROR(VLOOKUP(B878,'REQ. PINTADO'!B:C,2,0),0)</f>
        <v>0</v>
      </c>
      <c r="E878" s="305">
        <f t="shared" si="114"/>
        <v>182.99552019817094</v>
      </c>
      <c r="F878" s="103" t="s">
        <v>164</v>
      </c>
      <c r="G878" s="75" t="s">
        <v>147</v>
      </c>
      <c r="H878" s="90">
        <v>5.0999999999999996</v>
      </c>
      <c r="I878" s="90">
        <v>21.94</v>
      </c>
      <c r="J878" s="76">
        <v>0.105</v>
      </c>
      <c r="K878" s="306">
        <v>16.38</v>
      </c>
      <c r="L878" s="78">
        <f t="shared" si="115"/>
        <v>10.410365918803423</v>
      </c>
      <c r="M878" s="58">
        <f>+VLOOKUP(F878,Material!$H$2:$M$17,6,FALSE)*H878*I878*(1+Material!$K$14)</f>
        <v>77.509906250000014</v>
      </c>
      <c r="N878" s="79" t="str">
        <f t="shared" si="128"/>
        <v>T5.0</v>
      </c>
      <c r="O878" s="80">
        <f>+VLOOKUP(N878,[3]Material!$A$3:$B$58,2,FALSE)</f>
        <v>5000</v>
      </c>
      <c r="P878" s="79" t="s">
        <v>42</v>
      </c>
      <c r="Q878" s="79" t="str">
        <f>+VLOOKUP(F878,[3]Material!$C$2:$E$12,2,FALSE)</f>
        <v>Cal 10</v>
      </c>
      <c r="R878" s="81">
        <f>+IF(P878="ACERO A36",VLOOKUP(Q878,'[3]Velocidades Std 1500 w'!$B$2:$F$15,5,FALSE),IF(P878="INOXIDABLE",VLOOKUP(Q878,'[3]Velocidades Std 1500 w'!$B$17:$F$28,5,FALSE),IF(P878="ALUMINIO",VLOOKUP(Q878,'[3]Velocidades Std 1500 w'!$B$30:$F$38,5,FALSE))))</f>
        <v>6.1728395061728391E-6</v>
      </c>
      <c r="S878" s="82">
        <f t="shared" si="116"/>
        <v>3.0864197530864196E-2</v>
      </c>
      <c r="T878" s="83">
        <f t="shared" si="117"/>
        <v>43.608413333333324</v>
      </c>
      <c r="U878" s="307">
        <f t="shared" si="130"/>
        <v>1962.3785999999998</v>
      </c>
      <c r="V878" s="80">
        <f t="shared" si="122"/>
        <v>60.567240740740729</v>
      </c>
      <c r="W878" s="98">
        <v>13</v>
      </c>
      <c r="X878" s="84">
        <f>+IF(P878="ACERO A36",VLOOKUP(Q878,'[3]Tiempo Objeto'!$B$2:$C$12,2,FALSE),IF(P878="INOXIDABLE",VLOOKUP(Q878,'[3]Tiempo Objeto'!$B$14:$C$22,2,FALSE),IF(P878="ALUMINIO",VLOOKUP(Q878,'[3]Tiempo Objeto'!$B$24:$C$32,2,FALSE))))</f>
        <v>0.71333333333333337</v>
      </c>
      <c r="Y878" s="84">
        <f t="shared" si="118"/>
        <v>9.2733333333333334</v>
      </c>
      <c r="Z878" s="80">
        <f t="shared" si="119"/>
        <v>12.87962962962963</v>
      </c>
      <c r="AA878" s="100">
        <v>0</v>
      </c>
      <c r="AB878" s="86">
        <f>+AA878*Analisis!$J$6</f>
        <v>0</v>
      </c>
      <c r="AC878" s="100"/>
      <c r="AD878" s="85">
        <f t="shared" si="120"/>
        <v>0</v>
      </c>
      <c r="AE878" s="86">
        <f>+AC878*Analisis!$J$7</f>
        <v>0</v>
      </c>
      <c r="AF878" s="308">
        <f>+H878*0.0254*I878*0.0254*2*(1+[3]Analisis!$G$2)</f>
        <v>0.18047383259999997</v>
      </c>
      <c r="AG878" s="86">
        <f>+AF878*Analisis!$J$8</f>
        <v>19.229057163928573</v>
      </c>
      <c r="AH878" s="309">
        <f t="shared" si="126"/>
        <v>170.18583378429895</v>
      </c>
      <c r="AI878" s="86">
        <f>+AH878/(1-Analisis!G883)</f>
        <v>170.18583378429895</v>
      </c>
      <c r="AJ878" s="86">
        <f t="shared" si="121"/>
        <v>182.99552019817094</v>
      </c>
      <c r="AK878" s="86">
        <f t="shared" si="127"/>
        <v>0</v>
      </c>
      <c r="AL878" s="310" t="e">
        <f>+VLOOKUP(B878,#REF!,2,FALSE)</f>
        <v>#REF!</v>
      </c>
      <c r="AM878" s="311" t="e">
        <f t="shared" si="124"/>
        <v>#REF!</v>
      </c>
      <c r="AN878" s="312" t="e">
        <f t="shared" si="129"/>
        <v>#REF!</v>
      </c>
    </row>
    <row r="879" spans="1:40" s="73" customFormat="1" x14ac:dyDescent="0.25">
      <c r="A879" s="313"/>
      <c r="B879" s="332" t="s">
        <v>1564</v>
      </c>
      <c r="D879" s="74">
        <f>IFERROR(VLOOKUP(B879,'REQ. PINTADO'!B:C,2,0),0)</f>
        <v>0</v>
      </c>
      <c r="E879" s="305">
        <f t="shared" si="114"/>
        <v>209.04088422217961</v>
      </c>
      <c r="F879" s="103" t="s">
        <v>164</v>
      </c>
      <c r="G879" s="75" t="s">
        <v>147</v>
      </c>
      <c r="H879" s="90">
        <v>5.0999999999999996</v>
      </c>
      <c r="I879" s="90">
        <v>25.94</v>
      </c>
      <c r="J879" s="76">
        <v>0.105</v>
      </c>
      <c r="K879" s="306">
        <v>16.38</v>
      </c>
      <c r="L879" s="78">
        <f t="shared" si="115"/>
        <v>12.308336004273507</v>
      </c>
      <c r="M879" s="58">
        <f>+VLOOKUP(F879,Material!$H$2:$M$17,6,FALSE)*H879*I879*(1+Material!$K$14)</f>
        <v>91.641156250000009</v>
      </c>
      <c r="N879" s="79" t="str">
        <f t="shared" si="128"/>
        <v>T5.0</v>
      </c>
      <c r="O879" s="80">
        <f>+VLOOKUP(N879,[3]Material!$A$3:$B$58,2,FALSE)</f>
        <v>5000</v>
      </c>
      <c r="P879" s="79" t="s">
        <v>42</v>
      </c>
      <c r="Q879" s="79" t="str">
        <f>+VLOOKUP(F879,[3]Material!$C$2:$E$12,2,FALSE)</f>
        <v>Cal 10</v>
      </c>
      <c r="R879" s="81">
        <f>+IF(P879="ACERO A36",VLOOKUP(Q879,'[3]Velocidades Std 1500 w'!$B$2:$F$15,5,FALSE),IF(P879="INOXIDABLE",VLOOKUP(Q879,'[3]Velocidades Std 1500 w'!$B$17:$F$28,5,FALSE),IF(P879="ALUMINIO",VLOOKUP(Q879,'[3]Velocidades Std 1500 w'!$B$30:$F$38,5,FALSE))))</f>
        <v>6.1728395061728391E-6</v>
      </c>
      <c r="S879" s="82">
        <f t="shared" si="116"/>
        <v>3.0864197530864196E-2</v>
      </c>
      <c r="T879" s="83">
        <f t="shared" si="117"/>
        <v>48.349746666666668</v>
      </c>
      <c r="U879" s="307">
        <f t="shared" si="130"/>
        <v>2175.7386000000001</v>
      </c>
      <c r="V879" s="80">
        <f t="shared" si="122"/>
        <v>67.152425925925925</v>
      </c>
      <c r="W879" s="98">
        <v>13</v>
      </c>
      <c r="X879" s="84">
        <f>+IF(P879="ACERO A36",VLOOKUP(Q879,'[3]Tiempo Objeto'!$B$2:$C$12,2,FALSE),IF(P879="INOXIDABLE",VLOOKUP(Q879,'[3]Tiempo Objeto'!$B$14:$C$22,2,FALSE),IF(P879="ALUMINIO",VLOOKUP(Q879,'[3]Tiempo Objeto'!$B$24:$C$32,2,FALSE))))</f>
        <v>0.71333333333333337</v>
      </c>
      <c r="Y879" s="84">
        <f t="shared" si="118"/>
        <v>9.2733333333333334</v>
      </c>
      <c r="Z879" s="80">
        <f t="shared" si="119"/>
        <v>12.87962962962963</v>
      </c>
      <c r="AA879" s="100">
        <v>0</v>
      </c>
      <c r="AB879" s="86">
        <f>+AA879*Analisis!$J$6</f>
        <v>0</v>
      </c>
      <c r="AC879" s="100"/>
      <c r="AD879" s="85">
        <f t="shared" si="120"/>
        <v>0</v>
      </c>
      <c r="AE879" s="86">
        <f>+AC879*Analisis!$J$7</f>
        <v>0</v>
      </c>
      <c r="AF879" s="308">
        <f>+H879*0.0254*I879*0.0254*2*(1+[3]Analisis!$G$2)</f>
        <v>0.21337699259999998</v>
      </c>
      <c r="AG879" s="86">
        <f>+AF879*Analisis!$J$8</f>
        <v>22.734810521071434</v>
      </c>
      <c r="AH879" s="309">
        <f t="shared" si="126"/>
        <v>194.40802232662702</v>
      </c>
      <c r="AI879" s="86">
        <f>+AH879/(1-Analisis!G884)</f>
        <v>194.40802232662702</v>
      </c>
      <c r="AJ879" s="86">
        <f t="shared" si="121"/>
        <v>209.04088422217961</v>
      </c>
      <c r="AK879" s="86">
        <f t="shared" si="127"/>
        <v>0</v>
      </c>
      <c r="AL879" s="310" t="e">
        <f>+VLOOKUP(B879,#REF!,2,FALSE)</f>
        <v>#REF!</v>
      </c>
      <c r="AM879" s="311" t="e">
        <f t="shared" si="124"/>
        <v>#REF!</v>
      </c>
      <c r="AN879" s="312" t="e">
        <f t="shared" si="129"/>
        <v>#REF!</v>
      </c>
    </row>
    <row r="880" spans="1:40" s="73" customFormat="1" x14ac:dyDescent="0.25">
      <c r="A880" s="313"/>
      <c r="B880" s="332" t="s">
        <v>1565</v>
      </c>
      <c r="D880" s="74">
        <f>IFERROR(VLOOKUP(B880,'REQ. PINTADO'!B:C,2,0),0)</f>
        <v>0</v>
      </c>
      <c r="E880" s="305">
        <f t="shared" si="114"/>
        <v>235.08624824618823</v>
      </c>
      <c r="F880" s="103" t="s">
        <v>164</v>
      </c>
      <c r="G880" s="75" t="s">
        <v>147</v>
      </c>
      <c r="H880" s="90">
        <v>5.0999999999999996</v>
      </c>
      <c r="I880" s="90">
        <v>29.94</v>
      </c>
      <c r="J880" s="76">
        <v>0.105</v>
      </c>
      <c r="K880" s="306">
        <v>16.38</v>
      </c>
      <c r="L880" s="78">
        <f t="shared" si="115"/>
        <v>14.206306089743594</v>
      </c>
      <c r="M880" s="58">
        <f>+VLOOKUP(F880,Material!$H$2:$M$17,6,FALSE)*H880*I880*(1+Material!$K$14)</f>
        <v>105.77240625</v>
      </c>
      <c r="N880" s="79" t="str">
        <f t="shared" si="128"/>
        <v>T5.0</v>
      </c>
      <c r="O880" s="80">
        <f>+VLOOKUP(N880,[3]Material!$A$3:$B$58,2,FALSE)</f>
        <v>5000</v>
      </c>
      <c r="P880" s="79" t="s">
        <v>42</v>
      </c>
      <c r="Q880" s="79" t="str">
        <f>+VLOOKUP(F880,[3]Material!$C$2:$E$12,2,FALSE)</f>
        <v>Cal 10</v>
      </c>
      <c r="R880" s="81">
        <f>+IF(P880="ACERO A36",VLOOKUP(Q880,'[3]Velocidades Std 1500 w'!$B$2:$F$15,5,FALSE),IF(P880="INOXIDABLE",VLOOKUP(Q880,'[3]Velocidades Std 1500 w'!$B$17:$F$28,5,FALSE),IF(P880="ALUMINIO",VLOOKUP(Q880,'[3]Velocidades Std 1500 w'!$B$30:$F$38,5,FALSE))))</f>
        <v>6.1728395061728391E-6</v>
      </c>
      <c r="S880" s="82">
        <f t="shared" si="116"/>
        <v>3.0864197530864196E-2</v>
      </c>
      <c r="T880" s="83">
        <f t="shared" si="117"/>
        <v>53.091079999999991</v>
      </c>
      <c r="U880" s="307">
        <f t="shared" si="130"/>
        <v>2389.0985999999998</v>
      </c>
      <c r="V880" s="80">
        <f t="shared" si="122"/>
        <v>73.737611111111107</v>
      </c>
      <c r="W880" s="98">
        <v>13</v>
      </c>
      <c r="X880" s="84">
        <f>+IF(P880="ACERO A36",VLOOKUP(Q880,'[3]Tiempo Objeto'!$B$2:$C$12,2,FALSE),IF(P880="INOXIDABLE",VLOOKUP(Q880,'[3]Tiempo Objeto'!$B$14:$C$22,2,FALSE),IF(P880="ALUMINIO",VLOOKUP(Q880,'[3]Tiempo Objeto'!$B$24:$C$32,2,FALSE))))</f>
        <v>0.71333333333333337</v>
      </c>
      <c r="Y880" s="84">
        <f t="shared" si="118"/>
        <v>9.2733333333333334</v>
      </c>
      <c r="Z880" s="80">
        <f t="shared" si="119"/>
        <v>12.87962962962963</v>
      </c>
      <c r="AA880" s="100">
        <v>0</v>
      </c>
      <c r="AB880" s="86">
        <f>+AA880*Analisis!$J$6</f>
        <v>0</v>
      </c>
      <c r="AC880" s="100"/>
      <c r="AD880" s="85">
        <f t="shared" si="120"/>
        <v>0</v>
      </c>
      <c r="AE880" s="86">
        <f>+AC880*Analisis!$J$7</f>
        <v>0</v>
      </c>
      <c r="AF880" s="308">
        <f>+H880*0.0254*I880*0.0254*2*(1+[3]Analisis!$G$2)</f>
        <v>0.24628015259999997</v>
      </c>
      <c r="AG880" s="86">
        <f>+AF880*Analisis!$J$8</f>
        <v>26.240563878214289</v>
      </c>
      <c r="AH880" s="309">
        <f t="shared" si="126"/>
        <v>218.63021086895503</v>
      </c>
      <c r="AI880" s="86">
        <f>+AH880/(1-Analisis!G885)</f>
        <v>218.63021086895503</v>
      </c>
      <c r="AJ880" s="86">
        <f t="shared" si="121"/>
        <v>235.08624824618823</v>
      </c>
      <c r="AK880" s="86">
        <f t="shared" si="127"/>
        <v>0</v>
      </c>
      <c r="AL880" s="310" t="e">
        <f>+VLOOKUP(B880,#REF!,2,FALSE)</f>
        <v>#REF!</v>
      </c>
      <c r="AM880" s="311" t="e">
        <f t="shared" si="124"/>
        <v>#REF!</v>
      </c>
      <c r="AN880" s="312" t="e">
        <f t="shared" si="129"/>
        <v>#REF!</v>
      </c>
    </row>
    <row r="881" spans="1:40" s="73" customFormat="1" x14ac:dyDescent="0.25">
      <c r="A881" s="313"/>
      <c r="B881" s="332" t="s">
        <v>1566</v>
      </c>
      <c r="D881" s="74">
        <f>IFERROR(VLOOKUP(B881,'REQ. PINTADO'!B:C,2,0),0)</f>
        <v>0</v>
      </c>
      <c r="E881" s="305">
        <f t="shared" si="114"/>
        <v>248.10893025819257</v>
      </c>
      <c r="F881" s="103" t="s">
        <v>164</v>
      </c>
      <c r="G881" s="75" t="s">
        <v>147</v>
      </c>
      <c r="H881" s="90">
        <v>5.0999999999999996</v>
      </c>
      <c r="I881" s="90">
        <v>31.94</v>
      </c>
      <c r="J881" s="76">
        <v>0.105</v>
      </c>
      <c r="K881" s="306">
        <v>16.38</v>
      </c>
      <c r="L881" s="78">
        <f t="shared" si="115"/>
        <v>15.155291132478636</v>
      </c>
      <c r="M881" s="58">
        <f>+VLOOKUP(F881,Material!$H$2:$M$17,6,FALSE)*H881*I881*(1+Material!$K$14)</f>
        <v>112.83803125000001</v>
      </c>
      <c r="N881" s="79" t="str">
        <f t="shared" si="128"/>
        <v>T5.0</v>
      </c>
      <c r="O881" s="80">
        <f>+VLOOKUP(N881,[3]Material!$A$3:$B$58,2,FALSE)</f>
        <v>5000</v>
      </c>
      <c r="P881" s="79" t="s">
        <v>42</v>
      </c>
      <c r="Q881" s="79" t="str">
        <f>+VLOOKUP(F881,[3]Material!$C$2:$E$12,2,FALSE)</f>
        <v>Cal 10</v>
      </c>
      <c r="R881" s="81">
        <f>+IF(P881="ACERO A36",VLOOKUP(Q881,'[3]Velocidades Std 1500 w'!$B$2:$F$15,5,FALSE),IF(P881="INOXIDABLE",VLOOKUP(Q881,'[3]Velocidades Std 1500 w'!$B$17:$F$28,5,FALSE),IF(P881="ALUMINIO",VLOOKUP(Q881,'[3]Velocidades Std 1500 w'!$B$30:$F$38,5,FALSE))))</f>
        <v>6.1728395061728391E-6</v>
      </c>
      <c r="S881" s="82">
        <f t="shared" si="116"/>
        <v>3.0864197530864196E-2</v>
      </c>
      <c r="T881" s="83">
        <f t="shared" si="117"/>
        <v>55.461746666666663</v>
      </c>
      <c r="U881" s="307">
        <f t="shared" si="130"/>
        <v>2495.7786000000001</v>
      </c>
      <c r="V881" s="80">
        <f t="shared" si="122"/>
        <v>77.030203703703705</v>
      </c>
      <c r="W881" s="98">
        <v>13</v>
      </c>
      <c r="X881" s="84">
        <f>+IF(P881="ACERO A36",VLOOKUP(Q881,'[3]Tiempo Objeto'!$B$2:$C$12,2,FALSE),IF(P881="INOXIDABLE",VLOOKUP(Q881,'[3]Tiempo Objeto'!$B$14:$C$22,2,FALSE),IF(P881="ALUMINIO",VLOOKUP(Q881,'[3]Tiempo Objeto'!$B$24:$C$32,2,FALSE))))</f>
        <v>0.71333333333333337</v>
      </c>
      <c r="Y881" s="84">
        <f t="shared" si="118"/>
        <v>9.2733333333333334</v>
      </c>
      <c r="Z881" s="80">
        <f t="shared" si="119"/>
        <v>12.87962962962963</v>
      </c>
      <c r="AA881" s="100">
        <v>0</v>
      </c>
      <c r="AB881" s="86">
        <f>+AA881*Analisis!$J$6</f>
        <v>0</v>
      </c>
      <c r="AC881" s="100"/>
      <c r="AD881" s="85">
        <f t="shared" si="120"/>
        <v>0</v>
      </c>
      <c r="AE881" s="86">
        <f>+AC881*Analisis!$J$7</f>
        <v>0</v>
      </c>
      <c r="AF881" s="308">
        <f>+H881*0.0254*I881*0.0254*2*(1+[3]Analisis!$G$2)</f>
        <v>0.26273173259999999</v>
      </c>
      <c r="AG881" s="86">
        <f>+AF881*Analisis!$J$8</f>
        <v>27.993440556785721</v>
      </c>
      <c r="AH881" s="309">
        <f t="shared" si="126"/>
        <v>230.74130514011907</v>
      </c>
      <c r="AI881" s="86">
        <f>+AH881/(1-Analisis!G886)</f>
        <v>230.74130514011907</v>
      </c>
      <c r="AJ881" s="86">
        <f t="shared" si="121"/>
        <v>248.10893025819257</v>
      </c>
      <c r="AK881" s="86">
        <f t="shared" si="127"/>
        <v>0</v>
      </c>
      <c r="AL881" s="310" t="e">
        <f>+VLOOKUP(B881,#REF!,2,FALSE)</f>
        <v>#REF!</v>
      </c>
      <c r="AM881" s="311" t="e">
        <f t="shared" si="124"/>
        <v>#REF!</v>
      </c>
      <c r="AN881" s="312" t="e">
        <f t="shared" si="129"/>
        <v>#REF!</v>
      </c>
    </row>
    <row r="882" spans="1:40" s="73" customFormat="1" x14ac:dyDescent="0.25">
      <c r="A882" s="313"/>
      <c r="B882" s="332" t="s">
        <v>1567</v>
      </c>
      <c r="D882" s="74">
        <f>IFERROR(VLOOKUP(B882,'REQ. PINTADO'!B:C,2,0),0)</f>
        <v>0</v>
      </c>
      <c r="E882" s="305">
        <f t="shared" si="114"/>
        <v>274.15429428220119</v>
      </c>
      <c r="F882" s="103" t="s">
        <v>164</v>
      </c>
      <c r="G882" s="75" t="s">
        <v>147</v>
      </c>
      <c r="H882" s="90">
        <v>5.0999999999999996</v>
      </c>
      <c r="I882" s="90">
        <v>35.94</v>
      </c>
      <c r="J882" s="76">
        <v>0.105</v>
      </c>
      <c r="K882" s="306">
        <v>16.38</v>
      </c>
      <c r="L882" s="78">
        <f t="shared" si="115"/>
        <v>17.05326121794872</v>
      </c>
      <c r="M882" s="58">
        <f>+VLOOKUP(F882,Material!$H$2:$M$17,6,FALSE)*H882*I882*(1+Material!$K$14)</f>
        <v>126.96928124999999</v>
      </c>
      <c r="N882" s="79" t="str">
        <f t="shared" si="128"/>
        <v>T5.0</v>
      </c>
      <c r="O882" s="80">
        <f>+VLOOKUP(N882,[3]Material!$A$3:$B$58,2,FALSE)</f>
        <v>5000</v>
      </c>
      <c r="P882" s="79" t="s">
        <v>42</v>
      </c>
      <c r="Q882" s="79" t="str">
        <f>+VLOOKUP(F882,[3]Material!$C$2:$E$12,2,FALSE)</f>
        <v>Cal 10</v>
      </c>
      <c r="R882" s="81">
        <f>+IF(P882="ACERO A36",VLOOKUP(Q882,'[3]Velocidades Std 1500 w'!$B$2:$F$15,5,FALSE),IF(P882="INOXIDABLE",VLOOKUP(Q882,'[3]Velocidades Std 1500 w'!$B$17:$F$28,5,FALSE),IF(P882="ALUMINIO",VLOOKUP(Q882,'[3]Velocidades Std 1500 w'!$B$30:$F$38,5,FALSE))))</f>
        <v>6.1728395061728391E-6</v>
      </c>
      <c r="S882" s="82">
        <f t="shared" si="116"/>
        <v>3.0864197530864196E-2</v>
      </c>
      <c r="T882" s="83">
        <f t="shared" si="117"/>
        <v>60.203079999999993</v>
      </c>
      <c r="U882" s="307">
        <f t="shared" si="130"/>
        <v>2709.1385999999998</v>
      </c>
      <c r="V882" s="80">
        <f t="shared" si="122"/>
        <v>83.615388888888873</v>
      </c>
      <c r="W882" s="98">
        <v>13</v>
      </c>
      <c r="X882" s="84">
        <f>+IF(P882="ACERO A36",VLOOKUP(Q882,'[3]Tiempo Objeto'!$B$2:$C$12,2,FALSE),IF(P882="INOXIDABLE",VLOOKUP(Q882,'[3]Tiempo Objeto'!$B$14:$C$22,2,FALSE),IF(P882="ALUMINIO",VLOOKUP(Q882,'[3]Tiempo Objeto'!$B$24:$C$32,2,FALSE))))</f>
        <v>0.71333333333333337</v>
      </c>
      <c r="Y882" s="84">
        <f t="shared" si="118"/>
        <v>9.2733333333333334</v>
      </c>
      <c r="Z882" s="80">
        <f t="shared" si="119"/>
        <v>12.87962962962963</v>
      </c>
      <c r="AA882" s="100">
        <v>0</v>
      </c>
      <c r="AB882" s="86">
        <f>+AA882*Analisis!$J$6</f>
        <v>0</v>
      </c>
      <c r="AC882" s="100"/>
      <c r="AD882" s="85">
        <f t="shared" si="120"/>
        <v>0</v>
      </c>
      <c r="AE882" s="86">
        <f>+AC882*Analisis!$J$7</f>
        <v>0</v>
      </c>
      <c r="AF882" s="308">
        <f>+H882*0.0254*I882*0.0254*2*(1+[3]Analisis!$G$2)</f>
        <v>0.29563489259999998</v>
      </c>
      <c r="AG882" s="86">
        <f>+AF882*Analisis!$J$8</f>
        <v>31.499193913928579</v>
      </c>
      <c r="AH882" s="309">
        <f t="shared" si="126"/>
        <v>254.96349368244711</v>
      </c>
      <c r="AI882" s="86">
        <f>+AH882/(1-Analisis!G887)</f>
        <v>254.96349368244711</v>
      </c>
      <c r="AJ882" s="86">
        <f t="shared" si="121"/>
        <v>274.15429428220119</v>
      </c>
      <c r="AK882" s="86">
        <f t="shared" si="127"/>
        <v>0</v>
      </c>
      <c r="AL882" s="310" t="e">
        <f>+VLOOKUP(B882,#REF!,2,FALSE)</f>
        <v>#REF!</v>
      </c>
      <c r="AM882" s="311" t="e">
        <f t="shared" si="124"/>
        <v>#REF!</v>
      </c>
      <c r="AN882" s="312" t="e">
        <f t="shared" si="129"/>
        <v>#REF!</v>
      </c>
    </row>
    <row r="883" spans="1:40" s="73" customFormat="1" x14ac:dyDescent="0.25">
      <c r="A883" s="313"/>
      <c r="B883" s="332" t="s">
        <v>1568</v>
      </c>
      <c r="D883" s="74">
        <f>IFERROR(VLOOKUP(B883,'REQ. PINTADO'!B:C,2,0),0)</f>
        <v>0</v>
      </c>
      <c r="E883" s="305">
        <f t="shared" si="114"/>
        <v>287.17697629420553</v>
      </c>
      <c r="F883" s="103" t="s">
        <v>164</v>
      </c>
      <c r="G883" s="75" t="s">
        <v>147</v>
      </c>
      <c r="H883" s="90">
        <v>5.0999999999999996</v>
      </c>
      <c r="I883" s="90">
        <v>37.94</v>
      </c>
      <c r="J883" s="76">
        <v>0.105</v>
      </c>
      <c r="K883" s="306">
        <v>16.38</v>
      </c>
      <c r="L883" s="78">
        <f t="shared" si="115"/>
        <v>18.002246260683766</v>
      </c>
      <c r="M883" s="58">
        <f>+VLOOKUP(F883,Material!$H$2:$M$17,6,FALSE)*H883*I883*(1+Material!$K$14)</f>
        <v>134.03490625000001</v>
      </c>
      <c r="N883" s="79" t="str">
        <f t="shared" si="128"/>
        <v>T5.0</v>
      </c>
      <c r="O883" s="80">
        <f>+VLOOKUP(N883,[3]Material!$A$3:$B$58,2,FALSE)</f>
        <v>5000</v>
      </c>
      <c r="P883" s="79" t="s">
        <v>42</v>
      </c>
      <c r="Q883" s="79" t="str">
        <f>+VLOOKUP(F883,[3]Material!$C$2:$E$12,2,FALSE)</f>
        <v>Cal 10</v>
      </c>
      <c r="R883" s="81">
        <f>+IF(P883="ACERO A36",VLOOKUP(Q883,'[3]Velocidades Std 1500 w'!$B$2:$F$15,5,FALSE),IF(P883="INOXIDABLE",VLOOKUP(Q883,'[3]Velocidades Std 1500 w'!$B$17:$F$28,5,FALSE),IF(P883="ALUMINIO",VLOOKUP(Q883,'[3]Velocidades Std 1500 w'!$B$30:$F$38,5,FALSE))))</f>
        <v>6.1728395061728391E-6</v>
      </c>
      <c r="S883" s="82">
        <f t="shared" si="116"/>
        <v>3.0864197530864196E-2</v>
      </c>
      <c r="T883" s="83">
        <f t="shared" si="117"/>
        <v>62.573746666666665</v>
      </c>
      <c r="U883" s="307">
        <f t="shared" si="130"/>
        <v>2815.8186000000001</v>
      </c>
      <c r="V883" s="80">
        <f t="shared" si="122"/>
        <v>86.907981481481485</v>
      </c>
      <c r="W883" s="98">
        <v>13</v>
      </c>
      <c r="X883" s="84">
        <f>+IF(P883="ACERO A36",VLOOKUP(Q883,'[3]Tiempo Objeto'!$B$2:$C$12,2,FALSE),IF(P883="INOXIDABLE",VLOOKUP(Q883,'[3]Tiempo Objeto'!$B$14:$C$22,2,FALSE),IF(P883="ALUMINIO",VLOOKUP(Q883,'[3]Tiempo Objeto'!$B$24:$C$32,2,FALSE))))</f>
        <v>0.71333333333333337</v>
      </c>
      <c r="Y883" s="84">
        <f t="shared" si="118"/>
        <v>9.2733333333333334</v>
      </c>
      <c r="Z883" s="80">
        <f t="shared" si="119"/>
        <v>12.87962962962963</v>
      </c>
      <c r="AA883" s="100">
        <v>0</v>
      </c>
      <c r="AB883" s="86">
        <f>+AA883*Analisis!$J$6</f>
        <v>0</v>
      </c>
      <c r="AC883" s="100"/>
      <c r="AD883" s="85">
        <f t="shared" si="120"/>
        <v>0</v>
      </c>
      <c r="AE883" s="86">
        <f>+AC883*Analisis!$J$7</f>
        <v>0</v>
      </c>
      <c r="AF883" s="308">
        <f>+H883*0.0254*I883*0.0254*2*(1+[3]Analisis!$G$2)</f>
        <v>0.31208647259999994</v>
      </c>
      <c r="AG883" s="86">
        <f>+AF883*Analisis!$J$8</f>
        <v>33.252070592500004</v>
      </c>
      <c r="AH883" s="309">
        <f t="shared" si="126"/>
        <v>267.07458795361111</v>
      </c>
      <c r="AI883" s="86">
        <f>+AH883/(1-Analisis!G888)</f>
        <v>267.07458795361111</v>
      </c>
      <c r="AJ883" s="86">
        <f t="shared" si="121"/>
        <v>287.17697629420553</v>
      </c>
      <c r="AK883" s="86">
        <f t="shared" si="127"/>
        <v>0</v>
      </c>
      <c r="AL883" s="310" t="e">
        <f>+VLOOKUP(B883,#REF!,2,FALSE)</f>
        <v>#REF!</v>
      </c>
      <c r="AM883" s="311" t="e">
        <f t="shared" si="124"/>
        <v>#REF!</v>
      </c>
      <c r="AN883" s="312" t="e">
        <f t="shared" si="129"/>
        <v>#REF!</v>
      </c>
    </row>
    <row r="884" spans="1:40" s="73" customFormat="1" x14ac:dyDescent="0.25">
      <c r="A884" s="313"/>
      <c r="B884" s="332" t="s">
        <v>1569</v>
      </c>
      <c r="D884" s="74">
        <f>IFERROR(VLOOKUP(B884,'REQ. PINTADO'!B:C,2,0),0)</f>
        <v>0</v>
      </c>
      <c r="E884" s="305">
        <f t="shared" si="114"/>
        <v>300.19965830620981</v>
      </c>
      <c r="F884" s="103" t="s">
        <v>164</v>
      </c>
      <c r="G884" s="75" t="s">
        <v>147</v>
      </c>
      <c r="H884" s="90">
        <v>5.0999999999999996</v>
      </c>
      <c r="I884" s="90">
        <v>39.94</v>
      </c>
      <c r="J884" s="76">
        <v>0.105</v>
      </c>
      <c r="K884" s="306">
        <v>16.38</v>
      </c>
      <c r="L884" s="78">
        <f t="shared" si="115"/>
        <v>18.951231303418805</v>
      </c>
      <c r="M884" s="58">
        <f>+VLOOKUP(F884,Material!$H$2:$M$17,6,FALSE)*H884*I884*(1+Material!$K$14)</f>
        <v>141.10053124999999</v>
      </c>
      <c r="N884" s="79" t="str">
        <f t="shared" si="128"/>
        <v>T5.0</v>
      </c>
      <c r="O884" s="80">
        <f>+VLOOKUP(N884,[3]Material!$A$3:$B$58,2,FALSE)</f>
        <v>5000</v>
      </c>
      <c r="P884" s="79" t="s">
        <v>42</v>
      </c>
      <c r="Q884" s="79" t="str">
        <f>+VLOOKUP(F884,[3]Material!$C$2:$E$12,2,FALSE)</f>
        <v>Cal 10</v>
      </c>
      <c r="R884" s="81">
        <f>+IF(P884="ACERO A36",VLOOKUP(Q884,'[3]Velocidades Std 1500 w'!$B$2:$F$15,5,FALSE),IF(P884="INOXIDABLE",VLOOKUP(Q884,'[3]Velocidades Std 1500 w'!$B$17:$F$28,5,FALSE),IF(P884="ALUMINIO",VLOOKUP(Q884,'[3]Velocidades Std 1500 w'!$B$30:$F$38,5,FALSE))))</f>
        <v>6.1728395061728391E-6</v>
      </c>
      <c r="S884" s="82">
        <f t="shared" si="116"/>
        <v>3.0864197530864196E-2</v>
      </c>
      <c r="T884" s="83">
        <f t="shared" si="117"/>
        <v>64.94441333333333</v>
      </c>
      <c r="U884" s="307">
        <f t="shared" si="130"/>
        <v>2922.4985999999999</v>
      </c>
      <c r="V884" s="80">
        <f t="shared" si="122"/>
        <v>90.200574074074069</v>
      </c>
      <c r="W884" s="98">
        <v>13</v>
      </c>
      <c r="X884" s="84">
        <f>+IF(P884="ACERO A36",VLOOKUP(Q884,'[3]Tiempo Objeto'!$B$2:$C$12,2,FALSE),IF(P884="INOXIDABLE",VLOOKUP(Q884,'[3]Tiempo Objeto'!$B$14:$C$22,2,FALSE),IF(P884="ALUMINIO",VLOOKUP(Q884,'[3]Tiempo Objeto'!$B$24:$C$32,2,FALSE))))</f>
        <v>0.71333333333333337</v>
      </c>
      <c r="Y884" s="84">
        <f t="shared" si="118"/>
        <v>9.2733333333333334</v>
      </c>
      <c r="Z884" s="80">
        <f t="shared" si="119"/>
        <v>12.87962962962963</v>
      </c>
      <c r="AA884" s="100">
        <v>0</v>
      </c>
      <c r="AB884" s="86">
        <f>+AA884*Analisis!$J$6</f>
        <v>0</v>
      </c>
      <c r="AC884" s="100"/>
      <c r="AD884" s="85">
        <f t="shared" si="120"/>
        <v>0</v>
      </c>
      <c r="AE884" s="86">
        <f>+AC884*Analisis!$J$7</f>
        <v>0</v>
      </c>
      <c r="AF884" s="308">
        <f>+H884*0.0254*I884*0.0254*2*(1+[3]Analisis!$G$2)</f>
        <v>0.32853805259999991</v>
      </c>
      <c r="AG884" s="86">
        <f>+AF884*Analisis!$J$8</f>
        <v>35.00494727107143</v>
      </c>
      <c r="AH884" s="309">
        <f t="shared" si="126"/>
        <v>279.18568222477512</v>
      </c>
      <c r="AI884" s="86">
        <f>+AH884/(1-Analisis!G889)</f>
        <v>279.18568222477512</v>
      </c>
      <c r="AJ884" s="86">
        <f t="shared" si="121"/>
        <v>300.19965830620981</v>
      </c>
      <c r="AK884" s="86">
        <f t="shared" si="127"/>
        <v>0</v>
      </c>
      <c r="AL884" s="310" t="e">
        <f>+VLOOKUP(B884,#REF!,2,FALSE)</f>
        <v>#REF!</v>
      </c>
      <c r="AM884" s="311" t="e">
        <f t="shared" si="124"/>
        <v>#REF!</v>
      </c>
      <c r="AN884" s="312" t="e">
        <f t="shared" si="129"/>
        <v>#REF!</v>
      </c>
    </row>
    <row r="885" spans="1:40" s="73" customFormat="1" x14ac:dyDescent="0.25">
      <c r="A885" s="313"/>
      <c r="B885" s="332" t="s">
        <v>1570</v>
      </c>
      <c r="D885" s="74">
        <f>IFERROR(VLOOKUP(B885,'REQ. PINTADO'!B:C,2,0),0)</f>
        <v>0</v>
      </c>
      <c r="E885" s="305">
        <f t="shared" si="114"/>
        <v>313.22234031821415</v>
      </c>
      <c r="F885" s="103" t="s">
        <v>164</v>
      </c>
      <c r="G885" s="75" t="s">
        <v>147</v>
      </c>
      <c r="H885" s="90">
        <v>5.0999999999999996</v>
      </c>
      <c r="I885" s="90">
        <v>41.94</v>
      </c>
      <c r="J885" s="76">
        <v>0.105</v>
      </c>
      <c r="K885" s="306">
        <v>16.38</v>
      </c>
      <c r="L885" s="78">
        <f t="shared" si="115"/>
        <v>19.900216346153851</v>
      </c>
      <c r="M885" s="58">
        <f>+VLOOKUP(F885,Material!$H$2:$M$17,6,FALSE)*H885*I885*(1+Material!$K$14)</f>
        <v>148.16615625</v>
      </c>
      <c r="N885" s="79" t="str">
        <f t="shared" si="128"/>
        <v>T5.0</v>
      </c>
      <c r="O885" s="80">
        <f>+VLOOKUP(N885,[3]Material!$A$3:$B$58,2,FALSE)</f>
        <v>5000</v>
      </c>
      <c r="P885" s="79" t="s">
        <v>42</v>
      </c>
      <c r="Q885" s="79" t="str">
        <f>+VLOOKUP(F885,[3]Material!$C$2:$E$12,2,FALSE)</f>
        <v>Cal 10</v>
      </c>
      <c r="R885" s="81">
        <f>+IF(P885="ACERO A36",VLOOKUP(Q885,'[3]Velocidades Std 1500 w'!$B$2:$F$15,5,FALSE),IF(P885="INOXIDABLE",VLOOKUP(Q885,'[3]Velocidades Std 1500 w'!$B$17:$F$28,5,FALSE),IF(P885="ALUMINIO",VLOOKUP(Q885,'[3]Velocidades Std 1500 w'!$B$30:$F$38,5,FALSE))))</f>
        <v>6.1728395061728391E-6</v>
      </c>
      <c r="S885" s="82">
        <f t="shared" si="116"/>
        <v>3.0864197530864196E-2</v>
      </c>
      <c r="T885" s="83">
        <f t="shared" si="117"/>
        <v>67.31507999999998</v>
      </c>
      <c r="U885" s="307">
        <f t="shared" si="130"/>
        <v>3029.1785999999997</v>
      </c>
      <c r="V885" s="80">
        <f t="shared" si="122"/>
        <v>93.493166666666653</v>
      </c>
      <c r="W885" s="98">
        <v>13</v>
      </c>
      <c r="X885" s="84">
        <f>+IF(P885="ACERO A36",VLOOKUP(Q885,'[3]Tiempo Objeto'!$B$2:$C$12,2,FALSE),IF(P885="INOXIDABLE",VLOOKUP(Q885,'[3]Tiempo Objeto'!$B$14:$C$22,2,FALSE),IF(P885="ALUMINIO",VLOOKUP(Q885,'[3]Tiempo Objeto'!$B$24:$C$32,2,FALSE))))</f>
        <v>0.71333333333333337</v>
      </c>
      <c r="Y885" s="84">
        <f t="shared" si="118"/>
        <v>9.2733333333333334</v>
      </c>
      <c r="Z885" s="80">
        <f t="shared" si="119"/>
        <v>12.87962962962963</v>
      </c>
      <c r="AA885" s="100">
        <v>0</v>
      </c>
      <c r="AB885" s="86">
        <f>+AA885*Analisis!$J$6</f>
        <v>0</v>
      </c>
      <c r="AC885" s="100"/>
      <c r="AD885" s="85">
        <f t="shared" si="120"/>
        <v>0</v>
      </c>
      <c r="AE885" s="86">
        <f>+AC885*Analisis!$J$7</f>
        <v>0</v>
      </c>
      <c r="AF885" s="308">
        <f>+H885*0.0254*I885*0.0254*2*(1+[3]Analisis!$G$2)</f>
        <v>0.34498963259999993</v>
      </c>
      <c r="AG885" s="86">
        <f>+AF885*Analisis!$J$8</f>
        <v>36.757823949642862</v>
      </c>
      <c r="AH885" s="309">
        <f t="shared" si="126"/>
        <v>291.29677649593913</v>
      </c>
      <c r="AI885" s="86">
        <f>+AH885/(1-Analisis!G890)</f>
        <v>291.29677649593913</v>
      </c>
      <c r="AJ885" s="86">
        <f t="shared" si="121"/>
        <v>313.22234031821415</v>
      </c>
      <c r="AK885" s="86">
        <f t="shared" si="127"/>
        <v>0</v>
      </c>
      <c r="AL885" s="310" t="e">
        <f>+VLOOKUP(B885,#REF!,2,FALSE)</f>
        <v>#REF!</v>
      </c>
      <c r="AM885" s="311" t="e">
        <f t="shared" si="124"/>
        <v>#REF!</v>
      </c>
      <c r="AN885" s="312" t="e">
        <f t="shared" si="129"/>
        <v>#REF!</v>
      </c>
    </row>
    <row r="886" spans="1:40" s="73" customFormat="1" x14ac:dyDescent="0.25">
      <c r="A886" s="313"/>
      <c r="B886" s="332" t="s">
        <v>1571</v>
      </c>
      <c r="D886" s="74">
        <f>IFERROR(VLOOKUP(B886,'REQ. PINTADO'!B:C,2,0),0)</f>
        <v>0</v>
      </c>
      <c r="E886" s="305">
        <f t="shared" si="114"/>
        <v>339.26770434222283</v>
      </c>
      <c r="F886" s="103" t="s">
        <v>164</v>
      </c>
      <c r="G886" s="75" t="s">
        <v>147</v>
      </c>
      <c r="H886" s="90">
        <v>5.0999999999999996</v>
      </c>
      <c r="I886" s="90">
        <v>45.94</v>
      </c>
      <c r="J886" s="76">
        <v>0.105</v>
      </c>
      <c r="K886" s="306">
        <v>16.38</v>
      </c>
      <c r="L886" s="78">
        <f t="shared" si="115"/>
        <v>21.798186431623932</v>
      </c>
      <c r="M886" s="58">
        <f>+VLOOKUP(F886,Material!$H$2:$M$17,6,FALSE)*H886*I886*(1+Material!$K$14)</f>
        <v>162.29740624999999</v>
      </c>
      <c r="N886" s="79" t="str">
        <f t="shared" si="128"/>
        <v>T5.0</v>
      </c>
      <c r="O886" s="80">
        <f>+VLOOKUP(N886,[3]Material!$A$3:$B$58,2,FALSE)</f>
        <v>5000</v>
      </c>
      <c r="P886" s="79" t="s">
        <v>42</v>
      </c>
      <c r="Q886" s="79" t="str">
        <f>+VLOOKUP(F886,[3]Material!$C$2:$E$12,2,FALSE)</f>
        <v>Cal 10</v>
      </c>
      <c r="R886" s="81">
        <f>+IF(P886="ACERO A36",VLOOKUP(Q886,'[3]Velocidades Std 1500 w'!$B$2:$F$15,5,FALSE),IF(P886="INOXIDABLE",VLOOKUP(Q886,'[3]Velocidades Std 1500 w'!$B$17:$F$28,5,FALSE),IF(P886="ALUMINIO",VLOOKUP(Q886,'[3]Velocidades Std 1500 w'!$B$30:$F$38,5,FALSE))))</f>
        <v>6.1728395061728391E-6</v>
      </c>
      <c r="S886" s="82">
        <f t="shared" si="116"/>
        <v>3.0864197530864196E-2</v>
      </c>
      <c r="T886" s="83">
        <f t="shared" si="117"/>
        <v>72.056413333333325</v>
      </c>
      <c r="U886" s="307">
        <f t="shared" si="130"/>
        <v>3242.5385999999999</v>
      </c>
      <c r="V886" s="80">
        <f t="shared" si="122"/>
        <v>100.07835185185183</v>
      </c>
      <c r="W886" s="98">
        <v>13</v>
      </c>
      <c r="X886" s="84">
        <f>+IF(P886="ACERO A36",VLOOKUP(Q886,'[3]Tiempo Objeto'!$B$2:$C$12,2,FALSE),IF(P886="INOXIDABLE",VLOOKUP(Q886,'[3]Tiempo Objeto'!$B$14:$C$22,2,FALSE),IF(P886="ALUMINIO",VLOOKUP(Q886,'[3]Tiempo Objeto'!$B$24:$C$32,2,FALSE))))</f>
        <v>0.71333333333333337</v>
      </c>
      <c r="Y886" s="84">
        <f t="shared" si="118"/>
        <v>9.2733333333333334</v>
      </c>
      <c r="Z886" s="80">
        <f t="shared" si="119"/>
        <v>12.87962962962963</v>
      </c>
      <c r="AA886" s="100">
        <v>0</v>
      </c>
      <c r="AB886" s="86">
        <f>+AA886*Analisis!$J$6</f>
        <v>0</v>
      </c>
      <c r="AC886" s="100"/>
      <c r="AD886" s="85">
        <f t="shared" si="120"/>
        <v>0</v>
      </c>
      <c r="AE886" s="86">
        <f>+AC886*Analisis!$J$7</f>
        <v>0</v>
      </c>
      <c r="AF886" s="308">
        <f>+H886*0.0254*I886*0.0254*2*(1+[3]Analisis!$G$2)</f>
        <v>0.37789279259999997</v>
      </c>
      <c r="AG886" s="86">
        <f>+AF886*Analisis!$J$8</f>
        <v>40.26357730678572</v>
      </c>
      <c r="AH886" s="309">
        <f t="shared" si="126"/>
        <v>315.5189650382672</v>
      </c>
      <c r="AI886" s="86">
        <f>+AH886/(1-Analisis!G891)</f>
        <v>315.5189650382672</v>
      </c>
      <c r="AJ886" s="86">
        <f t="shared" si="121"/>
        <v>339.26770434222283</v>
      </c>
      <c r="AK886" s="86">
        <f t="shared" si="127"/>
        <v>0</v>
      </c>
      <c r="AL886" s="310" t="e">
        <f>+VLOOKUP(B886,#REF!,2,FALSE)</f>
        <v>#REF!</v>
      </c>
      <c r="AM886" s="311" t="e">
        <f t="shared" si="124"/>
        <v>#REF!</v>
      </c>
      <c r="AN886" s="312" t="e">
        <f t="shared" si="129"/>
        <v>#REF!</v>
      </c>
    </row>
    <row r="887" spans="1:40" s="73" customFormat="1" x14ac:dyDescent="0.25">
      <c r="A887" s="313"/>
      <c r="B887" s="332" t="s">
        <v>268</v>
      </c>
      <c r="D887" s="74">
        <f>IFERROR(VLOOKUP(B887,'REQ. PINTADO'!B:C,2,0),0)</f>
        <v>0</v>
      </c>
      <c r="E887" s="305">
        <f t="shared" si="114"/>
        <v>232.41136345777724</v>
      </c>
      <c r="F887" s="103" t="s">
        <v>164</v>
      </c>
      <c r="G887" s="75" t="s">
        <v>147</v>
      </c>
      <c r="H887" s="90">
        <v>4.58</v>
      </c>
      <c r="I887" s="90">
        <v>21.94</v>
      </c>
      <c r="J887" s="76">
        <v>0.105</v>
      </c>
      <c r="K887" s="306">
        <v>16.38</v>
      </c>
      <c r="L887" s="78">
        <f t="shared" si="115"/>
        <v>9.3489168447293469</v>
      </c>
      <c r="M887" s="58">
        <f>+VLOOKUP(F887,Material!$H$2:$M$17,6,FALSE)*H887*I887*(1+Material!$K$14)</f>
        <v>69.606935416666673</v>
      </c>
      <c r="N887" s="79" t="str">
        <f t="shared" si="128"/>
        <v>T5.0</v>
      </c>
      <c r="O887" s="80">
        <f>+VLOOKUP(N887,[3]Material!$A$3:$B$58,2,FALSE)</f>
        <v>5000</v>
      </c>
      <c r="P887" s="79" t="s">
        <v>42</v>
      </c>
      <c r="Q887" s="79" t="str">
        <f>+VLOOKUP(F887,[3]Material!$C$2:$E$12,2,FALSE)</f>
        <v>Cal 10</v>
      </c>
      <c r="R887" s="81">
        <f>+IF(P887="ACERO A36",VLOOKUP(Q887,'[3]Velocidades Std 1500 w'!$B$2:$F$15,5,FALSE),IF(P887="INOXIDABLE",VLOOKUP(Q887,'[3]Velocidades Std 1500 w'!$B$17:$F$28,5,FALSE),IF(P887="ALUMINIO",VLOOKUP(Q887,'[3]Velocidades Std 1500 w'!$B$30:$F$38,5,FALSE))))</f>
        <v>6.1728395061728391E-6</v>
      </c>
      <c r="S887" s="82">
        <f t="shared" si="116"/>
        <v>3.0864197530864196E-2</v>
      </c>
      <c r="T887" s="83">
        <f t="shared" si="117"/>
        <v>45.659040000000005</v>
      </c>
      <c r="U887" s="307">
        <f t="shared" si="130"/>
        <v>2054.6568000000002</v>
      </c>
      <c r="V887" s="80">
        <f t="shared" si="122"/>
        <v>63.415333333333336</v>
      </c>
      <c r="W887" s="98">
        <v>16</v>
      </c>
      <c r="X887" s="84">
        <f>+IF(P887="ACERO A36",VLOOKUP(Q887,'[3]Tiempo Objeto'!$B$2:$C$12,2,FALSE),IF(P887="INOXIDABLE",VLOOKUP(Q887,'[3]Tiempo Objeto'!$B$14:$C$22,2,FALSE),IF(P887="ALUMINIO",VLOOKUP(Q887,'[3]Tiempo Objeto'!$B$24:$C$32,2,FALSE))))</f>
        <v>0.71333333333333337</v>
      </c>
      <c r="Y887" s="84">
        <f t="shared" si="118"/>
        <v>11.413333333333334</v>
      </c>
      <c r="Z887" s="80">
        <f t="shared" si="119"/>
        <v>15.851851851851853</v>
      </c>
      <c r="AA887" s="100">
        <v>2</v>
      </c>
      <c r="AB887" s="86">
        <f>+AA887*Analisis!$J$6</f>
        <v>50</v>
      </c>
      <c r="AC887" s="100"/>
      <c r="AD887" s="85">
        <f t="shared" si="120"/>
        <v>0</v>
      </c>
      <c r="AE887" s="86">
        <f>+AC887*Analisis!$J$7</f>
        <v>0</v>
      </c>
      <c r="AF887" s="308">
        <f>+H887*0.0254*I887*0.0254*2*(1+[3]Analisis!$G$2)</f>
        <v>0.16207257908</v>
      </c>
      <c r="AG887" s="86">
        <f>+AF887*Analisis!$J$8</f>
        <v>17.268447413880956</v>
      </c>
      <c r="AH887" s="309">
        <f t="shared" si="126"/>
        <v>216.14256801573282</v>
      </c>
      <c r="AI887" s="86">
        <f>+AH887/(1-Analisis!G892)</f>
        <v>216.14256801573282</v>
      </c>
      <c r="AJ887" s="86">
        <f t="shared" si="121"/>
        <v>232.41136345777724</v>
      </c>
      <c r="AK887" s="86">
        <f t="shared" si="127"/>
        <v>0</v>
      </c>
      <c r="AL887" s="310" t="e">
        <f>+VLOOKUP(B887,#REF!,2,FALSE)</f>
        <v>#REF!</v>
      </c>
      <c r="AM887" s="311" t="e">
        <f t="shared" si="124"/>
        <v>#REF!</v>
      </c>
      <c r="AN887" s="312" t="e">
        <f t="shared" si="129"/>
        <v>#REF!</v>
      </c>
    </row>
    <row r="888" spans="1:40" s="73" customFormat="1" x14ac:dyDescent="0.25">
      <c r="A888" s="313"/>
      <c r="B888" s="332" t="s">
        <v>288</v>
      </c>
      <c r="D888" s="74">
        <f>IFERROR(VLOOKUP(B888,'REQ. PINTADO'!B:C,2,0),0)</f>
        <v>0</v>
      </c>
      <c r="E888" s="305">
        <f t="shared" si="114"/>
        <v>256.52309017507827</v>
      </c>
      <c r="F888" s="103" t="s">
        <v>164</v>
      </c>
      <c r="G888" s="75" t="s">
        <v>147</v>
      </c>
      <c r="H888" s="90">
        <v>4.58</v>
      </c>
      <c r="I888" s="90">
        <v>25.94</v>
      </c>
      <c r="J888" s="76">
        <v>0.105</v>
      </c>
      <c r="K888" s="306">
        <v>16.38</v>
      </c>
      <c r="L888" s="78">
        <f t="shared" si="115"/>
        <v>11.053368411680916</v>
      </c>
      <c r="M888" s="58">
        <f>+VLOOKUP(F888,Material!$H$2:$M$17,6,FALSE)*H888*I888*(1+Material!$K$14)</f>
        <v>82.297352083333351</v>
      </c>
      <c r="N888" s="79" t="str">
        <f t="shared" si="128"/>
        <v>T5.0</v>
      </c>
      <c r="O888" s="80">
        <f>+VLOOKUP(N888,[3]Material!$A$3:$B$58,2,FALSE)</f>
        <v>5000</v>
      </c>
      <c r="P888" s="79" t="s">
        <v>42</v>
      </c>
      <c r="Q888" s="79" t="str">
        <f>+VLOOKUP(F888,[3]Material!$C$2:$E$12,2,FALSE)</f>
        <v>Cal 10</v>
      </c>
      <c r="R888" s="81">
        <f>+IF(P888="ACERO A36",VLOOKUP(Q888,'[3]Velocidades Std 1500 w'!$B$2:$F$15,5,FALSE),IF(P888="INOXIDABLE",VLOOKUP(Q888,'[3]Velocidades Std 1500 w'!$B$17:$F$28,5,FALSE),IF(P888="ALUMINIO",VLOOKUP(Q888,'[3]Velocidades Std 1500 w'!$B$30:$F$38,5,FALSE))))</f>
        <v>6.1728395061728391E-6</v>
      </c>
      <c r="S888" s="82">
        <f t="shared" si="116"/>
        <v>3.0864197530864196E-2</v>
      </c>
      <c r="T888" s="83">
        <f t="shared" si="117"/>
        <v>50.400373333333334</v>
      </c>
      <c r="U888" s="307">
        <f t="shared" si="130"/>
        <v>2268.0168000000003</v>
      </c>
      <c r="V888" s="80">
        <f t="shared" si="122"/>
        <v>70.000518518518518</v>
      </c>
      <c r="W888" s="98">
        <v>16</v>
      </c>
      <c r="X888" s="84">
        <f>+IF(P888="ACERO A36",VLOOKUP(Q888,'[3]Tiempo Objeto'!$B$2:$C$12,2,FALSE),IF(P888="INOXIDABLE",VLOOKUP(Q888,'[3]Tiempo Objeto'!$B$14:$C$22,2,FALSE),IF(P888="ALUMINIO",VLOOKUP(Q888,'[3]Tiempo Objeto'!$B$24:$C$32,2,FALSE))))</f>
        <v>0.71333333333333337</v>
      </c>
      <c r="Y888" s="84">
        <f t="shared" si="118"/>
        <v>11.413333333333334</v>
      </c>
      <c r="Z888" s="80">
        <f t="shared" si="119"/>
        <v>15.851851851851853</v>
      </c>
      <c r="AA888" s="100">
        <v>2</v>
      </c>
      <c r="AB888" s="86">
        <f>+AA888*Analisis!$J$6</f>
        <v>50</v>
      </c>
      <c r="AC888" s="100"/>
      <c r="AD888" s="85">
        <f t="shared" si="120"/>
        <v>0</v>
      </c>
      <c r="AE888" s="86">
        <f>+AC888*Analisis!$J$7</f>
        <v>0</v>
      </c>
      <c r="AF888" s="308">
        <f>+H888*0.0254*I888*0.0254*2*(1+[3]Analisis!$G$2)</f>
        <v>0.19162090707999999</v>
      </c>
      <c r="AG888" s="86">
        <f>+AF888*Analisis!$J$8</f>
        <v>20.416751409119051</v>
      </c>
      <c r="AH888" s="309">
        <f t="shared" si="126"/>
        <v>238.56647386282276</v>
      </c>
      <c r="AI888" s="86">
        <f>+AH888/(1-Analisis!G893)</f>
        <v>238.56647386282276</v>
      </c>
      <c r="AJ888" s="86">
        <f t="shared" si="121"/>
        <v>256.52309017507827</v>
      </c>
      <c r="AK888" s="86">
        <f t="shared" si="127"/>
        <v>0</v>
      </c>
      <c r="AL888" s="310" t="e">
        <f>+VLOOKUP(B888,#REF!,2,FALSE)</f>
        <v>#REF!</v>
      </c>
      <c r="AM888" s="311" t="e">
        <f t="shared" si="124"/>
        <v>#REF!</v>
      </c>
      <c r="AN888" s="312" t="e">
        <f t="shared" si="129"/>
        <v>#REF!</v>
      </c>
    </row>
    <row r="889" spans="1:40" s="73" customFormat="1" x14ac:dyDescent="0.25">
      <c r="A889" s="313"/>
      <c r="B889" s="332" t="s">
        <v>289</v>
      </c>
      <c r="D889" s="74">
        <f>IFERROR(VLOOKUP(B889,'REQ. PINTADO'!B:C,2,0),0)</f>
        <v>0</v>
      </c>
      <c r="E889" s="305">
        <f t="shared" si="114"/>
        <v>280.63481689237932</v>
      </c>
      <c r="F889" s="103" t="s">
        <v>164</v>
      </c>
      <c r="G889" s="75" t="s">
        <v>147</v>
      </c>
      <c r="H889" s="90">
        <v>4.58</v>
      </c>
      <c r="I889" s="90">
        <v>29.94</v>
      </c>
      <c r="J889" s="76">
        <v>0.105</v>
      </c>
      <c r="K889" s="306">
        <v>16.38</v>
      </c>
      <c r="L889" s="78">
        <f t="shared" si="115"/>
        <v>12.757819978632483</v>
      </c>
      <c r="M889" s="58">
        <f>+VLOOKUP(F889,Material!$H$2:$M$17,6,FALSE)*H889*I889*(1+Material!$K$14)</f>
        <v>94.987768750000029</v>
      </c>
      <c r="N889" s="79" t="str">
        <f t="shared" si="128"/>
        <v>T5.0</v>
      </c>
      <c r="O889" s="80">
        <f>+VLOOKUP(N889,[3]Material!$A$3:$B$58,2,FALSE)</f>
        <v>5000</v>
      </c>
      <c r="P889" s="79" t="s">
        <v>42</v>
      </c>
      <c r="Q889" s="79" t="str">
        <f>+VLOOKUP(F889,[3]Material!$C$2:$E$12,2,FALSE)</f>
        <v>Cal 10</v>
      </c>
      <c r="R889" s="81">
        <f>+IF(P889="ACERO A36",VLOOKUP(Q889,'[3]Velocidades Std 1500 w'!$B$2:$F$15,5,FALSE),IF(P889="INOXIDABLE",VLOOKUP(Q889,'[3]Velocidades Std 1500 w'!$B$17:$F$28,5,FALSE),IF(P889="ALUMINIO",VLOOKUP(Q889,'[3]Velocidades Std 1500 w'!$B$30:$F$38,5,FALSE))))</f>
        <v>6.1728395061728391E-6</v>
      </c>
      <c r="S889" s="82">
        <f t="shared" si="116"/>
        <v>3.0864197530864196E-2</v>
      </c>
      <c r="T889" s="83">
        <f t="shared" si="117"/>
        <v>55.141706666666664</v>
      </c>
      <c r="U889" s="307">
        <f t="shared" si="130"/>
        <v>2481.3768</v>
      </c>
      <c r="V889" s="80">
        <f t="shared" si="122"/>
        <v>76.5857037037037</v>
      </c>
      <c r="W889" s="98">
        <v>16</v>
      </c>
      <c r="X889" s="84">
        <f>+IF(P889="ACERO A36",VLOOKUP(Q889,'[3]Tiempo Objeto'!$B$2:$C$12,2,FALSE),IF(P889="INOXIDABLE",VLOOKUP(Q889,'[3]Tiempo Objeto'!$B$14:$C$22,2,FALSE),IF(P889="ALUMINIO",VLOOKUP(Q889,'[3]Tiempo Objeto'!$B$24:$C$32,2,FALSE))))</f>
        <v>0.71333333333333337</v>
      </c>
      <c r="Y889" s="84">
        <f t="shared" si="118"/>
        <v>11.413333333333334</v>
      </c>
      <c r="Z889" s="80">
        <f t="shared" si="119"/>
        <v>15.851851851851853</v>
      </c>
      <c r="AA889" s="100">
        <v>2</v>
      </c>
      <c r="AB889" s="86">
        <f>+AA889*Analisis!$J$6</f>
        <v>50</v>
      </c>
      <c r="AC889" s="100"/>
      <c r="AD889" s="85">
        <f t="shared" si="120"/>
        <v>0</v>
      </c>
      <c r="AE889" s="86">
        <f>+AC889*Analisis!$J$7</f>
        <v>0</v>
      </c>
      <c r="AF889" s="308">
        <f>+H889*0.0254*I889*0.0254*2*(1+[3]Analisis!$G$2)</f>
        <v>0.22116923508</v>
      </c>
      <c r="AG889" s="86">
        <f>+AF889*Analisis!$J$8</f>
        <v>23.56505540435715</v>
      </c>
      <c r="AH889" s="309">
        <f t="shared" si="126"/>
        <v>260.99037970991276</v>
      </c>
      <c r="AI889" s="86">
        <f>+AH889/(1-Analisis!G894)</f>
        <v>260.99037970991276</v>
      </c>
      <c r="AJ889" s="86">
        <f t="shared" si="121"/>
        <v>280.63481689237932</v>
      </c>
      <c r="AK889" s="86">
        <f t="shared" si="127"/>
        <v>0</v>
      </c>
      <c r="AL889" s="310" t="e">
        <f>+VLOOKUP(B889,#REF!,2,FALSE)</f>
        <v>#REF!</v>
      </c>
      <c r="AM889" s="311" t="e">
        <f t="shared" si="124"/>
        <v>#REF!</v>
      </c>
      <c r="AN889" s="312" t="e">
        <f t="shared" si="129"/>
        <v>#REF!</v>
      </c>
    </row>
    <row r="890" spans="1:40" s="73" customFormat="1" x14ac:dyDescent="0.25">
      <c r="A890" s="313"/>
      <c r="B890" s="332" t="s">
        <v>290</v>
      </c>
      <c r="D890" s="74">
        <f>IFERROR(VLOOKUP(B890,'REQ. PINTADO'!B:C,2,0),0)</f>
        <v>0</v>
      </c>
      <c r="E890" s="305">
        <f t="shared" si="114"/>
        <v>292.69068025102985</v>
      </c>
      <c r="F890" s="103" t="s">
        <v>164</v>
      </c>
      <c r="G890" s="75" t="s">
        <v>147</v>
      </c>
      <c r="H890" s="90">
        <v>4.58</v>
      </c>
      <c r="I890" s="90">
        <v>31.94</v>
      </c>
      <c r="J890" s="76">
        <v>0.105</v>
      </c>
      <c r="K890" s="306">
        <v>16.38</v>
      </c>
      <c r="L890" s="78">
        <f t="shared" si="115"/>
        <v>13.610045762108268</v>
      </c>
      <c r="M890" s="58">
        <f>+VLOOKUP(F890,Material!$H$2:$M$17,6,FALSE)*H890*I890*(1+Material!$K$14)</f>
        <v>101.33297708333336</v>
      </c>
      <c r="N890" s="79" t="str">
        <f t="shared" si="128"/>
        <v>T5.0</v>
      </c>
      <c r="O890" s="80">
        <f>+VLOOKUP(N890,[3]Material!$A$3:$B$58,2,FALSE)</f>
        <v>5000</v>
      </c>
      <c r="P890" s="79" t="s">
        <v>42</v>
      </c>
      <c r="Q890" s="79" t="str">
        <f>+VLOOKUP(F890,[3]Material!$C$2:$E$12,2,FALSE)</f>
        <v>Cal 10</v>
      </c>
      <c r="R890" s="81">
        <f>+IF(P890="ACERO A36",VLOOKUP(Q890,'[3]Velocidades Std 1500 w'!$B$2:$F$15,5,FALSE),IF(P890="INOXIDABLE",VLOOKUP(Q890,'[3]Velocidades Std 1500 w'!$B$17:$F$28,5,FALSE),IF(P890="ALUMINIO",VLOOKUP(Q890,'[3]Velocidades Std 1500 w'!$B$30:$F$38,5,FALSE))))</f>
        <v>6.1728395061728391E-6</v>
      </c>
      <c r="S890" s="82">
        <f t="shared" si="116"/>
        <v>3.0864197530864196E-2</v>
      </c>
      <c r="T890" s="83">
        <f t="shared" si="117"/>
        <v>57.512373333333322</v>
      </c>
      <c r="U890" s="307">
        <f t="shared" si="130"/>
        <v>2588.0567999999998</v>
      </c>
      <c r="V890" s="80">
        <f t="shared" si="122"/>
        <v>79.878296296296284</v>
      </c>
      <c r="W890" s="98">
        <v>16</v>
      </c>
      <c r="X890" s="84">
        <f>+IF(P890="ACERO A36",VLOOKUP(Q890,'[3]Tiempo Objeto'!$B$2:$C$12,2,FALSE),IF(P890="INOXIDABLE",VLOOKUP(Q890,'[3]Tiempo Objeto'!$B$14:$C$22,2,FALSE),IF(P890="ALUMINIO",VLOOKUP(Q890,'[3]Tiempo Objeto'!$B$24:$C$32,2,FALSE))))</f>
        <v>0.71333333333333337</v>
      </c>
      <c r="Y890" s="84">
        <f t="shared" si="118"/>
        <v>11.413333333333334</v>
      </c>
      <c r="Z890" s="80">
        <f t="shared" si="119"/>
        <v>15.851851851851853</v>
      </c>
      <c r="AA890" s="100">
        <v>2</v>
      </c>
      <c r="AB890" s="86">
        <f>+AA890*Analisis!$J$6</f>
        <v>50</v>
      </c>
      <c r="AC890" s="100"/>
      <c r="AD890" s="85">
        <f t="shared" si="120"/>
        <v>0</v>
      </c>
      <c r="AE890" s="86">
        <f>+AC890*Analisis!$J$7</f>
        <v>0</v>
      </c>
      <c r="AF890" s="308">
        <f>+H890*0.0254*I890*0.0254*2*(1+[3]Analisis!$G$2)</f>
        <v>0.23594339907999998</v>
      </c>
      <c r="AG890" s="86">
        <f>+AF890*Analisis!$J$8</f>
        <v>25.139207401976197</v>
      </c>
      <c r="AH890" s="309">
        <f t="shared" si="126"/>
        <v>272.20233263345773</v>
      </c>
      <c r="AI890" s="86">
        <f>+AH890/(1-Analisis!G895)</f>
        <v>272.20233263345773</v>
      </c>
      <c r="AJ890" s="86">
        <f t="shared" si="121"/>
        <v>292.69068025102985</v>
      </c>
      <c r="AK890" s="86">
        <f t="shared" si="127"/>
        <v>0</v>
      </c>
      <c r="AL890" s="310" t="e">
        <f>+VLOOKUP(B890,#REF!,2,FALSE)</f>
        <v>#REF!</v>
      </c>
      <c r="AM890" s="311" t="e">
        <f t="shared" si="124"/>
        <v>#REF!</v>
      </c>
      <c r="AN890" s="312" t="e">
        <f t="shared" si="129"/>
        <v>#REF!</v>
      </c>
    </row>
    <row r="891" spans="1:40" s="73" customFormat="1" x14ac:dyDescent="0.25">
      <c r="A891" s="313"/>
      <c r="B891" s="332" t="s">
        <v>291</v>
      </c>
      <c r="D891" s="74">
        <f>IFERROR(VLOOKUP(B891,'REQ. PINTADO'!B:C,2,0),0)</f>
        <v>0</v>
      </c>
      <c r="E891" s="305">
        <f t="shared" si="114"/>
        <v>316.80240696833079</v>
      </c>
      <c r="F891" s="103" t="s">
        <v>164</v>
      </c>
      <c r="G891" s="75" t="s">
        <v>147</v>
      </c>
      <c r="H891" s="90">
        <v>4.58</v>
      </c>
      <c r="I891" s="90">
        <v>35.94</v>
      </c>
      <c r="J891" s="76">
        <v>0.105</v>
      </c>
      <c r="K891" s="306">
        <v>16.38</v>
      </c>
      <c r="L891" s="78">
        <f t="shared" si="115"/>
        <v>15.314497329059833</v>
      </c>
      <c r="M891" s="58">
        <f>+VLOOKUP(F891,Material!$H$2:$M$17,6,FALSE)*H891*I891*(1+Material!$K$14)</f>
        <v>114.02339375000001</v>
      </c>
      <c r="N891" s="79" t="str">
        <f t="shared" si="128"/>
        <v>T5.0</v>
      </c>
      <c r="O891" s="80">
        <f>+VLOOKUP(N891,[3]Material!$A$3:$B$58,2,FALSE)</f>
        <v>5000</v>
      </c>
      <c r="P891" s="79" t="s">
        <v>42</v>
      </c>
      <c r="Q891" s="79" t="str">
        <f>+VLOOKUP(F891,[3]Material!$C$2:$E$12,2,FALSE)</f>
        <v>Cal 10</v>
      </c>
      <c r="R891" s="81">
        <f>+IF(P891="ACERO A36",VLOOKUP(Q891,'[3]Velocidades Std 1500 w'!$B$2:$F$15,5,FALSE),IF(P891="INOXIDABLE",VLOOKUP(Q891,'[3]Velocidades Std 1500 w'!$B$17:$F$28,5,FALSE),IF(P891="ALUMINIO",VLOOKUP(Q891,'[3]Velocidades Std 1500 w'!$B$30:$F$38,5,FALSE))))</f>
        <v>6.1728395061728391E-6</v>
      </c>
      <c r="S891" s="82">
        <f t="shared" si="116"/>
        <v>3.0864197530864196E-2</v>
      </c>
      <c r="T891" s="83">
        <f t="shared" si="117"/>
        <v>62.253706666666652</v>
      </c>
      <c r="U891" s="307">
        <f t="shared" si="130"/>
        <v>2801.4167999999995</v>
      </c>
      <c r="V891" s="80">
        <f t="shared" si="122"/>
        <v>86.463481481481466</v>
      </c>
      <c r="W891" s="98">
        <v>16</v>
      </c>
      <c r="X891" s="84">
        <f>+IF(P891="ACERO A36",VLOOKUP(Q891,'[3]Tiempo Objeto'!$B$2:$C$12,2,FALSE),IF(P891="INOXIDABLE",VLOOKUP(Q891,'[3]Tiempo Objeto'!$B$14:$C$22,2,FALSE),IF(P891="ALUMINIO",VLOOKUP(Q891,'[3]Tiempo Objeto'!$B$24:$C$32,2,FALSE))))</f>
        <v>0.71333333333333337</v>
      </c>
      <c r="Y891" s="84">
        <f t="shared" si="118"/>
        <v>11.413333333333334</v>
      </c>
      <c r="Z891" s="80">
        <f t="shared" si="119"/>
        <v>15.851851851851853</v>
      </c>
      <c r="AA891" s="100">
        <v>2</v>
      </c>
      <c r="AB891" s="86">
        <f>+AA891*Analisis!$J$6</f>
        <v>50</v>
      </c>
      <c r="AC891" s="100"/>
      <c r="AD891" s="85">
        <f t="shared" si="120"/>
        <v>0</v>
      </c>
      <c r="AE891" s="86">
        <f>+AC891*Analisis!$J$7</f>
        <v>0</v>
      </c>
      <c r="AF891" s="308">
        <f>+H891*0.0254*I891*0.0254*2*(1+[3]Analisis!$G$2)</f>
        <v>0.26549172707999996</v>
      </c>
      <c r="AG891" s="86">
        <f>+AF891*Analisis!$J$8</f>
        <v>28.287511397214288</v>
      </c>
      <c r="AH891" s="309">
        <f t="shared" si="126"/>
        <v>294.62623848054761</v>
      </c>
      <c r="AI891" s="86">
        <f>+AH891/(1-Analisis!G896)</f>
        <v>294.62623848054761</v>
      </c>
      <c r="AJ891" s="86">
        <f t="shared" si="121"/>
        <v>316.80240696833079</v>
      </c>
      <c r="AK891" s="86">
        <f t="shared" si="127"/>
        <v>0</v>
      </c>
      <c r="AL891" s="310" t="e">
        <f>+VLOOKUP(B891,#REF!,2,FALSE)</f>
        <v>#REF!</v>
      </c>
      <c r="AM891" s="311" t="e">
        <f t="shared" si="124"/>
        <v>#REF!</v>
      </c>
      <c r="AN891" s="312" t="e">
        <f t="shared" si="129"/>
        <v>#REF!</v>
      </c>
    </row>
    <row r="892" spans="1:40" s="73" customFormat="1" x14ac:dyDescent="0.25">
      <c r="A892" s="313"/>
      <c r="B892" s="332" t="s">
        <v>292</v>
      </c>
      <c r="D892" s="74">
        <f>IFERROR(VLOOKUP(B892,'REQ. PINTADO'!B:C,2,0),0)</f>
        <v>0</v>
      </c>
      <c r="E892" s="305">
        <f t="shared" si="114"/>
        <v>340.91413368563184</v>
      </c>
      <c r="F892" s="103" t="s">
        <v>164</v>
      </c>
      <c r="G892" s="75" t="s">
        <v>147</v>
      </c>
      <c r="H892" s="90">
        <v>4.58</v>
      </c>
      <c r="I892" s="90">
        <v>39.94</v>
      </c>
      <c r="J892" s="76">
        <v>0.105</v>
      </c>
      <c r="K892" s="306">
        <v>16.38</v>
      </c>
      <c r="L892" s="78">
        <f t="shared" si="115"/>
        <v>17.018948896011402</v>
      </c>
      <c r="M892" s="58">
        <f>+VLOOKUP(F892,Material!$H$2:$M$17,6,FALSE)*H892*I892*(1+Material!$K$14)</f>
        <v>126.71381041666669</v>
      </c>
      <c r="N892" s="79" t="str">
        <f t="shared" si="128"/>
        <v>T5.0</v>
      </c>
      <c r="O892" s="80">
        <f>+VLOOKUP(N892,[3]Material!$A$3:$B$58,2,FALSE)</f>
        <v>5000</v>
      </c>
      <c r="P892" s="79" t="s">
        <v>42</v>
      </c>
      <c r="Q892" s="79" t="str">
        <f>+VLOOKUP(F892,[3]Material!$C$2:$E$12,2,FALSE)</f>
        <v>Cal 10</v>
      </c>
      <c r="R892" s="81">
        <f>+IF(P892="ACERO A36",VLOOKUP(Q892,'[3]Velocidades Std 1500 w'!$B$2:$F$15,5,FALSE),IF(P892="INOXIDABLE",VLOOKUP(Q892,'[3]Velocidades Std 1500 w'!$B$17:$F$28,5,FALSE),IF(P892="ALUMINIO",VLOOKUP(Q892,'[3]Velocidades Std 1500 w'!$B$30:$F$38,5,FALSE))))</f>
        <v>6.1728395061728391E-6</v>
      </c>
      <c r="S892" s="82">
        <f t="shared" si="116"/>
        <v>3.0864197530864196E-2</v>
      </c>
      <c r="T892" s="83">
        <f t="shared" si="117"/>
        <v>66.995039999999989</v>
      </c>
      <c r="U892" s="307">
        <f t="shared" si="130"/>
        <v>3014.7767999999996</v>
      </c>
      <c r="V892" s="80">
        <f t="shared" si="122"/>
        <v>93.048666666666648</v>
      </c>
      <c r="W892" s="98">
        <v>16</v>
      </c>
      <c r="X892" s="84">
        <f>+IF(P892="ACERO A36",VLOOKUP(Q892,'[3]Tiempo Objeto'!$B$2:$C$12,2,FALSE),IF(P892="INOXIDABLE",VLOOKUP(Q892,'[3]Tiempo Objeto'!$B$14:$C$22,2,FALSE),IF(P892="ALUMINIO",VLOOKUP(Q892,'[3]Tiempo Objeto'!$B$24:$C$32,2,FALSE))))</f>
        <v>0.71333333333333337</v>
      </c>
      <c r="Y892" s="84">
        <f t="shared" si="118"/>
        <v>11.413333333333334</v>
      </c>
      <c r="Z892" s="80">
        <f t="shared" si="119"/>
        <v>15.851851851851853</v>
      </c>
      <c r="AA892" s="100">
        <v>2</v>
      </c>
      <c r="AB892" s="86">
        <f>+AA892*Analisis!$J$6</f>
        <v>50</v>
      </c>
      <c r="AC892" s="100"/>
      <c r="AD892" s="85">
        <f t="shared" si="120"/>
        <v>0</v>
      </c>
      <c r="AE892" s="86">
        <f>+AC892*Analisis!$J$7</f>
        <v>0</v>
      </c>
      <c r="AF892" s="308">
        <f>+H892*0.0254*I892*0.0254*2*(1+[3]Analisis!$G$2)</f>
        <v>0.29504005507999997</v>
      </c>
      <c r="AG892" s="86">
        <f>+AF892*Analisis!$J$8</f>
        <v>31.435815392452387</v>
      </c>
      <c r="AH892" s="309">
        <f t="shared" si="126"/>
        <v>317.05014432763761</v>
      </c>
      <c r="AI892" s="86">
        <f>+AH892/(1-Analisis!G897)</f>
        <v>317.05014432763761</v>
      </c>
      <c r="AJ892" s="86">
        <f t="shared" si="121"/>
        <v>340.91413368563184</v>
      </c>
      <c r="AK892" s="86">
        <f t="shared" si="127"/>
        <v>0</v>
      </c>
      <c r="AL892" s="310" t="e">
        <f>+VLOOKUP(B892,#REF!,2,FALSE)</f>
        <v>#REF!</v>
      </c>
      <c r="AM892" s="311" t="e">
        <f t="shared" si="124"/>
        <v>#REF!</v>
      </c>
      <c r="AN892" s="312" t="e">
        <f t="shared" si="129"/>
        <v>#REF!</v>
      </c>
    </row>
    <row r="893" spans="1:40" s="73" customFormat="1" x14ac:dyDescent="0.25">
      <c r="A893" s="313"/>
      <c r="B893" s="332" t="s">
        <v>293</v>
      </c>
      <c r="D893" s="74">
        <f>IFERROR(VLOOKUP(B893,'REQ. PINTADO'!B:C,2,0),0)</f>
        <v>0</v>
      </c>
      <c r="E893" s="305">
        <f t="shared" si="114"/>
        <v>328.85827032698131</v>
      </c>
      <c r="F893" s="103" t="s">
        <v>164</v>
      </c>
      <c r="G893" s="75" t="s">
        <v>147</v>
      </c>
      <c r="H893" s="90">
        <v>4.58</v>
      </c>
      <c r="I893" s="90">
        <v>37.94</v>
      </c>
      <c r="J893" s="76">
        <v>0.105</v>
      </c>
      <c r="K893" s="306">
        <v>16.38</v>
      </c>
      <c r="L893" s="78">
        <f t="shared" si="115"/>
        <v>16.166723112535617</v>
      </c>
      <c r="M893" s="58">
        <f>+VLOOKUP(F893,Material!$H$2:$M$17,6,FALSE)*H893*I893*(1+Material!$K$14)</f>
        <v>120.36860208333336</v>
      </c>
      <c r="N893" s="79" t="str">
        <f t="shared" si="128"/>
        <v>T5.0</v>
      </c>
      <c r="O893" s="80">
        <f>+VLOOKUP(N893,[3]Material!$A$3:$B$58,2,FALSE)</f>
        <v>5000</v>
      </c>
      <c r="P893" s="79" t="s">
        <v>42</v>
      </c>
      <c r="Q893" s="79" t="str">
        <f>+VLOOKUP(F893,[3]Material!$C$2:$E$12,2,FALSE)</f>
        <v>Cal 10</v>
      </c>
      <c r="R893" s="81">
        <f>+IF(P893="ACERO A36",VLOOKUP(Q893,'[3]Velocidades Std 1500 w'!$B$2:$F$15,5,FALSE),IF(P893="INOXIDABLE",VLOOKUP(Q893,'[3]Velocidades Std 1500 w'!$B$17:$F$28,5,FALSE),IF(P893="ALUMINIO",VLOOKUP(Q893,'[3]Velocidades Std 1500 w'!$B$30:$F$38,5,FALSE))))</f>
        <v>6.1728395061728391E-6</v>
      </c>
      <c r="S893" s="82">
        <f t="shared" si="116"/>
        <v>3.0864197530864196E-2</v>
      </c>
      <c r="T893" s="83">
        <f t="shared" si="117"/>
        <v>64.624373333333324</v>
      </c>
      <c r="U893" s="307">
        <f t="shared" si="130"/>
        <v>2908.0967999999998</v>
      </c>
      <c r="V893" s="80">
        <f t="shared" si="122"/>
        <v>89.756074074074064</v>
      </c>
      <c r="W893" s="98">
        <v>16</v>
      </c>
      <c r="X893" s="84">
        <f>+IF(P893="ACERO A36",VLOOKUP(Q893,'[3]Tiempo Objeto'!$B$2:$C$12,2,FALSE),IF(P893="INOXIDABLE",VLOOKUP(Q893,'[3]Tiempo Objeto'!$B$14:$C$22,2,FALSE),IF(P893="ALUMINIO",VLOOKUP(Q893,'[3]Tiempo Objeto'!$B$24:$C$32,2,FALSE))))</f>
        <v>0.71333333333333337</v>
      </c>
      <c r="Y893" s="84">
        <f t="shared" si="118"/>
        <v>11.413333333333334</v>
      </c>
      <c r="Z893" s="80">
        <f t="shared" si="119"/>
        <v>15.851851851851853</v>
      </c>
      <c r="AA893" s="100">
        <v>2</v>
      </c>
      <c r="AB893" s="86">
        <f>+AA893*Analisis!$J$6</f>
        <v>50</v>
      </c>
      <c r="AC893" s="100"/>
      <c r="AD893" s="85">
        <f t="shared" si="120"/>
        <v>0</v>
      </c>
      <c r="AE893" s="86">
        <f>+AC893*Analisis!$J$7</f>
        <v>0</v>
      </c>
      <c r="AF893" s="308">
        <f>+H893*0.0254*I893*0.0254*2*(1+[3]Analisis!$G$2)</f>
        <v>0.28026589107999994</v>
      </c>
      <c r="AG893" s="86">
        <f>+AF893*Analisis!$J$8</f>
        <v>29.861663394833336</v>
      </c>
      <c r="AH893" s="309">
        <f t="shared" si="126"/>
        <v>305.83819140409258</v>
      </c>
      <c r="AI893" s="86">
        <f>+AH893/(1-Analisis!G898)</f>
        <v>305.83819140409258</v>
      </c>
      <c r="AJ893" s="86">
        <f t="shared" si="121"/>
        <v>328.85827032698131</v>
      </c>
      <c r="AK893" s="86">
        <f t="shared" si="127"/>
        <v>0</v>
      </c>
      <c r="AL893" s="310" t="e">
        <f>+VLOOKUP(B893,#REF!,2,FALSE)</f>
        <v>#REF!</v>
      </c>
      <c r="AM893" s="311" t="e">
        <f t="shared" si="124"/>
        <v>#REF!</v>
      </c>
      <c r="AN893" s="312" t="e">
        <f t="shared" si="129"/>
        <v>#REF!</v>
      </c>
    </row>
    <row r="894" spans="1:40" s="73" customFormat="1" x14ac:dyDescent="0.25">
      <c r="A894" s="313"/>
      <c r="B894" s="332" t="s">
        <v>294</v>
      </c>
      <c r="D894" s="74">
        <f>IFERROR(VLOOKUP(B894,'REQ. PINTADO'!B:C,2,0),0)</f>
        <v>0</v>
      </c>
      <c r="E894" s="305">
        <f t="shared" si="114"/>
        <v>352.96999704428231</v>
      </c>
      <c r="F894" s="103" t="s">
        <v>164</v>
      </c>
      <c r="G894" s="75" t="s">
        <v>147</v>
      </c>
      <c r="H894" s="90">
        <v>4.58</v>
      </c>
      <c r="I894" s="90">
        <v>41.94</v>
      </c>
      <c r="J894" s="76">
        <v>0.105</v>
      </c>
      <c r="K894" s="306">
        <v>16.38</v>
      </c>
      <c r="L894" s="78">
        <f t="shared" si="115"/>
        <v>17.871174679487183</v>
      </c>
      <c r="M894" s="58">
        <f>+VLOOKUP(F894,Material!$H$2:$M$17,6,FALSE)*H894*I894*(1+Material!$K$14)</f>
        <v>133.05901875000001</v>
      </c>
      <c r="N894" s="79" t="str">
        <f t="shared" si="128"/>
        <v>T5.0</v>
      </c>
      <c r="O894" s="80">
        <f>+VLOOKUP(N894,[3]Material!$A$3:$B$58,2,FALSE)</f>
        <v>5000</v>
      </c>
      <c r="P894" s="79" t="s">
        <v>42</v>
      </c>
      <c r="Q894" s="79" t="str">
        <f>+VLOOKUP(F894,[3]Material!$C$2:$E$12,2,FALSE)</f>
        <v>Cal 10</v>
      </c>
      <c r="R894" s="81">
        <f>+IF(P894="ACERO A36",VLOOKUP(Q894,'[3]Velocidades Std 1500 w'!$B$2:$F$15,5,FALSE),IF(P894="INOXIDABLE",VLOOKUP(Q894,'[3]Velocidades Std 1500 w'!$B$17:$F$28,5,FALSE),IF(P894="ALUMINIO",VLOOKUP(Q894,'[3]Velocidades Std 1500 w'!$B$30:$F$38,5,FALSE))))</f>
        <v>6.1728395061728391E-6</v>
      </c>
      <c r="S894" s="82">
        <f t="shared" si="116"/>
        <v>3.0864197530864196E-2</v>
      </c>
      <c r="T894" s="83">
        <f t="shared" si="117"/>
        <v>69.365706666666654</v>
      </c>
      <c r="U894" s="307">
        <f t="shared" si="130"/>
        <v>3121.4567999999999</v>
      </c>
      <c r="V894" s="80">
        <f t="shared" si="122"/>
        <v>96.341259259259246</v>
      </c>
      <c r="W894" s="98">
        <v>16</v>
      </c>
      <c r="X894" s="84">
        <f>+IF(P894="ACERO A36",VLOOKUP(Q894,'[3]Tiempo Objeto'!$B$2:$C$12,2,FALSE),IF(P894="INOXIDABLE",VLOOKUP(Q894,'[3]Tiempo Objeto'!$B$14:$C$22,2,FALSE),IF(P894="ALUMINIO",VLOOKUP(Q894,'[3]Tiempo Objeto'!$B$24:$C$32,2,FALSE))))</f>
        <v>0.71333333333333337</v>
      </c>
      <c r="Y894" s="84">
        <f t="shared" si="118"/>
        <v>11.413333333333334</v>
      </c>
      <c r="Z894" s="80">
        <f t="shared" si="119"/>
        <v>15.851851851851853</v>
      </c>
      <c r="AA894" s="100">
        <v>2</v>
      </c>
      <c r="AB894" s="86">
        <f>+AA894*Analisis!$J$6</f>
        <v>50</v>
      </c>
      <c r="AC894" s="100"/>
      <c r="AD894" s="85">
        <f t="shared" si="120"/>
        <v>0</v>
      </c>
      <c r="AE894" s="86">
        <f>+AC894*Analisis!$J$7</f>
        <v>0</v>
      </c>
      <c r="AF894" s="308">
        <f>+H894*0.0254*I894*0.0254*2*(1+[3]Analisis!$G$2)</f>
        <v>0.30981421907999995</v>
      </c>
      <c r="AG894" s="86">
        <f>+AF894*Analisis!$J$8</f>
        <v>33.009967390071431</v>
      </c>
      <c r="AH894" s="309">
        <f t="shared" si="126"/>
        <v>328.26209725118252</v>
      </c>
      <c r="AI894" s="86">
        <f>+AH894/(1-Analisis!G899)</f>
        <v>328.26209725118252</v>
      </c>
      <c r="AJ894" s="86">
        <f t="shared" si="121"/>
        <v>352.96999704428231</v>
      </c>
      <c r="AK894" s="86">
        <f t="shared" si="127"/>
        <v>0</v>
      </c>
      <c r="AL894" s="310" t="e">
        <f>+VLOOKUP(B894,#REF!,2,FALSE)</f>
        <v>#REF!</v>
      </c>
      <c r="AM894" s="311" t="e">
        <f t="shared" si="124"/>
        <v>#REF!</v>
      </c>
      <c r="AN894" s="312" t="e">
        <f t="shared" si="129"/>
        <v>#REF!</v>
      </c>
    </row>
    <row r="895" spans="1:40" s="73" customFormat="1" x14ac:dyDescent="0.25">
      <c r="A895" s="313"/>
      <c r="B895" s="332" t="s">
        <v>295</v>
      </c>
      <c r="D895" s="74">
        <f>IFERROR(VLOOKUP(B895,'REQ. PINTADO'!B:C,2,0),0)</f>
        <v>0</v>
      </c>
      <c r="E895" s="305">
        <f t="shared" si="114"/>
        <v>377.08172376158331</v>
      </c>
      <c r="F895" s="103" t="s">
        <v>164</v>
      </c>
      <c r="G895" s="75" t="s">
        <v>147</v>
      </c>
      <c r="H895" s="90">
        <v>4.58</v>
      </c>
      <c r="I895" s="90">
        <v>45.94</v>
      </c>
      <c r="J895" s="76">
        <v>0.105</v>
      </c>
      <c r="K895" s="306">
        <v>16.38</v>
      </c>
      <c r="L895" s="78">
        <f t="shared" si="115"/>
        <v>19.575626246438748</v>
      </c>
      <c r="M895" s="58">
        <f>+VLOOKUP(F895,Material!$H$2:$M$17,6,FALSE)*H895*I895*(1+Material!$K$14)</f>
        <v>145.74943541666667</v>
      </c>
      <c r="N895" s="79" t="str">
        <f t="shared" si="128"/>
        <v>T5.0</v>
      </c>
      <c r="O895" s="80">
        <f>+VLOOKUP(N895,[3]Material!$A$3:$B$58,2,FALSE)</f>
        <v>5000</v>
      </c>
      <c r="P895" s="79" t="s">
        <v>42</v>
      </c>
      <c r="Q895" s="79" t="str">
        <f>+VLOOKUP(F895,[3]Material!$C$2:$E$12,2,FALSE)</f>
        <v>Cal 10</v>
      </c>
      <c r="R895" s="81">
        <f>+IF(P895="ACERO A36",VLOOKUP(Q895,'[3]Velocidades Std 1500 w'!$B$2:$F$15,5,FALSE),IF(P895="INOXIDABLE",VLOOKUP(Q895,'[3]Velocidades Std 1500 w'!$B$17:$F$28,5,FALSE),IF(P895="ALUMINIO",VLOOKUP(Q895,'[3]Velocidades Std 1500 w'!$B$30:$F$38,5,FALSE))))</f>
        <v>6.1728395061728391E-6</v>
      </c>
      <c r="S895" s="82">
        <f t="shared" si="116"/>
        <v>3.0864197530864196E-2</v>
      </c>
      <c r="T895" s="83">
        <f t="shared" si="117"/>
        <v>74.107039999999984</v>
      </c>
      <c r="U895" s="307">
        <f t="shared" si="130"/>
        <v>3334.8167999999996</v>
      </c>
      <c r="V895" s="80">
        <f t="shared" si="122"/>
        <v>102.92644444444443</v>
      </c>
      <c r="W895" s="98">
        <v>16</v>
      </c>
      <c r="X895" s="84">
        <f>+IF(P895="ACERO A36",VLOOKUP(Q895,'[3]Tiempo Objeto'!$B$2:$C$12,2,FALSE),IF(P895="INOXIDABLE",VLOOKUP(Q895,'[3]Tiempo Objeto'!$B$14:$C$22,2,FALSE),IF(P895="ALUMINIO",VLOOKUP(Q895,'[3]Tiempo Objeto'!$B$24:$C$32,2,FALSE))))</f>
        <v>0.71333333333333337</v>
      </c>
      <c r="Y895" s="84">
        <f t="shared" si="118"/>
        <v>11.413333333333334</v>
      </c>
      <c r="Z895" s="80">
        <f t="shared" si="119"/>
        <v>15.851851851851853</v>
      </c>
      <c r="AA895" s="100">
        <v>2</v>
      </c>
      <c r="AB895" s="86">
        <f>+AA895*Analisis!$J$6</f>
        <v>50</v>
      </c>
      <c r="AC895" s="100"/>
      <c r="AD895" s="85">
        <f t="shared" si="120"/>
        <v>0</v>
      </c>
      <c r="AE895" s="86">
        <f>+AC895*Analisis!$J$7</f>
        <v>0</v>
      </c>
      <c r="AF895" s="308">
        <f>+H895*0.0254*I895*0.0254*2*(1+[3]Analisis!$G$2)</f>
        <v>0.33936254707999991</v>
      </c>
      <c r="AG895" s="86">
        <f>+AF895*Analisis!$J$8</f>
        <v>36.158271385309526</v>
      </c>
      <c r="AH895" s="309">
        <f t="shared" si="126"/>
        <v>350.68600309827247</v>
      </c>
      <c r="AI895" s="86">
        <f>+AH895/(1-Analisis!G900)</f>
        <v>350.68600309827247</v>
      </c>
      <c r="AJ895" s="86">
        <f t="shared" si="121"/>
        <v>377.08172376158331</v>
      </c>
      <c r="AK895" s="86">
        <f t="shared" si="127"/>
        <v>0</v>
      </c>
      <c r="AL895" s="310" t="e">
        <f>+VLOOKUP(B895,#REF!,2,FALSE)</f>
        <v>#REF!</v>
      </c>
      <c r="AM895" s="311" t="e">
        <f t="shared" si="124"/>
        <v>#REF!</v>
      </c>
      <c r="AN895" s="312" t="e">
        <f t="shared" si="129"/>
        <v>#REF!</v>
      </c>
    </row>
    <row r="896" spans="1:40" s="73" customFormat="1" x14ac:dyDescent="0.25">
      <c r="A896" s="313"/>
      <c r="B896" s="332" t="s">
        <v>269</v>
      </c>
      <c r="D896" s="74">
        <f>IFERROR(VLOOKUP(B896,'REQ. PINTADO'!B:C,2,0),0)</f>
        <v>0</v>
      </c>
      <c r="E896" s="305">
        <f t="shared" si="114"/>
        <v>262.55762138610407</v>
      </c>
      <c r="F896" s="103" t="s">
        <v>164</v>
      </c>
      <c r="G896" s="75" t="s">
        <v>147</v>
      </c>
      <c r="H896" s="90">
        <v>5.94</v>
      </c>
      <c r="I896" s="90">
        <v>21.94</v>
      </c>
      <c r="J896" s="76">
        <v>0.105</v>
      </c>
      <c r="K896" s="306">
        <v>16.38</v>
      </c>
      <c r="L896" s="78">
        <f t="shared" si="115"/>
        <v>12.125014423076928</v>
      </c>
      <c r="M896" s="58">
        <f>+VLOOKUP(F896,Material!$H$2:$M$17,6,FALSE)*H896*I896*(1+Material!$K$14)</f>
        <v>90.27624375000002</v>
      </c>
      <c r="N896" s="79" t="str">
        <f t="shared" si="128"/>
        <v>T5.0</v>
      </c>
      <c r="O896" s="80">
        <f>+VLOOKUP(N896,[3]Material!$A$3:$B$58,2,FALSE)</f>
        <v>5000</v>
      </c>
      <c r="P896" s="79" t="s">
        <v>42</v>
      </c>
      <c r="Q896" s="79" t="str">
        <f>+VLOOKUP(F896,[3]Material!$C$2:$E$12,2,FALSE)</f>
        <v>Cal 10</v>
      </c>
      <c r="R896" s="81">
        <f>+IF(P896="ACERO A36",VLOOKUP(Q896,'[3]Velocidades Std 1500 w'!$B$2:$F$15,5,FALSE),IF(P896="INOXIDABLE",VLOOKUP(Q896,'[3]Velocidades Std 1500 w'!$B$17:$F$28,5,FALSE),IF(P896="ALUMINIO",VLOOKUP(Q896,'[3]Velocidades Std 1500 w'!$B$30:$F$38,5,FALSE))))</f>
        <v>6.1728395061728391E-6</v>
      </c>
      <c r="S896" s="82">
        <f t="shared" si="116"/>
        <v>3.0864197530864196E-2</v>
      </c>
      <c r="T896" s="83">
        <f t="shared" si="117"/>
        <v>47.271093333333326</v>
      </c>
      <c r="U896" s="307">
        <f t="shared" si="130"/>
        <v>2127.1992</v>
      </c>
      <c r="V896" s="80">
        <f t="shared" si="122"/>
        <v>65.654296296296295</v>
      </c>
      <c r="W896" s="98">
        <v>16</v>
      </c>
      <c r="X896" s="84">
        <f>+IF(P896="ACERO A36",VLOOKUP(Q896,'[3]Tiempo Objeto'!$B$2:$C$12,2,FALSE),IF(P896="INOXIDABLE",VLOOKUP(Q896,'[3]Tiempo Objeto'!$B$14:$C$22,2,FALSE),IF(P896="ALUMINIO",VLOOKUP(Q896,'[3]Tiempo Objeto'!$B$24:$C$32,2,FALSE))))</f>
        <v>0.71333333333333337</v>
      </c>
      <c r="Y896" s="84">
        <f t="shared" si="118"/>
        <v>11.413333333333334</v>
      </c>
      <c r="Z896" s="80">
        <f t="shared" si="119"/>
        <v>15.851851851851853</v>
      </c>
      <c r="AA896" s="100">
        <v>2</v>
      </c>
      <c r="AB896" s="86">
        <f>+AA896*Analisis!$J$6</f>
        <v>50</v>
      </c>
      <c r="AC896" s="100"/>
      <c r="AD896" s="85">
        <f t="shared" si="120"/>
        <v>0</v>
      </c>
      <c r="AE896" s="86">
        <f>+AC896*Analisis!$J$7</f>
        <v>0</v>
      </c>
      <c r="AF896" s="308">
        <f>+H896*0.0254*I896*0.0254*2*(1+[3]Analisis!$G$2)</f>
        <v>0.21019893444000001</v>
      </c>
      <c r="AG896" s="86">
        <f>+AF896*Analisis!$J$8</f>
        <v>22.396195990928579</v>
      </c>
      <c r="AH896" s="309">
        <f t="shared" si="126"/>
        <v>244.17858788907677</v>
      </c>
      <c r="AI896" s="86">
        <f>+AH896/(1-Analisis!G901)</f>
        <v>244.17858788907677</v>
      </c>
      <c r="AJ896" s="86">
        <f t="shared" si="121"/>
        <v>262.55762138610407</v>
      </c>
      <c r="AK896" s="86">
        <f t="shared" si="127"/>
        <v>0</v>
      </c>
      <c r="AL896" s="310" t="e">
        <f>+VLOOKUP(B896,#REF!,2,FALSE)</f>
        <v>#REF!</v>
      </c>
      <c r="AM896" s="311" t="e">
        <f t="shared" si="124"/>
        <v>#REF!</v>
      </c>
      <c r="AN896" s="312" t="e">
        <f t="shared" si="129"/>
        <v>#REF!</v>
      </c>
    </row>
    <row r="897" spans="1:40" s="73" customFormat="1" x14ac:dyDescent="0.25">
      <c r="A897" s="313"/>
      <c r="B897" s="332" t="s">
        <v>296</v>
      </c>
      <c r="D897" s="74">
        <f>IFERROR(VLOOKUP(B897,'REQ. PINTADO'!B:C,2,0),0)</f>
        <v>0</v>
      </c>
      <c r="E897" s="305">
        <f t="shared" si="114"/>
        <v>291.72655336710193</v>
      </c>
      <c r="F897" s="103" t="s">
        <v>164</v>
      </c>
      <c r="G897" s="75" t="s">
        <v>147</v>
      </c>
      <c r="H897" s="90">
        <v>5.94</v>
      </c>
      <c r="I897" s="90">
        <v>25.94</v>
      </c>
      <c r="J897" s="76">
        <v>0.105</v>
      </c>
      <c r="K897" s="306">
        <v>16.38</v>
      </c>
      <c r="L897" s="78">
        <f t="shared" si="115"/>
        <v>14.335591346153851</v>
      </c>
      <c r="M897" s="58">
        <f>+VLOOKUP(F897,Material!$H$2:$M$17,6,FALSE)*H897*I897*(1+Material!$K$14)</f>
        <v>106.73499375000003</v>
      </c>
      <c r="N897" s="79" t="str">
        <f t="shared" si="128"/>
        <v>T5.0</v>
      </c>
      <c r="O897" s="80">
        <f>+VLOOKUP(N897,[3]Material!$A$3:$B$58,2,FALSE)</f>
        <v>5000</v>
      </c>
      <c r="P897" s="79" t="s">
        <v>42</v>
      </c>
      <c r="Q897" s="79" t="str">
        <f>+VLOOKUP(F897,[3]Material!$C$2:$E$12,2,FALSE)</f>
        <v>Cal 10</v>
      </c>
      <c r="R897" s="81">
        <f>+IF(P897="ACERO A36",VLOOKUP(Q897,'[3]Velocidades Std 1500 w'!$B$2:$F$15,5,FALSE),IF(P897="INOXIDABLE",VLOOKUP(Q897,'[3]Velocidades Std 1500 w'!$B$17:$F$28,5,FALSE),IF(P897="ALUMINIO",VLOOKUP(Q897,'[3]Velocidades Std 1500 w'!$B$30:$F$38,5,FALSE))))</f>
        <v>6.1728395061728391E-6</v>
      </c>
      <c r="S897" s="82">
        <f t="shared" si="116"/>
        <v>3.0864197530864196E-2</v>
      </c>
      <c r="T897" s="83">
        <f t="shared" si="117"/>
        <v>52.012426666666656</v>
      </c>
      <c r="U897" s="307">
        <f t="shared" si="130"/>
        <v>2340.5591999999997</v>
      </c>
      <c r="V897" s="80">
        <f t="shared" si="122"/>
        <v>72.239481481481462</v>
      </c>
      <c r="W897" s="98">
        <v>16</v>
      </c>
      <c r="X897" s="84">
        <f>+IF(P897="ACERO A36",VLOOKUP(Q897,'[3]Tiempo Objeto'!$B$2:$C$12,2,FALSE),IF(P897="INOXIDABLE",VLOOKUP(Q897,'[3]Tiempo Objeto'!$B$14:$C$22,2,FALSE),IF(P897="ALUMINIO",VLOOKUP(Q897,'[3]Tiempo Objeto'!$B$24:$C$32,2,FALSE))))</f>
        <v>0.71333333333333337</v>
      </c>
      <c r="Y897" s="84">
        <f t="shared" si="118"/>
        <v>11.413333333333334</v>
      </c>
      <c r="Z897" s="80">
        <f t="shared" si="119"/>
        <v>15.851851851851853</v>
      </c>
      <c r="AA897" s="100">
        <v>2</v>
      </c>
      <c r="AB897" s="86">
        <f>+AA897*Analisis!$J$6</f>
        <v>50</v>
      </c>
      <c r="AC897" s="100"/>
      <c r="AD897" s="85">
        <f t="shared" si="120"/>
        <v>0</v>
      </c>
      <c r="AE897" s="86">
        <f>+AC897*Analisis!$J$7</f>
        <v>0</v>
      </c>
      <c r="AF897" s="308">
        <f>+H897*0.0254*I897*0.0254*2*(1+[3]Analisis!$G$2)</f>
        <v>0.24852143844000002</v>
      </c>
      <c r="AG897" s="86">
        <f>+AF897*Analisis!$J$8</f>
        <v>26.479367548071437</v>
      </c>
      <c r="AH897" s="309">
        <f t="shared" si="126"/>
        <v>271.30569463140478</v>
      </c>
      <c r="AI897" s="86">
        <f>+AH897/(1-Analisis!G902)</f>
        <v>271.30569463140478</v>
      </c>
      <c r="AJ897" s="86">
        <f t="shared" si="121"/>
        <v>291.72655336710193</v>
      </c>
      <c r="AK897" s="86">
        <f t="shared" si="127"/>
        <v>0</v>
      </c>
      <c r="AL897" s="310" t="e">
        <f>+VLOOKUP(B897,#REF!,2,FALSE)</f>
        <v>#REF!</v>
      </c>
      <c r="AM897" s="311" t="e">
        <f t="shared" si="124"/>
        <v>#REF!</v>
      </c>
      <c r="AN897" s="312" t="e">
        <f t="shared" si="129"/>
        <v>#REF!</v>
      </c>
    </row>
    <row r="898" spans="1:40" s="73" customFormat="1" x14ac:dyDescent="0.25">
      <c r="A898" s="313"/>
      <c r="B898" s="332" t="s">
        <v>297</v>
      </c>
      <c r="D898" s="74">
        <f>IFERROR(VLOOKUP(B898,'REQ. PINTADO'!B:C,2,0),0)</f>
        <v>0</v>
      </c>
      <c r="E898" s="305">
        <f t="shared" si="114"/>
        <v>320.89548534809984</v>
      </c>
      <c r="F898" s="103" t="s">
        <v>164</v>
      </c>
      <c r="G898" s="75" t="s">
        <v>147</v>
      </c>
      <c r="H898" s="90">
        <v>5.94</v>
      </c>
      <c r="I898" s="90">
        <v>29.94</v>
      </c>
      <c r="J898" s="76">
        <v>0.105</v>
      </c>
      <c r="K898" s="306">
        <v>16.38</v>
      </c>
      <c r="L898" s="78">
        <f t="shared" si="115"/>
        <v>16.546168269230776</v>
      </c>
      <c r="M898" s="58">
        <f>+VLOOKUP(F898,Material!$H$2:$M$17,6,FALSE)*H898*I898*(1+Material!$K$14)</f>
        <v>123.19374375000002</v>
      </c>
      <c r="N898" s="79" t="str">
        <f t="shared" si="128"/>
        <v>T5.0</v>
      </c>
      <c r="O898" s="80">
        <f>+VLOOKUP(N898,[3]Material!$A$3:$B$58,2,FALSE)</f>
        <v>5000</v>
      </c>
      <c r="P898" s="79" t="s">
        <v>42</v>
      </c>
      <c r="Q898" s="79" t="str">
        <f>+VLOOKUP(F898,[3]Material!$C$2:$E$12,2,FALSE)</f>
        <v>Cal 10</v>
      </c>
      <c r="R898" s="81">
        <f>+IF(P898="ACERO A36",VLOOKUP(Q898,'[3]Velocidades Std 1500 w'!$B$2:$F$15,5,FALSE),IF(P898="INOXIDABLE",VLOOKUP(Q898,'[3]Velocidades Std 1500 w'!$B$17:$F$28,5,FALSE),IF(P898="ALUMINIO",VLOOKUP(Q898,'[3]Velocidades Std 1500 w'!$B$30:$F$38,5,FALSE))))</f>
        <v>6.1728395061728391E-6</v>
      </c>
      <c r="S898" s="82">
        <f t="shared" si="116"/>
        <v>3.0864197530864196E-2</v>
      </c>
      <c r="T898" s="83">
        <f t="shared" si="117"/>
        <v>56.753760000000007</v>
      </c>
      <c r="U898" s="307">
        <f t="shared" si="130"/>
        <v>2553.9192000000003</v>
      </c>
      <c r="V898" s="80">
        <f t="shared" si="122"/>
        <v>78.824666666666673</v>
      </c>
      <c r="W898" s="98">
        <v>16</v>
      </c>
      <c r="X898" s="84">
        <f>+IF(P898="ACERO A36",VLOOKUP(Q898,'[3]Tiempo Objeto'!$B$2:$C$12,2,FALSE),IF(P898="INOXIDABLE",VLOOKUP(Q898,'[3]Tiempo Objeto'!$B$14:$C$22,2,FALSE),IF(P898="ALUMINIO",VLOOKUP(Q898,'[3]Tiempo Objeto'!$B$24:$C$32,2,FALSE))))</f>
        <v>0.71333333333333337</v>
      </c>
      <c r="Y898" s="84">
        <f t="shared" si="118"/>
        <v>11.413333333333334</v>
      </c>
      <c r="Z898" s="80">
        <f t="shared" si="119"/>
        <v>15.851851851851853</v>
      </c>
      <c r="AA898" s="100">
        <v>2</v>
      </c>
      <c r="AB898" s="86">
        <f>+AA898*Analisis!$J$6</f>
        <v>50</v>
      </c>
      <c r="AC898" s="100"/>
      <c r="AD898" s="85">
        <f t="shared" si="120"/>
        <v>0</v>
      </c>
      <c r="AE898" s="86">
        <f>+AC898*Analisis!$J$7</f>
        <v>0</v>
      </c>
      <c r="AF898" s="308">
        <f>+H898*0.0254*I898*0.0254*2*(1+[3]Analisis!$G$2)</f>
        <v>0.28684394244</v>
      </c>
      <c r="AG898" s="86">
        <f>+AF898*Analisis!$J$8</f>
        <v>30.562539105214295</v>
      </c>
      <c r="AH898" s="309">
        <f t="shared" si="126"/>
        <v>298.43280137373284</v>
      </c>
      <c r="AI898" s="86">
        <f>+AH898/(1-Analisis!G903)</f>
        <v>298.43280137373284</v>
      </c>
      <c r="AJ898" s="86">
        <f t="shared" si="121"/>
        <v>320.89548534809984</v>
      </c>
      <c r="AK898" s="86">
        <f t="shared" si="127"/>
        <v>0</v>
      </c>
      <c r="AL898" s="310" t="e">
        <f>+VLOOKUP(B898,#REF!,2,FALSE)</f>
        <v>#REF!</v>
      </c>
      <c r="AM898" s="311" t="e">
        <f t="shared" si="124"/>
        <v>#REF!</v>
      </c>
      <c r="AN898" s="312" t="e">
        <f t="shared" si="129"/>
        <v>#REF!</v>
      </c>
    </row>
    <row r="899" spans="1:40" s="73" customFormat="1" x14ac:dyDescent="0.25">
      <c r="A899" s="313"/>
      <c r="B899" s="332" t="s">
        <v>298</v>
      </c>
      <c r="D899" s="74">
        <f>IFERROR(VLOOKUP(B899,'REQ. PINTADO'!B:C,2,0),0)</f>
        <v>0</v>
      </c>
      <c r="E899" s="305">
        <f t="shared" si="114"/>
        <v>335.47995133859877</v>
      </c>
      <c r="F899" s="103" t="s">
        <v>164</v>
      </c>
      <c r="G899" s="75" t="s">
        <v>147</v>
      </c>
      <c r="H899" s="90">
        <v>5.94</v>
      </c>
      <c r="I899" s="90">
        <v>31.94</v>
      </c>
      <c r="J899" s="76">
        <v>0.105</v>
      </c>
      <c r="K899" s="306">
        <v>16.38</v>
      </c>
      <c r="L899" s="78">
        <f t="shared" si="115"/>
        <v>17.651456730769237</v>
      </c>
      <c r="M899" s="58">
        <f>+VLOOKUP(F899,Material!$H$2:$M$17,6,FALSE)*H899*I899*(1+Material!$K$14)</f>
        <v>131.42311875000001</v>
      </c>
      <c r="N899" s="79" t="str">
        <f t="shared" si="128"/>
        <v>T5.0</v>
      </c>
      <c r="O899" s="80">
        <f>+VLOOKUP(N899,[3]Material!$A$3:$B$58,2,FALSE)</f>
        <v>5000</v>
      </c>
      <c r="P899" s="79" t="s">
        <v>42</v>
      </c>
      <c r="Q899" s="79" t="str">
        <f>+VLOOKUP(F899,[3]Material!$C$2:$E$12,2,FALSE)</f>
        <v>Cal 10</v>
      </c>
      <c r="R899" s="81">
        <f>+IF(P899="ACERO A36",VLOOKUP(Q899,'[3]Velocidades Std 1500 w'!$B$2:$F$15,5,FALSE),IF(P899="INOXIDABLE",VLOOKUP(Q899,'[3]Velocidades Std 1500 w'!$B$17:$F$28,5,FALSE),IF(P899="ALUMINIO",VLOOKUP(Q899,'[3]Velocidades Std 1500 w'!$B$30:$F$38,5,FALSE))))</f>
        <v>6.1728395061728391E-6</v>
      </c>
      <c r="S899" s="82">
        <f t="shared" si="116"/>
        <v>3.0864197530864196E-2</v>
      </c>
      <c r="T899" s="83">
        <f t="shared" si="117"/>
        <v>59.124426666666665</v>
      </c>
      <c r="U899" s="307">
        <f t="shared" si="130"/>
        <v>2660.5992000000001</v>
      </c>
      <c r="V899" s="80">
        <f t="shared" si="122"/>
        <v>82.117259259259257</v>
      </c>
      <c r="W899" s="98">
        <v>16</v>
      </c>
      <c r="X899" s="84">
        <f>+IF(P899="ACERO A36",VLOOKUP(Q899,'[3]Tiempo Objeto'!$B$2:$C$12,2,FALSE),IF(P899="INOXIDABLE",VLOOKUP(Q899,'[3]Tiempo Objeto'!$B$14:$C$22,2,FALSE),IF(P899="ALUMINIO",VLOOKUP(Q899,'[3]Tiempo Objeto'!$B$24:$C$32,2,FALSE))))</f>
        <v>0.71333333333333337</v>
      </c>
      <c r="Y899" s="84">
        <f t="shared" si="118"/>
        <v>11.413333333333334</v>
      </c>
      <c r="Z899" s="80">
        <f t="shared" si="119"/>
        <v>15.851851851851853</v>
      </c>
      <c r="AA899" s="100">
        <v>2</v>
      </c>
      <c r="AB899" s="86">
        <f>+AA899*Analisis!$J$6</f>
        <v>50</v>
      </c>
      <c r="AC899" s="100"/>
      <c r="AD899" s="85">
        <f t="shared" si="120"/>
        <v>0</v>
      </c>
      <c r="AE899" s="86">
        <f>+AC899*Analisis!$J$7</f>
        <v>0</v>
      </c>
      <c r="AF899" s="308">
        <f>+H899*0.0254*I899*0.0254*2*(1+[3]Analisis!$G$2)</f>
        <v>0.30600519444000002</v>
      </c>
      <c r="AG899" s="86">
        <f>+AF899*Analisis!$J$8</f>
        <v>32.604124883785722</v>
      </c>
      <c r="AH899" s="309">
        <f t="shared" si="126"/>
        <v>311.99635474489685</v>
      </c>
      <c r="AI899" s="86">
        <f>+AH899/(1-Analisis!G904)</f>
        <v>311.99635474489685</v>
      </c>
      <c r="AJ899" s="86">
        <f t="shared" si="121"/>
        <v>335.47995133859877</v>
      </c>
      <c r="AK899" s="86">
        <f t="shared" si="127"/>
        <v>0</v>
      </c>
      <c r="AL899" s="310" t="e">
        <f>+VLOOKUP(B899,#REF!,2,FALSE)</f>
        <v>#REF!</v>
      </c>
      <c r="AM899" s="311" t="e">
        <f t="shared" si="124"/>
        <v>#REF!</v>
      </c>
      <c r="AN899" s="312" t="e">
        <f t="shared" si="129"/>
        <v>#REF!</v>
      </c>
    </row>
    <row r="900" spans="1:40" s="73" customFormat="1" x14ac:dyDescent="0.25">
      <c r="A900" s="313"/>
      <c r="B900" s="332" t="s">
        <v>299</v>
      </c>
      <c r="D900" s="74">
        <f>IFERROR(VLOOKUP(B900,'REQ. PINTADO'!B:C,2,0),0)</f>
        <v>0</v>
      </c>
      <c r="E900" s="305">
        <f t="shared" si="114"/>
        <v>364.64888331959673</v>
      </c>
      <c r="F900" s="103" t="s">
        <v>164</v>
      </c>
      <c r="G900" s="75" t="s">
        <v>147</v>
      </c>
      <c r="H900" s="90">
        <v>5.94</v>
      </c>
      <c r="I900" s="90">
        <v>35.94</v>
      </c>
      <c r="J900" s="76">
        <v>0.105</v>
      </c>
      <c r="K900" s="306">
        <v>16.38</v>
      </c>
      <c r="L900" s="78">
        <f t="shared" si="115"/>
        <v>19.862033653846158</v>
      </c>
      <c r="M900" s="58">
        <f>+VLOOKUP(F900,Material!$H$2:$M$17,6,FALSE)*H900*I900*(1+Material!$K$14)</f>
        <v>147.88186875000002</v>
      </c>
      <c r="N900" s="79" t="str">
        <f t="shared" ref="N900:N963" si="131">+N899</f>
        <v>T5.0</v>
      </c>
      <c r="O900" s="80">
        <f>+VLOOKUP(N900,[3]Material!$A$3:$B$58,2,FALSE)</f>
        <v>5000</v>
      </c>
      <c r="P900" s="79" t="s">
        <v>42</v>
      </c>
      <c r="Q900" s="79" t="str">
        <f>+VLOOKUP(F900,[3]Material!$C$2:$E$12,2,FALSE)</f>
        <v>Cal 10</v>
      </c>
      <c r="R900" s="81">
        <f>+IF(P900="ACERO A36",VLOOKUP(Q900,'[3]Velocidades Std 1500 w'!$B$2:$F$15,5,FALSE),IF(P900="INOXIDABLE",VLOOKUP(Q900,'[3]Velocidades Std 1500 w'!$B$17:$F$28,5,FALSE),IF(P900="ALUMINIO",VLOOKUP(Q900,'[3]Velocidades Std 1500 w'!$B$30:$F$38,5,FALSE))))</f>
        <v>6.1728395061728391E-6</v>
      </c>
      <c r="S900" s="82">
        <f t="shared" si="116"/>
        <v>3.0864197530864196E-2</v>
      </c>
      <c r="T900" s="83">
        <f t="shared" si="117"/>
        <v>63.865759999999987</v>
      </c>
      <c r="U900" s="307">
        <f t="shared" si="130"/>
        <v>2873.9591999999998</v>
      </c>
      <c r="V900" s="80">
        <f t="shared" si="122"/>
        <v>88.702444444444438</v>
      </c>
      <c r="W900" s="98">
        <v>16</v>
      </c>
      <c r="X900" s="84">
        <f>+IF(P900="ACERO A36",VLOOKUP(Q900,'[3]Tiempo Objeto'!$B$2:$C$12,2,FALSE),IF(P900="INOXIDABLE",VLOOKUP(Q900,'[3]Tiempo Objeto'!$B$14:$C$22,2,FALSE),IF(P900="ALUMINIO",VLOOKUP(Q900,'[3]Tiempo Objeto'!$B$24:$C$32,2,FALSE))))</f>
        <v>0.71333333333333337</v>
      </c>
      <c r="Y900" s="84">
        <f t="shared" si="118"/>
        <v>11.413333333333334</v>
      </c>
      <c r="Z900" s="80">
        <f t="shared" si="119"/>
        <v>15.851851851851853</v>
      </c>
      <c r="AA900" s="100">
        <v>2</v>
      </c>
      <c r="AB900" s="86">
        <f>+AA900*Analisis!$J$6</f>
        <v>50</v>
      </c>
      <c r="AC900" s="100"/>
      <c r="AD900" s="85">
        <f t="shared" si="120"/>
        <v>0</v>
      </c>
      <c r="AE900" s="86">
        <f>+AC900*Analisis!$J$7</f>
        <v>0</v>
      </c>
      <c r="AF900" s="308">
        <f>+H900*0.0254*I900*0.0254*2*(1+[3]Analisis!$G$2)</f>
        <v>0.34432769844</v>
      </c>
      <c r="AG900" s="86">
        <f>+AF900*Analisis!$J$8</f>
        <v>36.687296440928584</v>
      </c>
      <c r="AH900" s="309">
        <f t="shared" si="126"/>
        <v>339.12346148722492</v>
      </c>
      <c r="AI900" s="86">
        <f>+AH900/(1-Analisis!G905)</f>
        <v>339.12346148722492</v>
      </c>
      <c r="AJ900" s="86">
        <f t="shared" si="121"/>
        <v>364.64888331959673</v>
      </c>
      <c r="AK900" s="86">
        <f t="shared" si="127"/>
        <v>0</v>
      </c>
      <c r="AL900" s="310" t="e">
        <f>+VLOOKUP(B900,#REF!,2,FALSE)</f>
        <v>#REF!</v>
      </c>
      <c r="AM900" s="311" t="e">
        <f t="shared" si="124"/>
        <v>#REF!</v>
      </c>
      <c r="AN900" s="312" t="e">
        <f t="shared" si="129"/>
        <v>#REF!</v>
      </c>
    </row>
    <row r="901" spans="1:40" s="73" customFormat="1" x14ac:dyDescent="0.25">
      <c r="A901" s="313"/>
      <c r="B901" s="332" t="s">
        <v>300</v>
      </c>
      <c r="D901" s="74">
        <f>IFERROR(VLOOKUP(B901,'REQ. PINTADO'!B:C,2,0),0)</f>
        <v>0</v>
      </c>
      <c r="E901" s="305">
        <f t="shared" si="114"/>
        <v>393.81781530059465</v>
      </c>
      <c r="F901" s="103" t="s">
        <v>164</v>
      </c>
      <c r="G901" s="75" t="s">
        <v>147</v>
      </c>
      <c r="H901" s="90">
        <v>5.94</v>
      </c>
      <c r="I901" s="90">
        <v>39.94</v>
      </c>
      <c r="J901" s="76">
        <v>0.105</v>
      </c>
      <c r="K901" s="306">
        <v>16.38</v>
      </c>
      <c r="L901" s="78">
        <f t="shared" si="115"/>
        <v>22.072610576923086</v>
      </c>
      <c r="M901" s="58">
        <f>+VLOOKUP(F901,Material!$H$2:$M$17,6,FALSE)*H901*I901*(1+Material!$K$14)</f>
        <v>164.34061875000003</v>
      </c>
      <c r="N901" s="79" t="str">
        <f t="shared" si="131"/>
        <v>T5.0</v>
      </c>
      <c r="O901" s="80">
        <f>+VLOOKUP(N901,[3]Material!$A$3:$B$58,2,FALSE)</f>
        <v>5000</v>
      </c>
      <c r="P901" s="79" t="s">
        <v>42</v>
      </c>
      <c r="Q901" s="79" t="str">
        <f>+VLOOKUP(F901,[3]Material!$C$2:$E$12,2,FALSE)</f>
        <v>Cal 10</v>
      </c>
      <c r="R901" s="81">
        <f>+IF(P901="ACERO A36",VLOOKUP(Q901,'[3]Velocidades Std 1500 w'!$B$2:$F$15,5,FALSE),IF(P901="INOXIDABLE",VLOOKUP(Q901,'[3]Velocidades Std 1500 w'!$B$17:$F$28,5,FALSE),IF(P901="ALUMINIO",VLOOKUP(Q901,'[3]Velocidades Std 1500 w'!$B$30:$F$38,5,FALSE))))</f>
        <v>6.1728395061728391E-6</v>
      </c>
      <c r="S901" s="82">
        <f t="shared" si="116"/>
        <v>3.0864197530864196E-2</v>
      </c>
      <c r="T901" s="83">
        <f t="shared" si="117"/>
        <v>68.607093333333324</v>
      </c>
      <c r="U901" s="307">
        <f t="shared" si="130"/>
        <v>3087.3191999999999</v>
      </c>
      <c r="V901" s="80">
        <f t="shared" si="122"/>
        <v>95.28762962962962</v>
      </c>
      <c r="W901" s="98">
        <v>16</v>
      </c>
      <c r="X901" s="84">
        <f>+IF(P901="ACERO A36",VLOOKUP(Q901,'[3]Tiempo Objeto'!$B$2:$C$12,2,FALSE),IF(P901="INOXIDABLE",VLOOKUP(Q901,'[3]Tiempo Objeto'!$B$14:$C$22,2,FALSE),IF(P901="ALUMINIO",VLOOKUP(Q901,'[3]Tiempo Objeto'!$B$24:$C$32,2,FALSE))))</f>
        <v>0.71333333333333337</v>
      </c>
      <c r="Y901" s="84">
        <f t="shared" si="118"/>
        <v>11.413333333333334</v>
      </c>
      <c r="Z901" s="80">
        <f t="shared" si="119"/>
        <v>15.851851851851853</v>
      </c>
      <c r="AA901" s="100">
        <v>2</v>
      </c>
      <c r="AB901" s="86">
        <f>+AA901*Analisis!$J$6</f>
        <v>50</v>
      </c>
      <c r="AC901" s="100"/>
      <c r="AD901" s="85">
        <f t="shared" si="120"/>
        <v>0</v>
      </c>
      <c r="AE901" s="86">
        <f>+AC901*Analisis!$J$7</f>
        <v>0</v>
      </c>
      <c r="AF901" s="308">
        <f>+H901*0.0254*I901*0.0254*2*(1+[3]Analisis!$G$2)</f>
        <v>0.38265020243999998</v>
      </c>
      <c r="AG901" s="86">
        <f>+AF901*Analisis!$J$8</f>
        <v>40.770467998071439</v>
      </c>
      <c r="AH901" s="309">
        <f t="shared" si="126"/>
        <v>366.25056822955298</v>
      </c>
      <c r="AI901" s="86">
        <f>+AH901/(1-Analisis!G906)</f>
        <v>366.25056822955298</v>
      </c>
      <c r="AJ901" s="86">
        <f t="shared" si="121"/>
        <v>393.81781530059465</v>
      </c>
      <c r="AK901" s="86">
        <f t="shared" si="127"/>
        <v>0</v>
      </c>
      <c r="AL901" s="310" t="e">
        <f>+VLOOKUP(B901,#REF!,2,FALSE)</f>
        <v>#REF!</v>
      </c>
      <c r="AM901" s="311" t="e">
        <f t="shared" si="124"/>
        <v>#REF!</v>
      </c>
      <c r="AN901" s="312" t="e">
        <f t="shared" si="129"/>
        <v>#REF!</v>
      </c>
    </row>
    <row r="902" spans="1:40" s="73" customFormat="1" x14ac:dyDescent="0.25">
      <c r="A902" s="313"/>
      <c r="B902" s="332" t="s">
        <v>301</v>
      </c>
      <c r="D902" s="74">
        <f>IFERROR(VLOOKUP(B902,'REQ. PINTADO'!B:C,2,0),0)</f>
        <v>0</v>
      </c>
      <c r="E902" s="305">
        <f t="shared" si="114"/>
        <v>379.23334931009566</v>
      </c>
      <c r="F902" s="103" t="s">
        <v>164</v>
      </c>
      <c r="G902" s="75" t="s">
        <v>147</v>
      </c>
      <c r="H902" s="90">
        <v>5.94</v>
      </c>
      <c r="I902" s="90">
        <v>37.94</v>
      </c>
      <c r="J902" s="76">
        <v>0.105</v>
      </c>
      <c r="K902" s="306">
        <v>16.38</v>
      </c>
      <c r="L902" s="78">
        <f t="shared" si="115"/>
        <v>20.967322115384622</v>
      </c>
      <c r="M902" s="58">
        <f>+VLOOKUP(F902,Material!$H$2:$M$17,6,FALSE)*H902*I902*(1+Material!$K$14)</f>
        <v>156.11124375000003</v>
      </c>
      <c r="N902" s="79" t="str">
        <f t="shared" si="131"/>
        <v>T5.0</v>
      </c>
      <c r="O902" s="80">
        <f>+VLOOKUP(N902,[3]Material!$A$3:$B$58,2,FALSE)</f>
        <v>5000</v>
      </c>
      <c r="P902" s="79" t="s">
        <v>42</v>
      </c>
      <c r="Q902" s="79" t="str">
        <f>+VLOOKUP(F902,[3]Material!$C$2:$E$12,2,FALSE)</f>
        <v>Cal 10</v>
      </c>
      <c r="R902" s="81">
        <f>+IF(P902="ACERO A36",VLOOKUP(Q902,'[3]Velocidades Std 1500 w'!$B$2:$F$15,5,FALSE),IF(P902="INOXIDABLE",VLOOKUP(Q902,'[3]Velocidades Std 1500 w'!$B$17:$F$28,5,FALSE),IF(P902="ALUMINIO",VLOOKUP(Q902,'[3]Velocidades Std 1500 w'!$B$30:$F$38,5,FALSE))))</f>
        <v>6.1728395061728391E-6</v>
      </c>
      <c r="S902" s="82">
        <f t="shared" si="116"/>
        <v>3.0864197530864196E-2</v>
      </c>
      <c r="T902" s="83">
        <f t="shared" si="117"/>
        <v>66.236426666666659</v>
      </c>
      <c r="U902" s="307">
        <f t="shared" si="130"/>
        <v>2980.6391999999996</v>
      </c>
      <c r="V902" s="80">
        <f t="shared" si="122"/>
        <v>91.995037037037022</v>
      </c>
      <c r="W902" s="98">
        <v>16</v>
      </c>
      <c r="X902" s="84">
        <f>+IF(P902="ACERO A36",VLOOKUP(Q902,'[3]Tiempo Objeto'!$B$2:$C$12,2,FALSE),IF(P902="INOXIDABLE",VLOOKUP(Q902,'[3]Tiempo Objeto'!$B$14:$C$22,2,FALSE),IF(P902="ALUMINIO",VLOOKUP(Q902,'[3]Tiempo Objeto'!$B$24:$C$32,2,FALSE))))</f>
        <v>0.71333333333333337</v>
      </c>
      <c r="Y902" s="84">
        <f t="shared" si="118"/>
        <v>11.413333333333334</v>
      </c>
      <c r="Z902" s="80">
        <f t="shared" si="119"/>
        <v>15.851851851851853</v>
      </c>
      <c r="AA902" s="100">
        <v>2</v>
      </c>
      <c r="AB902" s="86">
        <f>+AA902*Analisis!$J$6</f>
        <v>50</v>
      </c>
      <c r="AC902" s="100"/>
      <c r="AD902" s="85">
        <f t="shared" si="120"/>
        <v>0</v>
      </c>
      <c r="AE902" s="86">
        <f>+AC902*Analisis!$J$7</f>
        <v>0</v>
      </c>
      <c r="AF902" s="308">
        <f>+H902*0.0254*I902*0.0254*2*(1+[3]Analisis!$G$2)</f>
        <v>0.36348895043999996</v>
      </c>
      <c r="AG902" s="86">
        <f>+AF902*Analisis!$J$8</f>
        <v>38.728882219500008</v>
      </c>
      <c r="AH902" s="309">
        <f t="shared" si="126"/>
        <v>352.68701485838892</v>
      </c>
      <c r="AI902" s="86">
        <f>+AH902/(1-Analisis!G907)</f>
        <v>352.68701485838892</v>
      </c>
      <c r="AJ902" s="86">
        <f t="shared" si="121"/>
        <v>379.23334931009566</v>
      </c>
      <c r="AK902" s="86">
        <f t="shared" si="127"/>
        <v>0</v>
      </c>
      <c r="AL902" s="310" t="e">
        <f>+VLOOKUP(B902,#REF!,2,FALSE)</f>
        <v>#REF!</v>
      </c>
      <c r="AM902" s="311" t="e">
        <f t="shared" si="124"/>
        <v>#REF!</v>
      </c>
      <c r="AN902" s="312" t="e">
        <f t="shared" si="129"/>
        <v>#REF!</v>
      </c>
    </row>
    <row r="903" spans="1:40" s="73" customFormat="1" x14ac:dyDescent="0.25">
      <c r="A903" s="313"/>
      <c r="B903" s="332" t="s">
        <v>302</v>
      </c>
      <c r="D903" s="74">
        <f>IFERROR(VLOOKUP(B903,'REQ. PINTADO'!B:C,2,0),0)</f>
        <v>0</v>
      </c>
      <c r="E903" s="305">
        <f t="shared" si="114"/>
        <v>408.40228129109352</v>
      </c>
      <c r="F903" s="103" t="s">
        <v>164</v>
      </c>
      <c r="G903" s="75" t="s">
        <v>147</v>
      </c>
      <c r="H903" s="90">
        <v>5.94</v>
      </c>
      <c r="I903" s="90">
        <v>41.94</v>
      </c>
      <c r="J903" s="76">
        <v>0.105</v>
      </c>
      <c r="K903" s="306">
        <v>16.38</v>
      </c>
      <c r="L903" s="78">
        <f t="shared" si="115"/>
        <v>23.177899038461547</v>
      </c>
      <c r="M903" s="58">
        <f>+VLOOKUP(F903,Material!$H$2:$M$17,6,FALSE)*H903*I903*(1+Material!$K$14)</f>
        <v>172.56999375000004</v>
      </c>
      <c r="N903" s="79" t="str">
        <f t="shared" si="131"/>
        <v>T5.0</v>
      </c>
      <c r="O903" s="80">
        <f>+VLOOKUP(N903,[3]Material!$A$3:$B$58,2,FALSE)</f>
        <v>5000</v>
      </c>
      <c r="P903" s="79" t="s">
        <v>42</v>
      </c>
      <c r="Q903" s="79" t="str">
        <f>+VLOOKUP(F903,[3]Material!$C$2:$E$12,2,FALSE)</f>
        <v>Cal 10</v>
      </c>
      <c r="R903" s="81">
        <f>+IF(P903="ACERO A36",VLOOKUP(Q903,'[3]Velocidades Std 1500 w'!$B$2:$F$15,5,FALSE),IF(P903="INOXIDABLE",VLOOKUP(Q903,'[3]Velocidades Std 1500 w'!$B$17:$F$28,5,FALSE),IF(P903="ALUMINIO",VLOOKUP(Q903,'[3]Velocidades Std 1500 w'!$B$30:$F$38,5,FALSE))))</f>
        <v>6.1728395061728391E-6</v>
      </c>
      <c r="S903" s="82">
        <f t="shared" si="116"/>
        <v>3.0864197530864196E-2</v>
      </c>
      <c r="T903" s="83">
        <f t="shared" si="117"/>
        <v>70.977759999999989</v>
      </c>
      <c r="U903" s="307">
        <f t="shared" si="130"/>
        <v>3193.9991999999997</v>
      </c>
      <c r="V903" s="80">
        <f t="shared" si="122"/>
        <v>98.580222222222204</v>
      </c>
      <c r="W903" s="98">
        <v>16</v>
      </c>
      <c r="X903" s="84">
        <f>+IF(P903="ACERO A36",VLOOKUP(Q903,'[3]Tiempo Objeto'!$B$2:$C$12,2,FALSE),IF(P903="INOXIDABLE",VLOOKUP(Q903,'[3]Tiempo Objeto'!$B$14:$C$22,2,FALSE),IF(P903="ALUMINIO",VLOOKUP(Q903,'[3]Tiempo Objeto'!$B$24:$C$32,2,FALSE))))</f>
        <v>0.71333333333333337</v>
      </c>
      <c r="Y903" s="84">
        <f t="shared" si="118"/>
        <v>11.413333333333334</v>
      </c>
      <c r="Z903" s="80">
        <f t="shared" si="119"/>
        <v>15.851851851851853</v>
      </c>
      <c r="AA903" s="100">
        <v>2</v>
      </c>
      <c r="AB903" s="86">
        <f>+AA903*Analisis!$J$6</f>
        <v>50</v>
      </c>
      <c r="AC903" s="100"/>
      <c r="AD903" s="85">
        <f t="shared" si="120"/>
        <v>0</v>
      </c>
      <c r="AE903" s="86">
        <f>+AC903*Analisis!$J$7</f>
        <v>0</v>
      </c>
      <c r="AF903" s="308">
        <f>+H903*0.0254*I903*0.0254*2*(1+[3]Analisis!$G$2)</f>
        <v>0.40181145443999999</v>
      </c>
      <c r="AG903" s="86">
        <f>+AF903*Analisis!$J$8</f>
        <v>42.81205377664287</v>
      </c>
      <c r="AH903" s="309">
        <f t="shared" si="126"/>
        <v>379.81412160071693</v>
      </c>
      <c r="AI903" s="86">
        <f>+AH903/(1-Analisis!G908)</f>
        <v>379.81412160071693</v>
      </c>
      <c r="AJ903" s="86">
        <f t="shared" si="121"/>
        <v>408.40228129109352</v>
      </c>
      <c r="AK903" s="86">
        <f t="shared" si="127"/>
        <v>0</v>
      </c>
      <c r="AL903" s="310" t="e">
        <f>+VLOOKUP(B903,#REF!,2,FALSE)</f>
        <v>#REF!</v>
      </c>
      <c r="AM903" s="311" t="e">
        <f t="shared" si="124"/>
        <v>#REF!</v>
      </c>
      <c r="AN903" s="312" t="e">
        <f t="shared" si="129"/>
        <v>#REF!</v>
      </c>
    </row>
    <row r="904" spans="1:40" s="73" customFormat="1" x14ac:dyDescent="0.25">
      <c r="A904" s="313"/>
      <c r="B904" s="332" t="s">
        <v>303</v>
      </c>
      <c r="D904" s="74">
        <f>IFERROR(VLOOKUP(B904,'REQ. PINTADO'!B:C,2,0),0)</f>
        <v>0</v>
      </c>
      <c r="E904" s="305">
        <f t="shared" si="114"/>
        <v>437.57121327209143</v>
      </c>
      <c r="F904" s="103" t="s">
        <v>164</v>
      </c>
      <c r="G904" s="75" t="s">
        <v>147</v>
      </c>
      <c r="H904" s="90">
        <v>5.94</v>
      </c>
      <c r="I904" s="90">
        <v>45.94</v>
      </c>
      <c r="J904" s="76">
        <v>0.105</v>
      </c>
      <c r="K904" s="306">
        <v>16.38</v>
      </c>
      <c r="L904" s="78">
        <f t="shared" si="115"/>
        <v>25.388475961538468</v>
      </c>
      <c r="M904" s="58">
        <f>+VLOOKUP(F904,Material!$H$2:$M$17,6,FALSE)*H904*I904*(1+Material!$K$14)</f>
        <v>189.02874375000002</v>
      </c>
      <c r="N904" s="79" t="str">
        <f t="shared" si="131"/>
        <v>T5.0</v>
      </c>
      <c r="O904" s="80">
        <f>+VLOOKUP(N904,[3]Material!$A$3:$B$58,2,FALSE)</f>
        <v>5000</v>
      </c>
      <c r="P904" s="79" t="s">
        <v>42</v>
      </c>
      <c r="Q904" s="79" t="str">
        <f>+VLOOKUP(F904,[3]Material!$C$2:$E$12,2,FALSE)</f>
        <v>Cal 10</v>
      </c>
      <c r="R904" s="81">
        <f>+IF(P904="ACERO A36",VLOOKUP(Q904,'[3]Velocidades Std 1500 w'!$B$2:$F$15,5,FALSE),IF(P904="INOXIDABLE",VLOOKUP(Q904,'[3]Velocidades Std 1500 w'!$B$17:$F$28,5,FALSE),IF(P904="ALUMINIO",VLOOKUP(Q904,'[3]Velocidades Std 1500 w'!$B$30:$F$38,5,FALSE))))</f>
        <v>6.1728395061728391E-6</v>
      </c>
      <c r="S904" s="82">
        <f t="shared" si="116"/>
        <v>3.0864197530864196E-2</v>
      </c>
      <c r="T904" s="83">
        <f t="shared" si="117"/>
        <v>75.719093333333319</v>
      </c>
      <c r="U904" s="307">
        <f t="shared" si="130"/>
        <v>3407.3591999999999</v>
      </c>
      <c r="V904" s="80">
        <f t="shared" si="122"/>
        <v>105.1654074074074</v>
      </c>
      <c r="W904" s="98">
        <v>16</v>
      </c>
      <c r="X904" s="84">
        <f>+IF(P904="ACERO A36",VLOOKUP(Q904,'[3]Tiempo Objeto'!$B$2:$C$12,2,FALSE),IF(P904="INOXIDABLE",VLOOKUP(Q904,'[3]Tiempo Objeto'!$B$14:$C$22,2,FALSE),IF(P904="ALUMINIO",VLOOKUP(Q904,'[3]Tiempo Objeto'!$B$24:$C$32,2,FALSE))))</f>
        <v>0.71333333333333337</v>
      </c>
      <c r="Y904" s="84">
        <f t="shared" si="118"/>
        <v>11.413333333333334</v>
      </c>
      <c r="Z904" s="80">
        <f t="shared" si="119"/>
        <v>15.851851851851853</v>
      </c>
      <c r="AA904" s="100">
        <v>2</v>
      </c>
      <c r="AB904" s="86">
        <f>+AA904*Analisis!$J$6</f>
        <v>50</v>
      </c>
      <c r="AC904" s="100"/>
      <c r="AD904" s="85">
        <f t="shared" si="120"/>
        <v>0</v>
      </c>
      <c r="AE904" s="86">
        <f>+AC904*Analisis!$J$7</f>
        <v>0</v>
      </c>
      <c r="AF904" s="308">
        <f>+H904*0.0254*I904*0.0254*2*(1+[3]Analisis!$G$2)</f>
        <v>0.44013395843999997</v>
      </c>
      <c r="AG904" s="86">
        <f>+AF904*Analisis!$J$8</f>
        <v>46.895225333785724</v>
      </c>
      <c r="AH904" s="309">
        <f t="shared" si="126"/>
        <v>406.941228343045</v>
      </c>
      <c r="AI904" s="86">
        <f>+AH904/(1-Analisis!G909)</f>
        <v>406.941228343045</v>
      </c>
      <c r="AJ904" s="86">
        <f t="shared" si="121"/>
        <v>437.57121327209143</v>
      </c>
      <c r="AK904" s="86">
        <f t="shared" si="127"/>
        <v>0</v>
      </c>
      <c r="AL904" s="310" t="e">
        <f>+VLOOKUP(B904,#REF!,2,FALSE)</f>
        <v>#REF!</v>
      </c>
      <c r="AM904" s="311" t="e">
        <f t="shared" si="124"/>
        <v>#REF!</v>
      </c>
      <c r="AN904" s="312" t="e">
        <f t="shared" si="129"/>
        <v>#REF!</v>
      </c>
    </row>
    <row r="905" spans="1:40" s="73" customFormat="1" x14ac:dyDescent="0.25">
      <c r="A905" s="313"/>
      <c r="B905" s="332" t="s">
        <v>1572</v>
      </c>
      <c r="D905" s="74">
        <f>IFERROR(VLOOKUP(B905,'REQ. PINTADO'!B:C,2,0),0)</f>
        <v>0</v>
      </c>
      <c r="E905" s="305">
        <f t="shared" si="114"/>
        <v>267.43422193333339</v>
      </c>
      <c r="F905" s="103" t="s">
        <v>164</v>
      </c>
      <c r="G905" s="75" t="s">
        <v>147</v>
      </c>
      <c r="H905" s="90">
        <v>6.16</v>
      </c>
      <c r="I905" s="90">
        <v>21.94</v>
      </c>
      <c r="J905" s="76">
        <v>0.105</v>
      </c>
      <c r="K905" s="306">
        <v>16.38</v>
      </c>
      <c r="L905" s="78">
        <f t="shared" si="115"/>
        <v>12.574089031339037</v>
      </c>
      <c r="M905" s="58">
        <f>+VLOOKUP(F905,Material!$H$2:$M$17,6,FALSE)*H905*I905*(1+Material!$K$14)</f>
        <v>93.619808333333353</v>
      </c>
      <c r="N905" s="79" t="str">
        <f t="shared" si="131"/>
        <v>T5.0</v>
      </c>
      <c r="O905" s="80">
        <f>+VLOOKUP(N905,[3]Material!$A$3:$B$58,2,FALSE)</f>
        <v>5000</v>
      </c>
      <c r="P905" s="79" t="s">
        <v>42</v>
      </c>
      <c r="Q905" s="79" t="str">
        <f>+VLOOKUP(F905,[3]Material!$C$2:$E$12,2,FALSE)</f>
        <v>Cal 10</v>
      </c>
      <c r="R905" s="81">
        <f>+IF(P905="ACERO A36",VLOOKUP(Q905,'[3]Velocidades Std 1500 w'!$B$2:$F$15,5,FALSE),IF(P905="INOXIDABLE",VLOOKUP(Q905,'[3]Velocidades Std 1500 w'!$B$17:$F$28,5,FALSE),IF(P905="ALUMINIO",VLOOKUP(Q905,'[3]Velocidades Std 1500 w'!$B$30:$F$38,5,FALSE))))</f>
        <v>6.1728395061728391E-6</v>
      </c>
      <c r="S905" s="82">
        <f t="shared" si="116"/>
        <v>3.0864197530864196E-2</v>
      </c>
      <c r="T905" s="83">
        <f t="shared" si="117"/>
        <v>47.531866666666666</v>
      </c>
      <c r="U905" s="307">
        <f t="shared" si="130"/>
        <v>2138.9340000000002</v>
      </c>
      <c r="V905" s="80">
        <f t="shared" si="122"/>
        <v>66.016481481481478</v>
      </c>
      <c r="W905" s="98">
        <v>16</v>
      </c>
      <c r="X905" s="84">
        <f>+IF(P905="ACERO A36",VLOOKUP(Q905,'[3]Tiempo Objeto'!$B$2:$C$12,2,FALSE),IF(P905="INOXIDABLE",VLOOKUP(Q905,'[3]Tiempo Objeto'!$B$14:$C$22,2,FALSE),IF(P905="ALUMINIO",VLOOKUP(Q905,'[3]Tiempo Objeto'!$B$24:$C$32,2,FALSE))))</f>
        <v>0.71333333333333337</v>
      </c>
      <c r="Y905" s="84">
        <f t="shared" si="118"/>
        <v>11.413333333333334</v>
      </c>
      <c r="Z905" s="80">
        <f t="shared" si="119"/>
        <v>15.851851851851853</v>
      </c>
      <c r="AA905" s="100">
        <v>2</v>
      </c>
      <c r="AB905" s="86">
        <f>+AA905*Analisis!$J$6</f>
        <v>50</v>
      </c>
      <c r="AC905" s="100"/>
      <c r="AD905" s="85">
        <f t="shared" si="120"/>
        <v>0</v>
      </c>
      <c r="AE905" s="86">
        <f>+AC905*Analisis!$J$7</f>
        <v>0</v>
      </c>
      <c r="AF905" s="308">
        <f>+H905*0.0254*I905*0.0254*2*(1+[3]Analisis!$G$2)</f>
        <v>0.21798408015999998</v>
      </c>
      <c r="AG905" s="86">
        <f>+AF905*Analisis!$J$8</f>
        <v>23.225684731333338</v>
      </c>
      <c r="AH905" s="309">
        <f t="shared" si="126"/>
        <v>248.71382639800004</v>
      </c>
      <c r="AI905" s="86">
        <f>+AH905/(1-Analisis!G910)</f>
        <v>248.71382639800004</v>
      </c>
      <c r="AJ905" s="86">
        <f t="shared" si="121"/>
        <v>267.43422193333339</v>
      </c>
      <c r="AK905" s="86">
        <f t="shared" si="127"/>
        <v>0</v>
      </c>
      <c r="AL905" s="310" t="e">
        <f>+VLOOKUP(B905,#REF!,2,FALSE)</f>
        <v>#REF!</v>
      </c>
      <c r="AM905" s="311" t="e">
        <f t="shared" si="124"/>
        <v>#REF!</v>
      </c>
      <c r="AN905" s="312" t="e">
        <f t="shared" si="129"/>
        <v>#REF!</v>
      </c>
    </row>
    <row r="906" spans="1:40" s="73" customFormat="1" x14ac:dyDescent="0.25">
      <c r="A906" s="313"/>
      <c r="B906" s="332" t="s">
        <v>1573</v>
      </c>
      <c r="D906" s="74">
        <f>IFERROR(VLOOKUP(B906,'REQ. PINTADO'!B:C,2,0),0)</f>
        <v>0</v>
      </c>
      <c r="E906" s="305">
        <f t="shared" si="114"/>
        <v>297.42123123639988</v>
      </c>
      <c r="F906" s="103" t="s">
        <v>164</v>
      </c>
      <c r="G906" s="75" t="s">
        <v>147</v>
      </c>
      <c r="H906" s="90">
        <v>6.16</v>
      </c>
      <c r="I906" s="90">
        <v>25.94</v>
      </c>
      <c r="J906" s="76">
        <v>0.105</v>
      </c>
      <c r="K906" s="306">
        <v>16.38</v>
      </c>
      <c r="L906" s="78">
        <f t="shared" si="115"/>
        <v>14.866539173789178</v>
      </c>
      <c r="M906" s="58">
        <f>+VLOOKUP(F906,Material!$H$2:$M$17,6,FALSE)*H906*I906*(1+Material!$K$14)</f>
        <v>110.68814166666668</v>
      </c>
      <c r="N906" s="79" t="str">
        <f t="shared" si="131"/>
        <v>T5.0</v>
      </c>
      <c r="O906" s="80">
        <f>+VLOOKUP(N906,[3]Material!$A$3:$B$58,2,FALSE)</f>
        <v>5000</v>
      </c>
      <c r="P906" s="79" t="s">
        <v>42</v>
      </c>
      <c r="Q906" s="79" t="str">
        <f>+VLOOKUP(F906,[3]Material!$C$2:$E$12,2,FALSE)</f>
        <v>Cal 10</v>
      </c>
      <c r="R906" s="81">
        <f>+IF(P906="ACERO A36",VLOOKUP(Q906,'[3]Velocidades Std 1500 w'!$B$2:$F$15,5,FALSE),IF(P906="INOXIDABLE",VLOOKUP(Q906,'[3]Velocidades Std 1500 w'!$B$17:$F$28,5,FALSE),IF(P906="ALUMINIO",VLOOKUP(Q906,'[3]Velocidades Std 1500 w'!$B$30:$F$38,5,FALSE))))</f>
        <v>6.1728395061728391E-6</v>
      </c>
      <c r="S906" s="82">
        <f t="shared" si="116"/>
        <v>3.0864197530864196E-2</v>
      </c>
      <c r="T906" s="83">
        <f t="shared" si="117"/>
        <v>52.273199999999996</v>
      </c>
      <c r="U906" s="307">
        <f t="shared" si="130"/>
        <v>2352.2939999999999</v>
      </c>
      <c r="V906" s="80">
        <f t="shared" si="122"/>
        <v>72.601666666666659</v>
      </c>
      <c r="W906" s="98">
        <v>16</v>
      </c>
      <c r="X906" s="84">
        <f>+IF(P906="ACERO A36",VLOOKUP(Q906,'[3]Tiempo Objeto'!$B$2:$C$12,2,FALSE),IF(P906="INOXIDABLE",VLOOKUP(Q906,'[3]Tiempo Objeto'!$B$14:$C$22,2,FALSE),IF(P906="ALUMINIO",VLOOKUP(Q906,'[3]Tiempo Objeto'!$B$24:$C$32,2,FALSE))))</f>
        <v>0.71333333333333337</v>
      </c>
      <c r="Y906" s="84">
        <f t="shared" si="118"/>
        <v>11.413333333333334</v>
      </c>
      <c r="Z906" s="80">
        <f t="shared" si="119"/>
        <v>15.851851851851853</v>
      </c>
      <c r="AA906" s="100">
        <v>2</v>
      </c>
      <c r="AB906" s="86">
        <f>+AA906*Analisis!$J$6</f>
        <v>50</v>
      </c>
      <c r="AC906" s="100"/>
      <c r="AD906" s="85">
        <f t="shared" si="120"/>
        <v>0</v>
      </c>
      <c r="AE906" s="86">
        <f>+AC906*Analisis!$J$7</f>
        <v>0</v>
      </c>
      <c r="AF906" s="308">
        <f>+H906*0.0254*I906*0.0254*2*(1+[3]Analisis!$G$2)</f>
        <v>0.25772593616</v>
      </c>
      <c r="AG906" s="86">
        <f>+AF906*Analisis!$J$8</f>
        <v>27.460084864666676</v>
      </c>
      <c r="AH906" s="309">
        <f t="shared" si="126"/>
        <v>276.60174504985184</v>
      </c>
      <c r="AI906" s="86">
        <f>+AH906/(1-Analisis!G911)</f>
        <v>276.60174504985184</v>
      </c>
      <c r="AJ906" s="86">
        <f t="shared" si="121"/>
        <v>297.42123123639988</v>
      </c>
      <c r="AK906" s="86">
        <f t="shared" si="127"/>
        <v>0</v>
      </c>
      <c r="AL906" s="310" t="e">
        <f>+VLOOKUP(B906,#REF!,2,FALSE)</f>
        <v>#REF!</v>
      </c>
      <c r="AM906" s="311" t="e">
        <f t="shared" si="124"/>
        <v>#REF!</v>
      </c>
      <c r="AN906" s="312" t="e">
        <f t="shared" si="129"/>
        <v>#REF!</v>
      </c>
    </row>
    <row r="907" spans="1:40" s="73" customFormat="1" x14ac:dyDescent="0.25">
      <c r="A907" s="313"/>
      <c r="B907" s="332" t="s">
        <v>1574</v>
      </c>
      <c r="D907" s="74">
        <f>IFERROR(VLOOKUP(B907,'REQ. PINTADO'!B:C,2,0),0)</f>
        <v>0</v>
      </c>
      <c r="E907" s="305">
        <f t="shared" si="114"/>
        <v>327.40824053946636</v>
      </c>
      <c r="F907" s="103" t="s">
        <v>164</v>
      </c>
      <c r="G907" s="75" t="s">
        <v>147</v>
      </c>
      <c r="H907" s="90">
        <v>6.16</v>
      </c>
      <c r="I907" s="90">
        <v>29.94</v>
      </c>
      <c r="J907" s="76">
        <v>0.105</v>
      </c>
      <c r="K907" s="306">
        <v>16.38</v>
      </c>
      <c r="L907" s="78">
        <f t="shared" si="115"/>
        <v>17.158989316239317</v>
      </c>
      <c r="M907" s="58">
        <f>+VLOOKUP(F907,Material!$H$2:$M$17,6,FALSE)*H907*I907*(1+Material!$K$14)</f>
        <v>127.75647500000001</v>
      </c>
      <c r="N907" s="79" t="str">
        <f t="shared" si="131"/>
        <v>T5.0</v>
      </c>
      <c r="O907" s="80">
        <f>+VLOOKUP(N907,[3]Material!$A$3:$B$58,2,FALSE)</f>
        <v>5000</v>
      </c>
      <c r="P907" s="79" t="s">
        <v>42</v>
      </c>
      <c r="Q907" s="79" t="str">
        <f>+VLOOKUP(F907,[3]Material!$C$2:$E$12,2,FALSE)</f>
        <v>Cal 10</v>
      </c>
      <c r="R907" s="81">
        <f>+IF(P907="ACERO A36",VLOOKUP(Q907,'[3]Velocidades Std 1500 w'!$B$2:$F$15,5,FALSE),IF(P907="INOXIDABLE",VLOOKUP(Q907,'[3]Velocidades Std 1500 w'!$B$17:$F$28,5,FALSE),IF(P907="ALUMINIO",VLOOKUP(Q907,'[3]Velocidades Std 1500 w'!$B$30:$F$38,5,FALSE))))</f>
        <v>6.1728395061728391E-6</v>
      </c>
      <c r="S907" s="82">
        <f t="shared" si="116"/>
        <v>3.0864197530864196E-2</v>
      </c>
      <c r="T907" s="83">
        <f t="shared" si="117"/>
        <v>57.014533333333333</v>
      </c>
      <c r="U907" s="307">
        <f t="shared" si="130"/>
        <v>2565.654</v>
      </c>
      <c r="V907" s="80">
        <f t="shared" si="122"/>
        <v>79.186851851851841</v>
      </c>
      <c r="W907" s="98">
        <v>16</v>
      </c>
      <c r="X907" s="84">
        <f>+IF(P907="ACERO A36",VLOOKUP(Q907,'[3]Tiempo Objeto'!$B$2:$C$12,2,FALSE),IF(P907="INOXIDABLE",VLOOKUP(Q907,'[3]Tiempo Objeto'!$B$14:$C$22,2,FALSE),IF(P907="ALUMINIO",VLOOKUP(Q907,'[3]Tiempo Objeto'!$B$24:$C$32,2,FALSE))))</f>
        <v>0.71333333333333337</v>
      </c>
      <c r="Y907" s="84">
        <f t="shared" si="118"/>
        <v>11.413333333333334</v>
      </c>
      <c r="Z907" s="80">
        <f t="shared" si="119"/>
        <v>15.851851851851853</v>
      </c>
      <c r="AA907" s="100">
        <v>2</v>
      </c>
      <c r="AB907" s="86">
        <f>+AA907*Analisis!$J$6</f>
        <v>50</v>
      </c>
      <c r="AC907" s="100"/>
      <c r="AD907" s="85">
        <f t="shared" si="120"/>
        <v>0</v>
      </c>
      <c r="AE907" s="86">
        <f>+AC907*Analisis!$J$7</f>
        <v>0</v>
      </c>
      <c r="AF907" s="308">
        <f>+H907*0.0254*I907*0.0254*2*(1+[3]Analisis!$G$2)</f>
        <v>0.29746779215999997</v>
      </c>
      <c r="AG907" s="86">
        <f>+AF907*Analisis!$J$8</f>
        <v>31.694484998000007</v>
      </c>
      <c r="AH907" s="309">
        <f t="shared" si="126"/>
        <v>304.48966370170371</v>
      </c>
      <c r="AI907" s="86">
        <f>+AH907/(1-Analisis!G912)</f>
        <v>304.48966370170371</v>
      </c>
      <c r="AJ907" s="86">
        <f t="shared" si="121"/>
        <v>327.40824053946636</v>
      </c>
      <c r="AK907" s="86">
        <f t="shared" si="127"/>
        <v>0</v>
      </c>
      <c r="AL907" s="310" t="e">
        <f>+VLOOKUP(B907,#REF!,2,FALSE)</f>
        <v>#REF!</v>
      </c>
      <c r="AM907" s="311" t="e">
        <f t="shared" si="124"/>
        <v>#REF!</v>
      </c>
      <c r="AN907" s="312" t="e">
        <f t="shared" si="129"/>
        <v>#REF!</v>
      </c>
    </row>
    <row r="908" spans="1:40" s="73" customFormat="1" x14ac:dyDescent="0.25">
      <c r="A908" s="313"/>
      <c r="B908" s="332" t="s">
        <v>1575</v>
      </c>
      <c r="D908" s="74">
        <f>IFERROR(VLOOKUP(B908,'REQ. PINTADO'!B:C,2,0),0)</f>
        <v>0</v>
      </c>
      <c r="E908" s="305">
        <f t="shared" si="114"/>
        <v>342.40174519099963</v>
      </c>
      <c r="F908" s="103" t="s">
        <v>164</v>
      </c>
      <c r="G908" s="75" t="s">
        <v>147</v>
      </c>
      <c r="H908" s="90">
        <v>6.16</v>
      </c>
      <c r="I908" s="90">
        <v>31.94</v>
      </c>
      <c r="J908" s="76">
        <v>0.105</v>
      </c>
      <c r="K908" s="306">
        <v>16.38</v>
      </c>
      <c r="L908" s="78">
        <f t="shared" si="115"/>
        <v>18.305214387464396</v>
      </c>
      <c r="M908" s="58">
        <f>+VLOOKUP(F908,Material!$H$2:$M$17,6,FALSE)*H908*I908*(1+Material!$K$14)</f>
        <v>136.29064166666669</v>
      </c>
      <c r="N908" s="79" t="str">
        <f t="shared" si="131"/>
        <v>T5.0</v>
      </c>
      <c r="O908" s="80">
        <f>+VLOOKUP(N908,[3]Material!$A$3:$B$58,2,FALSE)</f>
        <v>5000</v>
      </c>
      <c r="P908" s="79" t="s">
        <v>42</v>
      </c>
      <c r="Q908" s="79" t="str">
        <f>+VLOOKUP(F908,[3]Material!$C$2:$E$12,2,FALSE)</f>
        <v>Cal 10</v>
      </c>
      <c r="R908" s="81">
        <f>+IF(P908="ACERO A36",VLOOKUP(Q908,'[3]Velocidades Std 1500 w'!$B$2:$F$15,5,FALSE),IF(P908="INOXIDABLE",VLOOKUP(Q908,'[3]Velocidades Std 1500 w'!$B$17:$F$28,5,FALSE),IF(P908="ALUMINIO",VLOOKUP(Q908,'[3]Velocidades Std 1500 w'!$B$30:$F$38,5,FALSE))))</f>
        <v>6.1728395061728391E-6</v>
      </c>
      <c r="S908" s="82">
        <f t="shared" si="116"/>
        <v>3.0864197530864196E-2</v>
      </c>
      <c r="T908" s="83">
        <f t="shared" si="117"/>
        <v>59.38519999999999</v>
      </c>
      <c r="U908" s="307">
        <f t="shared" si="130"/>
        <v>2672.3339999999998</v>
      </c>
      <c r="V908" s="80">
        <f t="shared" si="122"/>
        <v>82.479444444444439</v>
      </c>
      <c r="W908" s="98">
        <v>16</v>
      </c>
      <c r="X908" s="84">
        <f>+IF(P908="ACERO A36",VLOOKUP(Q908,'[3]Tiempo Objeto'!$B$2:$C$12,2,FALSE),IF(P908="INOXIDABLE",VLOOKUP(Q908,'[3]Tiempo Objeto'!$B$14:$C$22,2,FALSE),IF(P908="ALUMINIO",VLOOKUP(Q908,'[3]Tiempo Objeto'!$B$24:$C$32,2,FALSE))))</f>
        <v>0.71333333333333337</v>
      </c>
      <c r="Y908" s="84">
        <f t="shared" si="118"/>
        <v>11.413333333333334</v>
      </c>
      <c r="Z908" s="80">
        <f t="shared" si="119"/>
        <v>15.851851851851853</v>
      </c>
      <c r="AA908" s="100">
        <v>2</v>
      </c>
      <c r="AB908" s="86">
        <f>+AA908*Analisis!$J$6</f>
        <v>50</v>
      </c>
      <c r="AC908" s="100"/>
      <c r="AD908" s="85">
        <f t="shared" si="120"/>
        <v>0</v>
      </c>
      <c r="AE908" s="86">
        <f>+AC908*Analisis!$J$7</f>
        <v>0</v>
      </c>
      <c r="AF908" s="308">
        <f>+H908*0.0254*I908*0.0254*2*(1+[3]Analisis!$G$2)</f>
        <v>0.31733872015999998</v>
      </c>
      <c r="AG908" s="86">
        <f>+AF908*Analisis!$J$8</f>
        <v>33.811685064666676</v>
      </c>
      <c r="AH908" s="309">
        <f t="shared" si="126"/>
        <v>318.43362302762966</v>
      </c>
      <c r="AI908" s="86">
        <f>+AH908/(1-Analisis!G913)</f>
        <v>318.43362302762966</v>
      </c>
      <c r="AJ908" s="86">
        <f t="shared" si="121"/>
        <v>342.40174519099963</v>
      </c>
      <c r="AK908" s="86">
        <f t="shared" si="127"/>
        <v>0</v>
      </c>
      <c r="AL908" s="310" t="e">
        <f>+VLOOKUP(B908,#REF!,2,FALSE)</f>
        <v>#REF!</v>
      </c>
      <c r="AM908" s="311" t="e">
        <f t="shared" si="124"/>
        <v>#REF!</v>
      </c>
      <c r="AN908" s="312" t="e">
        <f t="shared" si="129"/>
        <v>#REF!</v>
      </c>
    </row>
    <row r="909" spans="1:40" s="73" customFormat="1" x14ac:dyDescent="0.25">
      <c r="A909" s="313"/>
      <c r="B909" s="332" t="s">
        <v>1576</v>
      </c>
      <c r="D909" s="74">
        <f>IFERROR(VLOOKUP(B909,'REQ. PINTADO'!B:C,2,0),0)</f>
        <v>0</v>
      </c>
      <c r="E909" s="305">
        <f t="shared" si="114"/>
        <v>372.38875449406612</v>
      </c>
      <c r="F909" s="103" t="s">
        <v>164</v>
      </c>
      <c r="G909" s="75" t="s">
        <v>147</v>
      </c>
      <c r="H909" s="90">
        <v>6.16</v>
      </c>
      <c r="I909" s="90">
        <v>35.94</v>
      </c>
      <c r="J909" s="76">
        <v>0.105</v>
      </c>
      <c r="K909" s="306">
        <v>16.38</v>
      </c>
      <c r="L909" s="78">
        <f t="shared" si="115"/>
        <v>20.597664529914535</v>
      </c>
      <c r="M909" s="58">
        <f>+VLOOKUP(F909,Material!$H$2:$M$17,6,FALSE)*H909*I909*(1+Material!$K$14)</f>
        <v>153.35897500000002</v>
      </c>
      <c r="N909" s="79" t="str">
        <f t="shared" si="131"/>
        <v>T5.0</v>
      </c>
      <c r="O909" s="80">
        <f>+VLOOKUP(N909,[3]Material!$A$3:$B$58,2,FALSE)</f>
        <v>5000</v>
      </c>
      <c r="P909" s="79" t="s">
        <v>42</v>
      </c>
      <c r="Q909" s="79" t="str">
        <f>+VLOOKUP(F909,[3]Material!$C$2:$E$12,2,FALSE)</f>
        <v>Cal 10</v>
      </c>
      <c r="R909" s="81">
        <f>+IF(P909="ACERO A36",VLOOKUP(Q909,'[3]Velocidades Std 1500 w'!$B$2:$F$15,5,FALSE),IF(P909="INOXIDABLE",VLOOKUP(Q909,'[3]Velocidades Std 1500 w'!$B$17:$F$28,5,FALSE),IF(P909="ALUMINIO",VLOOKUP(Q909,'[3]Velocidades Std 1500 w'!$B$30:$F$38,5,FALSE))))</f>
        <v>6.1728395061728391E-6</v>
      </c>
      <c r="S909" s="82">
        <f t="shared" si="116"/>
        <v>3.0864197530864196E-2</v>
      </c>
      <c r="T909" s="83">
        <f t="shared" si="117"/>
        <v>64.126533333333327</v>
      </c>
      <c r="U909" s="307">
        <f t="shared" si="130"/>
        <v>2885.694</v>
      </c>
      <c r="V909" s="80">
        <f t="shared" si="122"/>
        <v>89.064629629629621</v>
      </c>
      <c r="W909" s="98">
        <v>16</v>
      </c>
      <c r="X909" s="84">
        <f>+IF(P909="ACERO A36",VLOOKUP(Q909,'[3]Tiempo Objeto'!$B$2:$C$12,2,FALSE),IF(P909="INOXIDABLE",VLOOKUP(Q909,'[3]Tiempo Objeto'!$B$14:$C$22,2,FALSE),IF(P909="ALUMINIO",VLOOKUP(Q909,'[3]Tiempo Objeto'!$B$24:$C$32,2,FALSE))))</f>
        <v>0.71333333333333337</v>
      </c>
      <c r="Y909" s="84">
        <f t="shared" si="118"/>
        <v>11.413333333333334</v>
      </c>
      <c r="Z909" s="80">
        <f t="shared" si="119"/>
        <v>15.851851851851853</v>
      </c>
      <c r="AA909" s="100">
        <v>2</v>
      </c>
      <c r="AB909" s="86">
        <f>+AA909*Analisis!$J$6</f>
        <v>50</v>
      </c>
      <c r="AC909" s="100"/>
      <c r="AD909" s="85">
        <f t="shared" si="120"/>
        <v>0</v>
      </c>
      <c r="AE909" s="86">
        <f>+AC909*Analisis!$J$7</f>
        <v>0</v>
      </c>
      <c r="AF909" s="308">
        <f>+H909*0.0254*I909*0.0254*2*(1+[3]Analisis!$G$2)</f>
        <v>0.35708057615999994</v>
      </c>
      <c r="AG909" s="86">
        <f>+AF909*Analisis!$J$8</f>
        <v>38.046085198000007</v>
      </c>
      <c r="AH909" s="309">
        <f t="shared" si="126"/>
        <v>346.32154167948147</v>
      </c>
      <c r="AI909" s="86">
        <f>+AH909/(1-Analisis!G914)</f>
        <v>346.32154167948147</v>
      </c>
      <c r="AJ909" s="86">
        <f t="shared" si="121"/>
        <v>372.38875449406612</v>
      </c>
      <c r="AK909" s="86">
        <f t="shared" si="127"/>
        <v>0</v>
      </c>
      <c r="AL909" s="310" t="e">
        <f>+VLOOKUP(B909,#REF!,2,FALSE)</f>
        <v>#REF!</v>
      </c>
      <c r="AM909" s="311" t="e">
        <f t="shared" si="124"/>
        <v>#REF!</v>
      </c>
      <c r="AN909" s="312" t="e">
        <f t="shared" si="129"/>
        <v>#REF!</v>
      </c>
    </row>
    <row r="910" spans="1:40" s="73" customFormat="1" x14ac:dyDescent="0.25">
      <c r="A910" s="313"/>
      <c r="B910" s="332" t="s">
        <v>1577</v>
      </c>
      <c r="D910" s="74">
        <f>IFERROR(VLOOKUP(B910,'REQ. PINTADO'!B:C,2,0),0)</f>
        <v>0</v>
      </c>
      <c r="E910" s="305">
        <f t="shared" si="114"/>
        <v>402.37576379713266</v>
      </c>
      <c r="F910" s="103" t="s">
        <v>164</v>
      </c>
      <c r="G910" s="75" t="s">
        <v>147</v>
      </c>
      <c r="H910" s="90">
        <v>6.16</v>
      </c>
      <c r="I910" s="90">
        <v>39.94</v>
      </c>
      <c r="J910" s="76">
        <v>0.105</v>
      </c>
      <c r="K910" s="306">
        <v>16.38</v>
      </c>
      <c r="L910" s="78">
        <f t="shared" si="115"/>
        <v>22.890114672364671</v>
      </c>
      <c r="M910" s="58">
        <f>+VLOOKUP(F910,Material!$H$2:$M$17,6,FALSE)*H910*I910*(1+Material!$K$14)</f>
        <v>170.42730833333331</v>
      </c>
      <c r="N910" s="79" t="str">
        <f t="shared" si="131"/>
        <v>T5.0</v>
      </c>
      <c r="O910" s="80">
        <f>+VLOOKUP(N910,[3]Material!$A$3:$B$58,2,FALSE)</f>
        <v>5000</v>
      </c>
      <c r="P910" s="79" t="s">
        <v>42</v>
      </c>
      <c r="Q910" s="79" t="str">
        <f>+VLOOKUP(F910,[3]Material!$C$2:$E$12,2,FALSE)</f>
        <v>Cal 10</v>
      </c>
      <c r="R910" s="81">
        <f>+IF(P910="ACERO A36",VLOOKUP(Q910,'[3]Velocidades Std 1500 w'!$B$2:$F$15,5,FALSE),IF(P910="INOXIDABLE",VLOOKUP(Q910,'[3]Velocidades Std 1500 w'!$B$17:$F$28,5,FALSE),IF(P910="ALUMINIO",VLOOKUP(Q910,'[3]Velocidades Std 1500 w'!$B$30:$F$38,5,FALSE))))</f>
        <v>6.1728395061728391E-6</v>
      </c>
      <c r="S910" s="82">
        <f t="shared" si="116"/>
        <v>3.0864197530864196E-2</v>
      </c>
      <c r="T910" s="83">
        <f t="shared" si="117"/>
        <v>68.867866666666657</v>
      </c>
      <c r="U910" s="307">
        <f t="shared" si="130"/>
        <v>3099.0539999999996</v>
      </c>
      <c r="V910" s="80">
        <f t="shared" si="122"/>
        <v>95.649814814814803</v>
      </c>
      <c r="W910" s="98">
        <v>16</v>
      </c>
      <c r="X910" s="84">
        <f>+IF(P910="ACERO A36",VLOOKUP(Q910,'[3]Tiempo Objeto'!$B$2:$C$12,2,FALSE),IF(P910="INOXIDABLE",VLOOKUP(Q910,'[3]Tiempo Objeto'!$B$14:$C$22,2,FALSE),IF(P910="ALUMINIO",VLOOKUP(Q910,'[3]Tiempo Objeto'!$B$24:$C$32,2,FALSE))))</f>
        <v>0.71333333333333337</v>
      </c>
      <c r="Y910" s="84">
        <f t="shared" si="118"/>
        <v>11.413333333333334</v>
      </c>
      <c r="Z910" s="80">
        <f t="shared" si="119"/>
        <v>15.851851851851853</v>
      </c>
      <c r="AA910" s="100">
        <v>2</v>
      </c>
      <c r="AB910" s="86">
        <f>+AA910*Analisis!$J$6</f>
        <v>50</v>
      </c>
      <c r="AC910" s="100"/>
      <c r="AD910" s="85">
        <f t="shared" si="120"/>
        <v>0</v>
      </c>
      <c r="AE910" s="86">
        <f>+AC910*Analisis!$J$7</f>
        <v>0</v>
      </c>
      <c r="AF910" s="308">
        <f>+H910*0.0254*I910*0.0254*2*(1+[3]Analisis!$G$2)</f>
        <v>0.39682243215999996</v>
      </c>
      <c r="AG910" s="86">
        <f>+AF910*Analisis!$J$8</f>
        <v>42.280485331333338</v>
      </c>
      <c r="AH910" s="309">
        <f t="shared" si="126"/>
        <v>374.20946033133333</v>
      </c>
      <c r="AI910" s="86">
        <f>+AH910/(1-Analisis!G915)</f>
        <v>374.20946033133333</v>
      </c>
      <c r="AJ910" s="86">
        <f t="shared" si="121"/>
        <v>402.37576379713266</v>
      </c>
      <c r="AK910" s="86">
        <f t="shared" si="127"/>
        <v>0</v>
      </c>
      <c r="AL910" s="310" t="e">
        <f>+VLOOKUP(B910,#REF!,2,FALSE)</f>
        <v>#REF!</v>
      </c>
      <c r="AM910" s="311" t="e">
        <f t="shared" si="124"/>
        <v>#REF!</v>
      </c>
      <c r="AN910" s="312" t="e">
        <f t="shared" si="129"/>
        <v>#REF!</v>
      </c>
    </row>
    <row r="911" spans="1:40" s="73" customFormat="1" x14ac:dyDescent="0.25">
      <c r="A911" s="313"/>
      <c r="B911" s="332" t="s">
        <v>1578</v>
      </c>
      <c r="D911" s="74">
        <f>IFERROR(VLOOKUP(B911,'REQ. PINTADO'!B:C,2,0),0)</f>
        <v>0</v>
      </c>
      <c r="E911" s="305">
        <f t="shared" si="114"/>
        <v>387.38225914559939</v>
      </c>
      <c r="F911" s="103" t="s">
        <v>164</v>
      </c>
      <c r="G911" s="75" t="s">
        <v>147</v>
      </c>
      <c r="H911" s="90">
        <v>6.16</v>
      </c>
      <c r="I911" s="90">
        <v>37.94</v>
      </c>
      <c r="J911" s="76">
        <v>0.105</v>
      </c>
      <c r="K911" s="306">
        <v>16.38</v>
      </c>
      <c r="L911" s="78">
        <f t="shared" si="115"/>
        <v>21.743889601139607</v>
      </c>
      <c r="M911" s="58">
        <f>+VLOOKUP(F911,Material!$H$2:$M$17,6,FALSE)*H911*I911*(1+Material!$K$14)</f>
        <v>161.89314166666668</v>
      </c>
      <c r="N911" s="79" t="str">
        <f t="shared" si="131"/>
        <v>T5.0</v>
      </c>
      <c r="O911" s="80">
        <f>+VLOOKUP(N911,[3]Material!$A$3:$B$58,2,FALSE)</f>
        <v>5000</v>
      </c>
      <c r="P911" s="79" t="s">
        <v>42</v>
      </c>
      <c r="Q911" s="79" t="str">
        <f>+VLOOKUP(F911,[3]Material!$C$2:$E$12,2,FALSE)</f>
        <v>Cal 10</v>
      </c>
      <c r="R911" s="81">
        <f>+IF(P911="ACERO A36",VLOOKUP(Q911,'[3]Velocidades Std 1500 w'!$B$2:$F$15,5,FALSE),IF(P911="INOXIDABLE",VLOOKUP(Q911,'[3]Velocidades Std 1500 w'!$B$17:$F$28,5,FALSE),IF(P911="ALUMINIO",VLOOKUP(Q911,'[3]Velocidades Std 1500 w'!$B$30:$F$38,5,FALSE))))</f>
        <v>6.1728395061728391E-6</v>
      </c>
      <c r="S911" s="82">
        <f t="shared" si="116"/>
        <v>3.0864197530864196E-2</v>
      </c>
      <c r="T911" s="83">
        <f t="shared" si="117"/>
        <v>66.497199999999992</v>
      </c>
      <c r="U911" s="307">
        <f t="shared" si="130"/>
        <v>2992.3739999999998</v>
      </c>
      <c r="V911" s="80">
        <f t="shared" si="122"/>
        <v>92.357222222222205</v>
      </c>
      <c r="W911" s="98">
        <v>16</v>
      </c>
      <c r="X911" s="84">
        <f>+IF(P911="ACERO A36",VLOOKUP(Q911,'[3]Tiempo Objeto'!$B$2:$C$12,2,FALSE),IF(P911="INOXIDABLE",VLOOKUP(Q911,'[3]Tiempo Objeto'!$B$14:$C$22,2,FALSE),IF(P911="ALUMINIO",VLOOKUP(Q911,'[3]Tiempo Objeto'!$B$24:$C$32,2,FALSE))))</f>
        <v>0.71333333333333337</v>
      </c>
      <c r="Y911" s="84">
        <f t="shared" si="118"/>
        <v>11.413333333333334</v>
      </c>
      <c r="Z911" s="80">
        <f t="shared" si="119"/>
        <v>15.851851851851853</v>
      </c>
      <c r="AA911" s="100">
        <v>2</v>
      </c>
      <c r="AB911" s="86">
        <f>+AA911*Analisis!$J$6</f>
        <v>50</v>
      </c>
      <c r="AC911" s="100"/>
      <c r="AD911" s="85">
        <f t="shared" si="120"/>
        <v>0</v>
      </c>
      <c r="AE911" s="86">
        <f>+AC911*Analisis!$J$7</f>
        <v>0</v>
      </c>
      <c r="AF911" s="308">
        <f>+H911*0.0254*I911*0.0254*2*(1+[3]Analisis!$G$2)</f>
        <v>0.37695150415999995</v>
      </c>
      <c r="AG911" s="86">
        <f>+AF911*Analisis!$J$8</f>
        <v>40.163285264666676</v>
      </c>
      <c r="AH911" s="309">
        <f t="shared" si="126"/>
        <v>360.26550100540743</v>
      </c>
      <c r="AI911" s="86">
        <f>+AH911/(1-Analisis!G916)</f>
        <v>360.26550100540743</v>
      </c>
      <c r="AJ911" s="86">
        <f t="shared" si="121"/>
        <v>387.38225914559939</v>
      </c>
      <c r="AK911" s="86">
        <f t="shared" si="127"/>
        <v>0</v>
      </c>
      <c r="AL911" s="310" t="e">
        <f>+VLOOKUP(B911,#REF!,2,FALSE)</f>
        <v>#REF!</v>
      </c>
      <c r="AM911" s="311" t="e">
        <f t="shared" si="124"/>
        <v>#REF!</v>
      </c>
      <c r="AN911" s="312" t="e">
        <f t="shared" si="129"/>
        <v>#REF!</v>
      </c>
    </row>
    <row r="912" spans="1:40" s="73" customFormat="1" x14ac:dyDescent="0.25">
      <c r="A912" s="313"/>
      <c r="B912" s="332" t="s">
        <v>1579</v>
      </c>
      <c r="D912" s="74">
        <f>IFERROR(VLOOKUP(B912,'REQ. PINTADO'!B:C,2,0),0)</f>
        <v>0</v>
      </c>
      <c r="E912" s="305">
        <f t="shared" si="114"/>
        <v>417.36926844866593</v>
      </c>
      <c r="F912" s="103" t="s">
        <v>164</v>
      </c>
      <c r="G912" s="75" t="s">
        <v>147</v>
      </c>
      <c r="H912" s="90">
        <v>6.16</v>
      </c>
      <c r="I912" s="90">
        <v>41.94</v>
      </c>
      <c r="J912" s="76">
        <v>0.105</v>
      </c>
      <c r="K912" s="306">
        <v>16.38</v>
      </c>
      <c r="L912" s="78">
        <f t="shared" si="115"/>
        <v>24.036339743589746</v>
      </c>
      <c r="M912" s="58">
        <f>+VLOOKUP(F912,Material!$H$2:$M$17,6,FALSE)*H912*I912*(1+Material!$K$14)</f>
        <v>178.96147500000001</v>
      </c>
      <c r="N912" s="79" t="str">
        <f t="shared" si="131"/>
        <v>T5.0</v>
      </c>
      <c r="O912" s="80">
        <f>+VLOOKUP(N912,[3]Material!$A$3:$B$58,2,FALSE)</f>
        <v>5000</v>
      </c>
      <c r="P912" s="79" t="s">
        <v>42</v>
      </c>
      <c r="Q912" s="79" t="str">
        <f>+VLOOKUP(F912,[3]Material!$C$2:$E$12,2,FALSE)</f>
        <v>Cal 10</v>
      </c>
      <c r="R912" s="81">
        <f>+IF(P912="ACERO A36",VLOOKUP(Q912,'[3]Velocidades Std 1500 w'!$B$2:$F$15,5,FALSE),IF(P912="INOXIDABLE",VLOOKUP(Q912,'[3]Velocidades Std 1500 w'!$B$17:$F$28,5,FALSE),IF(P912="ALUMINIO",VLOOKUP(Q912,'[3]Velocidades Std 1500 w'!$B$30:$F$38,5,FALSE))))</f>
        <v>6.1728395061728391E-6</v>
      </c>
      <c r="S912" s="82">
        <f t="shared" si="116"/>
        <v>3.0864197530864196E-2</v>
      </c>
      <c r="T912" s="83">
        <f t="shared" si="117"/>
        <v>71.238533333333308</v>
      </c>
      <c r="U912" s="307">
        <f t="shared" si="130"/>
        <v>3205.7339999999995</v>
      </c>
      <c r="V912" s="80">
        <f t="shared" si="122"/>
        <v>98.942407407407387</v>
      </c>
      <c r="W912" s="98">
        <v>16</v>
      </c>
      <c r="X912" s="84">
        <f>+IF(P912="ACERO A36",VLOOKUP(Q912,'[3]Tiempo Objeto'!$B$2:$C$12,2,FALSE),IF(P912="INOXIDABLE",VLOOKUP(Q912,'[3]Tiempo Objeto'!$B$14:$C$22,2,FALSE),IF(P912="ALUMINIO",VLOOKUP(Q912,'[3]Tiempo Objeto'!$B$24:$C$32,2,FALSE))))</f>
        <v>0.71333333333333337</v>
      </c>
      <c r="Y912" s="84">
        <f t="shared" si="118"/>
        <v>11.413333333333334</v>
      </c>
      <c r="Z912" s="80">
        <f t="shared" si="119"/>
        <v>15.851851851851853</v>
      </c>
      <c r="AA912" s="100">
        <v>2</v>
      </c>
      <c r="AB912" s="86">
        <f>+AA912*Analisis!$J$6</f>
        <v>50</v>
      </c>
      <c r="AC912" s="100"/>
      <c r="AD912" s="85">
        <f t="shared" si="120"/>
        <v>0</v>
      </c>
      <c r="AE912" s="86">
        <f>+AC912*Analisis!$J$7</f>
        <v>0</v>
      </c>
      <c r="AF912" s="308">
        <f>+H912*0.0254*I912*0.0254*2*(1+[3]Analisis!$G$2)</f>
        <v>0.41669336015999991</v>
      </c>
      <c r="AG912" s="86">
        <f>+AF912*Analisis!$J$8</f>
        <v>44.397685398000007</v>
      </c>
      <c r="AH912" s="309">
        <f t="shared" si="126"/>
        <v>388.15341965725929</v>
      </c>
      <c r="AI912" s="86">
        <f>+AH912/(1-Analisis!G917)</f>
        <v>388.15341965725929</v>
      </c>
      <c r="AJ912" s="86">
        <f t="shared" si="121"/>
        <v>417.36926844866593</v>
      </c>
      <c r="AK912" s="86">
        <f t="shared" si="127"/>
        <v>0</v>
      </c>
      <c r="AL912" s="310" t="e">
        <f>+VLOOKUP(B912,#REF!,2,FALSE)</f>
        <v>#REF!</v>
      </c>
      <c r="AM912" s="311" t="e">
        <f t="shared" si="124"/>
        <v>#REF!</v>
      </c>
      <c r="AN912" s="312" t="e">
        <f t="shared" si="129"/>
        <v>#REF!</v>
      </c>
    </row>
    <row r="913" spans="1:40" s="73" customFormat="1" x14ac:dyDescent="0.25">
      <c r="A913" s="313"/>
      <c r="B913" s="332" t="s">
        <v>1580</v>
      </c>
      <c r="D913" s="74">
        <f>IFERROR(VLOOKUP(B913,'REQ. PINTADO'!B:C,2,0),0)</f>
        <v>0</v>
      </c>
      <c r="E913" s="305">
        <f t="shared" si="114"/>
        <v>447.35627775173242</v>
      </c>
      <c r="F913" s="103" t="s">
        <v>164</v>
      </c>
      <c r="G913" s="75" t="s">
        <v>147</v>
      </c>
      <c r="H913" s="90">
        <v>6.16</v>
      </c>
      <c r="I913" s="90">
        <v>45.94</v>
      </c>
      <c r="J913" s="76">
        <v>0.105</v>
      </c>
      <c r="K913" s="306">
        <v>16.38</v>
      </c>
      <c r="L913" s="78">
        <f t="shared" si="115"/>
        <v>26.328789886039893</v>
      </c>
      <c r="M913" s="58">
        <f>+VLOOKUP(F913,Material!$H$2:$M$17,6,FALSE)*H913*I913*(1+Material!$K$14)</f>
        <v>196.02980833333334</v>
      </c>
      <c r="N913" s="79" t="str">
        <f t="shared" si="131"/>
        <v>T5.0</v>
      </c>
      <c r="O913" s="80">
        <f>+VLOOKUP(N913,[3]Material!$A$3:$B$58,2,FALSE)</f>
        <v>5000</v>
      </c>
      <c r="P913" s="79" t="s">
        <v>42</v>
      </c>
      <c r="Q913" s="79" t="str">
        <f>+VLOOKUP(F913,[3]Material!$C$2:$E$12,2,FALSE)</f>
        <v>Cal 10</v>
      </c>
      <c r="R913" s="81">
        <f>+IF(P913="ACERO A36",VLOOKUP(Q913,'[3]Velocidades Std 1500 w'!$B$2:$F$15,5,FALSE),IF(P913="INOXIDABLE",VLOOKUP(Q913,'[3]Velocidades Std 1500 w'!$B$17:$F$28,5,FALSE),IF(P913="ALUMINIO",VLOOKUP(Q913,'[3]Velocidades Std 1500 w'!$B$30:$F$38,5,FALSE))))</f>
        <v>6.1728395061728391E-6</v>
      </c>
      <c r="S913" s="82">
        <f t="shared" si="116"/>
        <v>3.0864197530864196E-2</v>
      </c>
      <c r="T913" s="83">
        <f t="shared" si="117"/>
        <v>75.979866666666666</v>
      </c>
      <c r="U913" s="307">
        <f t="shared" si="130"/>
        <v>3419.0940000000001</v>
      </c>
      <c r="V913" s="80">
        <f t="shared" si="122"/>
        <v>105.52759259259258</v>
      </c>
      <c r="W913" s="98">
        <v>16</v>
      </c>
      <c r="X913" s="84">
        <f>+IF(P913="ACERO A36",VLOOKUP(Q913,'[3]Tiempo Objeto'!$B$2:$C$12,2,FALSE),IF(P913="INOXIDABLE",VLOOKUP(Q913,'[3]Tiempo Objeto'!$B$14:$C$22,2,FALSE),IF(P913="ALUMINIO",VLOOKUP(Q913,'[3]Tiempo Objeto'!$B$24:$C$32,2,FALSE))))</f>
        <v>0.71333333333333337</v>
      </c>
      <c r="Y913" s="84">
        <f t="shared" si="118"/>
        <v>11.413333333333334</v>
      </c>
      <c r="Z913" s="80">
        <f t="shared" si="119"/>
        <v>15.851851851851853</v>
      </c>
      <c r="AA913" s="100">
        <v>2</v>
      </c>
      <c r="AB913" s="86">
        <f>+AA913*Analisis!$J$6</f>
        <v>50</v>
      </c>
      <c r="AC913" s="100"/>
      <c r="AD913" s="85">
        <f t="shared" si="120"/>
        <v>0</v>
      </c>
      <c r="AE913" s="86">
        <f>+AC913*Analisis!$J$7</f>
        <v>0</v>
      </c>
      <c r="AF913" s="308">
        <f>+H913*0.0254*I913*0.0254*2*(1+[3]Analisis!$G$2)</f>
        <v>0.45643521615999993</v>
      </c>
      <c r="AG913" s="86">
        <f>+AF913*Analisis!$J$8</f>
        <v>48.632085531333338</v>
      </c>
      <c r="AH913" s="309">
        <f t="shared" si="126"/>
        <v>416.0413383091111</v>
      </c>
      <c r="AI913" s="86">
        <f>+AH913/(1-Analisis!G918)</f>
        <v>416.0413383091111</v>
      </c>
      <c r="AJ913" s="86">
        <f t="shared" si="121"/>
        <v>447.35627775173242</v>
      </c>
      <c r="AK913" s="86">
        <f t="shared" si="127"/>
        <v>0</v>
      </c>
      <c r="AL913" s="310" t="e">
        <f>+VLOOKUP(B913,#REF!,2,FALSE)</f>
        <v>#REF!</v>
      </c>
      <c r="AM913" s="311" t="e">
        <f t="shared" si="124"/>
        <v>#REF!</v>
      </c>
      <c r="AN913" s="312" t="e">
        <f t="shared" si="129"/>
        <v>#REF!</v>
      </c>
    </row>
    <row r="914" spans="1:40" s="73" customFormat="1" x14ac:dyDescent="0.25">
      <c r="A914" s="313"/>
      <c r="B914" s="332" t="s">
        <v>1581</v>
      </c>
      <c r="D914" s="74">
        <f>IFERROR(VLOOKUP(B914,'REQ. PINTADO'!B:C,2,0),0)</f>
        <v>0</v>
      </c>
      <c r="E914" s="305">
        <f t="shared" si="114"/>
        <v>321.47516879718387</v>
      </c>
      <c r="F914" s="103" t="s">
        <v>164</v>
      </c>
      <c r="G914" s="75" t="s">
        <v>147</v>
      </c>
      <c r="H914" s="90">
        <v>6.68</v>
      </c>
      <c r="I914" s="90">
        <v>21.94</v>
      </c>
      <c r="J914" s="76">
        <v>0.105</v>
      </c>
      <c r="K914" s="306">
        <v>16.38</v>
      </c>
      <c r="L914" s="78">
        <f t="shared" si="115"/>
        <v>13.63553810541311</v>
      </c>
      <c r="M914" s="58">
        <f>+VLOOKUP(F914,Material!$H$2:$M$17,6,FALSE)*H914*I914*(1+Material!$K$14)</f>
        <v>101.52277916666668</v>
      </c>
      <c r="N914" s="79" t="str">
        <f t="shared" si="131"/>
        <v>T5.0</v>
      </c>
      <c r="O914" s="80">
        <f>+VLOOKUP(N914,[3]Material!$A$3:$B$58,2,FALSE)</f>
        <v>5000</v>
      </c>
      <c r="P914" s="79" t="s">
        <v>42</v>
      </c>
      <c r="Q914" s="79" t="str">
        <f>+VLOOKUP(F914,[3]Material!$C$2:$E$12,2,FALSE)</f>
        <v>Cal 10</v>
      </c>
      <c r="R914" s="81">
        <f>+IF(P914="ACERO A36",VLOOKUP(Q914,'[3]Velocidades Std 1500 w'!$B$2:$F$15,5,FALSE),IF(P914="INOXIDABLE",VLOOKUP(Q914,'[3]Velocidades Std 1500 w'!$B$17:$F$28,5,FALSE),IF(P914="ALUMINIO",VLOOKUP(Q914,'[3]Velocidades Std 1500 w'!$B$30:$F$38,5,FALSE))))</f>
        <v>6.1728395061728391E-6</v>
      </c>
      <c r="S914" s="82">
        <f t="shared" si="116"/>
        <v>3.0864197530864196E-2</v>
      </c>
      <c r="T914" s="83">
        <f t="shared" si="117"/>
        <v>73.929239999999993</v>
      </c>
      <c r="U914" s="307">
        <f t="shared" si="130"/>
        <v>3326.8158000000003</v>
      </c>
      <c r="V914" s="80">
        <f t="shared" si="122"/>
        <v>102.6795</v>
      </c>
      <c r="W914" s="98">
        <v>45</v>
      </c>
      <c r="X914" s="84">
        <f>+IF(P914="ACERO A36",VLOOKUP(Q914,'[3]Tiempo Objeto'!$B$2:$C$12,2,FALSE),IF(P914="INOXIDABLE",VLOOKUP(Q914,'[3]Tiempo Objeto'!$B$14:$C$22,2,FALSE),IF(P914="ALUMINIO",VLOOKUP(Q914,'[3]Tiempo Objeto'!$B$24:$C$32,2,FALSE))))</f>
        <v>0.71333333333333337</v>
      </c>
      <c r="Y914" s="84">
        <f t="shared" si="118"/>
        <v>32.1</v>
      </c>
      <c r="Z914" s="80">
        <f t="shared" si="119"/>
        <v>44.583333333333336</v>
      </c>
      <c r="AA914" s="100">
        <v>1</v>
      </c>
      <c r="AB914" s="86">
        <f>+AA914*Analisis!$J$6</f>
        <v>25</v>
      </c>
      <c r="AC914" s="100"/>
      <c r="AD914" s="85">
        <f t="shared" si="120"/>
        <v>0</v>
      </c>
      <c r="AE914" s="86">
        <f>+AC914*Analisis!$J$7</f>
        <v>0</v>
      </c>
      <c r="AF914" s="308">
        <f>+H914*0.0254*I914*0.0254*2*(1+[3]Analisis!$G$2)</f>
        <v>0.23638533368000003</v>
      </c>
      <c r="AG914" s="86">
        <f>+AF914*Analisis!$J$8</f>
        <v>25.186294481380962</v>
      </c>
      <c r="AH914" s="309">
        <f t="shared" si="126"/>
        <v>298.97190698138098</v>
      </c>
      <c r="AI914" s="86">
        <f>+AH914/(1-Analisis!G919)</f>
        <v>298.97190698138098</v>
      </c>
      <c r="AJ914" s="86">
        <f t="shared" si="121"/>
        <v>321.47516879718387</v>
      </c>
      <c r="AK914" s="86">
        <f t="shared" si="127"/>
        <v>0</v>
      </c>
      <c r="AL914" s="310" t="e">
        <f>+VLOOKUP(B914,#REF!,2,FALSE)</f>
        <v>#REF!</v>
      </c>
      <c r="AM914" s="311" t="e">
        <f t="shared" si="124"/>
        <v>#REF!</v>
      </c>
      <c r="AN914" s="312" t="e">
        <f t="shared" si="129"/>
        <v>#REF!</v>
      </c>
    </row>
    <row r="915" spans="1:40" s="73" customFormat="1" x14ac:dyDescent="0.25">
      <c r="A915" s="313"/>
      <c r="B915" s="332" t="s">
        <v>1582</v>
      </c>
      <c r="D915" s="74">
        <f>IFERROR(VLOOKUP(B915,'REQ. PINTADO'!B:C,2,0),0)</f>
        <v>0</v>
      </c>
      <c r="E915" s="305">
        <f t="shared" si="114"/>
        <v>0</v>
      </c>
      <c r="F915" s="103" t="s">
        <v>165</v>
      </c>
      <c r="G915" s="75" t="s">
        <v>147</v>
      </c>
      <c r="H915" s="90"/>
      <c r="I915" s="90"/>
      <c r="J915" s="76">
        <v>0.105</v>
      </c>
      <c r="K915" s="306">
        <v>16.38</v>
      </c>
      <c r="L915" s="78">
        <f t="shared" si="115"/>
        <v>0</v>
      </c>
      <c r="M915" s="58">
        <f>+VLOOKUP(F915,Material!$H$2:$M$17,6,FALSE)*H915*I915*(1+Material!$K$14)</f>
        <v>0</v>
      </c>
      <c r="N915" s="79" t="str">
        <f t="shared" si="131"/>
        <v>T5.0</v>
      </c>
      <c r="O915" s="80">
        <f>+VLOOKUP(N915,[3]Material!$A$3:$B$58,2,FALSE)</f>
        <v>5000</v>
      </c>
      <c r="P915" s="79" t="s">
        <v>42</v>
      </c>
      <c r="Q915" s="79" t="str">
        <f>+VLOOKUP(F915,[3]Material!$C$2:$E$12,2,FALSE)</f>
        <v>Cal 14</v>
      </c>
      <c r="R915" s="81">
        <f>+IF(P915="ACERO A36",VLOOKUP(Q915,'[3]Velocidades Std 1500 w'!$B$2:$F$15,5,FALSE),IF(P915="INOXIDABLE",VLOOKUP(Q915,'[3]Velocidades Std 1500 w'!$B$17:$F$28,5,FALSE),IF(P915="ALUMINIO",VLOOKUP(Q915,'[3]Velocidades Std 1500 w'!$B$30:$F$38,5,FALSE))))</f>
        <v>2.0080321285140564E-6</v>
      </c>
      <c r="S915" s="82">
        <f t="shared" si="116"/>
        <v>1.0040160642570283E-2</v>
      </c>
      <c r="T915" s="83">
        <f t="shared" si="117"/>
        <v>0</v>
      </c>
      <c r="U915" s="307">
        <f t="shared" si="130"/>
        <v>0</v>
      </c>
      <c r="V915" s="80">
        <f t="shared" si="122"/>
        <v>0</v>
      </c>
      <c r="W915" s="98"/>
      <c r="X915" s="84">
        <f>+IF(P915="ACERO A36",VLOOKUP(Q915,'[3]Tiempo Objeto'!$B$2:$C$12,2,FALSE),IF(P915="INOXIDABLE",VLOOKUP(Q915,'[3]Tiempo Objeto'!$B$14:$C$22,2,FALSE),IF(P915="ALUMINIO",VLOOKUP(Q915,'[3]Tiempo Objeto'!$B$24:$C$32,2,FALSE))))</f>
        <v>0.3133333333333333</v>
      </c>
      <c r="Y915" s="84">
        <f t="shared" si="118"/>
        <v>0</v>
      </c>
      <c r="Z915" s="80">
        <f t="shared" si="119"/>
        <v>0</v>
      </c>
      <c r="AA915" s="100"/>
      <c r="AB915" s="86">
        <f>+AA915*Analisis!$J$6</f>
        <v>0</v>
      </c>
      <c r="AC915" s="100"/>
      <c r="AD915" s="85">
        <f t="shared" si="120"/>
        <v>0</v>
      </c>
      <c r="AE915" s="86">
        <f>+AC915*Analisis!$J$7</f>
        <v>0</v>
      </c>
      <c r="AF915" s="308">
        <f>+H915*0.0254*I915*0.0254*2*(1+[3]Analisis!$G$2)</f>
        <v>0</v>
      </c>
      <c r="AG915" s="86">
        <f>+AF915*Analisis!$J$8</f>
        <v>0</v>
      </c>
      <c r="AH915" s="309">
        <f t="shared" si="126"/>
        <v>0</v>
      </c>
      <c r="AI915" s="86">
        <f>+AH915/(1-Analisis!G920)</f>
        <v>0</v>
      </c>
      <c r="AJ915" s="86">
        <f t="shared" si="121"/>
        <v>0</v>
      </c>
      <c r="AK915" s="86">
        <f t="shared" si="127"/>
        <v>0</v>
      </c>
      <c r="AL915" s="310" t="e">
        <f>+VLOOKUP(B915,#REF!,2,FALSE)</f>
        <v>#REF!</v>
      </c>
      <c r="AM915" s="311" t="e">
        <f t="shared" si="124"/>
        <v>#REF!</v>
      </c>
      <c r="AN915" s="312" t="e">
        <f t="shared" si="129"/>
        <v>#REF!</v>
      </c>
    </row>
    <row r="916" spans="1:40" s="73" customFormat="1" x14ac:dyDescent="0.25">
      <c r="A916" s="313"/>
      <c r="B916" s="332" t="s">
        <v>1583</v>
      </c>
      <c r="D916" s="74">
        <f>IFERROR(VLOOKUP(B916,'REQ. PINTADO'!B:C,2,0),0)</f>
        <v>0</v>
      </c>
      <c r="E916" s="305">
        <f t="shared" si="114"/>
        <v>116.93138052870228</v>
      </c>
      <c r="F916" s="103" t="s">
        <v>164</v>
      </c>
      <c r="G916" s="75" t="s">
        <v>147</v>
      </c>
      <c r="H916" s="90">
        <v>3.46</v>
      </c>
      <c r="I916" s="90">
        <v>7.6</v>
      </c>
      <c r="J916" s="76">
        <v>0.105</v>
      </c>
      <c r="K916" s="306">
        <v>16.38</v>
      </c>
      <c r="L916" s="78">
        <f t="shared" si="115"/>
        <v>2.446520655270656</v>
      </c>
      <c r="M916" s="58">
        <f>+VLOOKUP(F916,Material!$H$2:$M$17,6,FALSE)*H916*I916*(1+Material!$K$14)</f>
        <v>18.215458333333338</v>
      </c>
      <c r="N916" s="79" t="str">
        <f t="shared" si="131"/>
        <v>T5.0</v>
      </c>
      <c r="O916" s="80">
        <f>+VLOOKUP(N916,[3]Material!$A$3:$B$58,2,FALSE)</f>
        <v>5000</v>
      </c>
      <c r="P916" s="79" t="s">
        <v>42</v>
      </c>
      <c r="Q916" s="79" t="str">
        <f>+VLOOKUP(F916,[3]Material!$C$2:$E$12,2,FALSE)</f>
        <v>Cal 10</v>
      </c>
      <c r="R916" s="81">
        <f>+IF(P916="ACERO A36",VLOOKUP(Q916,'[3]Velocidades Std 1500 w'!$B$2:$F$15,5,FALSE),IF(P916="INOXIDABLE",VLOOKUP(Q916,'[3]Velocidades Std 1500 w'!$B$17:$F$28,5,FALSE),IF(P916="ALUMINIO",VLOOKUP(Q916,'[3]Velocidades Std 1500 w'!$B$30:$F$38,5,FALSE))))</f>
        <v>6.1728395061728391E-6</v>
      </c>
      <c r="S916" s="82">
        <f t="shared" si="116"/>
        <v>3.0864197530864196E-2</v>
      </c>
      <c r="T916" s="83">
        <f t="shared" si="117"/>
        <v>20.221786666666663</v>
      </c>
      <c r="U916" s="307">
        <f t="shared" si="130"/>
        <v>909.98039999999992</v>
      </c>
      <c r="V916" s="80">
        <f t="shared" si="122"/>
        <v>28.08581481481481</v>
      </c>
      <c r="W916" s="98">
        <v>8</v>
      </c>
      <c r="X916" s="84">
        <f>+IF(P916="ACERO A36",VLOOKUP(Q916,'[3]Tiempo Objeto'!$B$2:$C$12,2,FALSE),IF(P916="INOXIDABLE",VLOOKUP(Q916,'[3]Tiempo Objeto'!$B$14:$C$22,2,FALSE),IF(P916="ALUMINIO",VLOOKUP(Q916,'[3]Tiempo Objeto'!$B$24:$C$32,2,FALSE))))</f>
        <v>0.71333333333333337</v>
      </c>
      <c r="Y916" s="84">
        <f t="shared" si="118"/>
        <v>5.706666666666667</v>
      </c>
      <c r="Z916" s="80">
        <f t="shared" si="119"/>
        <v>7.9259259259259265</v>
      </c>
      <c r="AA916" s="100">
        <v>2</v>
      </c>
      <c r="AB916" s="86">
        <f>+AA916*Analisis!$J$6</f>
        <v>50</v>
      </c>
      <c r="AC916" s="100"/>
      <c r="AD916" s="85">
        <f t="shared" si="120"/>
        <v>0</v>
      </c>
      <c r="AE916" s="86">
        <f>+AC916*Analisis!$J$7</f>
        <v>0</v>
      </c>
      <c r="AF916" s="308">
        <f>+H916*0.0254*I916*0.0254*2*(1+[3]Analisis!$G$2)</f>
        <v>4.2412818399999996E-2</v>
      </c>
      <c r="AG916" s="86">
        <f>+AF916*Analisis!$J$8</f>
        <v>4.5189848176190486</v>
      </c>
      <c r="AH916" s="309">
        <f t="shared" si="126"/>
        <v>108.74618389169311</v>
      </c>
      <c r="AI916" s="86">
        <f>+AH916/(1-Analisis!G921)</f>
        <v>108.74618389169311</v>
      </c>
      <c r="AJ916" s="86">
        <f t="shared" si="121"/>
        <v>116.93138052870228</v>
      </c>
      <c r="AK916" s="86">
        <f t="shared" si="127"/>
        <v>0</v>
      </c>
      <c r="AL916" s="310" t="e">
        <f>+VLOOKUP(B916,#REF!,2,FALSE)</f>
        <v>#REF!</v>
      </c>
      <c r="AM916" s="311" t="e">
        <f t="shared" si="124"/>
        <v>#REF!</v>
      </c>
      <c r="AN916" s="312" t="e">
        <f t="shared" si="129"/>
        <v>#REF!</v>
      </c>
    </row>
    <row r="917" spans="1:40" s="73" customFormat="1" x14ac:dyDescent="0.25">
      <c r="A917" s="313"/>
      <c r="B917" s="332" t="s">
        <v>1584</v>
      </c>
      <c r="D917" s="74">
        <f>IFERROR(VLOOKUP(B917,'REQ. PINTADO'!B:C,2,0),0)</f>
        <v>0</v>
      </c>
      <c r="E917" s="305">
        <f t="shared" si="114"/>
        <v>39.844378876400796</v>
      </c>
      <c r="F917" s="103" t="s">
        <v>163</v>
      </c>
      <c r="G917" s="75" t="s">
        <v>147</v>
      </c>
      <c r="H917" s="90">
        <v>2</v>
      </c>
      <c r="I917" s="90">
        <v>2</v>
      </c>
      <c r="J917" s="76">
        <v>0.105</v>
      </c>
      <c r="K917" s="306">
        <v>16.38</v>
      </c>
      <c r="L917" s="78">
        <f t="shared" si="115"/>
        <v>0.20166114884259267</v>
      </c>
      <c r="M917" s="58">
        <f>+VLOOKUP(F917,Material!$H$2:$M$17,6,FALSE)*H917*I917*(1+Material!$K$14)</f>
        <v>1.501458917291667</v>
      </c>
      <c r="N917" s="79" t="str">
        <f t="shared" si="131"/>
        <v>T5.0</v>
      </c>
      <c r="O917" s="80">
        <f>+VLOOKUP(N917,[3]Material!$A$3:$B$58,2,FALSE)</f>
        <v>5000</v>
      </c>
      <c r="P917" s="79" t="s">
        <v>42</v>
      </c>
      <c r="Q917" s="79" t="str">
        <f>+VLOOKUP(F917,[3]Material!$C$2:$E$12,2,FALSE)</f>
        <v>Cal 12</v>
      </c>
      <c r="R917" s="81">
        <f>+IF(P917="ACERO A36",VLOOKUP(Q917,'[3]Velocidades Std 1500 w'!$B$2:$F$15,5,FALSE),IF(P917="INOXIDABLE",VLOOKUP(Q917,'[3]Velocidades Std 1500 w'!$B$17:$F$28,5,FALSE),IF(P917="ALUMINIO",VLOOKUP(Q917,'[3]Velocidades Std 1500 w'!$B$30:$F$38,5,FALSE))))</f>
        <v>4.3859649122807014E-6</v>
      </c>
      <c r="S917" s="82">
        <f t="shared" si="116"/>
        <v>2.1929824561403508E-2</v>
      </c>
      <c r="T917" s="83">
        <f t="shared" si="117"/>
        <v>5.2638157894736839</v>
      </c>
      <c r="U917" s="307">
        <f t="shared" si="130"/>
        <v>333.375</v>
      </c>
      <c r="V917" s="80">
        <f t="shared" si="122"/>
        <v>7.3108552631578947</v>
      </c>
      <c r="W917" s="98">
        <v>3</v>
      </c>
      <c r="X917" s="84">
        <f>+IF(P917="ACERO A36",VLOOKUP(Q917,'[3]Tiempo Objeto'!$B$2:$C$12,2,FALSE),IF(P917="INOXIDABLE",VLOOKUP(Q917,'[3]Tiempo Objeto'!$B$14:$C$22,2,FALSE),IF(P917="ALUMINIO",VLOOKUP(Q917,'[3]Tiempo Objeto'!$B$24:$C$32,2,FALSE))))</f>
        <v>0.6133333333333334</v>
      </c>
      <c r="Y917" s="84">
        <f t="shared" si="118"/>
        <v>1.8400000000000003</v>
      </c>
      <c r="Z917" s="80">
        <f t="shared" si="119"/>
        <v>2.5555555555555562</v>
      </c>
      <c r="AA917" s="100">
        <v>1</v>
      </c>
      <c r="AB917" s="86">
        <f>+AA917*Analisis!$J$6</f>
        <v>25</v>
      </c>
      <c r="AC917" s="100"/>
      <c r="AD917" s="85">
        <f t="shared" si="120"/>
        <v>0</v>
      </c>
      <c r="AE917" s="86">
        <f>+AC917*Analisis!$J$7</f>
        <v>0</v>
      </c>
      <c r="AF917" s="308">
        <f>+H917*0.0254*I917*0.0254*2*(1+[3]Analisis!$G$2)</f>
        <v>6.4516E-3</v>
      </c>
      <c r="AG917" s="86">
        <f>+AF917*Analisis!$J$8</f>
        <v>0.68740261904761923</v>
      </c>
      <c r="AH917" s="309">
        <f t="shared" si="126"/>
        <v>37.055272355052736</v>
      </c>
      <c r="AI917" s="86">
        <f>+AH917/(1-Analisis!G922)</f>
        <v>37.055272355052736</v>
      </c>
      <c r="AJ917" s="86">
        <f t="shared" si="121"/>
        <v>39.844378876400796</v>
      </c>
      <c r="AK917" s="86">
        <f t="shared" si="127"/>
        <v>0</v>
      </c>
      <c r="AL917" s="310" t="e">
        <f>+VLOOKUP(B917,#REF!,2,FALSE)</f>
        <v>#REF!</v>
      </c>
      <c r="AM917" s="311" t="e">
        <f t="shared" si="124"/>
        <v>#REF!</v>
      </c>
      <c r="AN917" s="312" t="e">
        <f t="shared" si="129"/>
        <v>#REF!</v>
      </c>
    </row>
    <row r="918" spans="1:40" s="73" customFormat="1" x14ac:dyDescent="0.25">
      <c r="A918" s="313"/>
      <c r="B918" s="332" t="s">
        <v>1585</v>
      </c>
      <c r="D918" s="74">
        <f>IFERROR(VLOOKUP(B918,'REQ. PINTADO'!B:C,2,0),0)</f>
        <v>0</v>
      </c>
      <c r="E918" s="305">
        <f t="shared" si="114"/>
        <v>388.33781017342699</v>
      </c>
      <c r="F918" s="103" t="s">
        <v>164</v>
      </c>
      <c r="G918" s="75" t="s">
        <v>147</v>
      </c>
      <c r="H918" s="90">
        <v>23.38</v>
      </c>
      <c r="I918" s="90">
        <v>10.029999999999999</v>
      </c>
      <c r="J918" s="76">
        <v>0.105</v>
      </c>
      <c r="K918" s="306">
        <v>16.38</v>
      </c>
      <c r="L918" s="78">
        <f t="shared" si="115"/>
        <v>21.817482460826213</v>
      </c>
      <c r="M918" s="58">
        <f>+VLOOKUP(F918,Material!$H$2:$M$17,6,FALSE)*H918*I918*(1+Material!$K$14)</f>
        <v>162.44107395833333</v>
      </c>
      <c r="N918" s="79" t="str">
        <f t="shared" si="131"/>
        <v>T5.0</v>
      </c>
      <c r="O918" s="80">
        <f>+VLOOKUP(N918,[3]Material!$A$3:$B$58,2,FALSE)</f>
        <v>5000</v>
      </c>
      <c r="P918" s="79" t="s">
        <v>42</v>
      </c>
      <c r="Q918" s="79" t="str">
        <f>+VLOOKUP(F918,[3]Material!$C$2:$E$12,2,FALSE)</f>
        <v>Cal 10</v>
      </c>
      <c r="R918" s="81">
        <f>+IF(P918="ACERO A36",VLOOKUP(Q918,'[3]Velocidades Std 1500 w'!$B$2:$F$15,5,FALSE),IF(P918="INOXIDABLE",VLOOKUP(Q918,'[3]Velocidades Std 1500 w'!$B$17:$F$28,5,FALSE),IF(P918="ALUMINIO",VLOOKUP(Q918,'[3]Velocidades Std 1500 w'!$B$30:$F$38,5,FALSE))))</f>
        <v>6.1728395061728391E-6</v>
      </c>
      <c r="S918" s="82">
        <f t="shared" si="116"/>
        <v>3.0864197530864196E-2</v>
      </c>
      <c r="T918" s="83">
        <f t="shared" si="117"/>
        <v>60.93798666666666</v>
      </c>
      <c r="U918" s="307">
        <f t="shared" si="130"/>
        <v>2742.2093999999997</v>
      </c>
      <c r="V918" s="80">
        <f t="shared" si="122"/>
        <v>84.636092592592576</v>
      </c>
      <c r="W918" s="98">
        <v>24</v>
      </c>
      <c r="X918" s="84">
        <f>+IF(P918="ACERO A36",VLOOKUP(Q918,'[3]Tiempo Objeto'!$B$2:$C$12,2,FALSE),IF(P918="INOXIDABLE",VLOOKUP(Q918,'[3]Tiempo Objeto'!$B$14:$C$22,2,FALSE),IF(P918="ALUMINIO",VLOOKUP(Q918,'[3]Tiempo Objeto'!$B$24:$C$32,2,FALSE))))</f>
        <v>0.71333333333333337</v>
      </c>
      <c r="Y918" s="84">
        <f t="shared" si="118"/>
        <v>17.12</v>
      </c>
      <c r="Z918" s="80">
        <f t="shared" si="119"/>
        <v>23.777777777777779</v>
      </c>
      <c r="AA918" s="100">
        <v>2</v>
      </c>
      <c r="AB918" s="86">
        <f>+AA918*Analisis!$J$6</f>
        <v>50</v>
      </c>
      <c r="AC918" s="100"/>
      <c r="AD918" s="85">
        <f t="shared" si="120"/>
        <v>0</v>
      </c>
      <c r="AE918" s="86">
        <f>+AC918*Analisis!$J$7</f>
        <v>0</v>
      </c>
      <c r="AF918" s="308">
        <f>+H918*0.0254*I918*0.0254*2*(1+[3]Analisis!$G$2)</f>
        <v>0.37822730805999988</v>
      </c>
      <c r="AG918" s="86">
        <f>+AF918*Analisis!$J$8</f>
        <v>40.299219132583332</v>
      </c>
      <c r="AH918" s="309">
        <f t="shared" si="126"/>
        <v>361.15416346128706</v>
      </c>
      <c r="AI918" s="86">
        <f>+AH918/(1-Analisis!G923)</f>
        <v>361.15416346128706</v>
      </c>
      <c r="AJ918" s="86">
        <f t="shared" si="121"/>
        <v>388.33781017342699</v>
      </c>
      <c r="AK918" s="86">
        <f t="shared" si="127"/>
        <v>0</v>
      </c>
      <c r="AL918" s="310" t="e">
        <f>+VLOOKUP(B918,#REF!,2,FALSE)</f>
        <v>#REF!</v>
      </c>
      <c r="AM918" s="311" t="e">
        <f t="shared" si="124"/>
        <v>#REF!</v>
      </c>
      <c r="AN918" s="312" t="e">
        <f t="shared" si="129"/>
        <v>#REF!</v>
      </c>
    </row>
    <row r="919" spans="1:40" s="73" customFormat="1" x14ac:dyDescent="0.25">
      <c r="A919" s="313"/>
      <c r="B919" s="332" t="s">
        <v>1586</v>
      </c>
      <c r="D919" s="74">
        <f>IFERROR(VLOOKUP(B919,'REQ. PINTADO'!B:C,2,0),0)</f>
        <v>0</v>
      </c>
      <c r="E919" s="305">
        <f t="shared" si="114"/>
        <v>388.33781017342693</v>
      </c>
      <c r="F919" s="103" t="s">
        <v>164</v>
      </c>
      <c r="G919" s="75" t="s">
        <v>147</v>
      </c>
      <c r="H919" s="90">
        <v>10.029999999999999</v>
      </c>
      <c r="I919" s="90">
        <v>23.38</v>
      </c>
      <c r="J919" s="76">
        <v>0.105</v>
      </c>
      <c r="K919" s="306">
        <v>16.38</v>
      </c>
      <c r="L919" s="78">
        <f t="shared" si="115"/>
        <v>21.817482460826209</v>
      </c>
      <c r="M919" s="58">
        <f>+VLOOKUP(F919,Material!$H$2:$M$17,6,FALSE)*H919*I919*(1+Material!$K$14)</f>
        <v>162.44107395833331</v>
      </c>
      <c r="N919" s="79" t="str">
        <f t="shared" si="131"/>
        <v>T5.0</v>
      </c>
      <c r="O919" s="80">
        <f>+VLOOKUP(N919,[3]Material!$A$3:$B$58,2,FALSE)</f>
        <v>5000</v>
      </c>
      <c r="P919" s="79" t="s">
        <v>42</v>
      </c>
      <c r="Q919" s="79" t="str">
        <f>+VLOOKUP(F919,[3]Material!$C$2:$E$12,2,FALSE)</f>
        <v>Cal 10</v>
      </c>
      <c r="R919" s="81">
        <f>+IF(P919="ACERO A36",VLOOKUP(Q919,'[3]Velocidades Std 1500 w'!$B$2:$F$15,5,FALSE),IF(P919="INOXIDABLE",VLOOKUP(Q919,'[3]Velocidades Std 1500 w'!$B$17:$F$28,5,FALSE),IF(P919="ALUMINIO",VLOOKUP(Q919,'[3]Velocidades Std 1500 w'!$B$30:$F$38,5,FALSE))))</f>
        <v>6.1728395061728391E-6</v>
      </c>
      <c r="S919" s="82">
        <f t="shared" si="116"/>
        <v>3.0864197530864196E-2</v>
      </c>
      <c r="T919" s="83">
        <f t="shared" si="117"/>
        <v>60.93798666666666</v>
      </c>
      <c r="U919" s="307">
        <f t="shared" si="130"/>
        <v>2742.2093999999997</v>
      </c>
      <c r="V919" s="80">
        <f t="shared" si="122"/>
        <v>84.636092592592576</v>
      </c>
      <c r="W919" s="98">
        <v>24</v>
      </c>
      <c r="X919" s="84">
        <f>+IF(P919="ACERO A36",VLOOKUP(Q919,'[3]Tiempo Objeto'!$B$2:$C$12,2,FALSE),IF(P919="INOXIDABLE",VLOOKUP(Q919,'[3]Tiempo Objeto'!$B$14:$C$22,2,FALSE),IF(P919="ALUMINIO",VLOOKUP(Q919,'[3]Tiempo Objeto'!$B$24:$C$32,2,FALSE))))</f>
        <v>0.71333333333333337</v>
      </c>
      <c r="Y919" s="84">
        <f t="shared" si="118"/>
        <v>17.12</v>
      </c>
      <c r="Z919" s="80">
        <f t="shared" si="119"/>
        <v>23.777777777777779</v>
      </c>
      <c r="AA919" s="100">
        <v>2</v>
      </c>
      <c r="AB919" s="86">
        <f>+AA919*Analisis!$J$6</f>
        <v>50</v>
      </c>
      <c r="AC919" s="100"/>
      <c r="AD919" s="85">
        <f t="shared" si="120"/>
        <v>0</v>
      </c>
      <c r="AE919" s="86">
        <f>+AC919*Analisis!$J$7</f>
        <v>0</v>
      </c>
      <c r="AF919" s="308">
        <f>+H919*0.0254*I919*0.0254*2*(1+[3]Analisis!$G$2)</f>
        <v>0.37822730805999993</v>
      </c>
      <c r="AG919" s="86">
        <f>+AF919*Analisis!$J$8</f>
        <v>40.299219132583339</v>
      </c>
      <c r="AH919" s="309">
        <f t="shared" si="126"/>
        <v>361.154163461287</v>
      </c>
      <c r="AI919" s="86">
        <f>+AH919/(1-Analisis!G924)</f>
        <v>361.154163461287</v>
      </c>
      <c r="AJ919" s="86">
        <f t="shared" si="121"/>
        <v>388.33781017342693</v>
      </c>
      <c r="AK919" s="86">
        <f t="shared" si="127"/>
        <v>0</v>
      </c>
      <c r="AL919" s="310" t="e">
        <f>+VLOOKUP(B919,#REF!,2,FALSE)</f>
        <v>#REF!</v>
      </c>
      <c r="AM919" s="311" t="e">
        <f t="shared" si="124"/>
        <v>#REF!</v>
      </c>
      <c r="AN919" s="312" t="e">
        <f t="shared" si="129"/>
        <v>#REF!</v>
      </c>
    </row>
    <row r="920" spans="1:40" s="73" customFormat="1" x14ac:dyDescent="0.25">
      <c r="A920" s="313"/>
      <c r="B920" s="332" t="s">
        <v>1587</v>
      </c>
      <c r="D920" s="74">
        <f>IFERROR(VLOOKUP(B920,'REQ. PINTADO'!B:C,2,0),0)</f>
        <v>0</v>
      </c>
      <c r="E920" s="305">
        <f t="shared" si="114"/>
        <v>81.922606205296702</v>
      </c>
      <c r="F920" s="103" t="s">
        <v>165</v>
      </c>
      <c r="G920" s="75" t="s">
        <v>147</v>
      </c>
      <c r="H920" s="90">
        <v>4.95</v>
      </c>
      <c r="I920" s="90">
        <v>12.88</v>
      </c>
      <c r="J920" s="76">
        <v>0.105</v>
      </c>
      <c r="K920" s="306">
        <v>16.38</v>
      </c>
      <c r="L920" s="78">
        <f t="shared" si="115"/>
        <v>3.5590288461538471</v>
      </c>
      <c r="M920" s="58">
        <f>+VLOOKUP(F920,Material!$H$2:$M$17,6,FALSE)*H920*I920*(1+Material!$K$14)</f>
        <v>26.498587500000003</v>
      </c>
      <c r="N920" s="79" t="str">
        <f t="shared" si="131"/>
        <v>T5.0</v>
      </c>
      <c r="O920" s="80">
        <f>+VLOOKUP(N920,[3]Material!$A$3:$B$58,2,FALSE)</f>
        <v>5000</v>
      </c>
      <c r="P920" s="79" t="s">
        <v>42</v>
      </c>
      <c r="Q920" s="79" t="str">
        <f>+VLOOKUP(F920,[3]Material!$C$2:$E$12,2,FALSE)</f>
        <v>Cal 14</v>
      </c>
      <c r="R920" s="81">
        <f>+IF(P920="ACERO A36",VLOOKUP(Q920,'[3]Velocidades Std 1500 w'!$B$2:$F$15,5,FALSE),IF(P920="INOXIDABLE",VLOOKUP(Q920,'[3]Velocidades Std 1500 w'!$B$17:$F$28,5,FALSE),IF(P920="ALUMINIO",VLOOKUP(Q920,'[3]Velocidades Std 1500 w'!$B$30:$F$38,5,FALSE))))</f>
        <v>2.0080321285140564E-6</v>
      </c>
      <c r="S920" s="82">
        <f t="shared" si="116"/>
        <v>1.0040160642570283E-2</v>
      </c>
      <c r="T920" s="83">
        <f t="shared" si="117"/>
        <v>8.3210400000000035</v>
      </c>
      <c r="U920" s="307">
        <f t="shared" si="130"/>
        <v>1151.0772000000002</v>
      </c>
      <c r="V920" s="80">
        <f t="shared" si="122"/>
        <v>11.557000000000004</v>
      </c>
      <c r="W920" s="98">
        <v>5</v>
      </c>
      <c r="X920" s="84">
        <f>+IF(P920="ACERO A36",VLOOKUP(Q920,'[3]Tiempo Objeto'!$B$2:$C$12,2,FALSE),IF(P920="INOXIDABLE",VLOOKUP(Q920,'[3]Tiempo Objeto'!$B$14:$C$22,2,FALSE),IF(P920="ALUMINIO",VLOOKUP(Q920,'[3]Tiempo Objeto'!$B$24:$C$32,2,FALSE))))</f>
        <v>0.3133333333333333</v>
      </c>
      <c r="Y920" s="84">
        <f t="shared" si="118"/>
        <v>1.5666666666666664</v>
      </c>
      <c r="Z920" s="80">
        <f t="shared" si="119"/>
        <v>2.1759259259259256</v>
      </c>
      <c r="AA920" s="100">
        <v>1</v>
      </c>
      <c r="AB920" s="86">
        <f>+AA920*Analisis!$J$6</f>
        <v>25</v>
      </c>
      <c r="AC920" s="100"/>
      <c r="AD920" s="85">
        <f t="shared" si="120"/>
        <v>0</v>
      </c>
      <c r="AE920" s="86">
        <f>+AC920*Analisis!$J$7</f>
        <v>0</v>
      </c>
      <c r="AF920" s="308">
        <f>+H920*0.0254*I920*0.0254*2*(1+[3]Analisis!$G$2)</f>
        <v>0.10283205240000001</v>
      </c>
      <c r="AG920" s="86">
        <f>+AF920*Analisis!$J$8</f>
        <v>10.956510345000005</v>
      </c>
      <c r="AH920" s="309">
        <f t="shared" si="126"/>
        <v>76.188023770925923</v>
      </c>
      <c r="AI920" s="86">
        <f>+AH920/(1-Analisis!G925)</f>
        <v>76.188023770925923</v>
      </c>
      <c r="AJ920" s="86">
        <f t="shared" si="121"/>
        <v>81.922606205296702</v>
      </c>
      <c r="AK920" s="86">
        <f t="shared" si="127"/>
        <v>0</v>
      </c>
      <c r="AL920" s="310" t="e">
        <f>+VLOOKUP(B920,#REF!,2,FALSE)</f>
        <v>#REF!</v>
      </c>
      <c r="AM920" s="311" t="e">
        <f t="shared" si="124"/>
        <v>#REF!</v>
      </c>
      <c r="AN920" s="312" t="e">
        <f t="shared" si="129"/>
        <v>#REF!</v>
      </c>
    </row>
    <row r="921" spans="1:40" s="73" customFormat="1" x14ac:dyDescent="0.25">
      <c r="A921" s="313"/>
      <c r="B921" s="332" t="s">
        <v>1588</v>
      </c>
      <c r="D921" s="74">
        <f>IFERROR(VLOOKUP(B921,'REQ. PINTADO'!B:C,2,0),0)</f>
        <v>0</v>
      </c>
      <c r="E921" s="305">
        <f t="shared" si="114"/>
        <v>100.43629792436191</v>
      </c>
      <c r="F921" s="103" t="s">
        <v>165</v>
      </c>
      <c r="G921" s="75" t="s">
        <v>147</v>
      </c>
      <c r="H921" s="90">
        <v>4.95</v>
      </c>
      <c r="I921" s="90">
        <v>17.88</v>
      </c>
      <c r="J921" s="76">
        <v>0.105</v>
      </c>
      <c r="K921" s="306">
        <v>16.38</v>
      </c>
      <c r="L921" s="78">
        <f t="shared" si="115"/>
        <v>4.9406394230769228</v>
      </c>
      <c r="M921" s="58">
        <f>+VLOOKUP(F921,Material!$H$2:$M$17,6,FALSE)*H921*I921*(1+Material!$K$14)</f>
        <v>36.785306249999998</v>
      </c>
      <c r="N921" s="79" t="str">
        <f t="shared" si="131"/>
        <v>T5.0</v>
      </c>
      <c r="O921" s="80">
        <f>+VLOOKUP(N921,[3]Material!$A$3:$B$58,2,FALSE)</f>
        <v>5000</v>
      </c>
      <c r="P921" s="79" t="s">
        <v>42</v>
      </c>
      <c r="Q921" s="79" t="str">
        <f>+VLOOKUP(F921,[3]Material!$C$2:$E$12,2,FALSE)</f>
        <v>Cal 14</v>
      </c>
      <c r="R921" s="81">
        <f>+IF(P921="ACERO A36",VLOOKUP(Q921,'[3]Velocidades Std 1500 w'!$B$2:$F$15,5,FALSE),IF(P921="INOXIDABLE",VLOOKUP(Q921,'[3]Velocidades Std 1500 w'!$B$17:$F$28,5,FALSE),IF(P921="ALUMINIO",VLOOKUP(Q921,'[3]Velocidades Std 1500 w'!$B$30:$F$38,5,FALSE))))</f>
        <v>2.0080321285140564E-6</v>
      </c>
      <c r="S921" s="82">
        <f t="shared" si="116"/>
        <v>1.0040160642570283E-2</v>
      </c>
      <c r="T921" s="83">
        <f t="shared" si="117"/>
        <v>10.248991807228917</v>
      </c>
      <c r="U921" s="307">
        <f t="shared" si="130"/>
        <v>1417.7772</v>
      </c>
      <c r="V921" s="80">
        <f t="shared" si="122"/>
        <v>14.234710843373497</v>
      </c>
      <c r="W921" s="98">
        <v>5</v>
      </c>
      <c r="X921" s="84">
        <f>+IF(P921="ACERO A36",VLOOKUP(Q921,'[3]Tiempo Objeto'!$B$2:$C$12,2,FALSE),IF(P921="INOXIDABLE",VLOOKUP(Q921,'[3]Tiempo Objeto'!$B$14:$C$22,2,FALSE),IF(P921="ALUMINIO",VLOOKUP(Q921,'[3]Tiempo Objeto'!$B$24:$C$32,2,FALSE))))</f>
        <v>0.3133333333333333</v>
      </c>
      <c r="Y921" s="84">
        <f t="shared" si="118"/>
        <v>1.5666666666666664</v>
      </c>
      <c r="Z921" s="80">
        <f t="shared" si="119"/>
        <v>2.1759259259259256</v>
      </c>
      <c r="AA921" s="100">
        <v>1</v>
      </c>
      <c r="AB921" s="86">
        <f>+AA921*Analisis!$J$6</f>
        <v>25</v>
      </c>
      <c r="AC921" s="100"/>
      <c r="AD921" s="85">
        <f t="shared" si="120"/>
        <v>0</v>
      </c>
      <c r="AE921" s="86">
        <f>+AC921*Analisis!$J$7</f>
        <v>0</v>
      </c>
      <c r="AF921" s="308">
        <f>+H921*0.0254*I921*0.0254*2*(1+[3]Analisis!$G$2)</f>
        <v>0.14275132739999999</v>
      </c>
      <c r="AG921" s="86">
        <f>+AF921*Analisis!$J$8</f>
        <v>15.209814050357146</v>
      </c>
      <c r="AH921" s="309">
        <f t="shared" si="126"/>
        <v>93.405757069656573</v>
      </c>
      <c r="AI921" s="86">
        <f>+AH921/(1-Analisis!G926)</f>
        <v>93.405757069656573</v>
      </c>
      <c r="AJ921" s="86">
        <f t="shared" si="121"/>
        <v>100.43629792436191</v>
      </c>
      <c r="AK921" s="86">
        <f t="shared" si="127"/>
        <v>0</v>
      </c>
      <c r="AL921" s="310" t="e">
        <f>+VLOOKUP(B921,#REF!,2,FALSE)</f>
        <v>#REF!</v>
      </c>
      <c r="AM921" s="311" t="e">
        <f t="shared" si="124"/>
        <v>#REF!</v>
      </c>
      <c r="AN921" s="312" t="e">
        <f t="shared" si="129"/>
        <v>#REF!</v>
      </c>
    </row>
    <row r="922" spans="1:40" s="73" customFormat="1" x14ac:dyDescent="0.25">
      <c r="A922" s="313"/>
      <c r="B922" s="332" t="s">
        <v>1589</v>
      </c>
      <c r="D922" s="74">
        <f>IFERROR(VLOOKUP(B922,'REQ. PINTADO'!B:C,2,0),0)</f>
        <v>0</v>
      </c>
      <c r="E922" s="305">
        <f t="shared" si="114"/>
        <v>0</v>
      </c>
      <c r="F922" s="103" t="s">
        <v>165</v>
      </c>
      <c r="G922" s="75" t="s">
        <v>147</v>
      </c>
      <c r="H922" s="90"/>
      <c r="I922" s="90"/>
      <c r="J922" s="76">
        <v>0.105</v>
      </c>
      <c r="K922" s="306">
        <v>16.38</v>
      </c>
      <c r="L922" s="78">
        <f t="shared" si="115"/>
        <v>0</v>
      </c>
      <c r="M922" s="58">
        <f>+VLOOKUP(F922,Material!$H$2:$M$17,6,FALSE)*H922*I922*(1+Material!$K$14)</f>
        <v>0</v>
      </c>
      <c r="N922" s="79" t="str">
        <f t="shared" si="131"/>
        <v>T5.0</v>
      </c>
      <c r="O922" s="80">
        <f>+VLOOKUP(N922,[3]Material!$A$3:$B$58,2,FALSE)</f>
        <v>5000</v>
      </c>
      <c r="P922" s="79" t="s">
        <v>42</v>
      </c>
      <c r="Q922" s="79" t="str">
        <f>+VLOOKUP(F922,[3]Material!$C$2:$E$12,2,FALSE)</f>
        <v>Cal 14</v>
      </c>
      <c r="R922" s="81">
        <f>+IF(P922="ACERO A36",VLOOKUP(Q922,'[3]Velocidades Std 1500 w'!$B$2:$F$15,5,FALSE),IF(P922="INOXIDABLE",VLOOKUP(Q922,'[3]Velocidades Std 1500 w'!$B$17:$F$28,5,FALSE),IF(P922="ALUMINIO",VLOOKUP(Q922,'[3]Velocidades Std 1500 w'!$B$30:$F$38,5,FALSE))))</f>
        <v>2.0080321285140564E-6</v>
      </c>
      <c r="S922" s="82">
        <f t="shared" si="116"/>
        <v>1.0040160642570283E-2</v>
      </c>
      <c r="T922" s="83">
        <f t="shared" si="117"/>
        <v>0</v>
      </c>
      <c r="U922" s="307">
        <f t="shared" si="130"/>
        <v>0</v>
      </c>
      <c r="V922" s="80">
        <f t="shared" si="122"/>
        <v>0</v>
      </c>
      <c r="W922" s="98"/>
      <c r="X922" s="84">
        <f>+IF(P922="ACERO A36",VLOOKUP(Q922,'[3]Tiempo Objeto'!$B$2:$C$12,2,FALSE),IF(P922="INOXIDABLE",VLOOKUP(Q922,'[3]Tiempo Objeto'!$B$14:$C$22,2,FALSE),IF(P922="ALUMINIO",VLOOKUP(Q922,'[3]Tiempo Objeto'!$B$24:$C$32,2,FALSE))))</f>
        <v>0.3133333333333333</v>
      </c>
      <c r="Y922" s="84">
        <f t="shared" si="118"/>
        <v>0</v>
      </c>
      <c r="Z922" s="80">
        <f t="shared" si="119"/>
        <v>0</v>
      </c>
      <c r="AA922" s="100"/>
      <c r="AB922" s="86">
        <f>+AA922*Analisis!$J$6</f>
        <v>0</v>
      </c>
      <c r="AC922" s="100"/>
      <c r="AD922" s="85">
        <f t="shared" si="120"/>
        <v>0</v>
      </c>
      <c r="AE922" s="86">
        <f>+AC922*Analisis!$J$7</f>
        <v>0</v>
      </c>
      <c r="AF922" s="308">
        <f>+H922*0.0254*I922*0.0254*2*(1+[3]Analisis!$G$2)</f>
        <v>0</v>
      </c>
      <c r="AG922" s="86">
        <f>+AF922*Analisis!$J$8</f>
        <v>0</v>
      </c>
      <c r="AH922" s="309">
        <f t="shared" si="126"/>
        <v>0</v>
      </c>
      <c r="AI922" s="86">
        <f>+AH922/(1-Analisis!G927)</f>
        <v>0</v>
      </c>
      <c r="AJ922" s="86">
        <f t="shared" si="121"/>
        <v>0</v>
      </c>
      <c r="AK922" s="86">
        <f t="shared" si="127"/>
        <v>0</v>
      </c>
      <c r="AL922" s="310" t="e">
        <f>+VLOOKUP(B922,#REF!,2,FALSE)</f>
        <v>#REF!</v>
      </c>
      <c r="AM922" s="311" t="e">
        <f t="shared" si="124"/>
        <v>#REF!</v>
      </c>
      <c r="AN922" s="312" t="e">
        <f t="shared" si="129"/>
        <v>#REF!</v>
      </c>
    </row>
    <row r="923" spans="1:40" s="73" customFormat="1" x14ac:dyDescent="0.25">
      <c r="A923" s="313"/>
      <c r="B923" s="332" t="s">
        <v>1590</v>
      </c>
      <c r="D923" s="74">
        <f>IFERROR(VLOOKUP(B923,'REQ. PINTADO'!B:C,2,0),0)</f>
        <v>0</v>
      </c>
      <c r="E923" s="305">
        <f t="shared" si="114"/>
        <v>0</v>
      </c>
      <c r="F923" s="103" t="s">
        <v>165</v>
      </c>
      <c r="G923" s="75" t="s">
        <v>147</v>
      </c>
      <c r="H923" s="90"/>
      <c r="I923" s="90"/>
      <c r="J923" s="76">
        <v>0.105</v>
      </c>
      <c r="K923" s="306">
        <v>16.38</v>
      </c>
      <c r="L923" s="78">
        <f t="shared" si="115"/>
        <v>0</v>
      </c>
      <c r="M923" s="58">
        <f>+VLOOKUP(F923,Material!$H$2:$M$17,6,FALSE)*H923*I923*(1+Material!$K$14)</f>
        <v>0</v>
      </c>
      <c r="N923" s="79" t="str">
        <f t="shared" si="131"/>
        <v>T5.0</v>
      </c>
      <c r="O923" s="80">
        <f>+VLOOKUP(N923,[3]Material!$A$3:$B$58,2,FALSE)</f>
        <v>5000</v>
      </c>
      <c r="P923" s="79" t="s">
        <v>42</v>
      </c>
      <c r="Q923" s="79" t="str">
        <f>+VLOOKUP(F923,[3]Material!$C$2:$E$12,2,FALSE)</f>
        <v>Cal 14</v>
      </c>
      <c r="R923" s="81">
        <f>+IF(P923="ACERO A36",VLOOKUP(Q923,'[3]Velocidades Std 1500 w'!$B$2:$F$15,5,FALSE),IF(P923="INOXIDABLE",VLOOKUP(Q923,'[3]Velocidades Std 1500 w'!$B$17:$F$28,5,FALSE),IF(P923="ALUMINIO",VLOOKUP(Q923,'[3]Velocidades Std 1500 w'!$B$30:$F$38,5,FALSE))))</f>
        <v>2.0080321285140564E-6</v>
      </c>
      <c r="S923" s="82">
        <f t="shared" si="116"/>
        <v>1.0040160642570283E-2</v>
      </c>
      <c r="T923" s="83">
        <f t="shared" si="117"/>
        <v>0</v>
      </c>
      <c r="U923" s="307">
        <f t="shared" si="130"/>
        <v>0</v>
      </c>
      <c r="V923" s="80">
        <f t="shared" si="122"/>
        <v>0</v>
      </c>
      <c r="W923" s="98"/>
      <c r="X923" s="84">
        <f>+IF(P923="ACERO A36",VLOOKUP(Q923,'[3]Tiempo Objeto'!$B$2:$C$12,2,FALSE),IF(P923="INOXIDABLE",VLOOKUP(Q923,'[3]Tiempo Objeto'!$B$14:$C$22,2,FALSE),IF(P923="ALUMINIO",VLOOKUP(Q923,'[3]Tiempo Objeto'!$B$24:$C$32,2,FALSE))))</f>
        <v>0.3133333333333333</v>
      </c>
      <c r="Y923" s="84">
        <f t="shared" si="118"/>
        <v>0</v>
      </c>
      <c r="Z923" s="80">
        <f t="shared" si="119"/>
        <v>0</v>
      </c>
      <c r="AA923" s="100"/>
      <c r="AB923" s="86">
        <f>+AA923*Analisis!$J$6</f>
        <v>0</v>
      </c>
      <c r="AC923" s="100"/>
      <c r="AD923" s="85">
        <f t="shared" si="120"/>
        <v>0</v>
      </c>
      <c r="AE923" s="86">
        <f>+AC923*Analisis!$J$7</f>
        <v>0</v>
      </c>
      <c r="AF923" s="308">
        <f>+H923*0.0254*I923*0.0254*2*(1+[3]Analisis!$G$2)</f>
        <v>0</v>
      </c>
      <c r="AG923" s="86">
        <f>+AF923*Analisis!$J$8</f>
        <v>0</v>
      </c>
      <c r="AH923" s="309">
        <f t="shared" si="126"/>
        <v>0</v>
      </c>
      <c r="AI923" s="86">
        <f>+AH923/(1-Analisis!G928)</f>
        <v>0</v>
      </c>
      <c r="AJ923" s="86">
        <f t="shared" si="121"/>
        <v>0</v>
      </c>
      <c r="AK923" s="86">
        <f t="shared" si="127"/>
        <v>0</v>
      </c>
      <c r="AL923" s="310" t="e">
        <f>+VLOOKUP(B923,#REF!,2,FALSE)</f>
        <v>#REF!</v>
      </c>
      <c r="AM923" s="311" t="e">
        <f t="shared" si="124"/>
        <v>#REF!</v>
      </c>
      <c r="AN923" s="312" t="e">
        <f t="shared" si="129"/>
        <v>#REF!</v>
      </c>
    </row>
    <row r="924" spans="1:40" s="73" customFormat="1" x14ac:dyDescent="0.25">
      <c r="A924" s="313"/>
      <c r="B924" s="332" t="s">
        <v>1591</v>
      </c>
      <c r="D924" s="74">
        <f>IFERROR(VLOOKUP(B924,'REQ. PINTADO'!B:C,2,0),0)</f>
        <v>0</v>
      </c>
      <c r="E924" s="305">
        <f t="shared" si="114"/>
        <v>0</v>
      </c>
      <c r="F924" s="103" t="s">
        <v>165</v>
      </c>
      <c r="G924" s="75" t="s">
        <v>147</v>
      </c>
      <c r="H924" s="90"/>
      <c r="I924" s="90"/>
      <c r="J924" s="76">
        <v>0.105</v>
      </c>
      <c r="K924" s="306">
        <v>16.38</v>
      </c>
      <c r="L924" s="78">
        <f t="shared" si="115"/>
        <v>0</v>
      </c>
      <c r="M924" s="58">
        <f>+VLOOKUP(F924,Material!$H$2:$M$17,6,FALSE)*H924*I924*(1+Material!$K$14)</f>
        <v>0</v>
      </c>
      <c r="N924" s="79" t="str">
        <f t="shared" si="131"/>
        <v>T5.0</v>
      </c>
      <c r="O924" s="80">
        <f>+VLOOKUP(N924,[3]Material!$A$3:$B$58,2,FALSE)</f>
        <v>5000</v>
      </c>
      <c r="P924" s="79" t="s">
        <v>42</v>
      </c>
      <c r="Q924" s="79" t="str">
        <f>+VLOOKUP(F924,[3]Material!$C$2:$E$12,2,FALSE)</f>
        <v>Cal 14</v>
      </c>
      <c r="R924" s="81">
        <f>+IF(P924="ACERO A36",VLOOKUP(Q924,'[3]Velocidades Std 1500 w'!$B$2:$F$15,5,FALSE),IF(P924="INOXIDABLE",VLOOKUP(Q924,'[3]Velocidades Std 1500 w'!$B$17:$F$28,5,FALSE),IF(P924="ALUMINIO",VLOOKUP(Q924,'[3]Velocidades Std 1500 w'!$B$30:$F$38,5,FALSE))))</f>
        <v>2.0080321285140564E-6</v>
      </c>
      <c r="S924" s="82">
        <f t="shared" si="116"/>
        <v>1.0040160642570283E-2</v>
      </c>
      <c r="T924" s="83">
        <f t="shared" si="117"/>
        <v>0</v>
      </c>
      <c r="U924" s="307">
        <f t="shared" si="130"/>
        <v>0</v>
      </c>
      <c r="V924" s="80">
        <f t="shared" si="122"/>
        <v>0</v>
      </c>
      <c r="W924" s="98"/>
      <c r="X924" s="84">
        <f>+IF(P924="ACERO A36",VLOOKUP(Q924,'[3]Tiempo Objeto'!$B$2:$C$12,2,FALSE),IF(P924="INOXIDABLE",VLOOKUP(Q924,'[3]Tiempo Objeto'!$B$14:$C$22,2,FALSE),IF(P924="ALUMINIO",VLOOKUP(Q924,'[3]Tiempo Objeto'!$B$24:$C$32,2,FALSE))))</f>
        <v>0.3133333333333333</v>
      </c>
      <c r="Y924" s="84">
        <f t="shared" si="118"/>
        <v>0</v>
      </c>
      <c r="Z924" s="80">
        <f t="shared" si="119"/>
        <v>0</v>
      </c>
      <c r="AA924" s="100"/>
      <c r="AB924" s="86">
        <f>+AA924*Analisis!$J$6</f>
        <v>0</v>
      </c>
      <c r="AC924" s="100"/>
      <c r="AD924" s="85">
        <f t="shared" si="120"/>
        <v>0</v>
      </c>
      <c r="AE924" s="86">
        <f>+AC924*Analisis!$J$7</f>
        <v>0</v>
      </c>
      <c r="AF924" s="308">
        <f>+H924*0.0254*I924*0.0254*2*(1+[3]Analisis!$G$2)</f>
        <v>0</v>
      </c>
      <c r="AG924" s="86">
        <f>+AF924*Analisis!$J$8</f>
        <v>0</v>
      </c>
      <c r="AH924" s="309">
        <f t="shared" si="126"/>
        <v>0</v>
      </c>
      <c r="AI924" s="86">
        <f>+AH924/(1-Analisis!G929)</f>
        <v>0</v>
      </c>
      <c r="AJ924" s="86">
        <f t="shared" si="121"/>
        <v>0</v>
      </c>
      <c r="AK924" s="86">
        <f t="shared" si="127"/>
        <v>0</v>
      </c>
      <c r="AL924" s="310" t="e">
        <f>+VLOOKUP(B924,#REF!,2,FALSE)</f>
        <v>#REF!</v>
      </c>
      <c r="AM924" s="311" t="e">
        <f t="shared" si="124"/>
        <v>#REF!</v>
      </c>
      <c r="AN924" s="312" t="e">
        <f t="shared" si="129"/>
        <v>#REF!</v>
      </c>
    </row>
    <row r="925" spans="1:40" s="73" customFormat="1" x14ac:dyDescent="0.25">
      <c r="A925" s="313"/>
      <c r="B925" s="332" t="s">
        <v>1592</v>
      </c>
      <c r="D925" s="74">
        <f>IFERROR(VLOOKUP(B925,'REQ. PINTADO'!B:C,2,0),0)</f>
        <v>0</v>
      </c>
      <c r="E925" s="305">
        <f t="shared" si="114"/>
        <v>84.12701953348126</v>
      </c>
      <c r="F925" s="103" t="s">
        <v>164</v>
      </c>
      <c r="G925" s="75" t="s">
        <v>147</v>
      </c>
      <c r="H925" s="90">
        <v>2.86</v>
      </c>
      <c r="I925" s="90">
        <v>8</v>
      </c>
      <c r="J925" s="76">
        <v>0.105</v>
      </c>
      <c r="K925" s="306">
        <v>16.38</v>
      </c>
      <c r="L925" s="78">
        <f t="shared" si="115"/>
        <v>2.1287037037037044</v>
      </c>
      <c r="M925" s="58">
        <f>+VLOOKUP(F925,Material!$H$2:$M$17,6,FALSE)*H925*I925*(1+Material!$K$14)</f>
        <v>15.849166666666669</v>
      </c>
      <c r="N925" s="79" t="str">
        <f t="shared" si="131"/>
        <v>T5.0</v>
      </c>
      <c r="O925" s="80">
        <f>+VLOOKUP(N925,[3]Material!$A$3:$B$58,2,FALSE)</f>
        <v>5000</v>
      </c>
      <c r="P925" s="79" t="s">
        <v>42</v>
      </c>
      <c r="Q925" s="79" t="str">
        <f>+VLOOKUP(F925,[3]Material!$C$2:$E$12,2,FALSE)</f>
        <v>Cal 10</v>
      </c>
      <c r="R925" s="81">
        <f>+IF(P925="ACERO A36",VLOOKUP(Q925,'[3]Velocidades Std 1500 w'!$B$2:$F$15,5,FALSE),IF(P925="INOXIDABLE",VLOOKUP(Q925,'[3]Velocidades Std 1500 w'!$B$17:$F$28,5,FALSE),IF(P925="ALUMINIO",VLOOKUP(Q925,'[3]Velocidades Std 1500 w'!$B$30:$F$38,5,FALSE))))</f>
        <v>6.1728395061728391E-6</v>
      </c>
      <c r="S925" s="82">
        <f t="shared" si="116"/>
        <v>3.0864197530864196E-2</v>
      </c>
      <c r="T925" s="83">
        <f t="shared" si="117"/>
        <v>19.095719999999996</v>
      </c>
      <c r="U925" s="307">
        <f t="shared" si="130"/>
        <v>859.30739999999992</v>
      </c>
      <c r="V925" s="80">
        <f t="shared" si="122"/>
        <v>26.52183333333333</v>
      </c>
      <c r="W925" s="98">
        <v>7</v>
      </c>
      <c r="X925" s="84">
        <f>+IF(P925="ACERO A36",VLOOKUP(Q925,'[3]Tiempo Objeto'!$B$2:$C$12,2,FALSE),IF(P925="INOXIDABLE",VLOOKUP(Q925,'[3]Tiempo Objeto'!$B$14:$C$22,2,FALSE),IF(P925="ALUMINIO",VLOOKUP(Q925,'[3]Tiempo Objeto'!$B$24:$C$32,2,FALSE))))</f>
        <v>0.71333333333333337</v>
      </c>
      <c r="Y925" s="84">
        <f t="shared" si="118"/>
        <v>4.9933333333333341</v>
      </c>
      <c r="Z925" s="80">
        <f t="shared" si="119"/>
        <v>6.9351851851851869</v>
      </c>
      <c r="AA925" s="100">
        <v>1</v>
      </c>
      <c r="AB925" s="86">
        <f>+AA925*Analisis!$J$6</f>
        <v>25</v>
      </c>
      <c r="AC925" s="100"/>
      <c r="AD925" s="85">
        <f t="shared" si="120"/>
        <v>0</v>
      </c>
      <c r="AE925" s="86">
        <f>+AC925*Analisis!$J$7</f>
        <v>0</v>
      </c>
      <c r="AF925" s="308">
        <f>+H925*0.0254*I925*0.0254*2*(1+[3]Analisis!$G$2)</f>
        <v>3.6903152000000002E-2</v>
      </c>
      <c r="AG925" s="86">
        <f>+AF925*Analisis!$J$8</f>
        <v>3.9319429809523823</v>
      </c>
      <c r="AH925" s="309">
        <f t="shared" si="126"/>
        <v>78.238128166137571</v>
      </c>
      <c r="AI925" s="86">
        <f>+AH925/(1-Analisis!G930)</f>
        <v>78.238128166137571</v>
      </c>
      <c r="AJ925" s="86">
        <f t="shared" si="121"/>
        <v>84.12701953348126</v>
      </c>
      <c r="AK925" s="86">
        <f t="shared" si="127"/>
        <v>0</v>
      </c>
      <c r="AL925" s="310" t="e">
        <f>+VLOOKUP(B925,#REF!,2,FALSE)</f>
        <v>#REF!</v>
      </c>
      <c r="AM925" s="311" t="e">
        <f t="shared" si="124"/>
        <v>#REF!</v>
      </c>
      <c r="AN925" s="312" t="e">
        <f t="shared" si="129"/>
        <v>#REF!</v>
      </c>
    </row>
    <row r="926" spans="1:40" s="73" customFormat="1" x14ac:dyDescent="0.25">
      <c r="A926" s="313"/>
      <c r="B926" s="332" t="s">
        <v>1593</v>
      </c>
      <c r="D926" s="74">
        <f>IFERROR(VLOOKUP(B926,'REQ. PINTADO'!B:C,2,0),0)</f>
        <v>0</v>
      </c>
      <c r="E926" s="305">
        <f t="shared" si="114"/>
        <v>0</v>
      </c>
      <c r="F926" s="103" t="s">
        <v>165</v>
      </c>
      <c r="G926" s="75" t="s">
        <v>147</v>
      </c>
      <c r="H926" s="90"/>
      <c r="I926" s="90"/>
      <c r="J926" s="76">
        <v>0.105</v>
      </c>
      <c r="K926" s="306">
        <v>16.38</v>
      </c>
      <c r="L926" s="78">
        <f t="shared" si="115"/>
        <v>0</v>
      </c>
      <c r="M926" s="58">
        <f>+VLOOKUP(F926,Material!$H$2:$M$17,6,FALSE)*H926*I926*(1+Material!$K$14)</f>
        <v>0</v>
      </c>
      <c r="N926" s="79" t="str">
        <f t="shared" si="131"/>
        <v>T5.0</v>
      </c>
      <c r="O926" s="80">
        <f>+VLOOKUP(N926,[3]Material!$A$3:$B$58,2,FALSE)</f>
        <v>5000</v>
      </c>
      <c r="P926" s="79" t="s">
        <v>42</v>
      </c>
      <c r="Q926" s="79" t="str">
        <f>+VLOOKUP(F926,[3]Material!$C$2:$E$12,2,FALSE)</f>
        <v>Cal 14</v>
      </c>
      <c r="R926" s="81">
        <f>+IF(P926="ACERO A36",VLOOKUP(Q926,'[3]Velocidades Std 1500 w'!$B$2:$F$15,5,FALSE),IF(P926="INOXIDABLE",VLOOKUP(Q926,'[3]Velocidades Std 1500 w'!$B$17:$F$28,5,FALSE),IF(P926="ALUMINIO",VLOOKUP(Q926,'[3]Velocidades Std 1500 w'!$B$30:$F$38,5,FALSE))))</f>
        <v>2.0080321285140564E-6</v>
      </c>
      <c r="S926" s="82">
        <f t="shared" si="116"/>
        <v>1.0040160642570283E-2</v>
      </c>
      <c r="T926" s="83">
        <f t="shared" si="117"/>
        <v>0</v>
      </c>
      <c r="U926" s="307">
        <f t="shared" si="130"/>
        <v>0</v>
      </c>
      <c r="V926" s="80">
        <f t="shared" si="122"/>
        <v>0</v>
      </c>
      <c r="W926" s="98"/>
      <c r="X926" s="84">
        <f>+IF(P926="ACERO A36",VLOOKUP(Q926,'[3]Tiempo Objeto'!$B$2:$C$12,2,FALSE),IF(P926="INOXIDABLE",VLOOKUP(Q926,'[3]Tiempo Objeto'!$B$14:$C$22,2,FALSE),IF(P926="ALUMINIO",VLOOKUP(Q926,'[3]Tiempo Objeto'!$B$24:$C$32,2,FALSE))))</f>
        <v>0.3133333333333333</v>
      </c>
      <c r="Y926" s="84">
        <f t="shared" si="118"/>
        <v>0</v>
      </c>
      <c r="Z926" s="80">
        <f t="shared" si="119"/>
        <v>0</v>
      </c>
      <c r="AA926" s="100"/>
      <c r="AB926" s="86">
        <f>+AA926*Analisis!$J$6</f>
        <v>0</v>
      </c>
      <c r="AC926" s="100"/>
      <c r="AD926" s="85">
        <f t="shared" si="120"/>
        <v>0</v>
      </c>
      <c r="AE926" s="86">
        <f>+AC926*Analisis!$J$7</f>
        <v>0</v>
      </c>
      <c r="AF926" s="308">
        <f>+H926*0.0254*I926*0.0254*2*(1+[3]Analisis!$G$2)</f>
        <v>0</v>
      </c>
      <c r="AG926" s="86">
        <f>+AF926*Analisis!$J$8</f>
        <v>0</v>
      </c>
      <c r="AH926" s="309">
        <f t="shared" si="126"/>
        <v>0</v>
      </c>
      <c r="AI926" s="86">
        <f>+AH926/(1-Analisis!G931)</f>
        <v>0</v>
      </c>
      <c r="AJ926" s="86">
        <f t="shared" si="121"/>
        <v>0</v>
      </c>
      <c r="AK926" s="86">
        <f t="shared" si="127"/>
        <v>0</v>
      </c>
      <c r="AL926" s="310" t="e">
        <f>+VLOOKUP(B926,#REF!,2,FALSE)</f>
        <v>#REF!</v>
      </c>
      <c r="AM926" s="311" t="e">
        <f t="shared" si="124"/>
        <v>#REF!</v>
      </c>
      <c r="AN926" s="312" t="e">
        <f t="shared" si="129"/>
        <v>#REF!</v>
      </c>
    </row>
    <row r="927" spans="1:40" s="73" customFormat="1" x14ac:dyDescent="0.25">
      <c r="A927" s="313"/>
      <c r="B927" s="332" t="s">
        <v>1594</v>
      </c>
      <c r="D927" s="74">
        <f>IFERROR(VLOOKUP(B927,'REQ. PINTADO'!B:C,2,0),0)</f>
        <v>0</v>
      </c>
      <c r="E927" s="305">
        <f t="shared" si="114"/>
        <v>0</v>
      </c>
      <c r="F927" s="103" t="s">
        <v>165</v>
      </c>
      <c r="G927" s="75" t="s">
        <v>147</v>
      </c>
      <c r="H927" s="90"/>
      <c r="I927" s="90"/>
      <c r="J927" s="76">
        <v>0.105</v>
      </c>
      <c r="K927" s="306">
        <v>16.38</v>
      </c>
      <c r="L927" s="78">
        <f t="shared" si="115"/>
        <v>0</v>
      </c>
      <c r="M927" s="58">
        <f>+VLOOKUP(F927,Material!$H$2:$M$17,6,FALSE)*H927*I927*(1+Material!$K$14)</f>
        <v>0</v>
      </c>
      <c r="N927" s="79" t="str">
        <f t="shared" si="131"/>
        <v>T5.0</v>
      </c>
      <c r="O927" s="80">
        <f>+VLOOKUP(N927,[3]Material!$A$3:$B$58,2,FALSE)</f>
        <v>5000</v>
      </c>
      <c r="P927" s="79" t="s">
        <v>42</v>
      </c>
      <c r="Q927" s="79" t="str">
        <f>+VLOOKUP(F927,[3]Material!$C$2:$E$12,2,FALSE)</f>
        <v>Cal 14</v>
      </c>
      <c r="R927" s="81">
        <f>+IF(P927="ACERO A36",VLOOKUP(Q927,'[3]Velocidades Std 1500 w'!$B$2:$F$15,5,FALSE),IF(P927="INOXIDABLE",VLOOKUP(Q927,'[3]Velocidades Std 1500 w'!$B$17:$F$28,5,FALSE),IF(P927="ALUMINIO",VLOOKUP(Q927,'[3]Velocidades Std 1500 w'!$B$30:$F$38,5,FALSE))))</f>
        <v>2.0080321285140564E-6</v>
      </c>
      <c r="S927" s="82">
        <f t="shared" si="116"/>
        <v>1.0040160642570283E-2</v>
      </c>
      <c r="T927" s="83">
        <f t="shared" si="117"/>
        <v>0</v>
      </c>
      <c r="U927" s="307">
        <f t="shared" si="130"/>
        <v>0</v>
      </c>
      <c r="V927" s="80">
        <f t="shared" si="122"/>
        <v>0</v>
      </c>
      <c r="W927" s="98"/>
      <c r="X927" s="84">
        <f>+IF(P927="ACERO A36",VLOOKUP(Q927,'[3]Tiempo Objeto'!$B$2:$C$12,2,FALSE),IF(P927="INOXIDABLE",VLOOKUP(Q927,'[3]Tiempo Objeto'!$B$14:$C$22,2,FALSE),IF(P927="ALUMINIO",VLOOKUP(Q927,'[3]Tiempo Objeto'!$B$24:$C$32,2,FALSE))))</f>
        <v>0.3133333333333333</v>
      </c>
      <c r="Y927" s="84">
        <f t="shared" si="118"/>
        <v>0</v>
      </c>
      <c r="Z927" s="80">
        <f t="shared" si="119"/>
        <v>0</v>
      </c>
      <c r="AA927" s="100"/>
      <c r="AB927" s="86">
        <f>+AA927*Analisis!$J$6</f>
        <v>0</v>
      </c>
      <c r="AC927" s="100"/>
      <c r="AD927" s="85">
        <f t="shared" si="120"/>
        <v>0</v>
      </c>
      <c r="AE927" s="86">
        <f>+AC927*Analisis!$J$7</f>
        <v>0</v>
      </c>
      <c r="AF927" s="308">
        <f>+H927*0.0254*I927*0.0254*2*(1+[3]Analisis!$G$2)</f>
        <v>0</v>
      </c>
      <c r="AG927" s="86">
        <f>+AF927*Analisis!$J$8</f>
        <v>0</v>
      </c>
      <c r="AH927" s="309">
        <f t="shared" si="126"/>
        <v>0</v>
      </c>
      <c r="AI927" s="86">
        <f>+AH927/(1-Analisis!G932)</f>
        <v>0</v>
      </c>
      <c r="AJ927" s="86">
        <f t="shared" si="121"/>
        <v>0</v>
      </c>
      <c r="AK927" s="86">
        <f t="shared" si="127"/>
        <v>0</v>
      </c>
      <c r="AL927" s="310" t="e">
        <f>+VLOOKUP(B927,#REF!,2,FALSE)</f>
        <v>#REF!</v>
      </c>
      <c r="AM927" s="311" t="e">
        <f t="shared" si="124"/>
        <v>#REF!</v>
      </c>
      <c r="AN927" s="312" t="e">
        <f t="shared" si="129"/>
        <v>#REF!</v>
      </c>
    </row>
    <row r="928" spans="1:40" s="73" customFormat="1" x14ac:dyDescent="0.25">
      <c r="A928" s="313"/>
      <c r="B928" s="314" t="s">
        <v>1582</v>
      </c>
      <c r="D928" s="74">
        <f>IFERROR(VLOOKUP(B928,'REQ. PINTADO'!B:C,2,0),0)</f>
        <v>0</v>
      </c>
      <c r="E928" s="305">
        <f t="shared" si="114"/>
        <v>0</v>
      </c>
      <c r="F928" s="103" t="s">
        <v>165</v>
      </c>
      <c r="G928" s="75" t="s">
        <v>147</v>
      </c>
      <c r="H928" s="90"/>
      <c r="I928" s="90"/>
      <c r="J928" s="76">
        <v>0.105</v>
      </c>
      <c r="K928" s="306">
        <v>16.38</v>
      </c>
      <c r="L928" s="78">
        <f t="shared" si="115"/>
        <v>0</v>
      </c>
      <c r="M928" s="58">
        <f>+VLOOKUP(F928,Material!$H$2:$M$17,6,FALSE)*H928*I928*(1+Material!$K$14)</f>
        <v>0</v>
      </c>
      <c r="N928" s="79" t="str">
        <f t="shared" si="131"/>
        <v>T5.0</v>
      </c>
      <c r="O928" s="80">
        <f>+VLOOKUP(N928,[3]Material!$A$3:$B$58,2,FALSE)</f>
        <v>5000</v>
      </c>
      <c r="P928" s="79" t="s">
        <v>42</v>
      </c>
      <c r="Q928" s="79" t="str">
        <f>+VLOOKUP(F928,[3]Material!$C$2:$E$12,2,FALSE)</f>
        <v>Cal 14</v>
      </c>
      <c r="R928" s="81">
        <f>+IF(P928="ACERO A36",VLOOKUP(Q928,'[3]Velocidades Std 1500 w'!$B$2:$F$15,5,FALSE),IF(P928="INOXIDABLE",VLOOKUP(Q928,'[3]Velocidades Std 1500 w'!$B$17:$F$28,5,FALSE),IF(P928="ALUMINIO",VLOOKUP(Q928,'[3]Velocidades Std 1500 w'!$B$30:$F$38,5,FALSE))))</f>
        <v>2.0080321285140564E-6</v>
      </c>
      <c r="S928" s="82">
        <f t="shared" si="116"/>
        <v>1.0040160642570283E-2</v>
      </c>
      <c r="T928" s="83">
        <f t="shared" si="117"/>
        <v>0</v>
      </c>
      <c r="U928" s="307">
        <f t="shared" si="130"/>
        <v>0</v>
      </c>
      <c r="V928" s="80">
        <f t="shared" si="122"/>
        <v>0</v>
      </c>
      <c r="W928" s="98"/>
      <c r="X928" s="84">
        <f>+IF(P928="ACERO A36",VLOOKUP(Q928,'[3]Tiempo Objeto'!$B$2:$C$12,2,FALSE),IF(P928="INOXIDABLE",VLOOKUP(Q928,'[3]Tiempo Objeto'!$B$14:$C$22,2,FALSE),IF(P928="ALUMINIO",VLOOKUP(Q928,'[3]Tiempo Objeto'!$B$24:$C$32,2,FALSE))))</f>
        <v>0.3133333333333333</v>
      </c>
      <c r="Y928" s="84">
        <f t="shared" si="118"/>
        <v>0</v>
      </c>
      <c r="Z928" s="80">
        <f t="shared" si="119"/>
        <v>0</v>
      </c>
      <c r="AA928" s="100"/>
      <c r="AB928" s="86">
        <f>+AA928*Analisis!$J$6</f>
        <v>0</v>
      </c>
      <c r="AC928" s="100"/>
      <c r="AD928" s="85">
        <f t="shared" si="120"/>
        <v>0</v>
      </c>
      <c r="AE928" s="86">
        <f>+AC928*Analisis!$J$7</f>
        <v>0</v>
      </c>
      <c r="AF928" s="308">
        <f>+H928*0.0254*I928*0.0254*2*(1+[3]Analisis!$G$2)</f>
        <v>0</v>
      </c>
      <c r="AG928" s="86">
        <f>+AF928*Analisis!$J$8</f>
        <v>0</v>
      </c>
      <c r="AH928" s="309">
        <f t="shared" si="126"/>
        <v>0</v>
      </c>
      <c r="AI928" s="86">
        <f>+AH928/(1-Analisis!G933)</f>
        <v>0</v>
      </c>
      <c r="AJ928" s="86">
        <f t="shared" si="121"/>
        <v>0</v>
      </c>
      <c r="AK928" s="86">
        <f t="shared" si="127"/>
        <v>0</v>
      </c>
      <c r="AL928" s="310" t="e">
        <f>+VLOOKUP(B928,#REF!,2,FALSE)</f>
        <v>#REF!</v>
      </c>
      <c r="AM928" s="311" t="e">
        <f t="shared" si="124"/>
        <v>#REF!</v>
      </c>
      <c r="AN928" s="312" t="e">
        <f t="shared" si="129"/>
        <v>#REF!</v>
      </c>
    </row>
    <row r="929" spans="1:40" s="73" customFormat="1" x14ac:dyDescent="0.25">
      <c r="A929" s="313"/>
      <c r="B929" s="314" t="s">
        <v>1589</v>
      </c>
      <c r="D929" s="74">
        <f>IFERROR(VLOOKUP(B929,'REQ. PINTADO'!B:C,2,0),0)</f>
        <v>0</v>
      </c>
      <c r="E929" s="305">
        <f t="shared" si="114"/>
        <v>0</v>
      </c>
      <c r="F929" s="103" t="s">
        <v>165</v>
      </c>
      <c r="G929" s="75" t="s">
        <v>147</v>
      </c>
      <c r="H929" s="90"/>
      <c r="I929" s="90"/>
      <c r="J929" s="76">
        <v>0.105</v>
      </c>
      <c r="K929" s="306">
        <v>16.38</v>
      </c>
      <c r="L929" s="78">
        <f t="shared" si="115"/>
        <v>0</v>
      </c>
      <c r="M929" s="58">
        <f>+VLOOKUP(F929,Material!$H$2:$M$17,6,FALSE)*H929*I929*(1+Material!$K$14)</f>
        <v>0</v>
      </c>
      <c r="N929" s="79" t="str">
        <f t="shared" si="131"/>
        <v>T5.0</v>
      </c>
      <c r="O929" s="80">
        <f>+VLOOKUP(N929,[3]Material!$A$3:$B$58,2,FALSE)</f>
        <v>5000</v>
      </c>
      <c r="P929" s="79" t="s">
        <v>42</v>
      </c>
      <c r="Q929" s="79" t="str">
        <f>+VLOOKUP(F929,[3]Material!$C$2:$E$12,2,FALSE)</f>
        <v>Cal 14</v>
      </c>
      <c r="R929" s="81">
        <f>+IF(P929="ACERO A36",VLOOKUP(Q929,'[3]Velocidades Std 1500 w'!$B$2:$F$15,5,FALSE),IF(P929="INOXIDABLE",VLOOKUP(Q929,'[3]Velocidades Std 1500 w'!$B$17:$F$28,5,FALSE),IF(P929="ALUMINIO",VLOOKUP(Q929,'[3]Velocidades Std 1500 w'!$B$30:$F$38,5,FALSE))))</f>
        <v>2.0080321285140564E-6</v>
      </c>
      <c r="S929" s="82">
        <f t="shared" si="116"/>
        <v>1.0040160642570283E-2</v>
      </c>
      <c r="T929" s="83">
        <f t="shared" si="117"/>
        <v>0</v>
      </c>
      <c r="U929" s="307">
        <f t="shared" si="130"/>
        <v>0</v>
      </c>
      <c r="V929" s="80">
        <f t="shared" si="122"/>
        <v>0</v>
      </c>
      <c r="W929" s="98"/>
      <c r="X929" s="84">
        <f>+IF(P929="ACERO A36",VLOOKUP(Q929,'[3]Tiempo Objeto'!$B$2:$C$12,2,FALSE),IF(P929="INOXIDABLE",VLOOKUP(Q929,'[3]Tiempo Objeto'!$B$14:$C$22,2,FALSE),IF(P929="ALUMINIO",VLOOKUP(Q929,'[3]Tiempo Objeto'!$B$24:$C$32,2,FALSE))))</f>
        <v>0.3133333333333333</v>
      </c>
      <c r="Y929" s="84">
        <f t="shared" si="118"/>
        <v>0</v>
      </c>
      <c r="Z929" s="80">
        <f t="shared" si="119"/>
        <v>0</v>
      </c>
      <c r="AA929" s="100"/>
      <c r="AB929" s="86">
        <f>+AA929*Analisis!$J$6</f>
        <v>0</v>
      </c>
      <c r="AC929" s="100"/>
      <c r="AD929" s="85">
        <f t="shared" si="120"/>
        <v>0</v>
      </c>
      <c r="AE929" s="86">
        <f>+AC929*Analisis!$J$7</f>
        <v>0</v>
      </c>
      <c r="AF929" s="308">
        <f>+H929*0.0254*I929*0.0254*2*(1+[3]Analisis!$G$2)</f>
        <v>0</v>
      </c>
      <c r="AG929" s="86">
        <f>+AF929*Analisis!$J$8</f>
        <v>0</v>
      </c>
      <c r="AH929" s="309">
        <f t="shared" si="126"/>
        <v>0</v>
      </c>
      <c r="AI929" s="86">
        <f>+AH929/(1-Analisis!G934)</f>
        <v>0</v>
      </c>
      <c r="AJ929" s="86">
        <f t="shared" si="121"/>
        <v>0</v>
      </c>
      <c r="AK929" s="86">
        <f t="shared" si="127"/>
        <v>0</v>
      </c>
      <c r="AL929" s="310" t="e">
        <f>+VLOOKUP(B929,#REF!,2,FALSE)</f>
        <v>#REF!</v>
      </c>
      <c r="AM929" s="311" t="e">
        <f t="shared" si="124"/>
        <v>#REF!</v>
      </c>
      <c r="AN929" s="312" t="e">
        <f t="shared" si="129"/>
        <v>#REF!</v>
      </c>
    </row>
    <row r="930" spans="1:40" s="73" customFormat="1" x14ac:dyDescent="0.25">
      <c r="A930" s="313"/>
      <c r="B930" s="314" t="s">
        <v>1590</v>
      </c>
      <c r="D930" s="74">
        <f>IFERROR(VLOOKUP(B930,'REQ. PINTADO'!B:C,2,0),0)</f>
        <v>0</v>
      </c>
      <c r="E930" s="305">
        <f t="shared" si="114"/>
        <v>0</v>
      </c>
      <c r="F930" s="103" t="s">
        <v>165</v>
      </c>
      <c r="G930" s="75" t="s">
        <v>147</v>
      </c>
      <c r="H930" s="90"/>
      <c r="I930" s="90"/>
      <c r="J930" s="76">
        <v>0.105</v>
      </c>
      <c r="K930" s="306">
        <v>16.38</v>
      </c>
      <c r="L930" s="78">
        <f t="shared" si="115"/>
        <v>0</v>
      </c>
      <c r="M930" s="58">
        <f>+VLOOKUP(F930,Material!$H$2:$M$17,6,FALSE)*H930*I930*(1+Material!$K$14)</f>
        <v>0</v>
      </c>
      <c r="N930" s="79" t="str">
        <f t="shared" si="131"/>
        <v>T5.0</v>
      </c>
      <c r="O930" s="80">
        <f>+VLOOKUP(N930,[3]Material!$A$3:$B$58,2,FALSE)</f>
        <v>5000</v>
      </c>
      <c r="P930" s="79" t="s">
        <v>42</v>
      </c>
      <c r="Q930" s="79" t="str">
        <f>+VLOOKUP(F930,[3]Material!$C$2:$E$12,2,FALSE)</f>
        <v>Cal 14</v>
      </c>
      <c r="R930" s="81">
        <f>+IF(P930="ACERO A36",VLOOKUP(Q930,'[3]Velocidades Std 1500 w'!$B$2:$F$15,5,FALSE),IF(P930="INOXIDABLE",VLOOKUP(Q930,'[3]Velocidades Std 1500 w'!$B$17:$F$28,5,FALSE),IF(P930="ALUMINIO",VLOOKUP(Q930,'[3]Velocidades Std 1500 w'!$B$30:$F$38,5,FALSE))))</f>
        <v>2.0080321285140564E-6</v>
      </c>
      <c r="S930" s="82">
        <f t="shared" si="116"/>
        <v>1.0040160642570283E-2</v>
      </c>
      <c r="T930" s="83">
        <f t="shared" si="117"/>
        <v>0</v>
      </c>
      <c r="U930" s="307">
        <f t="shared" si="130"/>
        <v>0</v>
      </c>
      <c r="V930" s="80">
        <f t="shared" si="122"/>
        <v>0</v>
      </c>
      <c r="W930" s="98"/>
      <c r="X930" s="84">
        <f>+IF(P930="ACERO A36",VLOOKUP(Q930,'[3]Tiempo Objeto'!$B$2:$C$12,2,FALSE),IF(P930="INOXIDABLE",VLOOKUP(Q930,'[3]Tiempo Objeto'!$B$14:$C$22,2,FALSE),IF(P930="ALUMINIO",VLOOKUP(Q930,'[3]Tiempo Objeto'!$B$24:$C$32,2,FALSE))))</f>
        <v>0.3133333333333333</v>
      </c>
      <c r="Y930" s="84">
        <f t="shared" si="118"/>
        <v>0</v>
      </c>
      <c r="Z930" s="80">
        <f t="shared" si="119"/>
        <v>0</v>
      </c>
      <c r="AA930" s="100"/>
      <c r="AB930" s="86">
        <f>+AA930*Analisis!$J$6</f>
        <v>0</v>
      </c>
      <c r="AC930" s="100"/>
      <c r="AD930" s="85">
        <f t="shared" si="120"/>
        <v>0</v>
      </c>
      <c r="AE930" s="86">
        <f>+AC930*Analisis!$J$7</f>
        <v>0</v>
      </c>
      <c r="AF930" s="308">
        <f>+H930*0.0254*I930*0.0254*2*(1+[3]Analisis!$G$2)</f>
        <v>0</v>
      </c>
      <c r="AG930" s="86">
        <f>+AF930*Analisis!$J$8</f>
        <v>0</v>
      </c>
      <c r="AH930" s="309">
        <f t="shared" si="126"/>
        <v>0</v>
      </c>
      <c r="AI930" s="86">
        <f>+AH930/(1-Analisis!G935)</f>
        <v>0</v>
      </c>
      <c r="AJ930" s="86">
        <f t="shared" si="121"/>
        <v>0</v>
      </c>
      <c r="AK930" s="86">
        <f t="shared" si="127"/>
        <v>0</v>
      </c>
      <c r="AL930" s="310" t="e">
        <f>+VLOOKUP(B930,#REF!,2,FALSE)</f>
        <v>#REF!</v>
      </c>
      <c r="AM930" s="311" t="e">
        <f t="shared" si="124"/>
        <v>#REF!</v>
      </c>
      <c r="AN930" s="312" t="e">
        <f t="shared" si="129"/>
        <v>#REF!</v>
      </c>
    </row>
    <row r="931" spans="1:40" s="73" customFormat="1" x14ac:dyDescent="0.25">
      <c r="A931" s="313"/>
      <c r="B931" s="314" t="s">
        <v>1591</v>
      </c>
      <c r="D931" s="74">
        <f>IFERROR(VLOOKUP(B931,'REQ. PINTADO'!B:C,2,0),0)</f>
        <v>0</v>
      </c>
      <c r="E931" s="305">
        <f t="shared" si="114"/>
        <v>0</v>
      </c>
      <c r="F931" s="103" t="s">
        <v>165</v>
      </c>
      <c r="G931" s="75" t="s">
        <v>147</v>
      </c>
      <c r="H931" s="90"/>
      <c r="I931" s="90"/>
      <c r="J931" s="76">
        <v>0.105</v>
      </c>
      <c r="K931" s="306">
        <v>16.38</v>
      </c>
      <c r="L931" s="78">
        <f t="shared" si="115"/>
        <v>0</v>
      </c>
      <c r="M931" s="58">
        <f>+VLOOKUP(F931,Material!$H$2:$M$17,6,FALSE)*H931*I931*(1+Material!$K$14)</f>
        <v>0</v>
      </c>
      <c r="N931" s="79" t="str">
        <f t="shared" si="131"/>
        <v>T5.0</v>
      </c>
      <c r="O931" s="80">
        <f>+VLOOKUP(N931,[3]Material!$A$3:$B$58,2,FALSE)</f>
        <v>5000</v>
      </c>
      <c r="P931" s="79" t="s">
        <v>42</v>
      </c>
      <c r="Q931" s="79" t="str">
        <f>+VLOOKUP(F931,[3]Material!$C$2:$E$12,2,FALSE)</f>
        <v>Cal 14</v>
      </c>
      <c r="R931" s="81">
        <f>+IF(P931="ACERO A36",VLOOKUP(Q931,'[3]Velocidades Std 1500 w'!$B$2:$F$15,5,FALSE),IF(P931="INOXIDABLE",VLOOKUP(Q931,'[3]Velocidades Std 1500 w'!$B$17:$F$28,5,FALSE),IF(P931="ALUMINIO",VLOOKUP(Q931,'[3]Velocidades Std 1500 w'!$B$30:$F$38,5,FALSE))))</f>
        <v>2.0080321285140564E-6</v>
      </c>
      <c r="S931" s="82">
        <f t="shared" si="116"/>
        <v>1.0040160642570283E-2</v>
      </c>
      <c r="T931" s="83">
        <f t="shared" si="117"/>
        <v>0</v>
      </c>
      <c r="U931" s="307">
        <f t="shared" si="130"/>
        <v>0</v>
      </c>
      <c r="V931" s="80">
        <f t="shared" si="122"/>
        <v>0</v>
      </c>
      <c r="W931" s="98"/>
      <c r="X931" s="84">
        <f>+IF(P931="ACERO A36",VLOOKUP(Q931,'[3]Tiempo Objeto'!$B$2:$C$12,2,FALSE),IF(P931="INOXIDABLE",VLOOKUP(Q931,'[3]Tiempo Objeto'!$B$14:$C$22,2,FALSE),IF(P931="ALUMINIO",VLOOKUP(Q931,'[3]Tiempo Objeto'!$B$24:$C$32,2,FALSE))))</f>
        <v>0.3133333333333333</v>
      </c>
      <c r="Y931" s="84">
        <f t="shared" si="118"/>
        <v>0</v>
      </c>
      <c r="Z931" s="80">
        <f t="shared" si="119"/>
        <v>0</v>
      </c>
      <c r="AA931" s="100"/>
      <c r="AB931" s="86">
        <f>+AA931*Analisis!$J$6</f>
        <v>0</v>
      </c>
      <c r="AC931" s="100"/>
      <c r="AD931" s="85">
        <f t="shared" si="120"/>
        <v>0</v>
      </c>
      <c r="AE931" s="86">
        <f>+AC931*Analisis!$J$7</f>
        <v>0</v>
      </c>
      <c r="AF931" s="308">
        <f>+H931*0.0254*I931*0.0254*2*(1+[3]Analisis!$G$2)</f>
        <v>0</v>
      </c>
      <c r="AG931" s="86">
        <f>+AF931*Analisis!$J$8</f>
        <v>0</v>
      </c>
      <c r="AH931" s="309">
        <f t="shared" si="126"/>
        <v>0</v>
      </c>
      <c r="AI931" s="86">
        <f>+AH931/(1-Analisis!G936)</f>
        <v>0</v>
      </c>
      <c r="AJ931" s="86">
        <f t="shared" si="121"/>
        <v>0</v>
      </c>
      <c r="AK931" s="86">
        <f t="shared" si="127"/>
        <v>0</v>
      </c>
      <c r="AL931" s="310" t="e">
        <f>+VLOOKUP(B931,#REF!,2,FALSE)</f>
        <v>#REF!</v>
      </c>
      <c r="AM931" s="311" t="e">
        <f t="shared" si="124"/>
        <v>#REF!</v>
      </c>
      <c r="AN931" s="312" t="e">
        <f t="shared" si="129"/>
        <v>#REF!</v>
      </c>
    </row>
    <row r="932" spans="1:40" s="73" customFormat="1" x14ac:dyDescent="0.25">
      <c r="A932" s="313"/>
      <c r="B932" s="314" t="s">
        <v>1593</v>
      </c>
      <c r="D932" s="74">
        <f>IFERROR(VLOOKUP(B932,'REQ. PINTADO'!B:C,2,0),0)</f>
        <v>0</v>
      </c>
      <c r="E932" s="305">
        <f t="shared" si="114"/>
        <v>0</v>
      </c>
      <c r="F932" s="103" t="s">
        <v>165</v>
      </c>
      <c r="G932" s="75" t="s">
        <v>147</v>
      </c>
      <c r="H932" s="90"/>
      <c r="I932" s="90"/>
      <c r="J932" s="76">
        <v>0.105</v>
      </c>
      <c r="K932" s="306">
        <v>16.38</v>
      </c>
      <c r="L932" s="78">
        <f t="shared" si="115"/>
        <v>0</v>
      </c>
      <c r="M932" s="58">
        <f>+VLOOKUP(F932,Material!$H$2:$M$17,6,FALSE)*H932*I932*(1+Material!$K$14)</f>
        <v>0</v>
      </c>
      <c r="N932" s="79" t="str">
        <f t="shared" si="131"/>
        <v>T5.0</v>
      </c>
      <c r="O932" s="80">
        <f>+VLOOKUP(N932,[3]Material!$A$3:$B$58,2,FALSE)</f>
        <v>5000</v>
      </c>
      <c r="P932" s="79" t="s">
        <v>42</v>
      </c>
      <c r="Q932" s="79" t="str">
        <f>+VLOOKUP(F932,[3]Material!$C$2:$E$12,2,FALSE)</f>
        <v>Cal 14</v>
      </c>
      <c r="R932" s="81">
        <f>+IF(P932="ACERO A36",VLOOKUP(Q932,'[3]Velocidades Std 1500 w'!$B$2:$F$15,5,FALSE),IF(P932="INOXIDABLE",VLOOKUP(Q932,'[3]Velocidades Std 1500 w'!$B$17:$F$28,5,FALSE),IF(P932="ALUMINIO",VLOOKUP(Q932,'[3]Velocidades Std 1500 w'!$B$30:$F$38,5,FALSE))))</f>
        <v>2.0080321285140564E-6</v>
      </c>
      <c r="S932" s="82">
        <f t="shared" si="116"/>
        <v>1.0040160642570283E-2</v>
      </c>
      <c r="T932" s="83">
        <f t="shared" si="117"/>
        <v>0</v>
      </c>
      <c r="U932" s="307">
        <f t="shared" si="130"/>
        <v>0</v>
      </c>
      <c r="V932" s="80">
        <f t="shared" si="122"/>
        <v>0</v>
      </c>
      <c r="W932" s="98"/>
      <c r="X932" s="84">
        <f>+IF(P932="ACERO A36",VLOOKUP(Q932,'[3]Tiempo Objeto'!$B$2:$C$12,2,FALSE),IF(P932="INOXIDABLE",VLOOKUP(Q932,'[3]Tiempo Objeto'!$B$14:$C$22,2,FALSE),IF(P932="ALUMINIO",VLOOKUP(Q932,'[3]Tiempo Objeto'!$B$24:$C$32,2,FALSE))))</f>
        <v>0.3133333333333333</v>
      </c>
      <c r="Y932" s="84">
        <f t="shared" si="118"/>
        <v>0</v>
      </c>
      <c r="Z932" s="80">
        <f t="shared" si="119"/>
        <v>0</v>
      </c>
      <c r="AA932" s="100"/>
      <c r="AB932" s="86">
        <f>+AA932*Analisis!$J$6</f>
        <v>0</v>
      </c>
      <c r="AC932" s="100"/>
      <c r="AD932" s="85">
        <f t="shared" si="120"/>
        <v>0</v>
      </c>
      <c r="AE932" s="86">
        <f>+AC932*Analisis!$J$7</f>
        <v>0</v>
      </c>
      <c r="AF932" s="308">
        <f>+H932*0.0254*I932*0.0254*2*(1+[3]Analisis!$G$2)</f>
        <v>0</v>
      </c>
      <c r="AG932" s="86">
        <f>+AF932*Analisis!$J$8</f>
        <v>0</v>
      </c>
      <c r="AH932" s="309">
        <f t="shared" si="126"/>
        <v>0</v>
      </c>
      <c r="AI932" s="86">
        <f>+AH932/(1-Analisis!G937)</f>
        <v>0</v>
      </c>
      <c r="AJ932" s="86">
        <f t="shared" si="121"/>
        <v>0</v>
      </c>
      <c r="AK932" s="86">
        <f t="shared" si="127"/>
        <v>0</v>
      </c>
      <c r="AL932" s="310" t="e">
        <f>+VLOOKUP(B932,#REF!,2,FALSE)</f>
        <v>#REF!</v>
      </c>
      <c r="AM932" s="311" t="e">
        <f t="shared" si="124"/>
        <v>#REF!</v>
      </c>
      <c r="AN932" s="312" t="e">
        <f t="shared" si="129"/>
        <v>#REF!</v>
      </c>
    </row>
    <row r="933" spans="1:40" s="73" customFormat="1" x14ac:dyDescent="0.25">
      <c r="A933" s="313"/>
      <c r="B933" s="314" t="s">
        <v>1594</v>
      </c>
      <c r="D933" s="74">
        <f>IFERROR(VLOOKUP(B933,'REQ. PINTADO'!B:C,2,0),0)</f>
        <v>0</v>
      </c>
      <c r="E933" s="305">
        <f t="shared" si="114"/>
        <v>0</v>
      </c>
      <c r="F933" s="103" t="s">
        <v>165</v>
      </c>
      <c r="G933" s="75" t="s">
        <v>147</v>
      </c>
      <c r="H933" s="90"/>
      <c r="I933" s="90"/>
      <c r="J933" s="76">
        <v>0.105</v>
      </c>
      <c r="K933" s="306">
        <v>16.38</v>
      </c>
      <c r="L933" s="78">
        <f t="shared" si="115"/>
        <v>0</v>
      </c>
      <c r="M933" s="58">
        <f>+VLOOKUP(F933,Material!$H$2:$M$17,6,FALSE)*H933*I933*(1+Material!$K$14)</f>
        <v>0</v>
      </c>
      <c r="N933" s="79" t="str">
        <f t="shared" si="131"/>
        <v>T5.0</v>
      </c>
      <c r="O933" s="80">
        <f>+VLOOKUP(N933,[3]Material!$A$3:$B$58,2,FALSE)</f>
        <v>5000</v>
      </c>
      <c r="P933" s="79" t="s">
        <v>42</v>
      </c>
      <c r="Q933" s="79" t="str">
        <f>+VLOOKUP(F933,[3]Material!$C$2:$E$12,2,FALSE)</f>
        <v>Cal 14</v>
      </c>
      <c r="R933" s="81">
        <f>+IF(P933="ACERO A36",VLOOKUP(Q933,'[3]Velocidades Std 1500 w'!$B$2:$F$15,5,FALSE),IF(P933="INOXIDABLE",VLOOKUP(Q933,'[3]Velocidades Std 1500 w'!$B$17:$F$28,5,FALSE),IF(P933="ALUMINIO",VLOOKUP(Q933,'[3]Velocidades Std 1500 w'!$B$30:$F$38,5,FALSE))))</f>
        <v>2.0080321285140564E-6</v>
      </c>
      <c r="S933" s="82">
        <f t="shared" si="116"/>
        <v>1.0040160642570283E-2</v>
      </c>
      <c r="T933" s="83">
        <f t="shared" si="117"/>
        <v>0</v>
      </c>
      <c r="U933" s="307">
        <f t="shared" si="130"/>
        <v>0</v>
      </c>
      <c r="V933" s="80">
        <f t="shared" si="122"/>
        <v>0</v>
      </c>
      <c r="W933" s="98"/>
      <c r="X933" s="84">
        <f>+IF(P933="ACERO A36",VLOOKUP(Q933,'[3]Tiempo Objeto'!$B$2:$C$12,2,FALSE),IF(P933="INOXIDABLE",VLOOKUP(Q933,'[3]Tiempo Objeto'!$B$14:$C$22,2,FALSE),IF(P933="ALUMINIO",VLOOKUP(Q933,'[3]Tiempo Objeto'!$B$24:$C$32,2,FALSE))))</f>
        <v>0.3133333333333333</v>
      </c>
      <c r="Y933" s="84">
        <f t="shared" si="118"/>
        <v>0</v>
      </c>
      <c r="Z933" s="80">
        <f t="shared" si="119"/>
        <v>0</v>
      </c>
      <c r="AA933" s="100"/>
      <c r="AB933" s="86">
        <f>+AA933*Analisis!$J$6</f>
        <v>0</v>
      </c>
      <c r="AC933" s="100"/>
      <c r="AD933" s="85">
        <f t="shared" si="120"/>
        <v>0</v>
      </c>
      <c r="AE933" s="86">
        <f>+AC933*Analisis!$J$7</f>
        <v>0</v>
      </c>
      <c r="AF933" s="308">
        <f>+H933*0.0254*I933*0.0254*2*(1+[3]Analisis!$G$2)</f>
        <v>0</v>
      </c>
      <c r="AG933" s="86">
        <f>+AF933*Analisis!$J$8</f>
        <v>0</v>
      </c>
      <c r="AH933" s="309">
        <f t="shared" si="126"/>
        <v>0</v>
      </c>
      <c r="AI933" s="86">
        <f>+AH933/(1-Analisis!G938)</f>
        <v>0</v>
      </c>
      <c r="AJ933" s="86">
        <f t="shared" si="121"/>
        <v>0</v>
      </c>
      <c r="AK933" s="86">
        <f t="shared" si="127"/>
        <v>0</v>
      </c>
      <c r="AL933" s="310" t="e">
        <f>+VLOOKUP(B933,#REF!,2,FALSE)</f>
        <v>#REF!</v>
      </c>
      <c r="AM933" s="311" t="e">
        <f t="shared" si="124"/>
        <v>#REF!</v>
      </c>
      <c r="AN933" s="312" t="e">
        <f t="shared" si="129"/>
        <v>#REF!</v>
      </c>
    </row>
    <row r="934" spans="1:40" s="73" customFormat="1" x14ac:dyDescent="0.25">
      <c r="A934" s="313"/>
      <c r="B934" s="314" t="s">
        <v>1595</v>
      </c>
      <c r="D934" s="74">
        <f>IFERROR(VLOOKUP(B934,'REQ. PINTADO'!B:C,2,0),0)</f>
        <v>0</v>
      </c>
      <c r="E934" s="305">
        <f t="shared" si="114"/>
        <v>1115.6236228735538</v>
      </c>
      <c r="F934" s="103" t="s">
        <v>163</v>
      </c>
      <c r="G934" s="75" t="s">
        <v>147</v>
      </c>
      <c r="H934" s="90">
        <v>35.04</v>
      </c>
      <c r="I934" s="90">
        <v>41.48</v>
      </c>
      <c r="J934" s="76">
        <v>0.105</v>
      </c>
      <c r="K934" s="306">
        <v>16.38</v>
      </c>
      <c r="L934" s="78">
        <f t="shared" si="115"/>
        <v>73.276563016958903</v>
      </c>
      <c r="M934" s="58">
        <f>+VLOOKUP(F934,Material!$H$2:$M$17,6,FALSE)*H934*I934*(1+Material!$K$14)</f>
        <v>545.57731918990305</v>
      </c>
      <c r="N934" s="79" t="str">
        <f t="shared" si="131"/>
        <v>T5.0</v>
      </c>
      <c r="O934" s="80">
        <f>+VLOOKUP(N934,[3]Material!$A$3:$B$58,2,FALSE)</f>
        <v>5000</v>
      </c>
      <c r="P934" s="79" t="s">
        <v>42</v>
      </c>
      <c r="Q934" s="79" t="str">
        <f>+VLOOKUP(F934,[3]Material!$C$2:$E$12,2,FALSE)</f>
        <v>Cal 12</v>
      </c>
      <c r="R934" s="81">
        <f>+IF(P934="ACERO A36",VLOOKUP(Q934,'[3]Velocidades Std 1500 w'!$B$2:$F$15,5,FALSE),IF(P934="INOXIDABLE",VLOOKUP(Q934,'[3]Velocidades Std 1500 w'!$B$17:$F$28,5,FALSE),IF(P934="ALUMINIO",VLOOKUP(Q934,'[3]Velocidades Std 1500 w'!$B$30:$F$38,5,FALSE))))</f>
        <v>4.3859649122807014E-6</v>
      </c>
      <c r="S934" s="82">
        <f t="shared" si="116"/>
        <v>2.1929824561403508E-2</v>
      </c>
      <c r="T934" s="83">
        <f t="shared" si="117"/>
        <v>74.552475789473675</v>
      </c>
      <c r="U934" s="307">
        <f t="shared" si="130"/>
        <v>4721.6567999999997</v>
      </c>
      <c r="V934" s="80">
        <f t="shared" si="122"/>
        <v>103.54510526315788</v>
      </c>
      <c r="W934" s="98">
        <v>16</v>
      </c>
      <c r="X934" s="84">
        <f>+IF(P934="ACERO A36",VLOOKUP(Q934,'[3]Tiempo Objeto'!$B$2:$C$12,2,FALSE),IF(P934="INOXIDABLE",VLOOKUP(Q934,'[3]Tiempo Objeto'!$B$14:$C$22,2,FALSE),IF(P934="ALUMINIO",VLOOKUP(Q934,'[3]Tiempo Objeto'!$B$24:$C$32,2,FALSE))))</f>
        <v>0.6133333333333334</v>
      </c>
      <c r="Y934" s="84">
        <f t="shared" si="118"/>
        <v>9.8133333333333344</v>
      </c>
      <c r="Z934" s="80">
        <f t="shared" si="119"/>
        <v>13.629629629629632</v>
      </c>
      <c r="AA934" s="100">
        <v>5</v>
      </c>
      <c r="AB934" s="86">
        <f>+AA934*Analisis!$J$6</f>
        <v>125</v>
      </c>
      <c r="AC934" s="100"/>
      <c r="AD934" s="85">
        <f t="shared" si="120"/>
        <v>0</v>
      </c>
      <c r="AE934" s="86">
        <f>+AC934*Analisis!$J$7</f>
        <v>0</v>
      </c>
      <c r="AF934" s="308">
        <f>+H934*0.0254*I934*0.0254*2*(1+[3]Analisis!$G$2)</f>
        <v>2.3442843436799996</v>
      </c>
      <c r="AG934" s="86">
        <f>+AF934*Analisis!$J$8</f>
        <v>249.77791518971432</v>
      </c>
      <c r="AH934" s="309">
        <f t="shared" si="126"/>
        <v>1037.529969272405</v>
      </c>
      <c r="AI934" s="86">
        <f>+AH934/(1-Analisis!G939)</f>
        <v>1037.529969272405</v>
      </c>
      <c r="AJ934" s="86">
        <f t="shared" si="121"/>
        <v>1115.6236228735538</v>
      </c>
      <c r="AK934" s="86">
        <f t="shared" si="127"/>
        <v>0</v>
      </c>
      <c r="AL934" s="310" t="e">
        <f>+VLOOKUP(B934,#REF!,2,FALSE)</f>
        <v>#REF!</v>
      </c>
      <c r="AM934" s="311" t="e">
        <f t="shared" si="124"/>
        <v>#REF!</v>
      </c>
      <c r="AN934" s="312" t="e">
        <f t="shared" si="129"/>
        <v>#REF!</v>
      </c>
    </row>
    <row r="935" spans="1:40" s="73" customFormat="1" x14ac:dyDescent="0.25">
      <c r="A935" s="313"/>
      <c r="B935" s="329" t="s">
        <v>1525</v>
      </c>
      <c r="D935" s="74">
        <f>IFERROR(VLOOKUP(B935,'REQ. PINTADO'!B:C,2,0),0)</f>
        <v>0</v>
      </c>
      <c r="E935" s="305">
        <f t="shared" si="114"/>
        <v>418.49841341580156</v>
      </c>
      <c r="F935" s="397" t="s">
        <v>166</v>
      </c>
      <c r="G935" s="75" t="s">
        <v>147</v>
      </c>
      <c r="H935" s="90">
        <v>16.09</v>
      </c>
      <c r="I935" s="90">
        <v>46.22</v>
      </c>
      <c r="J935" s="76">
        <v>0.105</v>
      </c>
      <c r="K935" s="306">
        <v>16.38</v>
      </c>
      <c r="L935" s="78">
        <f t="shared" si="115"/>
        <v>22.638620020593407</v>
      </c>
      <c r="M935" s="58">
        <f>+VLOOKUP(F935,Material!$H$2:$M$17,6,FALSE)*H935*I935*(1+Material!$K$14)</f>
        <v>168.55481633514543</v>
      </c>
      <c r="N935" s="79" t="str">
        <f t="shared" si="131"/>
        <v>T5.0</v>
      </c>
      <c r="O935" s="80">
        <f>+VLOOKUP(N935,[3]Material!$A$3:$B$58,2,FALSE)</f>
        <v>5000</v>
      </c>
      <c r="P935" s="79" t="s">
        <v>42</v>
      </c>
      <c r="Q935" s="79" t="str">
        <f>+VLOOKUP(F935,[3]Material!$C$2:$E$12,2,FALSE)</f>
        <v>Cal 16</v>
      </c>
      <c r="R935" s="81">
        <f>+IF(P935="ACERO A36",VLOOKUP(Q935,'[3]Velocidades Std 1500 w'!$B$2:$F$15,5,FALSE),IF(P935="INOXIDABLE",VLOOKUP(Q935,'[3]Velocidades Std 1500 w'!$B$17:$F$28,5,FALSE),IF(P935="ALUMINIO",VLOOKUP(Q935,'[3]Velocidades Std 1500 w'!$B$30:$F$38,5,FALSE))))</f>
        <v>9.1575091575091579E-7</v>
      </c>
      <c r="S935" s="82">
        <f t="shared" si="116"/>
        <v>4.578754578754579E-3</v>
      </c>
      <c r="T935" s="83">
        <f t="shared" si="117"/>
        <v>11.616396923076923</v>
      </c>
      <c r="U935" s="307">
        <f t="shared" si="130"/>
        <v>3523.6404000000002</v>
      </c>
      <c r="V935" s="80">
        <f t="shared" si="122"/>
        <v>16.133884615384616</v>
      </c>
      <c r="W935" s="98">
        <v>5</v>
      </c>
      <c r="X935" s="84">
        <f>+IF(P935="ACERO A36",VLOOKUP(Q935,'[3]Tiempo Objeto'!$B$2:$C$12,2,FALSE),IF(P935="INOXIDABLE",VLOOKUP(Q935,'[3]Tiempo Objeto'!$B$14:$C$22,2,FALSE),IF(P935="ALUMINIO",VLOOKUP(Q935,'[3]Tiempo Objeto'!$B$24:$C$32,2,FALSE))))</f>
        <v>0.24666666666666667</v>
      </c>
      <c r="Y935" s="84">
        <f t="shared" si="118"/>
        <v>1.2333333333333334</v>
      </c>
      <c r="Z935" s="80">
        <f t="shared" si="119"/>
        <v>1.712962962962963</v>
      </c>
      <c r="AA935" s="100">
        <v>3</v>
      </c>
      <c r="AB935" s="86">
        <f>+AA935*Analisis!$J$6</f>
        <v>75</v>
      </c>
      <c r="AC935" s="100"/>
      <c r="AD935" s="85">
        <f t="shared" si="120"/>
        <v>0</v>
      </c>
      <c r="AE935" s="86">
        <f>+AC935*Analisis!$J$7</f>
        <v>0</v>
      </c>
      <c r="AF935" s="308">
        <f>+H935*0.0254*I935*0.0254*2*(1+[3]Analisis!$G$2)</f>
        <v>1.1994811494199999</v>
      </c>
      <c r="AG935" s="86">
        <f>+AF935*Analisis!$J$8</f>
        <v>127.80186056320241</v>
      </c>
      <c r="AH935" s="309">
        <f t="shared" si="126"/>
        <v>389.20352447669541</v>
      </c>
      <c r="AI935" s="86">
        <f>+AH935/(1-Analisis!G940)</f>
        <v>389.20352447669541</v>
      </c>
      <c r="AJ935" s="86">
        <f t="shared" si="121"/>
        <v>418.49841341580156</v>
      </c>
      <c r="AK935" s="86">
        <f t="shared" si="127"/>
        <v>0</v>
      </c>
      <c r="AL935" s="310" t="e">
        <f>+VLOOKUP(B935,#REF!,2,FALSE)</f>
        <v>#REF!</v>
      </c>
      <c r="AM935" s="311" t="e">
        <f t="shared" si="124"/>
        <v>#REF!</v>
      </c>
      <c r="AN935" s="312" t="e">
        <f t="shared" si="129"/>
        <v>#REF!</v>
      </c>
    </row>
    <row r="936" spans="1:40" s="73" customFormat="1" x14ac:dyDescent="0.25">
      <c r="A936" s="313"/>
      <c r="B936" s="329" t="s">
        <v>1526</v>
      </c>
      <c r="D936" s="74">
        <f>IFERROR(VLOOKUP(B936,'REQ. PINTADO'!B:C,2,0),0)</f>
        <v>0</v>
      </c>
      <c r="E936" s="305">
        <f t="shared" si="114"/>
        <v>346.92742681776554</v>
      </c>
      <c r="F936" s="397" t="s">
        <v>166</v>
      </c>
      <c r="G936" s="75" t="s">
        <v>147</v>
      </c>
      <c r="H936" s="90">
        <v>16.09</v>
      </c>
      <c r="I936" s="90">
        <v>36.22</v>
      </c>
      <c r="J936" s="76">
        <v>0.105</v>
      </c>
      <c r="K936" s="306">
        <v>16.38</v>
      </c>
      <c r="L936" s="78">
        <f t="shared" si="115"/>
        <v>17.740606169318333</v>
      </c>
      <c r="M936" s="58">
        <f>+VLOOKUP(F936,Material!$H$2:$M$17,6,FALSE)*H936*I936*(1+Material!$K$14)</f>
        <v>132.0868768424701</v>
      </c>
      <c r="N936" s="79" t="str">
        <f t="shared" si="131"/>
        <v>T5.0</v>
      </c>
      <c r="O936" s="80">
        <f>+VLOOKUP(N936,[3]Material!$A$3:$B$58,2,FALSE)</f>
        <v>5000</v>
      </c>
      <c r="P936" s="79" t="s">
        <v>42</v>
      </c>
      <c r="Q936" s="79" t="str">
        <f>+VLOOKUP(F936,[3]Material!$C$2:$E$12,2,FALSE)</f>
        <v>Cal 16</v>
      </c>
      <c r="R936" s="81">
        <f>+IF(P936="ACERO A36",VLOOKUP(Q936,'[3]Velocidades Std 1500 w'!$B$2:$F$15,5,FALSE),IF(P936="INOXIDABLE",VLOOKUP(Q936,'[3]Velocidades Std 1500 w'!$B$17:$F$28,5,FALSE),IF(P936="ALUMINIO",VLOOKUP(Q936,'[3]Velocidades Std 1500 w'!$B$30:$F$38,5,FALSE))))</f>
        <v>9.1575091575091579E-7</v>
      </c>
      <c r="S936" s="82">
        <f t="shared" si="116"/>
        <v>4.578754578754579E-3</v>
      </c>
      <c r="T936" s="83">
        <f t="shared" si="117"/>
        <v>9.8579353846153861</v>
      </c>
      <c r="U936" s="307">
        <f t="shared" si="130"/>
        <v>2990.2404000000001</v>
      </c>
      <c r="V936" s="80">
        <f t="shared" si="122"/>
        <v>13.691576923076925</v>
      </c>
      <c r="W936" s="98">
        <v>5</v>
      </c>
      <c r="X936" s="84">
        <f>+IF(P936="ACERO A36",VLOOKUP(Q936,'[3]Tiempo Objeto'!$B$2:$C$12,2,FALSE),IF(P936="INOXIDABLE",VLOOKUP(Q936,'[3]Tiempo Objeto'!$B$14:$C$22,2,FALSE),IF(P936="ALUMINIO",VLOOKUP(Q936,'[3]Tiempo Objeto'!$B$24:$C$32,2,FALSE))))</f>
        <v>0.24666666666666667</v>
      </c>
      <c r="Y936" s="84">
        <f t="shared" si="118"/>
        <v>1.2333333333333334</v>
      </c>
      <c r="Z936" s="80">
        <f t="shared" si="119"/>
        <v>1.712962962962963</v>
      </c>
      <c r="AA936" s="100">
        <v>3</v>
      </c>
      <c r="AB936" s="86">
        <f>+AA936*Analisis!$J$6</f>
        <v>75</v>
      </c>
      <c r="AC936" s="100"/>
      <c r="AD936" s="85">
        <f t="shared" si="120"/>
        <v>0</v>
      </c>
      <c r="AE936" s="86">
        <f>+AC936*Analisis!$J$7</f>
        <v>0</v>
      </c>
      <c r="AF936" s="308">
        <f>+H936*0.0254*I936*0.0254*2*(1+[3]Analisis!$G$2)</f>
        <v>0.93996553941999994</v>
      </c>
      <c r="AG936" s="86">
        <f>+AF936*Analisis!$J$8</f>
        <v>100.15109021201192</v>
      </c>
      <c r="AH936" s="309">
        <f t="shared" si="126"/>
        <v>322.64250694052191</v>
      </c>
      <c r="AI936" s="86">
        <f>+AH936/(1-Analisis!G941)</f>
        <v>322.64250694052191</v>
      </c>
      <c r="AJ936" s="86">
        <f t="shared" si="121"/>
        <v>346.92742681776554</v>
      </c>
      <c r="AK936" s="86">
        <f t="shared" si="127"/>
        <v>0</v>
      </c>
      <c r="AL936" s="310" t="e">
        <f>+VLOOKUP(B936,#REF!,2,FALSE)</f>
        <v>#REF!</v>
      </c>
      <c r="AM936" s="311" t="e">
        <f t="shared" si="124"/>
        <v>#REF!</v>
      </c>
      <c r="AN936" s="312" t="e">
        <f t="shared" si="129"/>
        <v>#REF!</v>
      </c>
    </row>
    <row r="937" spans="1:40" s="73" customFormat="1" x14ac:dyDescent="0.25">
      <c r="A937" s="313"/>
      <c r="B937" s="329" t="s">
        <v>1527</v>
      </c>
      <c r="D937" s="74">
        <f>IFERROR(VLOOKUP(B937,'REQ. PINTADO'!B:C,2,0),0)</f>
        <v>0</v>
      </c>
      <c r="E937" s="305">
        <f t="shared" si="114"/>
        <v>167.99996032267541</v>
      </c>
      <c r="F937" s="397" t="s">
        <v>166</v>
      </c>
      <c r="G937" s="75" t="s">
        <v>147</v>
      </c>
      <c r="H937" s="90">
        <v>16.09</v>
      </c>
      <c r="I937" s="90">
        <v>11.22</v>
      </c>
      <c r="J937" s="76">
        <v>0.105</v>
      </c>
      <c r="K937" s="306">
        <v>16.38</v>
      </c>
      <c r="L937" s="78">
        <f t="shared" si="115"/>
        <v>5.4955715411306381</v>
      </c>
      <c r="M937" s="58">
        <f>+VLOOKUP(F937,Material!$H$2:$M$17,6,FALSE)*H937*I937*(1+Material!$K$14)</f>
        <v>40.917028110781743</v>
      </c>
      <c r="N937" s="79" t="str">
        <f t="shared" si="131"/>
        <v>T5.0</v>
      </c>
      <c r="O937" s="80">
        <f>+VLOOKUP(N937,[3]Material!$A$3:$B$58,2,FALSE)</f>
        <v>5000</v>
      </c>
      <c r="P937" s="79" t="s">
        <v>42</v>
      </c>
      <c r="Q937" s="79" t="str">
        <f>+VLOOKUP(F937,[3]Material!$C$2:$E$12,2,FALSE)</f>
        <v>Cal 16</v>
      </c>
      <c r="R937" s="81">
        <f>+IF(P937="ACERO A36",VLOOKUP(Q937,'[3]Velocidades Std 1500 w'!$B$2:$F$15,5,FALSE),IF(P937="INOXIDABLE",VLOOKUP(Q937,'[3]Velocidades Std 1500 w'!$B$17:$F$28,5,FALSE),IF(P937="ALUMINIO",VLOOKUP(Q937,'[3]Velocidades Std 1500 w'!$B$30:$F$38,5,FALSE))))</f>
        <v>9.1575091575091579E-7</v>
      </c>
      <c r="S937" s="82">
        <f t="shared" si="116"/>
        <v>4.578754578754579E-3</v>
      </c>
      <c r="T937" s="83">
        <f t="shared" si="117"/>
        <v>5.4617815384615396</v>
      </c>
      <c r="U937" s="307">
        <f t="shared" si="130"/>
        <v>1656.7404000000001</v>
      </c>
      <c r="V937" s="80">
        <f t="shared" si="122"/>
        <v>7.5858076923076929</v>
      </c>
      <c r="W937" s="98">
        <v>5</v>
      </c>
      <c r="X937" s="84">
        <f>+IF(P937="ACERO A36",VLOOKUP(Q937,'[3]Tiempo Objeto'!$B$2:$C$12,2,FALSE),IF(P937="INOXIDABLE",VLOOKUP(Q937,'[3]Tiempo Objeto'!$B$14:$C$22,2,FALSE),IF(P937="ALUMINIO",VLOOKUP(Q937,'[3]Tiempo Objeto'!$B$24:$C$32,2,FALSE))))</f>
        <v>0.24666666666666667</v>
      </c>
      <c r="Y937" s="84">
        <f t="shared" si="118"/>
        <v>1.2333333333333334</v>
      </c>
      <c r="Z937" s="80">
        <f t="shared" si="119"/>
        <v>1.712962962962963</v>
      </c>
      <c r="AA937" s="100">
        <v>3</v>
      </c>
      <c r="AB937" s="86">
        <f>+AA937*Analisis!$J$6</f>
        <v>75</v>
      </c>
      <c r="AC937" s="100"/>
      <c r="AD937" s="85">
        <f t="shared" si="120"/>
        <v>0</v>
      </c>
      <c r="AE937" s="86">
        <f>+AC937*Analisis!$J$7</f>
        <v>0</v>
      </c>
      <c r="AF937" s="308">
        <f>+H937*0.0254*I937*0.0254*2*(1+[3]Analisis!$G$2)</f>
        <v>0.29117651442000003</v>
      </c>
      <c r="AG937" s="86">
        <f>+AF937*Analisis!$J$8</f>
        <v>31.024164334035728</v>
      </c>
      <c r="AH937" s="309">
        <f t="shared" si="126"/>
        <v>156.23996310008812</v>
      </c>
      <c r="AI937" s="86">
        <f>+AH937/(1-Analisis!G942)</f>
        <v>156.23996310008812</v>
      </c>
      <c r="AJ937" s="86">
        <f t="shared" si="121"/>
        <v>167.99996032267541</v>
      </c>
      <c r="AK937" s="86">
        <f t="shared" si="127"/>
        <v>0</v>
      </c>
      <c r="AL937" s="310" t="e">
        <f>+VLOOKUP(B937,#REF!,2,FALSE)</f>
        <v>#REF!</v>
      </c>
      <c r="AM937" s="311" t="e">
        <f t="shared" si="124"/>
        <v>#REF!</v>
      </c>
      <c r="AN937" s="312" t="e">
        <f t="shared" si="129"/>
        <v>#REF!</v>
      </c>
    </row>
    <row r="938" spans="1:40" s="73" customFormat="1" x14ac:dyDescent="0.25">
      <c r="A938" s="313"/>
      <c r="B938" s="329" t="s">
        <v>1528</v>
      </c>
      <c r="D938" s="74">
        <f>IFERROR(VLOOKUP(B938,'REQ. PINTADO'!B:C,2,0),0)</f>
        <v>0</v>
      </c>
      <c r="E938" s="305">
        <f t="shared" si="114"/>
        <v>203.78545362169342</v>
      </c>
      <c r="F938" s="397" t="s">
        <v>166</v>
      </c>
      <c r="G938" s="75" t="s">
        <v>147</v>
      </c>
      <c r="H938" s="90">
        <v>16.09</v>
      </c>
      <c r="I938" s="90">
        <v>16.22</v>
      </c>
      <c r="J938" s="76">
        <v>0.105</v>
      </c>
      <c r="K938" s="306">
        <v>16.38</v>
      </c>
      <c r="L938" s="78">
        <f t="shared" si="115"/>
        <v>7.9445784667681751</v>
      </c>
      <c r="M938" s="58">
        <f>+VLOOKUP(F938,Material!$H$2:$M$17,6,FALSE)*H938*I938*(1+Material!$K$14)</f>
        <v>59.1509978571194</v>
      </c>
      <c r="N938" s="79" t="str">
        <f t="shared" si="131"/>
        <v>T5.0</v>
      </c>
      <c r="O938" s="80">
        <f>+VLOOKUP(N938,[3]Material!$A$3:$B$58,2,FALSE)</f>
        <v>5000</v>
      </c>
      <c r="P938" s="79" t="s">
        <v>42</v>
      </c>
      <c r="Q938" s="79" t="str">
        <f>+VLOOKUP(F938,[3]Material!$C$2:$E$12,2,FALSE)</f>
        <v>Cal 16</v>
      </c>
      <c r="R938" s="81">
        <f>+IF(P938="ACERO A36",VLOOKUP(Q938,'[3]Velocidades Std 1500 w'!$B$2:$F$15,5,FALSE),IF(P938="INOXIDABLE",VLOOKUP(Q938,'[3]Velocidades Std 1500 w'!$B$17:$F$28,5,FALSE),IF(P938="ALUMINIO",VLOOKUP(Q938,'[3]Velocidades Std 1500 w'!$B$30:$F$38,5,FALSE))))</f>
        <v>9.1575091575091579E-7</v>
      </c>
      <c r="S938" s="82">
        <f t="shared" si="116"/>
        <v>4.578754578754579E-3</v>
      </c>
      <c r="T938" s="83">
        <f t="shared" si="117"/>
        <v>6.3410123076923073</v>
      </c>
      <c r="U938" s="307">
        <f t="shared" si="130"/>
        <v>1923.4404</v>
      </c>
      <c r="V938" s="80">
        <f t="shared" si="122"/>
        <v>8.8069615384615378</v>
      </c>
      <c r="W938" s="98">
        <v>5</v>
      </c>
      <c r="X938" s="84">
        <f>+IF(P938="ACERO A36",VLOOKUP(Q938,'[3]Tiempo Objeto'!$B$2:$C$12,2,FALSE),IF(P938="INOXIDABLE",VLOOKUP(Q938,'[3]Tiempo Objeto'!$B$14:$C$22,2,FALSE),IF(P938="ALUMINIO",VLOOKUP(Q938,'[3]Tiempo Objeto'!$B$24:$C$32,2,FALSE))))</f>
        <v>0.24666666666666667</v>
      </c>
      <c r="Y938" s="84">
        <f t="shared" si="118"/>
        <v>1.2333333333333334</v>
      </c>
      <c r="Z938" s="80">
        <f t="shared" si="119"/>
        <v>1.712962962962963</v>
      </c>
      <c r="AA938" s="100">
        <v>3</v>
      </c>
      <c r="AB938" s="86">
        <f>+AA938*Analisis!$J$6</f>
        <v>75</v>
      </c>
      <c r="AC938" s="100"/>
      <c r="AD938" s="85">
        <f t="shared" si="120"/>
        <v>0</v>
      </c>
      <c r="AE938" s="86">
        <f>+AC938*Analisis!$J$7</f>
        <v>0</v>
      </c>
      <c r="AF938" s="308">
        <f>+H938*0.0254*I938*0.0254*2*(1+[3]Analisis!$G$2)</f>
        <v>0.42093431941999992</v>
      </c>
      <c r="AG938" s="86">
        <f>+AF938*Analisis!$J$8</f>
        <v>44.849549509630961</v>
      </c>
      <c r="AH938" s="309">
        <f t="shared" si="126"/>
        <v>189.52047186817487</v>
      </c>
      <c r="AI938" s="86">
        <f>+AH938/(1-Analisis!G943)</f>
        <v>189.52047186817487</v>
      </c>
      <c r="AJ938" s="86">
        <f t="shared" si="121"/>
        <v>203.78545362169342</v>
      </c>
      <c r="AK938" s="86">
        <f t="shared" si="127"/>
        <v>0</v>
      </c>
      <c r="AL938" s="310" t="e">
        <f>+VLOOKUP(B938,#REF!,2,FALSE)</f>
        <v>#REF!</v>
      </c>
      <c r="AM938" s="311" t="e">
        <f t="shared" si="124"/>
        <v>#REF!</v>
      </c>
      <c r="AN938" s="312" t="e">
        <f t="shared" si="129"/>
        <v>#REF!</v>
      </c>
    </row>
    <row r="939" spans="1:40" s="73" customFormat="1" x14ac:dyDescent="0.25">
      <c r="A939" s="313"/>
      <c r="B939" s="329" t="s">
        <v>1529</v>
      </c>
      <c r="D939" s="74">
        <f>IFERROR(VLOOKUP(B939,'REQ. PINTADO'!B:C,2,0),0)</f>
        <v>0</v>
      </c>
      <c r="E939" s="305">
        <f t="shared" si="114"/>
        <v>239.57094692071146</v>
      </c>
      <c r="F939" s="397" t="s">
        <v>166</v>
      </c>
      <c r="G939" s="75" t="s">
        <v>147</v>
      </c>
      <c r="H939" s="90">
        <v>16.09</v>
      </c>
      <c r="I939" s="90">
        <v>21.22</v>
      </c>
      <c r="J939" s="76">
        <v>0.105</v>
      </c>
      <c r="K939" s="306">
        <v>16.38</v>
      </c>
      <c r="L939" s="78">
        <f t="shared" si="115"/>
        <v>10.393585392405713</v>
      </c>
      <c r="M939" s="58">
        <f>+VLOOKUP(F939,Material!$H$2:$M$17,6,FALSE)*H939*I939*(1+Material!$K$14)</f>
        <v>77.384967603457071</v>
      </c>
      <c r="N939" s="79" t="str">
        <f t="shared" si="131"/>
        <v>T5.0</v>
      </c>
      <c r="O939" s="80">
        <f>+VLOOKUP(N939,[3]Material!$A$3:$B$58,2,FALSE)</f>
        <v>5000</v>
      </c>
      <c r="P939" s="79" t="s">
        <v>42</v>
      </c>
      <c r="Q939" s="79" t="str">
        <f>+VLOOKUP(F939,[3]Material!$C$2:$E$12,2,FALSE)</f>
        <v>Cal 16</v>
      </c>
      <c r="R939" s="81">
        <f>+IF(P939="ACERO A36",VLOOKUP(Q939,'[3]Velocidades Std 1500 w'!$B$2:$F$15,5,FALSE),IF(P939="INOXIDABLE",VLOOKUP(Q939,'[3]Velocidades Std 1500 w'!$B$17:$F$28,5,FALSE),IF(P939="ALUMINIO",VLOOKUP(Q939,'[3]Velocidades Std 1500 w'!$B$30:$F$38,5,FALSE))))</f>
        <v>9.1575091575091579E-7</v>
      </c>
      <c r="S939" s="82">
        <f t="shared" si="116"/>
        <v>4.578754578754579E-3</v>
      </c>
      <c r="T939" s="83">
        <f t="shared" si="117"/>
        <v>7.2202430769230777</v>
      </c>
      <c r="U939" s="307">
        <f t="shared" si="130"/>
        <v>2190.1404000000002</v>
      </c>
      <c r="V939" s="80">
        <f t="shared" si="122"/>
        <v>10.028115384615386</v>
      </c>
      <c r="W939" s="98">
        <v>5</v>
      </c>
      <c r="X939" s="84">
        <f>+IF(P939="ACERO A36",VLOOKUP(Q939,'[3]Tiempo Objeto'!$B$2:$C$12,2,FALSE),IF(P939="INOXIDABLE",VLOOKUP(Q939,'[3]Tiempo Objeto'!$B$14:$C$22,2,FALSE),IF(P939="ALUMINIO",VLOOKUP(Q939,'[3]Tiempo Objeto'!$B$24:$C$32,2,FALSE))))</f>
        <v>0.24666666666666667</v>
      </c>
      <c r="Y939" s="84">
        <f t="shared" si="118"/>
        <v>1.2333333333333334</v>
      </c>
      <c r="Z939" s="80">
        <f t="shared" si="119"/>
        <v>1.712962962962963</v>
      </c>
      <c r="AA939" s="100">
        <v>3</v>
      </c>
      <c r="AB939" s="86">
        <f>+AA939*Analisis!$J$6</f>
        <v>75</v>
      </c>
      <c r="AC939" s="100"/>
      <c r="AD939" s="85">
        <f t="shared" si="120"/>
        <v>0</v>
      </c>
      <c r="AE939" s="86">
        <f>+AC939*Analisis!$J$7</f>
        <v>0</v>
      </c>
      <c r="AF939" s="308">
        <f>+H939*0.0254*I939*0.0254*2*(1+[3]Analisis!$G$2)</f>
        <v>0.55069212442000004</v>
      </c>
      <c r="AG939" s="86">
        <f>+AF939*Analisis!$J$8</f>
        <v>58.674934685226212</v>
      </c>
      <c r="AH939" s="309">
        <f t="shared" si="126"/>
        <v>222.80098063626164</v>
      </c>
      <c r="AI939" s="86">
        <f>+AH939/(1-Analisis!G944)</f>
        <v>222.80098063626164</v>
      </c>
      <c r="AJ939" s="86">
        <f t="shared" si="121"/>
        <v>239.57094692071146</v>
      </c>
      <c r="AK939" s="86">
        <f t="shared" si="127"/>
        <v>0</v>
      </c>
      <c r="AL939" s="310" t="e">
        <f>+VLOOKUP(B939,#REF!,2,FALSE)</f>
        <v>#REF!</v>
      </c>
      <c r="AM939" s="311" t="e">
        <f t="shared" si="124"/>
        <v>#REF!</v>
      </c>
      <c r="AN939" s="312" t="e">
        <f t="shared" si="129"/>
        <v>#REF!</v>
      </c>
    </row>
    <row r="940" spans="1:40" s="73" customFormat="1" x14ac:dyDescent="0.25">
      <c r="A940" s="313"/>
      <c r="B940" s="329" t="s">
        <v>1530</v>
      </c>
      <c r="D940" s="74">
        <f>IFERROR(VLOOKUP(B940,'REQ. PINTADO'!B:C,2,0),0)</f>
        <v>0</v>
      </c>
      <c r="E940" s="305">
        <f t="shared" si="114"/>
        <v>275.35644021972945</v>
      </c>
      <c r="F940" s="397" t="s">
        <v>166</v>
      </c>
      <c r="G940" s="75" t="s">
        <v>147</v>
      </c>
      <c r="H940" s="90">
        <v>16.09</v>
      </c>
      <c r="I940" s="90">
        <v>26.22</v>
      </c>
      <c r="J940" s="76">
        <v>0.105</v>
      </c>
      <c r="K940" s="306">
        <v>16.38</v>
      </c>
      <c r="L940" s="78">
        <f t="shared" si="115"/>
        <v>12.842592318043252</v>
      </c>
      <c r="M940" s="58">
        <f>+VLOOKUP(F940,Material!$H$2:$M$17,6,FALSE)*H940*I940*(1+Material!$K$14)</f>
        <v>95.618937349794749</v>
      </c>
      <c r="N940" s="79" t="str">
        <f t="shared" si="131"/>
        <v>T5.0</v>
      </c>
      <c r="O940" s="80">
        <f>+VLOOKUP(N940,[3]Material!$A$3:$B$58,2,FALSE)</f>
        <v>5000</v>
      </c>
      <c r="P940" s="79" t="s">
        <v>42</v>
      </c>
      <c r="Q940" s="79" t="str">
        <f>+VLOOKUP(F940,[3]Material!$C$2:$E$12,2,FALSE)</f>
        <v>Cal 16</v>
      </c>
      <c r="R940" s="81">
        <f>+IF(P940="ACERO A36",VLOOKUP(Q940,'[3]Velocidades Std 1500 w'!$B$2:$F$15,5,FALSE),IF(P940="INOXIDABLE",VLOOKUP(Q940,'[3]Velocidades Std 1500 w'!$B$17:$F$28,5,FALSE),IF(P940="ALUMINIO",VLOOKUP(Q940,'[3]Velocidades Std 1500 w'!$B$30:$F$38,5,FALSE))))</f>
        <v>9.1575091575091579E-7</v>
      </c>
      <c r="S940" s="82">
        <f t="shared" si="116"/>
        <v>4.578754578754579E-3</v>
      </c>
      <c r="T940" s="83">
        <f t="shared" si="117"/>
        <v>8.0994738461538471</v>
      </c>
      <c r="U940" s="307">
        <f t="shared" si="130"/>
        <v>2456.8404</v>
      </c>
      <c r="V940" s="80">
        <f t="shared" si="122"/>
        <v>11.249269230769231</v>
      </c>
      <c r="W940" s="98">
        <v>5</v>
      </c>
      <c r="X940" s="84">
        <f>+IF(P940="ACERO A36",VLOOKUP(Q940,'[3]Tiempo Objeto'!$B$2:$C$12,2,FALSE),IF(P940="INOXIDABLE",VLOOKUP(Q940,'[3]Tiempo Objeto'!$B$14:$C$22,2,FALSE),IF(P940="ALUMINIO",VLOOKUP(Q940,'[3]Tiempo Objeto'!$B$24:$C$32,2,FALSE))))</f>
        <v>0.24666666666666667</v>
      </c>
      <c r="Y940" s="84">
        <f t="shared" si="118"/>
        <v>1.2333333333333334</v>
      </c>
      <c r="Z940" s="80">
        <f t="shared" si="119"/>
        <v>1.712962962962963</v>
      </c>
      <c r="AA940" s="100">
        <v>3</v>
      </c>
      <c r="AB940" s="86">
        <f>+AA940*Analisis!$J$6</f>
        <v>75</v>
      </c>
      <c r="AC940" s="100"/>
      <c r="AD940" s="85">
        <f t="shared" si="120"/>
        <v>0</v>
      </c>
      <c r="AE940" s="86">
        <f>+AC940*Analisis!$J$7</f>
        <v>0</v>
      </c>
      <c r="AF940" s="308">
        <f>+H940*0.0254*I940*0.0254*2*(1+[3]Analisis!$G$2)</f>
        <v>0.68044992941999993</v>
      </c>
      <c r="AG940" s="86">
        <f>+AF940*Analisis!$J$8</f>
        <v>72.500319860821449</v>
      </c>
      <c r="AH940" s="309">
        <f t="shared" si="126"/>
        <v>256.08148940434836</v>
      </c>
      <c r="AI940" s="86">
        <f>+AH940/(1-Analisis!G945)</f>
        <v>256.08148940434836</v>
      </c>
      <c r="AJ940" s="86">
        <f t="shared" si="121"/>
        <v>275.35644021972945</v>
      </c>
      <c r="AK940" s="86">
        <f t="shared" si="127"/>
        <v>0</v>
      </c>
      <c r="AL940" s="310" t="e">
        <f>+VLOOKUP(B940,#REF!,2,FALSE)</f>
        <v>#REF!</v>
      </c>
      <c r="AM940" s="311" t="e">
        <f t="shared" si="124"/>
        <v>#REF!</v>
      </c>
      <c r="AN940" s="312" t="e">
        <f t="shared" si="129"/>
        <v>#REF!</v>
      </c>
    </row>
    <row r="941" spans="1:40" s="73" customFormat="1" x14ac:dyDescent="0.25">
      <c r="A941" s="313"/>
      <c r="B941" s="329" t="s">
        <v>1531</v>
      </c>
      <c r="D941" s="74">
        <f>IFERROR(VLOOKUP(B941,'REQ. PINTADO'!B:C,2,0),0)</f>
        <v>0</v>
      </c>
      <c r="E941" s="305">
        <f t="shared" si="114"/>
        <v>311.14193351874752</v>
      </c>
      <c r="F941" s="397" t="s">
        <v>166</v>
      </c>
      <c r="G941" s="75" t="s">
        <v>147</v>
      </c>
      <c r="H941" s="90">
        <v>16.09</v>
      </c>
      <c r="I941" s="90">
        <v>31.22</v>
      </c>
      <c r="J941" s="76">
        <v>0.105</v>
      </c>
      <c r="K941" s="306">
        <v>16.38</v>
      </c>
      <c r="L941" s="78">
        <f t="shared" si="115"/>
        <v>15.291599243680793</v>
      </c>
      <c r="M941" s="58">
        <f>+VLOOKUP(F941,Material!$H$2:$M$17,6,FALSE)*H941*I941*(1+Material!$K$14)</f>
        <v>113.85290709613243</v>
      </c>
      <c r="N941" s="79" t="str">
        <f t="shared" si="131"/>
        <v>T5.0</v>
      </c>
      <c r="O941" s="80">
        <f>+VLOOKUP(N941,[3]Material!$A$3:$B$58,2,FALSE)</f>
        <v>5000</v>
      </c>
      <c r="P941" s="79" t="s">
        <v>42</v>
      </c>
      <c r="Q941" s="79" t="str">
        <f>+VLOOKUP(F941,[3]Material!$C$2:$E$12,2,FALSE)</f>
        <v>Cal 16</v>
      </c>
      <c r="R941" s="81">
        <f>+IF(P941="ACERO A36",VLOOKUP(Q941,'[3]Velocidades Std 1500 w'!$B$2:$F$15,5,FALSE),IF(P941="INOXIDABLE",VLOOKUP(Q941,'[3]Velocidades Std 1500 w'!$B$17:$F$28,5,FALSE),IF(P941="ALUMINIO",VLOOKUP(Q941,'[3]Velocidades Std 1500 w'!$B$30:$F$38,5,FALSE))))</f>
        <v>9.1575091575091579E-7</v>
      </c>
      <c r="S941" s="82">
        <f t="shared" si="116"/>
        <v>4.578754578754579E-3</v>
      </c>
      <c r="T941" s="83">
        <f t="shared" si="117"/>
        <v>8.9787046153846148</v>
      </c>
      <c r="U941" s="307">
        <f t="shared" si="130"/>
        <v>2723.5403999999999</v>
      </c>
      <c r="V941" s="80">
        <f t="shared" si="122"/>
        <v>12.470423076923076</v>
      </c>
      <c r="W941" s="98">
        <v>5</v>
      </c>
      <c r="X941" s="84">
        <f>+IF(P941="ACERO A36",VLOOKUP(Q941,'[3]Tiempo Objeto'!$B$2:$C$12,2,FALSE),IF(P941="INOXIDABLE",VLOOKUP(Q941,'[3]Tiempo Objeto'!$B$14:$C$22,2,FALSE),IF(P941="ALUMINIO",VLOOKUP(Q941,'[3]Tiempo Objeto'!$B$24:$C$32,2,FALSE))))</f>
        <v>0.24666666666666667</v>
      </c>
      <c r="Y941" s="84">
        <f t="shared" si="118"/>
        <v>1.2333333333333334</v>
      </c>
      <c r="Z941" s="80">
        <f t="shared" si="119"/>
        <v>1.712962962962963</v>
      </c>
      <c r="AA941" s="100">
        <v>3</v>
      </c>
      <c r="AB941" s="86">
        <f>+AA941*Analisis!$J$6</f>
        <v>75</v>
      </c>
      <c r="AC941" s="100"/>
      <c r="AD941" s="85">
        <f t="shared" si="120"/>
        <v>0</v>
      </c>
      <c r="AE941" s="86">
        <f>+AC941*Analisis!$J$7</f>
        <v>0</v>
      </c>
      <c r="AF941" s="308">
        <f>+H941*0.0254*I941*0.0254*2*(1+[3]Analisis!$G$2)</f>
        <v>0.81020773441999994</v>
      </c>
      <c r="AG941" s="86">
        <f>+AF941*Analisis!$J$8</f>
        <v>86.325705036416679</v>
      </c>
      <c r="AH941" s="309">
        <f t="shared" si="126"/>
        <v>289.36199817243516</v>
      </c>
      <c r="AI941" s="86">
        <f>+AH941/(1-Analisis!G946)</f>
        <v>289.36199817243516</v>
      </c>
      <c r="AJ941" s="86">
        <f t="shared" si="121"/>
        <v>311.14193351874752</v>
      </c>
      <c r="AK941" s="86">
        <f t="shared" si="127"/>
        <v>0</v>
      </c>
      <c r="AL941" s="310" t="e">
        <f>+VLOOKUP(B941,#REF!,2,FALSE)</f>
        <v>#REF!</v>
      </c>
      <c r="AM941" s="311" t="e">
        <f t="shared" si="124"/>
        <v>#REF!</v>
      </c>
      <c r="AN941" s="312" t="e">
        <f t="shared" si="129"/>
        <v>#REF!</v>
      </c>
    </row>
    <row r="942" spans="1:40" s="73" customFormat="1" x14ac:dyDescent="0.25">
      <c r="A942" s="313"/>
      <c r="B942" s="329" t="s">
        <v>1596</v>
      </c>
      <c r="D942" s="74">
        <f>IFERROR(VLOOKUP(B942,'REQ. PINTADO'!B:C,2,0),0)</f>
        <v>0</v>
      </c>
      <c r="E942" s="305">
        <f t="shared" si="114"/>
        <v>62.28863020764021</v>
      </c>
      <c r="F942" s="103" t="s">
        <v>166</v>
      </c>
      <c r="G942" s="75" t="s">
        <v>147</v>
      </c>
      <c r="H942" s="90">
        <v>2.5</v>
      </c>
      <c r="I942" s="90">
        <v>3.78</v>
      </c>
      <c r="J942" s="76">
        <v>0.105</v>
      </c>
      <c r="K942" s="306">
        <v>16.38</v>
      </c>
      <c r="L942" s="78">
        <f t="shared" si="115"/>
        <v>0.28767079486979164</v>
      </c>
      <c r="M942" s="58">
        <f>+VLOOKUP(F942,Material!$H$2:$M$17,6,FALSE)*H942*I942*(1+Material!$K$14)</f>
        <v>2.1418398272578121</v>
      </c>
      <c r="N942" s="79" t="str">
        <f t="shared" si="131"/>
        <v>T5.0</v>
      </c>
      <c r="O942" s="80">
        <f>+VLOOKUP(N942,[3]Material!$A$3:$B$58,2,FALSE)</f>
        <v>5000</v>
      </c>
      <c r="P942" s="79" t="s">
        <v>42</v>
      </c>
      <c r="Q942" s="79" t="str">
        <f>+VLOOKUP(F942,[3]Material!$C$2:$E$12,2,FALSE)</f>
        <v>Cal 16</v>
      </c>
      <c r="R942" s="81">
        <f>+IF(P942="ACERO A36",VLOOKUP(Q942,'[3]Velocidades Std 1500 w'!$B$2:$F$15,5,FALSE),IF(P942="INOXIDABLE",VLOOKUP(Q942,'[3]Velocidades Std 1500 w'!$B$17:$F$28,5,FALSE),IF(P942="ALUMINIO",VLOOKUP(Q942,'[3]Velocidades Std 1500 w'!$B$30:$F$38,5,FALSE))))</f>
        <v>9.1575091575091579E-7</v>
      </c>
      <c r="S942" s="82">
        <f t="shared" si="116"/>
        <v>4.578754578754579E-3</v>
      </c>
      <c r="T942" s="83">
        <f t="shared" si="117"/>
        <v>1.7637369230769231</v>
      </c>
      <c r="U942" s="307">
        <f t="shared" si="130"/>
        <v>535.00019999999995</v>
      </c>
      <c r="V942" s="80">
        <f t="shared" si="122"/>
        <v>2.4496346153846154</v>
      </c>
      <c r="W942" s="98">
        <v>5</v>
      </c>
      <c r="X942" s="84">
        <f>+IF(P942="ACERO A36",VLOOKUP(Q942,'[3]Tiempo Objeto'!$B$2:$C$12,2,FALSE),IF(P942="INOXIDABLE",VLOOKUP(Q942,'[3]Tiempo Objeto'!$B$14:$C$22,2,FALSE),IF(P942="ALUMINIO",VLOOKUP(Q942,'[3]Tiempo Objeto'!$B$24:$C$32,2,FALSE))))</f>
        <v>0.24666666666666667</v>
      </c>
      <c r="Y942" s="84">
        <f t="shared" si="118"/>
        <v>1.2333333333333334</v>
      </c>
      <c r="Z942" s="80">
        <f t="shared" si="119"/>
        <v>1.712962962962963</v>
      </c>
      <c r="AA942" s="100">
        <v>2</v>
      </c>
      <c r="AB942" s="86">
        <f>+AA942*Analisis!$J$6</f>
        <v>50</v>
      </c>
      <c r="AC942" s="100"/>
      <c r="AD942" s="85">
        <f t="shared" si="120"/>
        <v>0</v>
      </c>
      <c r="AE942" s="86">
        <f>+AC942*Analisis!$J$7</f>
        <v>0</v>
      </c>
      <c r="AF942" s="308">
        <f>+H942*0.0254*I942*0.0254*2*(1+[3]Analisis!$G$2)</f>
        <v>1.5241904999999998E-2</v>
      </c>
      <c r="AG942" s="86">
        <f>+AF942*Analisis!$J$8</f>
        <v>1.6239886875000002</v>
      </c>
      <c r="AH942" s="309">
        <f t="shared" si="126"/>
        <v>57.928426093105394</v>
      </c>
      <c r="AI942" s="86">
        <f>+AH942/(1-Analisis!G947)</f>
        <v>57.928426093105394</v>
      </c>
      <c r="AJ942" s="86">
        <f t="shared" si="121"/>
        <v>62.28863020764021</v>
      </c>
      <c r="AK942" s="86">
        <f t="shared" si="127"/>
        <v>0</v>
      </c>
      <c r="AL942" s="310" t="e">
        <f>+VLOOKUP(B942,#REF!,2,FALSE)</f>
        <v>#REF!</v>
      </c>
      <c r="AM942" s="311" t="e">
        <f t="shared" si="124"/>
        <v>#REF!</v>
      </c>
      <c r="AN942" s="312" t="e">
        <f t="shared" si="129"/>
        <v>#REF!</v>
      </c>
    </row>
    <row r="943" spans="1:40" s="73" customFormat="1" x14ac:dyDescent="0.25">
      <c r="A943" s="313"/>
      <c r="B943" s="329" t="s">
        <v>1597</v>
      </c>
      <c r="D943" s="74">
        <f>IFERROR(VLOOKUP(B943,'REQ. PINTADO'!B:C,2,0),0)</f>
        <v>0</v>
      </c>
      <c r="E943" s="305">
        <f t="shared" si="114"/>
        <v>145.21500416335599</v>
      </c>
      <c r="F943" s="103" t="s">
        <v>166</v>
      </c>
      <c r="G943" s="75" t="s">
        <v>147</v>
      </c>
      <c r="H943" s="90">
        <v>9.75</v>
      </c>
      <c r="I943" s="90">
        <v>19</v>
      </c>
      <c r="J943" s="76">
        <v>0.105</v>
      </c>
      <c r="K943" s="306">
        <v>16.38</v>
      </c>
      <c r="L943" s="78">
        <f t="shared" si="115"/>
        <v>5.6392608200665526</v>
      </c>
      <c r="M943" s="58">
        <f>+VLOOKUP(F943,Material!$H$2:$M$17,6,FALSE)*H943*I943*(1+Material!$K$14)</f>
        <v>41.986860105768237</v>
      </c>
      <c r="N943" s="79" t="str">
        <f t="shared" si="131"/>
        <v>T5.0</v>
      </c>
      <c r="O943" s="80">
        <f>+VLOOKUP(N943,[3]Material!$A$3:$B$58,2,FALSE)</f>
        <v>5000</v>
      </c>
      <c r="P943" s="79" t="s">
        <v>42</v>
      </c>
      <c r="Q943" s="79" t="str">
        <f>+VLOOKUP(F943,[3]Material!$C$2:$E$12,2,FALSE)</f>
        <v>Cal 16</v>
      </c>
      <c r="R943" s="81">
        <f>+IF(P943="ACERO A36",VLOOKUP(Q943,'[3]Velocidades Std 1500 w'!$B$2:$F$15,5,FALSE),IF(P943="INOXIDABLE",VLOOKUP(Q943,'[3]Velocidades Std 1500 w'!$B$17:$F$28,5,FALSE),IF(P943="ALUMINIO",VLOOKUP(Q943,'[3]Velocidades Std 1500 w'!$B$30:$F$38,5,FALSE))))</f>
        <v>9.1575091575091579E-7</v>
      </c>
      <c r="S943" s="82">
        <f t="shared" si="116"/>
        <v>4.578754578754579E-3</v>
      </c>
      <c r="T943" s="83">
        <f t="shared" si="117"/>
        <v>6.1106538461538467</v>
      </c>
      <c r="U943" s="307">
        <f t="shared" si="130"/>
        <v>1853.5650000000001</v>
      </c>
      <c r="V943" s="80">
        <f t="shared" si="122"/>
        <v>8.4870192307692314</v>
      </c>
      <c r="W943" s="98">
        <v>8</v>
      </c>
      <c r="X943" s="84">
        <f>+IF(P943="ACERO A36",VLOOKUP(Q943,'[3]Tiempo Objeto'!$B$2:$C$12,2,FALSE),IF(P943="INOXIDABLE",VLOOKUP(Q943,'[3]Tiempo Objeto'!$B$14:$C$22,2,FALSE),IF(P943="ALUMINIO",VLOOKUP(Q943,'[3]Tiempo Objeto'!$B$24:$C$32,2,FALSE))))</f>
        <v>0.24666666666666667</v>
      </c>
      <c r="Y943" s="84">
        <f t="shared" si="118"/>
        <v>1.9733333333333334</v>
      </c>
      <c r="Z943" s="80">
        <f t="shared" si="119"/>
        <v>2.7407407407407405</v>
      </c>
      <c r="AA943" s="100">
        <v>2</v>
      </c>
      <c r="AB943" s="86">
        <f>+AA943*Analisis!$J$6</f>
        <v>50</v>
      </c>
      <c r="AC943" s="100"/>
      <c r="AD943" s="85">
        <f t="shared" si="120"/>
        <v>0</v>
      </c>
      <c r="AE943" s="86">
        <f>+AC943*Analisis!$J$7</f>
        <v>0</v>
      </c>
      <c r="AF943" s="308">
        <f>+H943*0.0254*I943*0.0254*2*(1+[3]Analisis!$G$2)</f>
        <v>0.29878972499999995</v>
      </c>
      <c r="AG943" s="86">
        <f>+AF943*Analisis!$J$8</f>
        <v>31.83533379464286</v>
      </c>
      <c r="AH943" s="309">
        <f t="shared" si="126"/>
        <v>135.04995387192105</v>
      </c>
      <c r="AI943" s="86">
        <f>+AH943/(1-Analisis!G948)</f>
        <v>135.04995387192105</v>
      </c>
      <c r="AJ943" s="86">
        <f t="shared" si="121"/>
        <v>145.21500416335599</v>
      </c>
      <c r="AK943" s="86">
        <f t="shared" si="127"/>
        <v>0</v>
      </c>
      <c r="AL943" s="310" t="e">
        <f>+VLOOKUP(B943,#REF!,2,FALSE)</f>
        <v>#REF!</v>
      </c>
      <c r="AM943" s="311" t="e">
        <f t="shared" si="124"/>
        <v>#REF!</v>
      </c>
      <c r="AN943" s="312" t="e">
        <f t="shared" si="129"/>
        <v>#REF!</v>
      </c>
    </row>
    <row r="944" spans="1:40" s="73" customFormat="1" x14ac:dyDescent="0.25">
      <c r="A944" s="313"/>
      <c r="B944" s="329" t="s">
        <v>1598</v>
      </c>
      <c r="D944" s="74">
        <f>IFERROR(VLOOKUP(B944,'REQ. PINTADO'!B:C,2,0),0)</f>
        <v>0</v>
      </c>
      <c r="E944" s="305">
        <f t="shared" si="114"/>
        <v>145.21500416335599</v>
      </c>
      <c r="F944" s="103" t="s">
        <v>166</v>
      </c>
      <c r="G944" s="75" t="s">
        <v>147</v>
      </c>
      <c r="H944" s="90">
        <v>9.75</v>
      </c>
      <c r="I944" s="90">
        <v>19</v>
      </c>
      <c r="J944" s="76">
        <v>0.105</v>
      </c>
      <c r="K944" s="306">
        <v>16.38</v>
      </c>
      <c r="L944" s="78">
        <f t="shared" si="115"/>
        <v>5.6392608200665526</v>
      </c>
      <c r="M944" s="58">
        <f>+VLOOKUP(F944,Material!$H$2:$M$17,6,FALSE)*H944*I944*(1+Material!$K$14)</f>
        <v>41.986860105768237</v>
      </c>
      <c r="N944" s="79" t="str">
        <f t="shared" si="131"/>
        <v>T5.0</v>
      </c>
      <c r="O944" s="80">
        <f>+VLOOKUP(N944,[3]Material!$A$3:$B$58,2,FALSE)</f>
        <v>5000</v>
      </c>
      <c r="P944" s="79" t="s">
        <v>42</v>
      </c>
      <c r="Q944" s="79" t="str">
        <f>+VLOOKUP(F944,[3]Material!$C$2:$E$12,2,FALSE)</f>
        <v>Cal 16</v>
      </c>
      <c r="R944" s="81">
        <f>+IF(P944="ACERO A36",VLOOKUP(Q944,'[3]Velocidades Std 1500 w'!$B$2:$F$15,5,FALSE),IF(P944="INOXIDABLE",VLOOKUP(Q944,'[3]Velocidades Std 1500 w'!$B$17:$F$28,5,FALSE),IF(P944="ALUMINIO",VLOOKUP(Q944,'[3]Velocidades Std 1500 w'!$B$30:$F$38,5,FALSE))))</f>
        <v>9.1575091575091579E-7</v>
      </c>
      <c r="S944" s="82">
        <f t="shared" si="116"/>
        <v>4.578754578754579E-3</v>
      </c>
      <c r="T944" s="83">
        <f t="shared" si="117"/>
        <v>6.1106538461538467</v>
      </c>
      <c r="U944" s="307">
        <f t="shared" si="130"/>
        <v>1853.5650000000001</v>
      </c>
      <c r="V944" s="80">
        <f t="shared" si="122"/>
        <v>8.4870192307692314</v>
      </c>
      <c r="W944" s="98">
        <v>8</v>
      </c>
      <c r="X944" s="84">
        <f>+IF(P944="ACERO A36",VLOOKUP(Q944,'[3]Tiempo Objeto'!$B$2:$C$12,2,FALSE),IF(P944="INOXIDABLE",VLOOKUP(Q944,'[3]Tiempo Objeto'!$B$14:$C$22,2,FALSE),IF(P944="ALUMINIO",VLOOKUP(Q944,'[3]Tiempo Objeto'!$B$24:$C$32,2,FALSE))))</f>
        <v>0.24666666666666667</v>
      </c>
      <c r="Y944" s="84">
        <f t="shared" si="118"/>
        <v>1.9733333333333334</v>
      </c>
      <c r="Z944" s="80">
        <f t="shared" si="119"/>
        <v>2.7407407407407405</v>
      </c>
      <c r="AA944" s="100">
        <v>2</v>
      </c>
      <c r="AB944" s="86">
        <f>+AA944*Analisis!$J$6</f>
        <v>50</v>
      </c>
      <c r="AC944" s="100"/>
      <c r="AD944" s="85">
        <f t="shared" si="120"/>
        <v>0</v>
      </c>
      <c r="AE944" s="86">
        <f>+AC944*Analisis!$J$7</f>
        <v>0</v>
      </c>
      <c r="AF944" s="308">
        <f>+H944*0.0254*I944*0.0254*2*(1+[3]Analisis!$G$2)</f>
        <v>0.29878972499999995</v>
      </c>
      <c r="AG944" s="86">
        <f>+AF944*Analisis!$J$8</f>
        <v>31.83533379464286</v>
      </c>
      <c r="AH944" s="309">
        <f t="shared" si="126"/>
        <v>135.04995387192105</v>
      </c>
      <c r="AI944" s="86">
        <f>+AH944/(1-Analisis!G949)</f>
        <v>135.04995387192105</v>
      </c>
      <c r="AJ944" s="86">
        <f t="shared" si="121"/>
        <v>145.21500416335599</v>
      </c>
      <c r="AK944" s="86">
        <f t="shared" si="127"/>
        <v>0</v>
      </c>
      <c r="AL944" s="310" t="e">
        <f>+VLOOKUP(B944,#REF!,2,FALSE)</f>
        <v>#REF!</v>
      </c>
      <c r="AM944" s="311" t="e">
        <f t="shared" si="124"/>
        <v>#REF!</v>
      </c>
      <c r="AN944" s="312" t="e">
        <f t="shared" si="129"/>
        <v>#REF!</v>
      </c>
    </row>
    <row r="945" spans="1:40" s="73" customFormat="1" x14ac:dyDescent="0.25">
      <c r="A945" s="313"/>
      <c r="B945" s="329" t="s">
        <v>1599</v>
      </c>
      <c r="D945" s="74">
        <f>IFERROR(VLOOKUP(B945,'REQ. PINTADO'!B:C,2,0),0)</f>
        <v>0</v>
      </c>
      <c r="E945" s="305">
        <f t="shared" si="114"/>
        <v>171.33670891978269</v>
      </c>
      <c r="F945" s="103" t="s">
        <v>166</v>
      </c>
      <c r="G945" s="75" t="s">
        <v>147</v>
      </c>
      <c r="H945" s="90">
        <v>5.99</v>
      </c>
      <c r="I945" s="90">
        <v>19</v>
      </c>
      <c r="J945" s="76">
        <v>0.105</v>
      </c>
      <c r="K945" s="306">
        <v>16.38</v>
      </c>
      <c r="L945" s="78">
        <f t="shared" si="115"/>
        <v>3.4645304935588359</v>
      </c>
      <c r="M945" s="58">
        <f>+VLOOKUP(F945,Material!$H$2:$M$17,6,FALSE)*H945*I945*(1+Material!$K$14)</f>
        <v>25.795004311133511</v>
      </c>
      <c r="N945" s="79" t="str">
        <f t="shared" si="131"/>
        <v>T5.0</v>
      </c>
      <c r="O945" s="80">
        <f>+VLOOKUP(N945,[3]Material!$A$3:$B$58,2,FALSE)</f>
        <v>5000</v>
      </c>
      <c r="P945" s="79" t="s">
        <v>42</v>
      </c>
      <c r="Q945" s="79" t="str">
        <f>+VLOOKUP(F945,[3]Material!$C$2:$E$12,2,FALSE)</f>
        <v>Cal 16</v>
      </c>
      <c r="R945" s="81">
        <f>+IF(P945="ACERO A36",VLOOKUP(Q945,'[3]Velocidades Std 1500 w'!$B$2:$F$15,5,FALSE),IF(P945="INOXIDABLE",VLOOKUP(Q945,'[3]Velocidades Std 1500 w'!$B$17:$F$28,5,FALSE),IF(P945="ALUMINIO",VLOOKUP(Q945,'[3]Velocidades Std 1500 w'!$B$30:$F$38,5,FALSE))))</f>
        <v>9.1575091575091579E-7</v>
      </c>
      <c r="S945" s="82">
        <f t="shared" si="116"/>
        <v>4.578754578754579E-3</v>
      </c>
      <c r="T945" s="83">
        <f t="shared" si="117"/>
        <v>6.3726646153846156</v>
      </c>
      <c r="U945" s="307">
        <f t="shared" si="130"/>
        <v>1933.0416</v>
      </c>
      <c r="V945" s="80">
        <f t="shared" si="122"/>
        <v>8.8509230769230776</v>
      </c>
      <c r="W945" s="98">
        <v>15</v>
      </c>
      <c r="X945" s="84">
        <f>+IF(P945="ACERO A36",VLOOKUP(Q945,'[3]Tiempo Objeto'!$B$2:$C$12,2,FALSE),IF(P945="INOXIDABLE",VLOOKUP(Q945,'[3]Tiempo Objeto'!$B$14:$C$22,2,FALSE),IF(P945="ALUMINIO",VLOOKUP(Q945,'[3]Tiempo Objeto'!$B$24:$C$32,2,FALSE))))</f>
        <v>0.24666666666666667</v>
      </c>
      <c r="Y945" s="84">
        <f t="shared" si="118"/>
        <v>3.7</v>
      </c>
      <c r="Z945" s="80">
        <f t="shared" si="119"/>
        <v>5.1388888888888893</v>
      </c>
      <c r="AA945" s="100">
        <v>4</v>
      </c>
      <c r="AB945" s="86">
        <f>+AA945*Analisis!$J$6</f>
        <v>100</v>
      </c>
      <c r="AC945" s="100"/>
      <c r="AD945" s="85">
        <f t="shared" si="120"/>
        <v>0</v>
      </c>
      <c r="AE945" s="86">
        <f>+AC945*Analisis!$J$7</f>
        <v>0</v>
      </c>
      <c r="AF945" s="308">
        <f>+H945*0.0254*I945*0.0254*2*(1+[3]Analisis!$G$2)</f>
        <v>0.18356414900000001</v>
      </c>
      <c r="AG945" s="86">
        <f>+AF945*Analisis!$J$8</f>
        <v>19.558323018452388</v>
      </c>
      <c r="AH945" s="309">
        <f t="shared" si="126"/>
        <v>159.34313929539789</v>
      </c>
      <c r="AI945" s="86">
        <f>+AH945/(1-Analisis!G950)</f>
        <v>159.34313929539789</v>
      </c>
      <c r="AJ945" s="86">
        <f t="shared" si="121"/>
        <v>171.33670891978269</v>
      </c>
      <c r="AK945" s="86">
        <f t="shared" si="127"/>
        <v>0</v>
      </c>
      <c r="AL945" s="310" t="e">
        <f>+VLOOKUP(B945,#REF!,2,FALSE)</f>
        <v>#REF!</v>
      </c>
      <c r="AM945" s="311" t="e">
        <f t="shared" si="124"/>
        <v>#REF!</v>
      </c>
      <c r="AN945" s="312" t="e">
        <f t="shared" si="129"/>
        <v>#REF!</v>
      </c>
    </row>
    <row r="946" spans="1:40" s="73" customFormat="1" x14ac:dyDescent="0.25">
      <c r="A946" s="313"/>
      <c r="B946" s="329" t="s">
        <v>1600</v>
      </c>
      <c r="D946" s="74">
        <f>IFERROR(VLOOKUP(B946,'REQ. PINTADO'!B:C,2,0),0)</f>
        <v>0</v>
      </c>
      <c r="E946" s="305">
        <f t="shared" si="114"/>
        <v>171.33670891978269</v>
      </c>
      <c r="F946" s="103" t="s">
        <v>166</v>
      </c>
      <c r="G946" s="75" t="s">
        <v>147</v>
      </c>
      <c r="H946" s="90">
        <v>5.99</v>
      </c>
      <c r="I946" s="90">
        <v>19</v>
      </c>
      <c r="J946" s="76">
        <v>0.105</v>
      </c>
      <c r="K946" s="306">
        <v>16.38</v>
      </c>
      <c r="L946" s="78">
        <f t="shared" si="115"/>
        <v>3.4645304935588359</v>
      </c>
      <c r="M946" s="58">
        <f>+VLOOKUP(F946,Material!$H$2:$M$17,6,FALSE)*H946*I946*(1+Material!$K$14)</f>
        <v>25.795004311133511</v>
      </c>
      <c r="N946" s="79" t="str">
        <f t="shared" si="131"/>
        <v>T5.0</v>
      </c>
      <c r="O946" s="80">
        <f>+VLOOKUP(N946,[3]Material!$A$3:$B$58,2,FALSE)</f>
        <v>5000</v>
      </c>
      <c r="P946" s="79" t="s">
        <v>42</v>
      </c>
      <c r="Q946" s="79" t="str">
        <f>+VLOOKUP(F946,[3]Material!$C$2:$E$12,2,FALSE)</f>
        <v>Cal 16</v>
      </c>
      <c r="R946" s="81">
        <f>+IF(P946="ACERO A36",VLOOKUP(Q946,'[3]Velocidades Std 1500 w'!$B$2:$F$15,5,FALSE),IF(P946="INOXIDABLE",VLOOKUP(Q946,'[3]Velocidades Std 1500 w'!$B$17:$F$28,5,FALSE),IF(P946="ALUMINIO",VLOOKUP(Q946,'[3]Velocidades Std 1500 w'!$B$30:$F$38,5,FALSE))))</f>
        <v>9.1575091575091579E-7</v>
      </c>
      <c r="S946" s="82">
        <f t="shared" si="116"/>
        <v>4.578754578754579E-3</v>
      </c>
      <c r="T946" s="83">
        <f t="shared" si="117"/>
        <v>6.3726646153846156</v>
      </c>
      <c r="U946" s="307">
        <f t="shared" si="130"/>
        <v>1933.0416</v>
      </c>
      <c r="V946" s="80">
        <f t="shared" si="122"/>
        <v>8.8509230769230776</v>
      </c>
      <c r="W946" s="98">
        <v>15</v>
      </c>
      <c r="X946" s="84">
        <f>+IF(P946="ACERO A36",VLOOKUP(Q946,'[3]Tiempo Objeto'!$B$2:$C$12,2,FALSE),IF(P946="INOXIDABLE",VLOOKUP(Q946,'[3]Tiempo Objeto'!$B$14:$C$22,2,FALSE),IF(P946="ALUMINIO",VLOOKUP(Q946,'[3]Tiempo Objeto'!$B$24:$C$32,2,FALSE))))</f>
        <v>0.24666666666666667</v>
      </c>
      <c r="Y946" s="84">
        <f t="shared" si="118"/>
        <v>3.7</v>
      </c>
      <c r="Z946" s="80">
        <f t="shared" si="119"/>
        <v>5.1388888888888893</v>
      </c>
      <c r="AA946" s="100">
        <v>4</v>
      </c>
      <c r="AB946" s="86">
        <f>+AA946*Analisis!$J$6</f>
        <v>100</v>
      </c>
      <c r="AC946" s="100"/>
      <c r="AD946" s="85">
        <f t="shared" si="120"/>
        <v>0</v>
      </c>
      <c r="AE946" s="86">
        <f>+AC946*Analisis!$J$7</f>
        <v>0</v>
      </c>
      <c r="AF946" s="308">
        <f>+H946*0.0254*I946*0.0254*2*(1+[3]Analisis!$G$2)</f>
        <v>0.18356414900000001</v>
      </c>
      <c r="AG946" s="86">
        <f>+AF946*Analisis!$J$8</f>
        <v>19.558323018452388</v>
      </c>
      <c r="AH946" s="309">
        <f t="shared" si="126"/>
        <v>159.34313929539789</v>
      </c>
      <c r="AI946" s="86">
        <f>+AH946/(1-Analisis!G951)</f>
        <v>159.34313929539789</v>
      </c>
      <c r="AJ946" s="86">
        <f t="shared" si="121"/>
        <v>171.33670891978269</v>
      </c>
      <c r="AK946" s="86">
        <f t="shared" si="127"/>
        <v>0</v>
      </c>
      <c r="AL946" s="310" t="e">
        <f>+VLOOKUP(B946,#REF!,2,FALSE)</f>
        <v>#REF!</v>
      </c>
      <c r="AM946" s="311" t="e">
        <f t="shared" si="124"/>
        <v>#REF!</v>
      </c>
      <c r="AN946" s="312" t="e">
        <f t="shared" si="129"/>
        <v>#REF!</v>
      </c>
    </row>
    <row r="947" spans="1:40" s="73" customFormat="1" x14ac:dyDescent="0.25">
      <c r="A947" s="313"/>
      <c r="B947" s="329" t="s">
        <v>1601</v>
      </c>
      <c r="D947" s="74">
        <f>IFERROR(VLOOKUP(B947,'REQ. PINTADO'!B:C,2,0),0)</f>
        <v>0</v>
      </c>
      <c r="E947" s="305">
        <f t="shared" si="114"/>
        <v>79.442203368984011</v>
      </c>
      <c r="F947" s="103" t="s">
        <v>166</v>
      </c>
      <c r="G947" s="75" t="s">
        <v>147</v>
      </c>
      <c r="H947" s="90">
        <v>2.2599999999999998</v>
      </c>
      <c r="I947" s="90">
        <v>19</v>
      </c>
      <c r="J947" s="76">
        <v>0.105</v>
      </c>
      <c r="K947" s="306">
        <v>16.38</v>
      </c>
      <c r="L947" s="78">
        <f t="shared" si="115"/>
        <v>1.3071517388051699</v>
      </c>
      <c r="M947" s="58">
        <f>+VLOOKUP(F947,Material!$H$2:$M$17,6,FALSE)*H947*I947*(1+Material!$K$14)</f>
        <v>9.7323388552857644</v>
      </c>
      <c r="N947" s="79" t="str">
        <f t="shared" si="131"/>
        <v>T5.0</v>
      </c>
      <c r="O947" s="80">
        <f>+VLOOKUP(N947,[3]Material!$A$3:$B$58,2,FALSE)</f>
        <v>5000</v>
      </c>
      <c r="P947" s="79" t="s">
        <v>42</v>
      </c>
      <c r="Q947" s="79" t="str">
        <f>+VLOOKUP(F947,[3]Material!$C$2:$E$12,2,FALSE)</f>
        <v>Cal 16</v>
      </c>
      <c r="R947" s="81">
        <f>+IF(P947="ACERO A36",VLOOKUP(Q947,'[3]Velocidades Std 1500 w'!$B$2:$F$15,5,FALSE),IF(P947="INOXIDABLE",VLOOKUP(Q947,'[3]Velocidades Std 1500 w'!$B$17:$F$28,5,FALSE),IF(P947="ALUMINIO",VLOOKUP(Q947,'[3]Velocidades Std 1500 w'!$B$30:$F$38,5,FALSE))))</f>
        <v>9.1575091575091579E-7</v>
      </c>
      <c r="S947" s="82">
        <f t="shared" si="116"/>
        <v>4.578754578754579E-3</v>
      </c>
      <c r="T947" s="83">
        <f t="shared" si="117"/>
        <v>4.1341430769230767</v>
      </c>
      <c r="U947" s="307">
        <f t="shared" si="130"/>
        <v>1254.0233999999998</v>
      </c>
      <c r="V947" s="80">
        <f t="shared" si="122"/>
        <v>5.7418653846153838</v>
      </c>
      <c r="W947" s="98">
        <v>3</v>
      </c>
      <c r="X947" s="84">
        <f>+IF(P947="ACERO A36",VLOOKUP(Q947,'[3]Tiempo Objeto'!$B$2:$C$12,2,FALSE),IF(P947="INOXIDABLE",VLOOKUP(Q947,'[3]Tiempo Objeto'!$B$14:$C$22,2,FALSE),IF(P947="ALUMINIO",VLOOKUP(Q947,'[3]Tiempo Objeto'!$B$24:$C$32,2,FALSE))))</f>
        <v>0.24666666666666667</v>
      </c>
      <c r="Y947" s="84">
        <f t="shared" si="118"/>
        <v>0.74</v>
      </c>
      <c r="Z947" s="80">
        <f t="shared" si="119"/>
        <v>1.0277777777777777</v>
      </c>
      <c r="AA947" s="100">
        <v>2</v>
      </c>
      <c r="AB947" s="86">
        <f>+AA947*Analisis!$J$6</f>
        <v>50</v>
      </c>
      <c r="AC947" s="100"/>
      <c r="AD947" s="85">
        <f t="shared" si="120"/>
        <v>0</v>
      </c>
      <c r="AE947" s="86">
        <f>+AC947*Analisis!$J$7</f>
        <v>0</v>
      </c>
      <c r="AF947" s="308">
        <f>+H947*0.0254*I947*0.0254*2*(1+[3]Analisis!$G$2)</f>
        <v>6.9257925999999984E-2</v>
      </c>
      <c r="AG947" s="86">
        <f>+AF947*Analisis!$J$8</f>
        <v>7.3792671154761909</v>
      </c>
      <c r="AH947" s="309">
        <f t="shared" si="126"/>
        <v>73.881249133155123</v>
      </c>
      <c r="AI947" s="86">
        <f>+AH947/(1-Analisis!G952)</f>
        <v>73.881249133155123</v>
      </c>
      <c r="AJ947" s="86">
        <f t="shared" si="121"/>
        <v>79.442203368984011</v>
      </c>
      <c r="AK947" s="86">
        <f t="shared" si="127"/>
        <v>0</v>
      </c>
      <c r="AL947" s="310" t="e">
        <f>+VLOOKUP(B947,#REF!,2,FALSE)</f>
        <v>#REF!</v>
      </c>
      <c r="AM947" s="311" t="e">
        <f t="shared" si="124"/>
        <v>#REF!</v>
      </c>
      <c r="AN947" s="312" t="e">
        <f t="shared" si="129"/>
        <v>#REF!</v>
      </c>
    </row>
    <row r="948" spans="1:40" s="73" customFormat="1" x14ac:dyDescent="0.25">
      <c r="A948" s="313"/>
      <c r="B948" s="329" t="s">
        <v>1602</v>
      </c>
      <c r="D948" s="74">
        <f>IFERROR(VLOOKUP(B948,'REQ. PINTADO'!B:C,2,0),0)</f>
        <v>0</v>
      </c>
      <c r="E948" s="305">
        <f t="shared" si="114"/>
        <v>89.947227342021094</v>
      </c>
      <c r="F948" s="103" t="s">
        <v>166</v>
      </c>
      <c r="G948" s="75" t="s">
        <v>147</v>
      </c>
      <c r="H948" s="90">
        <v>3.51</v>
      </c>
      <c r="I948" s="90">
        <v>19</v>
      </c>
      <c r="J948" s="76">
        <v>0.105</v>
      </c>
      <c r="K948" s="306">
        <v>16.38</v>
      </c>
      <c r="L948" s="78">
        <f t="shared" si="115"/>
        <v>2.0301338952239587</v>
      </c>
      <c r="M948" s="58">
        <f>+VLOOKUP(F948,Material!$H$2:$M$17,6,FALSE)*H948*I948*(1+Material!$K$14)</f>
        <v>15.115269638076562</v>
      </c>
      <c r="N948" s="79" t="str">
        <f t="shared" si="131"/>
        <v>T5.0</v>
      </c>
      <c r="O948" s="80">
        <f>+VLOOKUP(N948,[3]Material!$A$3:$B$58,2,FALSE)</f>
        <v>5000</v>
      </c>
      <c r="P948" s="79" t="s">
        <v>42</v>
      </c>
      <c r="Q948" s="79" t="str">
        <f>+VLOOKUP(F948,[3]Material!$C$2:$E$12,2,FALSE)</f>
        <v>Cal 16</v>
      </c>
      <c r="R948" s="81">
        <f>+IF(P948="ACERO A36",VLOOKUP(Q948,'[3]Velocidades Std 1500 w'!$B$2:$F$15,5,FALSE),IF(P948="INOXIDABLE",VLOOKUP(Q948,'[3]Velocidades Std 1500 w'!$B$17:$F$28,5,FALSE),IF(P948="ALUMINIO",VLOOKUP(Q948,'[3]Velocidades Std 1500 w'!$B$30:$F$38,5,FALSE))))</f>
        <v>9.1575091575091579E-7</v>
      </c>
      <c r="S948" s="82">
        <f t="shared" si="116"/>
        <v>4.578754578754579E-3</v>
      </c>
      <c r="T948" s="83">
        <f t="shared" si="117"/>
        <v>4.3539507692307682</v>
      </c>
      <c r="U948" s="307">
        <f t="shared" si="130"/>
        <v>1320.6983999999998</v>
      </c>
      <c r="V948" s="80">
        <f t="shared" si="122"/>
        <v>6.0471538461538454</v>
      </c>
      <c r="W948" s="98">
        <v>3</v>
      </c>
      <c r="X948" s="84">
        <f>+IF(P948="ACERO A36",VLOOKUP(Q948,'[3]Tiempo Objeto'!$B$2:$C$12,2,FALSE),IF(P948="INOXIDABLE",VLOOKUP(Q948,'[3]Tiempo Objeto'!$B$14:$C$22,2,FALSE),IF(P948="ALUMINIO",VLOOKUP(Q948,'[3]Tiempo Objeto'!$B$24:$C$32,2,FALSE))))</f>
        <v>0.24666666666666667</v>
      </c>
      <c r="Y948" s="84">
        <f t="shared" si="118"/>
        <v>0.74</v>
      </c>
      <c r="Z948" s="80">
        <f t="shared" si="119"/>
        <v>1.0277777777777777</v>
      </c>
      <c r="AA948" s="100">
        <v>2</v>
      </c>
      <c r="AB948" s="86">
        <f>+AA948*Analisis!$J$6</f>
        <v>50</v>
      </c>
      <c r="AC948" s="100"/>
      <c r="AD948" s="85">
        <f t="shared" si="120"/>
        <v>0</v>
      </c>
      <c r="AE948" s="86">
        <f>+AC948*Analisis!$J$7</f>
        <v>0</v>
      </c>
      <c r="AF948" s="308">
        <f>+H948*0.0254*I948*0.0254*2*(1+[3]Analisis!$G$2)</f>
        <v>0.107564301</v>
      </c>
      <c r="AG948" s="86">
        <f>+AF948*Analisis!$J$8</f>
        <v>11.460720166071432</v>
      </c>
      <c r="AH948" s="309">
        <f t="shared" si="126"/>
        <v>83.650921428079613</v>
      </c>
      <c r="AI948" s="86">
        <f>+AH948/(1-Analisis!G953)</f>
        <v>83.650921428079613</v>
      </c>
      <c r="AJ948" s="86">
        <f t="shared" si="121"/>
        <v>89.947227342021094</v>
      </c>
      <c r="AK948" s="86">
        <f t="shared" si="127"/>
        <v>0</v>
      </c>
      <c r="AL948" s="310" t="e">
        <f>+VLOOKUP(B948,#REF!,2,FALSE)</f>
        <v>#REF!</v>
      </c>
      <c r="AM948" s="311" t="e">
        <f t="shared" si="124"/>
        <v>#REF!</v>
      </c>
      <c r="AN948" s="312" t="e">
        <f t="shared" si="129"/>
        <v>#REF!</v>
      </c>
    </row>
    <row r="949" spans="1:40" s="73" customFormat="1" x14ac:dyDescent="0.25">
      <c r="A949" s="313"/>
      <c r="B949" s="329" t="s">
        <v>1603</v>
      </c>
      <c r="D949" s="74">
        <f>IFERROR(VLOOKUP(B949,'REQ. PINTADO'!B:C,2,0),0)</f>
        <v>0</v>
      </c>
      <c r="E949" s="305">
        <f t="shared" si="114"/>
        <v>110.9572752880953</v>
      </c>
      <c r="F949" s="103" t="s">
        <v>166</v>
      </c>
      <c r="G949" s="75" t="s">
        <v>147</v>
      </c>
      <c r="H949" s="90">
        <v>6.01</v>
      </c>
      <c r="I949" s="90">
        <v>19</v>
      </c>
      <c r="J949" s="76">
        <v>0.105</v>
      </c>
      <c r="K949" s="306">
        <v>16.38</v>
      </c>
      <c r="L949" s="78">
        <f t="shared" si="115"/>
        <v>3.4760982080615359</v>
      </c>
      <c r="M949" s="58">
        <f>+VLOOKUP(F949,Material!$H$2:$M$17,6,FALSE)*H949*I949*(1+Material!$K$14)</f>
        <v>25.88113120365816</v>
      </c>
      <c r="N949" s="79" t="str">
        <f t="shared" si="131"/>
        <v>T5.0</v>
      </c>
      <c r="O949" s="80">
        <f>+VLOOKUP(N949,[3]Material!$A$3:$B$58,2,FALSE)</f>
        <v>5000</v>
      </c>
      <c r="P949" s="79" t="s">
        <v>42</v>
      </c>
      <c r="Q949" s="79" t="str">
        <f>+VLOOKUP(F949,[3]Material!$C$2:$E$12,2,FALSE)</f>
        <v>Cal 16</v>
      </c>
      <c r="R949" s="81">
        <f>+IF(P949="ACERO A36",VLOOKUP(Q949,'[3]Velocidades Std 1500 w'!$B$2:$F$15,5,FALSE),IF(P949="INOXIDABLE",VLOOKUP(Q949,'[3]Velocidades Std 1500 w'!$B$17:$F$28,5,FALSE),IF(P949="ALUMINIO",VLOOKUP(Q949,'[3]Velocidades Std 1500 w'!$B$30:$F$38,5,FALSE))))</f>
        <v>9.1575091575091579E-7</v>
      </c>
      <c r="S949" s="82">
        <f t="shared" si="116"/>
        <v>4.578754578754579E-3</v>
      </c>
      <c r="T949" s="83">
        <f t="shared" si="117"/>
        <v>4.7935661538461538</v>
      </c>
      <c r="U949" s="307">
        <f t="shared" si="130"/>
        <v>1454.0483999999999</v>
      </c>
      <c r="V949" s="80">
        <f t="shared" si="122"/>
        <v>6.6577307692307688</v>
      </c>
      <c r="W949" s="98">
        <v>3</v>
      </c>
      <c r="X949" s="84">
        <f>+IF(P949="ACERO A36",VLOOKUP(Q949,'[3]Tiempo Objeto'!$B$2:$C$12,2,FALSE),IF(P949="INOXIDABLE",VLOOKUP(Q949,'[3]Tiempo Objeto'!$B$14:$C$22,2,FALSE),IF(P949="ALUMINIO",VLOOKUP(Q949,'[3]Tiempo Objeto'!$B$24:$C$32,2,FALSE))))</f>
        <v>0.24666666666666667</v>
      </c>
      <c r="Y949" s="84">
        <f t="shared" si="118"/>
        <v>0.74</v>
      </c>
      <c r="Z949" s="80">
        <f t="shared" si="119"/>
        <v>1.0277777777777777</v>
      </c>
      <c r="AA949" s="100">
        <v>2</v>
      </c>
      <c r="AB949" s="86">
        <f>+AA949*Analisis!$J$6</f>
        <v>50</v>
      </c>
      <c r="AC949" s="100"/>
      <c r="AD949" s="85">
        <f t="shared" si="120"/>
        <v>0</v>
      </c>
      <c r="AE949" s="86">
        <f>+AC949*Analisis!$J$7</f>
        <v>0</v>
      </c>
      <c r="AF949" s="308">
        <f>+H949*0.0254*I949*0.0254*2*(1+[3]Analisis!$G$2)</f>
        <v>0.18417705099999998</v>
      </c>
      <c r="AG949" s="86">
        <f>+AF949*Analisis!$J$8</f>
        <v>19.623626267261908</v>
      </c>
      <c r="AH949" s="309">
        <f t="shared" si="126"/>
        <v>103.19026601792862</v>
      </c>
      <c r="AI949" s="86">
        <f>+AH949/(1-Analisis!G954)</f>
        <v>103.19026601792862</v>
      </c>
      <c r="AJ949" s="86">
        <f t="shared" si="121"/>
        <v>110.9572752880953</v>
      </c>
      <c r="AK949" s="86">
        <f t="shared" si="127"/>
        <v>0</v>
      </c>
      <c r="AL949" s="310" t="e">
        <f>+VLOOKUP(B949,#REF!,2,FALSE)</f>
        <v>#REF!</v>
      </c>
      <c r="AM949" s="311" t="e">
        <f t="shared" si="124"/>
        <v>#REF!</v>
      </c>
      <c r="AN949" s="312" t="e">
        <f t="shared" si="129"/>
        <v>#REF!</v>
      </c>
    </row>
    <row r="950" spans="1:40" s="73" customFormat="1" x14ac:dyDescent="0.25">
      <c r="A950" s="313"/>
      <c r="B950" s="329" t="s">
        <v>1604</v>
      </c>
      <c r="D950" s="74">
        <f>IFERROR(VLOOKUP(B950,'REQ. PINTADO'!B:C,2,0),0)</f>
        <v>0</v>
      </c>
      <c r="E950" s="305">
        <f t="shared" si="114"/>
        <v>131.96732323416947</v>
      </c>
      <c r="F950" s="103" t="s">
        <v>166</v>
      </c>
      <c r="G950" s="75" t="s">
        <v>147</v>
      </c>
      <c r="H950" s="90">
        <v>8.51</v>
      </c>
      <c r="I950" s="90">
        <v>19</v>
      </c>
      <c r="J950" s="76">
        <v>0.105</v>
      </c>
      <c r="K950" s="306">
        <v>16.38</v>
      </c>
      <c r="L950" s="78">
        <f t="shared" si="115"/>
        <v>4.9220625208991127</v>
      </c>
      <c r="M950" s="58">
        <f>+VLOOKUP(F950,Material!$H$2:$M$17,6,FALSE)*H950*I950*(1+Material!$K$14)</f>
        <v>36.646992769239752</v>
      </c>
      <c r="N950" s="79" t="str">
        <f t="shared" si="131"/>
        <v>T5.0</v>
      </c>
      <c r="O950" s="80">
        <f>+VLOOKUP(N950,[3]Material!$A$3:$B$58,2,FALSE)</f>
        <v>5000</v>
      </c>
      <c r="P950" s="79" t="s">
        <v>42</v>
      </c>
      <c r="Q950" s="79" t="str">
        <f>+VLOOKUP(F950,[3]Material!$C$2:$E$12,2,FALSE)</f>
        <v>Cal 16</v>
      </c>
      <c r="R950" s="81">
        <f>+IF(P950="ACERO A36",VLOOKUP(Q950,'[3]Velocidades Std 1500 w'!$B$2:$F$15,5,FALSE),IF(P950="INOXIDABLE",VLOOKUP(Q950,'[3]Velocidades Std 1500 w'!$B$17:$F$28,5,FALSE),IF(P950="ALUMINIO",VLOOKUP(Q950,'[3]Velocidades Std 1500 w'!$B$30:$F$38,5,FALSE))))</f>
        <v>9.1575091575091579E-7</v>
      </c>
      <c r="S950" s="82">
        <f t="shared" si="116"/>
        <v>4.578754578754579E-3</v>
      </c>
      <c r="T950" s="83">
        <f t="shared" si="117"/>
        <v>5.2331815384615377</v>
      </c>
      <c r="U950" s="307">
        <f t="shared" si="130"/>
        <v>1587.3983999999998</v>
      </c>
      <c r="V950" s="80">
        <f t="shared" si="122"/>
        <v>7.2683076923076921</v>
      </c>
      <c r="W950" s="98">
        <v>3</v>
      </c>
      <c r="X950" s="84">
        <f>+IF(P950="ACERO A36",VLOOKUP(Q950,'[3]Tiempo Objeto'!$B$2:$C$12,2,FALSE),IF(P950="INOXIDABLE",VLOOKUP(Q950,'[3]Tiempo Objeto'!$B$14:$C$22,2,FALSE),IF(P950="ALUMINIO",VLOOKUP(Q950,'[3]Tiempo Objeto'!$B$24:$C$32,2,FALSE))))</f>
        <v>0.24666666666666667</v>
      </c>
      <c r="Y950" s="84">
        <f t="shared" si="118"/>
        <v>0.74</v>
      </c>
      <c r="Z950" s="80">
        <f t="shared" si="119"/>
        <v>1.0277777777777777</v>
      </c>
      <c r="AA950" s="100">
        <v>2</v>
      </c>
      <c r="AB950" s="86">
        <f>+AA950*Analisis!$J$6</f>
        <v>50</v>
      </c>
      <c r="AC950" s="100"/>
      <c r="AD950" s="85">
        <f t="shared" si="120"/>
        <v>0</v>
      </c>
      <c r="AE950" s="86">
        <f>+AC950*Analisis!$J$7</f>
        <v>0</v>
      </c>
      <c r="AF950" s="308">
        <f>+H950*0.0254*I950*0.0254*2*(1+[3]Analisis!$G$2)</f>
        <v>0.26078980099999993</v>
      </c>
      <c r="AG950" s="86">
        <f>+AF950*Analisis!$J$8</f>
        <v>27.786532368452381</v>
      </c>
      <c r="AH950" s="309">
        <f t="shared" si="126"/>
        <v>122.7296106077776</v>
      </c>
      <c r="AI950" s="86">
        <f>+AH950/(1-Analisis!G955)</f>
        <v>122.7296106077776</v>
      </c>
      <c r="AJ950" s="86">
        <f t="shared" si="121"/>
        <v>131.96732323416947</v>
      </c>
      <c r="AK950" s="86">
        <f t="shared" si="127"/>
        <v>0</v>
      </c>
      <c r="AL950" s="310" t="e">
        <f>+VLOOKUP(B950,#REF!,2,FALSE)</f>
        <v>#REF!</v>
      </c>
      <c r="AM950" s="311" t="e">
        <f t="shared" si="124"/>
        <v>#REF!</v>
      </c>
      <c r="AN950" s="312" t="e">
        <f t="shared" si="129"/>
        <v>#REF!</v>
      </c>
    </row>
    <row r="951" spans="1:40" s="73" customFormat="1" x14ac:dyDescent="0.25">
      <c r="A951" s="313"/>
      <c r="B951" s="329" t="s">
        <v>1605</v>
      </c>
      <c r="D951" s="74">
        <f>IFERROR(VLOOKUP(B951,'REQ. PINTADO'!B:C,2,0),0)</f>
        <v>0</v>
      </c>
      <c r="E951" s="305">
        <f t="shared" si="114"/>
        <v>152.97737118024367</v>
      </c>
      <c r="F951" s="103" t="s">
        <v>166</v>
      </c>
      <c r="G951" s="75" t="s">
        <v>147</v>
      </c>
      <c r="H951" s="90">
        <v>11.01</v>
      </c>
      <c r="I951" s="90">
        <v>19</v>
      </c>
      <c r="J951" s="76">
        <v>0.105</v>
      </c>
      <c r="K951" s="306">
        <v>16.38</v>
      </c>
      <c r="L951" s="78">
        <f t="shared" si="115"/>
        <v>6.3680268337366908</v>
      </c>
      <c r="M951" s="58">
        <f>+VLOOKUP(F951,Material!$H$2:$M$17,6,FALSE)*H951*I951*(1+Material!$K$14)</f>
        <v>47.412854334821354</v>
      </c>
      <c r="N951" s="79" t="str">
        <f t="shared" si="131"/>
        <v>T5.0</v>
      </c>
      <c r="O951" s="80">
        <f>+VLOOKUP(N951,[3]Material!$A$3:$B$58,2,FALSE)</f>
        <v>5000</v>
      </c>
      <c r="P951" s="79" t="s">
        <v>42</v>
      </c>
      <c r="Q951" s="79" t="str">
        <f>+VLOOKUP(F951,[3]Material!$C$2:$E$12,2,FALSE)</f>
        <v>Cal 16</v>
      </c>
      <c r="R951" s="81">
        <f>+IF(P951="ACERO A36",VLOOKUP(Q951,'[3]Velocidades Std 1500 w'!$B$2:$F$15,5,FALSE),IF(P951="INOXIDABLE",VLOOKUP(Q951,'[3]Velocidades Std 1500 w'!$B$17:$F$28,5,FALSE),IF(P951="ALUMINIO",VLOOKUP(Q951,'[3]Velocidades Std 1500 w'!$B$30:$F$38,5,FALSE))))</f>
        <v>9.1575091575091579E-7</v>
      </c>
      <c r="S951" s="82">
        <f t="shared" si="116"/>
        <v>4.578754578754579E-3</v>
      </c>
      <c r="T951" s="83">
        <f t="shared" si="117"/>
        <v>5.6727969230769224</v>
      </c>
      <c r="U951" s="307">
        <f t="shared" si="130"/>
        <v>1720.7483999999997</v>
      </c>
      <c r="V951" s="80">
        <f t="shared" si="122"/>
        <v>7.8788846153846146</v>
      </c>
      <c r="W951" s="98">
        <v>3</v>
      </c>
      <c r="X951" s="84">
        <f>+IF(P951="ACERO A36",VLOOKUP(Q951,'[3]Tiempo Objeto'!$B$2:$C$12,2,FALSE),IF(P951="INOXIDABLE",VLOOKUP(Q951,'[3]Tiempo Objeto'!$B$14:$C$22,2,FALSE),IF(P951="ALUMINIO",VLOOKUP(Q951,'[3]Tiempo Objeto'!$B$24:$C$32,2,FALSE))))</f>
        <v>0.24666666666666667</v>
      </c>
      <c r="Y951" s="84">
        <f t="shared" si="118"/>
        <v>0.74</v>
      </c>
      <c r="Z951" s="80">
        <f t="shared" si="119"/>
        <v>1.0277777777777777</v>
      </c>
      <c r="AA951" s="100">
        <v>2</v>
      </c>
      <c r="AB951" s="86">
        <f>+AA951*Analisis!$J$6</f>
        <v>50</v>
      </c>
      <c r="AC951" s="100"/>
      <c r="AD951" s="85">
        <f t="shared" si="120"/>
        <v>0</v>
      </c>
      <c r="AE951" s="86">
        <f>+AC951*Analisis!$J$7</f>
        <v>0</v>
      </c>
      <c r="AF951" s="308">
        <f>+H951*0.0254*I951*0.0254*2*(1+[3]Analisis!$G$2)</f>
        <v>0.33740255099999994</v>
      </c>
      <c r="AG951" s="86">
        <f>+AF951*Analisis!$J$8</f>
        <v>35.949438469642864</v>
      </c>
      <c r="AH951" s="309">
        <f t="shared" si="126"/>
        <v>142.26895519762661</v>
      </c>
      <c r="AI951" s="86">
        <f>+AH951/(1-Analisis!G956)</f>
        <v>142.26895519762661</v>
      </c>
      <c r="AJ951" s="86">
        <f t="shared" si="121"/>
        <v>152.97737118024367</v>
      </c>
      <c r="AK951" s="86">
        <f t="shared" si="127"/>
        <v>0</v>
      </c>
      <c r="AL951" s="310" t="e">
        <f>+VLOOKUP(B951,#REF!,2,FALSE)</f>
        <v>#REF!</v>
      </c>
      <c r="AM951" s="311" t="e">
        <f t="shared" si="124"/>
        <v>#REF!</v>
      </c>
      <c r="AN951" s="312" t="e">
        <f t="shared" si="129"/>
        <v>#REF!</v>
      </c>
    </row>
    <row r="952" spans="1:40" s="73" customFormat="1" x14ac:dyDescent="0.25">
      <c r="A952" s="313"/>
      <c r="B952" s="329" t="s">
        <v>1606</v>
      </c>
      <c r="D952" s="74">
        <f>IFERROR(VLOOKUP(B952,'REQ. PINTADO'!B:C,2,0),0)</f>
        <v>0</v>
      </c>
      <c r="E952" s="305">
        <f t="shared" si="114"/>
        <v>173.98741912631789</v>
      </c>
      <c r="F952" s="103" t="s">
        <v>166</v>
      </c>
      <c r="G952" s="75" t="s">
        <v>147</v>
      </c>
      <c r="H952" s="90">
        <v>13.51</v>
      </c>
      <c r="I952" s="90">
        <v>19</v>
      </c>
      <c r="J952" s="76">
        <v>0.105</v>
      </c>
      <c r="K952" s="306">
        <v>16.38</v>
      </c>
      <c r="L952" s="78">
        <f t="shared" si="115"/>
        <v>7.8139911465742671</v>
      </c>
      <c r="M952" s="58">
        <f>+VLOOKUP(F952,Material!$H$2:$M$17,6,FALSE)*H952*I952*(1+Material!$K$14)</f>
        <v>58.178715900402949</v>
      </c>
      <c r="N952" s="79" t="str">
        <f t="shared" si="131"/>
        <v>T5.0</v>
      </c>
      <c r="O952" s="80">
        <f>+VLOOKUP(N952,[3]Material!$A$3:$B$58,2,FALSE)</f>
        <v>5000</v>
      </c>
      <c r="P952" s="79" t="s">
        <v>42</v>
      </c>
      <c r="Q952" s="79" t="str">
        <f>+VLOOKUP(F952,[3]Material!$C$2:$E$12,2,FALSE)</f>
        <v>Cal 16</v>
      </c>
      <c r="R952" s="81">
        <f>+IF(P952="ACERO A36",VLOOKUP(Q952,'[3]Velocidades Std 1500 w'!$B$2:$F$15,5,FALSE),IF(P952="INOXIDABLE",VLOOKUP(Q952,'[3]Velocidades Std 1500 w'!$B$17:$F$28,5,FALSE),IF(P952="ALUMINIO",VLOOKUP(Q952,'[3]Velocidades Std 1500 w'!$B$30:$F$38,5,FALSE))))</f>
        <v>9.1575091575091579E-7</v>
      </c>
      <c r="S952" s="82">
        <f t="shared" si="116"/>
        <v>4.578754578754579E-3</v>
      </c>
      <c r="T952" s="83">
        <f t="shared" si="117"/>
        <v>6.112412307692308</v>
      </c>
      <c r="U952" s="307">
        <f t="shared" si="130"/>
        <v>1854.0983999999999</v>
      </c>
      <c r="V952" s="80">
        <f t="shared" si="122"/>
        <v>8.4894615384615388</v>
      </c>
      <c r="W952" s="98">
        <v>3</v>
      </c>
      <c r="X952" s="84">
        <f>+IF(P952="ACERO A36",VLOOKUP(Q952,'[3]Tiempo Objeto'!$B$2:$C$12,2,FALSE),IF(P952="INOXIDABLE",VLOOKUP(Q952,'[3]Tiempo Objeto'!$B$14:$C$22,2,FALSE),IF(P952="ALUMINIO",VLOOKUP(Q952,'[3]Tiempo Objeto'!$B$24:$C$32,2,FALSE))))</f>
        <v>0.24666666666666667</v>
      </c>
      <c r="Y952" s="84">
        <f t="shared" si="118"/>
        <v>0.74</v>
      </c>
      <c r="Z952" s="80">
        <f t="shared" si="119"/>
        <v>1.0277777777777777</v>
      </c>
      <c r="AA952" s="100">
        <v>2</v>
      </c>
      <c r="AB952" s="86">
        <f>+AA952*Analisis!$J$6</f>
        <v>50</v>
      </c>
      <c r="AC952" s="100"/>
      <c r="AD952" s="85">
        <f t="shared" si="120"/>
        <v>0</v>
      </c>
      <c r="AE952" s="86">
        <f>+AC952*Analisis!$J$7</f>
        <v>0</v>
      </c>
      <c r="AF952" s="308">
        <f>+H952*0.0254*I952*0.0254*2*(1+[3]Analisis!$G$2)</f>
        <v>0.41401530099999995</v>
      </c>
      <c r="AG952" s="86">
        <f>+AF952*Analisis!$J$8</f>
        <v>44.112344570833343</v>
      </c>
      <c r="AH952" s="309">
        <f t="shared" si="126"/>
        <v>161.80829978747562</v>
      </c>
      <c r="AI952" s="86">
        <f>+AH952/(1-Analisis!G957)</f>
        <v>161.80829978747562</v>
      </c>
      <c r="AJ952" s="86">
        <f t="shared" si="121"/>
        <v>173.98741912631789</v>
      </c>
      <c r="AK952" s="86">
        <f t="shared" si="127"/>
        <v>0</v>
      </c>
      <c r="AL952" s="310" t="e">
        <f>+VLOOKUP(B952,#REF!,2,FALSE)</f>
        <v>#REF!</v>
      </c>
      <c r="AM952" s="311" t="e">
        <f t="shared" si="124"/>
        <v>#REF!</v>
      </c>
      <c r="AN952" s="312" t="e">
        <f t="shared" si="129"/>
        <v>#REF!</v>
      </c>
    </row>
    <row r="953" spans="1:40" s="73" customFormat="1" x14ac:dyDescent="0.25">
      <c r="A953" s="313"/>
      <c r="B953" s="329" t="s">
        <v>1607</v>
      </c>
      <c r="D953" s="74">
        <f>IFERROR(VLOOKUP(B953,'REQ. PINTADO'!B:C,2,0),0)</f>
        <v>0</v>
      </c>
      <c r="E953" s="305">
        <f t="shared" si="114"/>
        <v>194.99746707239206</v>
      </c>
      <c r="F953" s="103" t="s">
        <v>166</v>
      </c>
      <c r="G953" s="75" t="s">
        <v>147</v>
      </c>
      <c r="H953" s="90">
        <v>16.010000000000002</v>
      </c>
      <c r="I953" s="90">
        <v>19</v>
      </c>
      <c r="J953" s="76">
        <v>0.105</v>
      </c>
      <c r="K953" s="306">
        <v>16.38</v>
      </c>
      <c r="L953" s="78">
        <f t="shared" si="115"/>
        <v>9.2599554594118452</v>
      </c>
      <c r="M953" s="58">
        <f>+VLOOKUP(F953,Material!$H$2:$M$17,6,FALSE)*H953*I953*(1+Material!$K$14)</f>
        <v>68.944577465984551</v>
      </c>
      <c r="N953" s="79" t="str">
        <f t="shared" si="131"/>
        <v>T5.0</v>
      </c>
      <c r="O953" s="80">
        <f>+VLOOKUP(N953,[3]Material!$A$3:$B$58,2,FALSE)</f>
        <v>5000</v>
      </c>
      <c r="P953" s="79" t="s">
        <v>42</v>
      </c>
      <c r="Q953" s="79" t="str">
        <f>+VLOOKUP(F953,[3]Material!$C$2:$E$12,2,FALSE)</f>
        <v>Cal 16</v>
      </c>
      <c r="R953" s="81">
        <f>+IF(P953="ACERO A36",VLOOKUP(Q953,'[3]Velocidades Std 1500 w'!$B$2:$F$15,5,FALSE),IF(P953="INOXIDABLE",VLOOKUP(Q953,'[3]Velocidades Std 1500 w'!$B$17:$F$28,5,FALSE),IF(P953="ALUMINIO",VLOOKUP(Q953,'[3]Velocidades Std 1500 w'!$B$30:$F$38,5,FALSE))))</f>
        <v>9.1575091575091579E-7</v>
      </c>
      <c r="S953" s="82">
        <f t="shared" si="116"/>
        <v>4.578754578754579E-3</v>
      </c>
      <c r="T953" s="83">
        <f t="shared" si="117"/>
        <v>6.5520276923076928</v>
      </c>
      <c r="U953" s="307">
        <f t="shared" si="130"/>
        <v>1987.4484000000002</v>
      </c>
      <c r="V953" s="80">
        <f t="shared" si="122"/>
        <v>9.1000384615384622</v>
      </c>
      <c r="W953" s="98">
        <v>3</v>
      </c>
      <c r="X953" s="84">
        <f>+IF(P953="ACERO A36",VLOOKUP(Q953,'[3]Tiempo Objeto'!$B$2:$C$12,2,FALSE),IF(P953="INOXIDABLE",VLOOKUP(Q953,'[3]Tiempo Objeto'!$B$14:$C$22,2,FALSE),IF(P953="ALUMINIO",VLOOKUP(Q953,'[3]Tiempo Objeto'!$B$24:$C$32,2,FALSE))))</f>
        <v>0.24666666666666667</v>
      </c>
      <c r="Y953" s="84">
        <f t="shared" si="118"/>
        <v>0.74</v>
      </c>
      <c r="Z953" s="80">
        <f t="shared" si="119"/>
        <v>1.0277777777777777</v>
      </c>
      <c r="AA953" s="100">
        <v>2</v>
      </c>
      <c r="AB953" s="86">
        <f>+AA953*Analisis!$J$6</f>
        <v>50</v>
      </c>
      <c r="AC953" s="100"/>
      <c r="AD953" s="85">
        <f t="shared" si="120"/>
        <v>0</v>
      </c>
      <c r="AE953" s="86">
        <f>+AC953*Analisis!$J$7</f>
        <v>0</v>
      </c>
      <c r="AF953" s="308">
        <f>+H953*0.0254*I953*0.0254*2*(1+[3]Analisis!$G$2)</f>
        <v>0.49062805099999995</v>
      </c>
      <c r="AG953" s="86">
        <f>+AF953*Analisis!$J$8</f>
        <v>52.275250672023823</v>
      </c>
      <c r="AH953" s="309">
        <f t="shared" si="126"/>
        <v>181.3476443773246</v>
      </c>
      <c r="AI953" s="86">
        <f>+AH953/(1-Analisis!G958)</f>
        <v>181.3476443773246</v>
      </c>
      <c r="AJ953" s="86">
        <f t="shared" si="121"/>
        <v>194.99746707239206</v>
      </c>
      <c r="AK953" s="86">
        <f t="shared" si="127"/>
        <v>0</v>
      </c>
      <c r="AL953" s="310" t="e">
        <f>+VLOOKUP(B953,#REF!,2,FALSE)</f>
        <v>#REF!</v>
      </c>
      <c r="AM953" s="311" t="e">
        <f t="shared" si="124"/>
        <v>#REF!</v>
      </c>
      <c r="AN953" s="312" t="e">
        <f t="shared" si="129"/>
        <v>#REF!</v>
      </c>
    </row>
    <row r="954" spans="1:40" s="73" customFormat="1" x14ac:dyDescent="0.25">
      <c r="A954" s="313"/>
      <c r="B954" s="329" t="s">
        <v>1608</v>
      </c>
      <c r="D954" s="74">
        <f>IFERROR(VLOOKUP(B954,'REQ. PINTADO'!B:C,2,0),0)</f>
        <v>0</v>
      </c>
      <c r="E954" s="305">
        <f t="shared" si="114"/>
        <v>100.45225131505819</v>
      </c>
      <c r="F954" s="103" t="s">
        <v>166</v>
      </c>
      <c r="G954" s="75" t="s">
        <v>147</v>
      </c>
      <c r="H954" s="90">
        <v>4.76</v>
      </c>
      <c r="I954" s="90">
        <v>19</v>
      </c>
      <c r="J954" s="76">
        <v>0.105</v>
      </c>
      <c r="K954" s="306">
        <v>16.38</v>
      </c>
      <c r="L954" s="78">
        <f t="shared" si="115"/>
        <v>2.7531160516427478</v>
      </c>
      <c r="M954" s="58">
        <f>+VLOOKUP(F954,Material!$H$2:$M$17,6,FALSE)*H954*I954*(1+Material!$K$14)</f>
        <v>20.498200420867363</v>
      </c>
      <c r="N954" s="79" t="str">
        <f t="shared" si="131"/>
        <v>T5.0</v>
      </c>
      <c r="O954" s="80">
        <f>+VLOOKUP(N954,[3]Material!$A$3:$B$58,2,FALSE)</f>
        <v>5000</v>
      </c>
      <c r="P954" s="79" t="s">
        <v>42</v>
      </c>
      <c r="Q954" s="79" t="str">
        <f>+VLOOKUP(F954,[3]Material!$C$2:$E$12,2,FALSE)</f>
        <v>Cal 16</v>
      </c>
      <c r="R954" s="81">
        <f>+IF(P954="ACERO A36",VLOOKUP(Q954,'[3]Velocidades Std 1500 w'!$B$2:$F$15,5,FALSE),IF(P954="INOXIDABLE",VLOOKUP(Q954,'[3]Velocidades Std 1500 w'!$B$17:$F$28,5,FALSE),IF(P954="ALUMINIO",VLOOKUP(Q954,'[3]Velocidades Std 1500 w'!$B$30:$F$38,5,FALSE))))</f>
        <v>9.1575091575091579E-7</v>
      </c>
      <c r="S954" s="82">
        <f t="shared" si="116"/>
        <v>4.578754578754579E-3</v>
      </c>
      <c r="T954" s="83">
        <f t="shared" si="117"/>
        <v>4.5737584615384606</v>
      </c>
      <c r="U954" s="307">
        <f t="shared" si="130"/>
        <v>1387.3733999999997</v>
      </c>
      <c r="V954" s="80">
        <f t="shared" si="122"/>
        <v>6.3524423076923071</v>
      </c>
      <c r="W954" s="98">
        <v>3</v>
      </c>
      <c r="X954" s="84">
        <f>+IF(P954="ACERO A36",VLOOKUP(Q954,'[3]Tiempo Objeto'!$B$2:$C$12,2,FALSE),IF(P954="INOXIDABLE",VLOOKUP(Q954,'[3]Tiempo Objeto'!$B$14:$C$22,2,FALSE),IF(P954="ALUMINIO",VLOOKUP(Q954,'[3]Tiempo Objeto'!$B$24:$C$32,2,FALSE))))</f>
        <v>0.24666666666666667</v>
      </c>
      <c r="Y954" s="84">
        <f t="shared" si="118"/>
        <v>0.74</v>
      </c>
      <c r="Z954" s="80">
        <f t="shared" si="119"/>
        <v>1.0277777777777777</v>
      </c>
      <c r="AA954" s="100">
        <v>2</v>
      </c>
      <c r="AB954" s="86">
        <f>+AA954*Analisis!$J$6</f>
        <v>50</v>
      </c>
      <c r="AC954" s="100"/>
      <c r="AD954" s="85">
        <f t="shared" si="120"/>
        <v>0</v>
      </c>
      <c r="AE954" s="86">
        <f>+AC954*Analisis!$J$7</f>
        <v>0</v>
      </c>
      <c r="AF954" s="308">
        <f>+H954*0.0254*I954*0.0254*2*(1+[3]Analisis!$G$2)</f>
        <v>0.14587067599999998</v>
      </c>
      <c r="AG954" s="86">
        <f>+AF954*Analisis!$J$8</f>
        <v>15.542173216666669</v>
      </c>
      <c r="AH954" s="309">
        <f t="shared" si="126"/>
        <v>93.420593723004117</v>
      </c>
      <c r="AI954" s="86">
        <f>+AH954/(1-Analisis!G959)</f>
        <v>93.420593723004117</v>
      </c>
      <c r="AJ954" s="86">
        <f t="shared" si="121"/>
        <v>100.45225131505819</v>
      </c>
      <c r="AK954" s="86">
        <f t="shared" si="127"/>
        <v>0</v>
      </c>
      <c r="AL954" s="310" t="e">
        <f>+VLOOKUP(B954,#REF!,2,FALSE)</f>
        <v>#REF!</v>
      </c>
      <c r="AM954" s="311" t="e">
        <f t="shared" si="124"/>
        <v>#REF!</v>
      </c>
      <c r="AN954" s="312" t="e">
        <f t="shared" si="129"/>
        <v>#REF!</v>
      </c>
    </row>
    <row r="955" spans="1:40" s="73" customFormat="1" x14ac:dyDescent="0.25">
      <c r="A955" s="313"/>
      <c r="B955" s="329" t="s">
        <v>1609</v>
      </c>
      <c r="D955" s="74">
        <f>IFERROR(VLOOKUP(B955,'REQ. PINTADO'!B:C,2,0),0)</f>
        <v>0</v>
      </c>
      <c r="E955" s="305">
        <f t="shared" si="114"/>
        <v>121.46229926113239</v>
      </c>
      <c r="F955" s="103" t="s">
        <v>166</v>
      </c>
      <c r="G955" s="75" t="s">
        <v>147</v>
      </c>
      <c r="H955" s="90">
        <v>7.26</v>
      </c>
      <c r="I955" s="90">
        <v>19</v>
      </c>
      <c r="J955" s="76">
        <v>0.105</v>
      </c>
      <c r="K955" s="306">
        <v>16.38</v>
      </c>
      <c r="L955" s="78">
        <f t="shared" si="115"/>
        <v>4.1990803644803245</v>
      </c>
      <c r="M955" s="58">
        <f>+VLOOKUP(F955,Material!$H$2:$M$17,6,FALSE)*H955*I955*(1+Material!$K$14)</f>
        <v>31.264061986448958</v>
      </c>
      <c r="N955" s="79" t="str">
        <f t="shared" si="131"/>
        <v>T5.0</v>
      </c>
      <c r="O955" s="80">
        <f>+VLOOKUP(N955,[3]Material!$A$3:$B$58,2,FALSE)</f>
        <v>5000</v>
      </c>
      <c r="P955" s="79" t="s">
        <v>42</v>
      </c>
      <c r="Q955" s="79" t="str">
        <f>+VLOOKUP(F955,[3]Material!$C$2:$E$12,2,FALSE)</f>
        <v>Cal 16</v>
      </c>
      <c r="R955" s="81">
        <f>+IF(P955="ACERO A36",VLOOKUP(Q955,'[3]Velocidades Std 1500 w'!$B$2:$F$15,5,FALSE),IF(P955="INOXIDABLE",VLOOKUP(Q955,'[3]Velocidades Std 1500 w'!$B$17:$F$28,5,FALSE),IF(P955="ALUMINIO",VLOOKUP(Q955,'[3]Velocidades Std 1500 w'!$B$30:$F$38,5,FALSE))))</f>
        <v>9.1575091575091579E-7</v>
      </c>
      <c r="S955" s="82">
        <f t="shared" si="116"/>
        <v>4.578754578754579E-3</v>
      </c>
      <c r="T955" s="83">
        <f t="shared" si="117"/>
        <v>5.0133738461538462</v>
      </c>
      <c r="U955" s="307">
        <f t="shared" si="130"/>
        <v>1520.7233999999999</v>
      </c>
      <c r="V955" s="80">
        <f t="shared" si="122"/>
        <v>6.9630192307692305</v>
      </c>
      <c r="W955" s="98">
        <v>3</v>
      </c>
      <c r="X955" s="84">
        <f>+IF(P955="ACERO A36",VLOOKUP(Q955,'[3]Tiempo Objeto'!$B$2:$C$12,2,FALSE),IF(P955="INOXIDABLE",VLOOKUP(Q955,'[3]Tiempo Objeto'!$B$14:$C$22,2,FALSE),IF(P955="ALUMINIO",VLOOKUP(Q955,'[3]Tiempo Objeto'!$B$24:$C$32,2,FALSE))))</f>
        <v>0.24666666666666667</v>
      </c>
      <c r="Y955" s="84">
        <f t="shared" si="118"/>
        <v>0.74</v>
      </c>
      <c r="Z955" s="80">
        <f t="shared" si="119"/>
        <v>1.0277777777777777</v>
      </c>
      <c r="AA955" s="100">
        <v>2</v>
      </c>
      <c r="AB955" s="86">
        <f>+AA955*Analisis!$J$6</f>
        <v>50</v>
      </c>
      <c r="AC955" s="100"/>
      <c r="AD955" s="85">
        <f t="shared" si="120"/>
        <v>0</v>
      </c>
      <c r="AE955" s="86">
        <f>+AC955*Analisis!$J$7</f>
        <v>0</v>
      </c>
      <c r="AF955" s="308">
        <f>+H955*0.0254*I955*0.0254*2*(1+[3]Analisis!$G$2)</f>
        <v>0.22248342599999996</v>
      </c>
      <c r="AG955" s="86">
        <f>+AF955*Analisis!$J$8</f>
        <v>23.705079317857145</v>
      </c>
      <c r="AH955" s="309">
        <f t="shared" si="126"/>
        <v>112.95993831285311</v>
      </c>
      <c r="AI955" s="86">
        <f>+AH955/(1-Analisis!G960)</f>
        <v>112.95993831285311</v>
      </c>
      <c r="AJ955" s="86">
        <f t="shared" si="121"/>
        <v>121.46229926113239</v>
      </c>
      <c r="AK955" s="86">
        <f t="shared" si="127"/>
        <v>0</v>
      </c>
      <c r="AL955" s="310" t="e">
        <f>+VLOOKUP(B955,#REF!,2,FALSE)</f>
        <v>#REF!</v>
      </c>
      <c r="AM955" s="311" t="e">
        <f t="shared" si="124"/>
        <v>#REF!</v>
      </c>
      <c r="AN955" s="312" t="e">
        <f t="shared" si="129"/>
        <v>#REF!</v>
      </c>
    </row>
    <row r="956" spans="1:40" s="73" customFormat="1" x14ac:dyDescent="0.25">
      <c r="A956" s="313"/>
      <c r="B956" s="329" t="s">
        <v>1610</v>
      </c>
      <c r="D956" s="74">
        <f>IFERROR(VLOOKUP(B956,'REQ. PINTADO'!B:C,2,0),0)</f>
        <v>0</v>
      </c>
      <c r="E956" s="305">
        <f t="shared" si="114"/>
        <v>142.47234720720661</v>
      </c>
      <c r="F956" s="103" t="s">
        <v>166</v>
      </c>
      <c r="G956" s="75" t="s">
        <v>147</v>
      </c>
      <c r="H956" s="90">
        <v>9.76</v>
      </c>
      <c r="I956" s="90">
        <v>19</v>
      </c>
      <c r="J956" s="76">
        <v>0.105</v>
      </c>
      <c r="K956" s="306">
        <v>16.38</v>
      </c>
      <c r="L956" s="78">
        <f t="shared" si="115"/>
        <v>5.6450446773179026</v>
      </c>
      <c r="M956" s="58">
        <f>+VLOOKUP(F956,Material!$H$2:$M$17,6,FALSE)*H956*I956*(1+Material!$K$14)</f>
        <v>42.02992355203056</v>
      </c>
      <c r="N956" s="79" t="str">
        <f t="shared" si="131"/>
        <v>T5.0</v>
      </c>
      <c r="O956" s="80">
        <f>+VLOOKUP(N956,[3]Material!$A$3:$B$58,2,FALSE)</f>
        <v>5000</v>
      </c>
      <c r="P956" s="79" t="s">
        <v>42</v>
      </c>
      <c r="Q956" s="79" t="str">
        <f>+VLOOKUP(F956,[3]Material!$C$2:$E$12,2,FALSE)</f>
        <v>Cal 16</v>
      </c>
      <c r="R956" s="81">
        <f>+IF(P956="ACERO A36",VLOOKUP(Q956,'[3]Velocidades Std 1500 w'!$B$2:$F$15,5,FALSE),IF(P956="INOXIDABLE",VLOOKUP(Q956,'[3]Velocidades Std 1500 w'!$B$17:$F$28,5,FALSE),IF(P956="ALUMINIO",VLOOKUP(Q956,'[3]Velocidades Std 1500 w'!$B$30:$F$38,5,FALSE))))</f>
        <v>9.1575091575091579E-7</v>
      </c>
      <c r="S956" s="82">
        <f t="shared" si="116"/>
        <v>4.578754578754579E-3</v>
      </c>
      <c r="T956" s="83">
        <f t="shared" si="117"/>
        <v>5.45298923076923</v>
      </c>
      <c r="U956" s="307">
        <f t="shared" si="130"/>
        <v>1654.0733999999998</v>
      </c>
      <c r="V956" s="80">
        <f t="shared" si="122"/>
        <v>7.5735961538461529</v>
      </c>
      <c r="W956" s="98">
        <v>3</v>
      </c>
      <c r="X956" s="84">
        <f>+IF(P956="ACERO A36",VLOOKUP(Q956,'[3]Tiempo Objeto'!$B$2:$C$12,2,FALSE),IF(P956="INOXIDABLE",VLOOKUP(Q956,'[3]Tiempo Objeto'!$B$14:$C$22,2,FALSE),IF(P956="ALUMINIO",VLOOKUP(Q956,'[3]Tiempo Objeto'!$B$24:$C$32,2,FALSE))))</f>
        <v>0.24666666666666667</v>
      </c>
      <c r="Y956" s="84">
        <f t="shared" si="118"/>
        <v>0.74</v>
      </c>
      <c r="Z956" s="80">
        <f t="shared" si="119"/>
        <v>1.0277777777777777</v>
      </c>
      <c r="AA956" s="100">
        <v>2</v>
      </c>
      <c r="AB956" s="86">
        <f>+AA956*Analisis!$J$6</f>
        <v>50</v>
      </c>
      <c r="AC956" s="100"/>
      <c r="AD956" s="85">
        <f t="shared" si="120"/>
        <v>0</v>
      </c>
      <c r="AE956" s="86">
        <f>+AC956*Analisis!$J$7</f>
        <v>0</v>
      </c>
      <c r="AF956" s="308">
        <f>+H956*0.0254*I956*0.0254*2*(1+[3]Analisis!$G$2)</f>
        <v>0.29909617599999999</v>
      </c>
      <c r="AG956" s="86">
        <f>+AF956*Analisis!$J$8</f>
        <v>31.867985419047628</v>
      </c>
      <c r="AH956" s="309">
        <f t="shared" si="126"/>
        <v>132.49928290270213</v>
      </c>
      <c r="AI956" s="86">
        <f>+AH956/(1-Analisis!G961)</f>
        <v>132.49928290270213</v>
      </c>
      <c r="AJ956" s="86">
        <f t="shared" si="121"/>
        <v>142.47234720720661</v>
      </c>
      <c r="AK956" s="86">
        <f t="shared" si="127"/>
        <v>0</v>
      </c>
      <c r="AL956" s="310" t="e">
        <f>+VLOOKUP(B956,#REF!,2,FALSE)</f>
        <v>#REF!</v>
      </c>
      <c r="AM956" s="311" t="e">
        <f t="shared" si="124"/>
        <v>#REF!</v>
      </c>
      <c r="AN956" s="312" t="e">
        <f t="shared" si="129"/>
        <v>#REF!</v>
      </c>
    </row>
    <row r="957" spans="1:40" s="73" customFormat="1" x14ac:dyDescent="0.25">
      <c r="A957" s="313"/>
      <c r="B957" s="329" t="s">
        <v>1611</v>
      </c>
      <c r="D957" s="74">
        <f>IFERROR(VLOOKUP(B957,'REQ. PINTADO'!B:C,2,0),0)</f>
        <v>0</v>
      </c>
      <c r="E957" s="305">
        <f t="shared" si="114"/>
        <v>163.48239515328078</v>
      </c>
      <c r="F957" s="103" t="s">
        <v>166</v>
      </c>
      <c r="G957" s="75" t="s">
        <v>147</v>
      </c>
      <c r="H957" s="90">
        <v>12.26</v>
      </c>
      <c r="I957" s="90">
        <v>19</v>
      </c>
      <c r="J957" s="76">
        <v>0.105</v>
      </c>
      <c r="K957" s="306">
        <v>16.38</v>
      </c>
      <c r="L957" s="78">
        <f t="shared" si="115"/>
        <v>7.0910089901554798</v>
      </c>
      <c r="M957" s="58">
        <f>+VLOOKUP(F957,Material!$H$2:$M$17,6,FALSE)*H957*I957*(1+Material!$K$14)</f>
        <v>52.795785117612155</v>
      </c>
      <c r="N957" s="79" t="str">
        <f t="shared" si="131"/>
        <v>T5.0</v>
      </c>
      <c r="O957" s="80">
        <f>+VLOOKUP(N957,[3]Material!$A$3:$B$58,2,FALSE)</f>
        <v>5000</v>
      </c>
      <c r="P957" s="79" t="s">
        <v>42</v>
      </c>
      <c r="Q957" s="79" t="str">
        <f>+VLOOKUP(F957,[3]Material!$C$2:$E$12,2,FALSE)</f>
        <v>Cal 16</v>
      </c>
      <c r="R957" s="81">
        <f>+IF(P957="ACERO A36",VLOOKUP(Q957,'[3]Velocidades Std 1500 w'!$B$2:$F$15,5,FALSE),IF(P957="INOXIDABLE",VLOOKUP(Q957,'[3]Velocidades Std 1500 w'!$B$17:$F$28,5,FALSE),IF(P957="ALUMINIO",VLOOKUP(Q957,'[3]Velocidades Std 1500 w'!$B$30:$F$38,5,FALSE))))</f>
        <v>9.1575091575091579E-7</v>
      </c>
      <c r="S957" s="82">
        <f t="shared" si="116"/>
        <v>4.578754578754579E-3</v>
      </c>
      <c r="T957" s="83">
        <f t="shared" si="117"/>
        <v>5.8926046153846157</v>
      </c>
      <c r="U957" s="307">
        <f t="shared" si="130"/>
        <v>1787.4233999999999</v>
      </c>
      <c r="V957" s="80">
        <f t="shared" si="122"/>
        <v>8.1841730769230772</v>
      </c>
      <c r="W957" s="98">
        <v>3</v>
      </c>
      <c r="X957" s="84">
        <f>+IF(P957="ACERO A36",VLOOKUP(Q957,'[3]Tiempo Objeto'!$B$2:$C$12,2,FALSE),IF(P957="INOXIDABLE",VLOOKUP(Q957,'[3]Tiempo Objeto'!$B$14:$C$22,2,FALSE),IF(P957="ALUMINIO",VLOOKUP(Q957,'[3]Tiempo Objeto'!$B$24:$C$32,2,FALSE))))</f>
        <v>0.24666666666666667</v>
      </c>
      <c r="Y957" s="84">
        <f t="shared" si="118"/>
        <v>0.74</v>
      </c>
      <c r="Z957" s="80">
        <f t="shared" si="119"/>
        <v>1.0277777777777777</v>
      </c>
      <c r="AA957" s="100">
        <v>2</v>
      </c>
      <c r="AB957" s="86">
        <f>+AA957*Analisis!$J$6</f>
        <v>50</v>
      </c>
      <c r="AC957" s="100"/>
      <c r="AD957" s="85">
        <f t="shared" si="120"/>
        <v>0</v>
      </c>
      <c r="AE957" s="86">
        <f>+AC957*Analisis!$J$7</f>
        <v>0</v>
      </c>
      <c r="AF957" s="308">
        <f>+H957*0.0254*I957*0.0254*2*(1+[3]Analisis!$G$2)</f>
        <v>0.37570892599999989</v>
      </c>
      <c r="AG957" s="86">
        <f>+AF957*Analisis!$J$8</f>
        <v>40.030891520238093</v>
      </c>
      <c r="AH957" s="309">
        <f t="shared" si="126"/>
        <v>152.03862749255111</v>
      </c>
      <c r="AI957" s="86">
        <f>+AH957/(1-Analisis!G962)</f>
        <v>152.03862749255111</v>
      </c>
      <c r="AJ957" s="86">
        <f t="shared" si="121"/>
        <v>163.48239515328078</v>
      </c>
      <c r="AK957" s="86">
        <f t="shared" si="127"/>
        <v>0</v>
      </c>
      <c r="AL957" s="310" t="e">
        <f>+VLOOKUP(B957,#REF!,2,FALSE)</f>
        <v>#REF!</v>
      </c>
      <c r="AM957" s="311" t="e">
        <f t="shared" si="124"/>
        <v>#REF!</v>
      </c>
      <c r="AN957" s="312" t="e">
        <f t="shared" si="129"/>
        <v>#REF!</v>
      </c>
    </row>
    <row r="958" spans="1:40" s="73" customFormat="1" x14ac:dyDescent="0.25">
      <c r="A958" s="313"/>
      <c r="B958" s="329" t="s">
        <v>1612</v>
      </c>
      <c r="D958" s="74">
        <f>IFERROR(VLOOKUP(B958,'REQ. PINTADO'!B:C,2,0),0)</f>
        <v>0</v>
      </c>
      <c r="E958" s="305">
        <f t="shared" si="114"/>
        <v>205.5024910454292</v>
      </c>
      <c r="F958" s="103" t="s">
        <v>166</v>
      </c>
      <c r="G958" s="75" t="s">
        <v>147</v>
      </c>
      <c r="H958" s="90">
        <v>17.260000000000002</v>
      </c>
      <c r="I958" s="90">
        <v>19</v>
      </c>
      <c r="J958" s="76">
        <v>0.105</v>
      </c>
      <c r="K958" s="306">
        <v>16.38</v>
      </c>
      <c r="L958" s="78">
        <f t="shared" si="115"/>
        <v>9.982937615830636</v>
      </c>
      <c r="M958" s="58">
        <f>+VLOOKUP(F958,Material!$H$2:$M$17,6,FALSE)*H958*I958*(1+Material!$K$14)</f>
        <v>74.327508248775359</v>
      </c>
      <c r="N958" s="79" t="str">
        <f t="shared" si="131"/>
        <v>T5.0</v>
      </c>
      <c r="O958" s="80">
        <f>+VLOOKUP(N958,[3]Material!$A$3:$B$58,2,FALSE)</f>
        <v>5000</v>
      </c>
      <c r="P958" s="79" t="s">
        <v>42</v>
      </c>
      <c r="Q958" s="79" t="str">
        <f>+VLOOKUP(F958,[3]Material!$C$2:$E$12,2,FALSE)</f>
        <v>Cal 16</v>
      </c>
      <c r="R958" s="81">
        <f>+IF(P958="ACERO A36",VLOOKUP(Q958,'[3]Velocidades Std 1500 w'!$B$2:$F$15,5,FALSE),IF(P958="INOXIDABLE",VLOOKUP(Q958,'[3]Velocidades Std 1500 w'!$B$17:$F$28,5,FALSE),IF(P958="ALUMINIO",VLOOKUP(Q958,'[3]Velocidades Std 1500 w'!$B$30:$F$38,5,FALSE))))</f>
        <v>9.1575091575091579E-7</v>
      </c>
      <c r="S958" s="82">
        <f t="shared" si="116"/>
        <v>4.578754578754579E-3</v>
      </c>
      <c r="T958" s="83">
        <f t="shared" si="117"/>
        <v>6.771835384615386</v>
      </c>
      <c r="U958" s="307">
        <f t="shared" si="130"/>
        <v>2054.1234000000004</v>
      </c>
      <c r="V958" s="80">
        <f t="shared" si="122"/>
        <v>9.4053269230769256</v>
      </c>
      <c r="W958" s="98">
        <v>3</v>
      </c>
      <c r="X958" s="84">
        <f>+IF(P958="ACERO A36",VLOOKUP(Q958,'[3]Tiempo Objeto'!$B$2:$C$12,2,FALSE),IF(P958="INOXIDABLE",VLOOKUP(Q958,'[3]Tiempo Objeto'!$B$14:$C$22,2,FALSE),IF(P958="ALUMINIO",VLOOKUP(Q958,'[3]Tiempo Objeto'!$B$24:$C$32,2,FALSE))))</f>
        <v>0.24666666666666667</v>
      </c>
      <c r="Y958" s="84">
        <f t="shared" si="118"/>
        <v>0.74</v>
      </c>
      <c r="Z958" s="80">
        <f t="shared" si="119"/>
        <v>1.0277777777777777</v>
      </c>
      <c r="AA958" s="100">
        <v>2</v>
      </c>
      <c r="AB958" s="86">
        <f>+AA958*Analisis!$J$6</f>
        <v>50</v>
      </c>
      <c r="AC958" s="100"/>
      <c r="AD958" s="85">
        <f t="shared" si="120"/>
        <v>0</v>
      </c>
      <c r="AE958" s="86">
        <f>+AC958*Analisis!$J$7</f>
        <v>0</v>
      </c>
      <c r="AF958" s="308">
        <f>+H958*0.0254*I958*0.0254*2*(1+[3]Analisis!$G$2)</f>
        <v>0.52893442600000007</v>
      </c>
      <c r="AG958" s="86">
        <f>+AF958*Analisis!$J$8</f>
        <v>56.356703722619073</v>
      </c>
      <c r="AH958" s="309">
        <f t="shared" si="126"/>
        <v>191.11731667224913</v>
      </c>
      <c r="AI958" s="86">
        <f>+AH958/(1-Analisis!G963)</f>
        <v>191.11731667224913</v>
      </c>
      <c r="AJ958" s="86">
        <f t="shared" si="121"/>
        <v>205.5024910454292</v>
      </c>
      <c r="AK958" s="86">
        <f t="shared" si="127"/>
        <v>0</v>
      </c>
      <c r="AL958" s="310" t="e">
        <f>+VLOOKUP(B958,#REF!,2,FALSE)</f>
        <v>#REF!</v>
      </c>
      <c r="AM958" s="311" t="e">
        <f t="shared" si="124"/>
        <v>#REF!</v>
      </c>
      <c r="AN958" s="312" t="e">
        <f t="shared" si="129"/>
        <v>#REF!</v>
      </c>
    </row>
    <row r="959" spans="1:40" s="73" customFormat="1" x14ac:dyDescent="0.25">
      <c r="A959" s="313"/>
      <c r="B959" s="329" t="s">
        <v>1613</v>
      </c>
      <c r="D959" s="74">
        <f>IFERROR(VLOOKUP(B959,'REQ. PINTADO'!B:C,2,0),0)</f>
        <v>0</v>
      </c>
      <c r="E959" s="305">
        <f t="shared" si="114"/>
        <v>216.00751501846625</v>
      </c>
      <c r="F959" s="103" t="s">
        <v>166</v>
      </c>
      <c r="G959" s="75" t="s">
        <v>147</v>
      </c>
      <c r="H959" s="90">
        <v>18.510000000000002</v>
      </c>
      <c r="I959" s="90">
        <v>19</v>
      </c>
      <c r="J959" s="76">
        <v>0.105</v>
      </c>
      <c r="K959" s="306">
        <v>16.38</v>
      </c>
      <c r="L959" s="78">
        <f t="shared" si="115"/>
        <v>10.705919772249423</v>
      </c>
      <c r="M959" s="58">
        <f>+VLOOKUP(F959,Material!$H$2:$M$17,6,FALSE)*H959*I959*(1+Material!$K$14)</f>
        <v>79.710439031566139</v>
      </c>
      <c r="N959" s="79" t="str">
        <f t="shared" si="131"/>
        <v>T5.0</v>
      </c>
      <c r="O959" s="80">
        <f>+VLOOKUP(N959,[3]Material!$A$3:$B$58,2,FALSE)</f>
        <v>5000</v>
      </c>
      <c r="P959" s="79" t="s">
        <v>42</v>
      </c>
      <c r="Q959" s="79" t="str">
        <f>+VLOOKUP(F959,[3]Material!$C$2:$E$12,2,FALSE)</f>
        <v>Cal 16</v>
      </c>
      <c r="R959" s="81">
        <f>+IF(P959="ACERO A36",VLOOKUP(Q959,'[3]Velocidades Std 1500 w'!$B$2:$F$15,5,FALSE),IF(P959="INOXIDABLE",VLOOKUP(Q959,'[3]Velocidades Std 1500 w'!$B$17:$F$28,5,FALSE),IF(P959="ALUMINIO",VLOOKUP(Q959,'[3]Velocidades Std 1500 w'!$B$30:$F$38,5,FALSE))))</f>
        <v>9.1575091575091579E-7</v>
      </c>
      <c r="S959" s="82">
        <f t="shared" si="116"/>
        <v>4.578754578754579E-3</v>
      </c>
      <c r="T959" s="83">
        <f t="shared" si="117"/>
        <v>6.9916430769230775</v>
      </c>
      <c r="U959" s="307">
        <f t="shared" si="130"/>
        <v>2120.7984000000001</v>
      </c>
      <c r="V959" s="80">
        <f t="shared" si="122"/>
        <v>9.7106153846153855</v>
      </c>
      <c r="W959" s="98">
        <v>3</v>
      </c>
      <c r="X959" s="84">
        <f>+IF(P959="ACERO A36",VLOOKUP(Q959,'[3]Tiempo Objeto'!$B$2:$C$12,2,FALSE),IF(P959="INOXIDABLE",VLOOKUP(Q959,'[3]Tiempo Objeto'!$B$14:$C$22,2,FALSE),IF(P959="ALUMINIO",VLOOKUP(Q959,'[3]Tiempo Objeto'!$B$24:$C$32,2,FALSE))))</f>
        <v>0.24666666666666667</v>
      </c>
      <c r="Y959" s="84">
        <f t="shared" si="118"/>
        <v>0.74</v>
      </c>
      <c r="Z959" s="80">
        <f t="shared" si="119"/>
        <v>1.0277777777777777</v>
      </c>
      <c r="AA959" s="100">
        <v>2</v>
      </c>
      <c r="AB959" s="86">
        <f>+AA959*Analisis!$J$6</f>
        <v>50</v>
      </c>
      <c r="AC959" s="100"/>
      <c r="AD959" s="85">
        <f t="shared" si="120"/>
        <v>0</v>
      </c>
      <c r="AE959" s="86">
        <f>+AC959*Analisis!$J$7</f>
        <v>0</v>
      </c>
      <c r="AF959" s="308">
        <f>+H959*0.0254*I959*0.0254*2*(1+[3]Analisis!$G$2)</f>
        <v>0.56724080099999996</v>
      </c>
      <c r="AG959" s="86">
        <f>+AF959*Analisis!$J$8</f>
        <v>60.438156773214303</v>
      </c>
      <c r="AH959" s="309">
        <f t="shared" si="126"/>
        <v>200.88698896717361</v>
      </c>
      <c r="AI959" s="86">
        <f>+AH959/(1-Analisis!G964)</f>
        <v>200.88698896717361</v>
      </c>
      <c r="AJ959" s="86">
        <f t="shared" si="121"/>
        <v>216.00751501846625</v>
      </c>
      <c r="AK959" s="86">
        <f t="shared" si="127"/>
        <v>0</v>
      </c>
      <c r="AL959" s="310" t="e">
        <f>+VLOOKUP(B959,#REF!,2,FALSE)</f>
        <v>#REF!</v>
      </c>
      <c r="AM959" s="311" t="e">
        <f t="shared" si="124"/>
        <v>#REF!</v>
      </c>
      <c r="AN959" s="312" t="e">
        <f t="shared" si="129"/>
        <v>#REF!</v>
      </c>
    </row>
    <row r="960" spans="1:40" s="73" customFormat="1" x14ac:dyDescent="0.25">
      <c r="A960" s="313"/>
      <c r="B960" s="329" t="s">
        <v>1614</v>
      </c>
      <c r="D960" s="74">
        <f>IFERROR(VLOOKUP(B960,'REQ. PINTADO'!B:C,2,0),0)</f>
        <v>0</v>
      </c>
      <c r="E960" s="305">
        <f t="shared" si="114"/>
        <v>237.01756296454047</v>
      </c>
      <c r="F960" s="103" t="s">
        <v>166</v>
      </c>
      <c r="G960" s="75" t="s">
        <v>147</v>
      </c>
      <c r="H960" s="90">
        <v>21.01</v>
      </c>
      <c r="I960" s="90">
        <v>19</v>
      </c>
      <c r="J960" s="76">
        <v>0.105</v>
      </c>
      <c r="K960" s="306">
        <v>16.38</v>
      </c>
      <c r="L960" s="78">
        <f t="shared" si="115"/>
        <v>12.151884085087001</v>
      </c>
      <c r="M960" s="58">
        <f>+VLOOKUP(F960,Material!$H$2:$M$17,6,FALSE)*H960*I960*(1+Material!$K$14)</f>
        <v>90.476300597147755</v>
      </c>
      <c r="N960" s="79" t="str">
        <f t="shared" si="131"/>
        <v>T5.0</v>
      </c>
      <c r="O960" s="80">
        <f>+VLOOKUP(N960,[3]Material!$A$3:$B$58,2,FALSE)</f>
        <v>5000</v>
      </c>
      <c r="P960" s="79" t="s">
        <v>42</v>
      </c>
      <c r="Q960" s="79" t="str">
        <f>+VLOOKUP(F960,[3]Material!$C$2:$E$12,2,FALSE)</f>
        <v>Cal 16</v>
      </c>
      <c r="R960" s="81">
        <f>+IF(P960="ACERO A36",VLOOKUP(Q960,'[3]Velocidades Std 1500 w'!$B$2:$F$15,5,FALSE),IF(P960="INOXIDABLE",VLOOKUP(Q960,'[3]Velocidades Std 1500 w'!$B$17:$F$28,5,FALSE),IF(P960="ALUMINIO",VLOOKUP(Q960,'[3]Velocidades Std 1500 w'!$B$30:$F$38,5,FALSE))))</f>
        <v>9.1575091575091579E-7</v>
      </c>
      <c r="S960" s="82">
        <f t="shared" si="116"/>
        <v>4.578754578754579E-3</v>
      </c>
      <c r="T960" s="83">
        <f t="shared" si="117"/>
        <v>7.4312584615384614</v>
      </c>
      <c r="U960" s="307">
        <f t="shared" si="130"/>
        <v>2254.1484</v>
      </c>
      <c r="V960" s="80">
        <f t="shared" si="122"/>
        <v>10.321192307692309</v>
      </c>
      <c r="W960" s="98">
        <v>3</v>
      </c>
      <c r="X960" s="84">
        <f>+IF(P960="ACERO A36",VLOOKUP(Q960,'[3]Tiempo Objeto'!$B$2:$C$12,2,FALSE),IF(P960="INOXIDABLE",VLOOKUP(Q960,'[3]Tiempo Objeto'!$B$14:$C$22,2,FALSE),IF(P960="ALUMINIO",VLOOKUP(Q960,'[3]Tiempo Objeto'!$B$24:$C$32,2,FALSE))))</f>
        <v>0.24666666666666667</v>
      </c>
      <c r="Y960" s="84">
        <f t="shared" si="118"/>
        <v>0.74</v>
      </c>
      <c r="Z960" s="80">
        <f t="shared" si="119"/>
        <v>1.0277777777777777</v>
      </c>
      <c r="AA960" s="100">
        <v>2</v>
      </c>
      <c r="AB960" s="86">
        <f>+AA960*Analisis!$J$6</f>
        <v>50</v>
      </c>
      <c r="AC960" s="100"/>
      <c r="AD960" s="85">
        <f t="shared" si="120"/>
        <v>0</v>
      </c>
      <c r="AE960" s="86">
        <f>+AC960*Analisis!$J$7</f>
        <v>0</v>
      </c>
      <c r="AF960" s="308">
        <f>+H960*0.0254*I960*0.0254*2*(1+[3]Analisis!$G$2)</f>
        <v>0.64385355100000008</v>
      </c>
      <c r="AG960" s="86">
        <f>+AF960*Analisis!$J$8</f>
        <v>68.601062874404789</v>
      </c>
      <c r="AH960" s="309">
        <f t="shared" si="126"/>
        <v>220.42633355702262</v>
      </c>
      <c r="AI960" s="86">
        <f>+AH960/(1-Analisis!G965)</f>
        <v>220.42633355702262</v>
      </c>
      <c r="AJ960" s="86">
        <f t="shared" si="121"/>
        <v>237.01756296454047</v>
      </c>
      <c r="AK960" s="86">
        <f t="shared" si="127"/>
        <v>0</v>
      </c>
      <c r="AL960" s="310" t="e">
        <f>+VLOOKUP(B960,#REF!,2,FALSE)</f>
        <v>#REF!</v>
      </c>
      <c r="AM960" s="311" t="e">
        <f t="shared" si="124"/>
        <v>#REF!</v>
      </c>
      <c r="AN960" s="312" t="e">
        <f t="shared" si="129"/>
        <v>#REF!</v>
      </c>
    </row>
    <row r="961" spans="1:40" s="73" customFormat="1" x14ac:dyDescent="0.25">
      <c r="A961" s="313"/>
      <c r="B961" s="329" t="s">
        <v>1615</v>
      </c>
      <c r="D961" s="74">
        <f>IFERROR(VLOOKUP(B961,'REQ. PINTADO'!B:C,2,0),0)</f>
        <v>0</v>
      </c>
      <c r="E961" s="305">
        <f t="shared" si="114"/>
        <v>258.02761091061473</v>
      </c>
      <c r="F961" s="103" t="s">
        <v>166</v>
      </c>
      <c r="G961" s="75" t="s">
        <v>147</v>
      </c>
      <c r="H961" s="90">
        <v>23.51</v>
      </c>
      <c r="I961" s="90">
        <v>19</v>
      </c>
      <c r="J961" s="76">
        <v>0.105</v>
      </c>
      <c r="K961" s="306">
        <v>16.38</v>
      </c>
      <c r="L961" s="78">
        <f t="shared" si="115"/>
        <v>13.597848397924579</v>
      </c>
      <c r="M961" s="58">
        <f>+VLOOKUP(F961,Material!$H$2:$M$17,6,FALSE)*H961*I961*(1+Material!$K$14)</f>
        <v>101.24216216272936</v>
      </c>
      <c r="N961" s="79" t="str">
        <f t="shared" si="131"/>
        <v>T5.0</v>
      </c>
      <c r="O961" s="80">
        <f>+VLOOKUP(N961,[3]Material!$A$3:$B$58,2,FALSE)</f>
        <v>5000</v>
      </c>
      <c r="P961" s="79" t="s">
        <v>42</v>
      </c>
      <c r="Q961" s="79" t="str">
        <f>+VLOOKUP(F961,[3]Material!$C$2:$E$12,2,FALSE)</f>
        <v>Cal 16</v>
      </c>
      <c r="R961" s="81">
        <f>+IF(P961="ACERO A36",VLOOKUP(Q961,'[3]Velocidades Std 1500 w'!$B$2:$F$15,5,FALSE),IF(P961="INOXIDABLE",VLOOKUP(Q961,'[3]Velocidades Std 1500 w'!$B$17:$F$28,5,FALSE),IF(P961="ALUMINIO",VLOOKUP(Q961,'[3]Velocidades Std 1500 w'!$B$30:$F$38,5,FALSE))))</f>
        <v>9.1575091575091579E-7</v>
      </c>
      <c r="S961" s="82">
        <f t="shared" si="116"/>
        <v>4.578754578754579E-3</v>
      </c>
      <c r="T961" s="83">
        <f t="shared" si="117"/>
        <v>7.8708738461538461</v>
      </c>
      <c r="U961" s="307">
        <f t="shared" si="130"/>
        <v>2387.4983999999999</v>
      </c>
      <c r="V961" s="80">
        <f t="shared" si="122"/>
        <v>10.93176923076923</v>
      </c>
      <c r="W961" s="98">
        <v>3</v>
      </c>
      <c r="X961" s="84">
        <f>+IF(P961="ACERO A36",VLOOKUP(Q961,'[3]Tiempo Objeto'!$B$2:$C$12,2,FALSE),IF(P961="INOXIDABLE",VLOOKUP(Q961,'[3]Tiempo Objeto'!$B$14:$C$22,2,FALSE),IF(P961="ALUMINIO",VLOOKUP(Q961,'[3]Tiempo Objeto'!$B$24:$C$32,2,FALSE))))</f>
        <v>0.24666666666666667</v>
      </c>
      <c r="Y961" s="84">
        <f t="shared" si="118"/>
        <v>0.74</v>
      </c>
      <c r="Z961" s="80">
        <f t="shared" si="119"/>
        <v>1.0277777777777777</v>
      </c>
      <c r="AA961" s="100">
        <v>2</v>
      </c>
      <c r="AB961" s="86">
        <f>+AA961*Analisis!$J$6</f>
        <v>50</v>
      </c>
      <c r="AC961" s="100"/>
      <c r="AD961" s="85">
        <f t="shared" si="120"/>
        <v>0</v>
      </c>
      <c r="AE961" s="86">
        <f>+AC961*Analisis!$J$7</f>
        <v>0</v>
      </c>
      <c r="AF961" s="308">
        <f>+H961*0.0254*I961*0.0254*2*(1+[3]Analisis!$G$2)</f>
        <v>0.72046630099999998</v>
      </c>
      <c r="AG961" s="86">
        <f>+AF961*Analisis!$J$8</f>
        <v>76.763968975595262</v>
      </c>
      <c r="AH961" s="309">
        <f t="shared" si="126"/>
        <v>239.96567814687165</v>
      </c>
      <c r="AI961" s="86">
        <f>+AH961/(1-Analisis!G966)</f>
        <v>239.96567814687165</v>
      </c>
      <c r="AJ961" s="86">
        <f t="shared" si="121"/>
        <v>258.02761091061473</v>
      </c>
      <c r="AK961" s="86">
        <f t="shared" si="127"/>
        <v>0</v>
      </c>
      <c r="AL961" s="310" t="e">
        <f>+VLOOKUP(B961,#REF!,2,FALSE)</f>
        <v>#REF!</v>
      </c>
      <c r="AM961" s="311" t="e">
        <f t="shared" si="124"/>
        <v>#REF!</v>
      </c>
      <c r="AN961" s="312" t="e">
        <f t="shared" si="129"/>
        <v>#REF!</v>
      </c>
    </row>
    <row r="962" spans="1:40" s="73" customFormat="1" x14ac:dyDescent="0.25">
      <c r="A962" s="313"/>
      <c r="B962" s="329" t="s">
        <v>1616</v>
      </c>
      <c r="D962" s="74">
        <f>IFERROR(VLOOKUP(B962,'REQ. PINTADO'!B:C,2,0),0)</f>
        <v>0</v>
      </c>
      <c r="E962" s="305">
        <f t="shared" si="114"/>
        <v>321.05775474883717</v>
      </c>
      <c r="F962" s="103" t="s">
        <v>166</v>
      </c>
      <c r="G962" s="75" t="s">
        <v>147</v>
      </c>
      <c r="H962" s="90">
        <v>31.01</v>
      </c>
      <c r="I962" s="90">
        <v>19</v>
      </c>
      <c r="J962" s="76">
        <v>0.105</v>
      </c>
      <c r="K962" s="306">
        <v>16.38</v>
      </c>
      <c r="L962" s="78">
        <f t="shared" si="115"/>
        <v>17.935741336437314</v>
      </c>
      <c r="M962" s="58">
        <f>+VLOOKUP(F962,Material!$H$2:$M$17,6,FALSE)*H962*I962*(1+Material!$K$14)</f>
        <v>133.53974685947415</v>
      </c>
      <c r="N962" s="79" t="str">
        <f t="shared" si="131"/>
        <v>T5.0</v>
      </c>
      <c r="O962" s="80">
        <f>+VLOOKUP(N962,[3]Material!$A$3:$B$58,2,FALSE)</f>
        <v>5000</v>
      </c>
      <c r="P962" s="79" t="s">
        <v>42</v>
      </c>
      <c r="Q962" s="79" t="str">
        <f>+VLOOKUP(F962,[3]Material!$C$2:$E$12,2,FALSE)</f>
        <v>Cal 16</v>
      </c>
      <c r="R962" s="81">
        <f>+IF(P962="ACERO A36",VLOOKUP(Q962,'[3]Velocidades Std 1500 w'!$B$2:$F$15,5,FALSE),IF(P962="INOXIDABLE",VLOOKUP(Q962,'[3]Velocidades Std 1500 w'!$B$17:$F$28,5,FALSE),IF(P962="ALUMINIO",VLOOKUP(Q962,'[3]Velocidades Std 1500 w'!$B$30:$F$38,5,FALSE))))</f>
        <v>9.1575091575091579E-7</v>
      </c>
      <c r="S962" s="82">
        <f t="shared" si="116"/>
        <v>4.578754578754579E-3</v>
      </c>
      <c r="T962" s="83">
        <f t="shared" si="117"/>
        <v>9.1897200000000012</v>
      </c>
      <c r="U962" s="307">
        <f t="shared" si="130"/>
        <v>2787.5484000000001</v>
      </c>
      <c r="V962" s="80">
        <f t="shared" si="122"/>
        <v>12.763500000000001</v>
      </c>
      <c r="W962" s="98">
        <v>3</v>
      </c>
      <c r="X962" s="84">
        <f>+IF(P962="ACERO A36",VLOOKUP(Q962,'[3]Tiempo Objeto'!$B$2:$C$12,2,FALSE),IF(P962="INOXIDABLE",VLOOKUP(Q962,'[3]Tiempo Objeto'!$B$14:$C$22,2,FALSE),IF(P962="ALUMINIO",VLOOKUP(Q962,'[3]Tiempo Objeto'!$B$24:$C$32,2,FALSE))))</f>
        <v>0.24666666666666667</v>
      </c>
      <c r="Y962" s="84">
        <f t="shared" si="118"/>
        <v>0.74</v>
      </c>
      <c r="Z962" s="80">
        <f t="shared" si="119"/>
        <v>1.0277777777777777</v>
      </c>
      <c r="AA962" s="100">
        <v>2</v>
      </c>
      <c r="AB962" s="86">
        <f>+AA962*Analisis!$J$6</f>
        <v>50</v>
      </c>
      <c r="AC962" s="100"/>
      <c r="AD962" s="85">
        <f t="shared" si="120"/>
        <v>0</v>
      </c>
      <c r="AE962" s="86">
        <f>+AC962*Analisis!$J$7</f>
        <v>0</v>
      </c>
      <c r="AF962" s="308">
        <f>+H962*0.0254*I962*0.0254*2*(1+[3]Analisis!$G$2)</f>
        <v>0.95030455099999989</v>
      </c>
      <c r="AG962" s="86">
        <f>+AF962*Analisis!$J$8</f>
        <v>101.25268727916668</v>
      </c>
      <c r="AH962" s="309">
        <f t="shared" si="126"/>
        <v>298.58371191641857</v>
      </c>
      <c r="AI962" s="86">
        <f>+AH962/(1-Analisis!G967)</f>
        <v>298.58371191641857</v>
      </c>
      <c r="AJ962" s="86">
        <f t="shared" si="121"/>
        <v>321.05775474883717</v>
      </c>
      <c r="AK962" s="86">
        <f t="shared" si="127"/>
        <v>0</v>
      </c>
      <c r="AL962" s="310" t="e">
        <f>+VLOOKUP(B962,#REF!,2,FALSE)</f>
        <v>#REF!</v>
      </c>
      <c r="AM962" s="311" t="e">
        <f t="shared" si="124"/>
        <v>#REF!</v>
      </c>
      <c r="AN962" s="312" t="e">
        <f t="shared" si="129"/>
        <v>#REF!</v>
      </c>
    </row>
    <row r="963" spans="1:40" s="73" customFormat="1" x14ac:dyDescent="0.25">
      <c r="A963" s="313"/>
      <c r="B963" s="329" t="s">
        <v>1617</v>
      </c>
      <c r="D963" s="74">
        <f>IFERROR(VLOOKUP(B963,'REQ. PINTADO'!B:C,2,0),0)</f>
        <v>0</v>
      </c>
      <c r="E963" s="305">
        <f t="shared" si="114"/>
        <v>155.36279058110142</v>
      </c>
      <c r="F963" s="103" t="s">
        <v>166</v>
      </c>
      <c r="G963" s="75" t="s">
        <v>147</v>
      </c>
      <c r="H963" s="90">
        <v>17.489999999999998</v>
      </c>
      <c r="I963" s="90">
        <v>8.5299999999999994</v>
      </c>
      <c r="J963" s="76">
        <v>0.105</v>
      </c>
      <c r="K963" s="306">
        <v>16.38</v>
      </c>
      <c r="L963" s="78">
        <f t="shared" si="115"/>
        <v>4.5415364640619851</v>
      </c>
      <c r="M963" s="58">
        <f>+VLOOKUP(F963,Material!$H$2:$M$17,6,FALSE)*H963*I963*(1+Material!$K$14)</f>
        <v>33.813803309697867</v>
      </c>
      <c r="N963" s="79" t="str">
        <f t="shared" si="131"/>
        <v>T5.0</v>
      </c>
      <c r="O963" s="80">
        <f>+VLOOKUP(N963,[3]Material!$A$3:$B$58,2,FALSE)</f>
        <v>5000</v>
      </c>
      <c r="P963" s="79" t="s">
        <v>42</v>
      </c>
      <c r="Q963" s="79" t="str">
        <f>+VLOOKUP(F963,[3]Material!$C$2:$E$12,2,FALSE)</f>
        <v>Cal 16</v>
      </c>
      <c r="R963" s="81">
        <f>+IF(P963="ACERO A36",VLOOKUP(Q963,'[3]Velocidades Std 1500 w'!$B$2:$F$15,5,FALSE),IF(P963="INOXIDABLE",VLOOKUP(Q963,'[3]Velocidades Std 1500 w'!$B$17:$F$28,5,FALSE),IF(P963="ALUMINIO",VLOOKUP(Q963,'[3]Velocidades Std 1500 w'!$B$30:$F$38,5,FALSE))))</f>
        <v>9.1575091575091579E-7</v>
      </c>
      <c r="S963" s="82">
        <f t="shared" si="116"/>
        <v>4.578754578754579E-3</v>
      </c>
      <c r="T963" s="83">
        <f t="shared" si="117"/>
        <v>5.4987092307692294</v>
      </c>
      <c r="U963" s="307">
        <f t="shared" si="130"/>
        <v>1667.9417999999996</v>
      </c>
      <c r="V963" s="80">
        <f t="shared" si="122"/>
        <v>7.6370961538461524</v>
      </c>
      <c r="W963" s="98">
        <v>7</v>
      </c>
      <c r="X963" s="84">
        <f>+IF(P963="ACERO A36",VLOOKUP(Q963,'[3]Tiempo Objeto'!$B$2:$C$12,2,FALSE),IF(P963="INOXIDABLE",VLOOKUP(Q963,'[3]Tiempo Objeto'!$B$14:$C$22,2,FALSE),IF(P963="ALUMINIO",VLOOKUP(Q963,'[3]Tiempo Objeto'!$B$24:$C$32,2,FALSE))))</f>
        <v>0.24666666666666667</v>
      </c>
      <c r="Y963" s="84">
        <f t="shared" si="118"/>
        <v>1.7266666666666668</v>
      </c>
      <c r="Z963" s="80">
        <f t="shared" si="119"/>
        <v>2.3981481481481484</v>
      </c>
      <c r="AA963" s="100">
        <v>3</v>
      </c>
      <c r="AB963" s="86">
        <f>+AA963*Analisis!$J$6</f>
        <v>75</v>
      </c>
      <c r="AC963" s="100"/>
      <c r="AD963" s="85">
        <f t="shared" si="120"/>
        <v>0</v>
      </c>
      <c r="AE963" s="86">
        <f>+AC963*Analisis!$J$7</f>
        <v>0</v>
      </c>
      <c r="AF963" s="308">
        <f>+H963*0.0254*I963*0.0254*2*(1+[3]Analisis!$G$2)</f>
        <v>0.2406280671299999</v>
      </c>
      <c r="AG963" s="86">
        <f>+AF963*Analisis!$J$8</f>
        <v>25.638347628732141</v>
      </c>
      <c r="AH963" s="309">
        <f t="shared" si="126"/>
        <v>144.48739524042432</v>
      </c>
      <c r="AI963" s="86">
        <f>+AH963/(1-Analisis!G968)</f>
        <v>144.48739524042432</v>
      </c>
      <c r="AJ963" s="86">
        <f t="shared" si="121"/>
        <v>155.36279058110142</v>
      </c>
      <c r="AK963" s="86">
        <f t="shared" si="127"/>
        <v>0</v>
      </c>
      <c r="AL963" s="310" t="e">
        <f>+VLOOKUP(B963,#REF!,2,FALSE)</f>
        <v>#REF!</v>
      </c>
      <c r="AM963" s="311" t="e">
        <f t="shared" si="124"/>
        <v>#REF!</v>
      </c>
      <c r="AN963" s="312" t="e">
        <f t="shared" si="129"/>
        <v>#REF!</v>
      </c>
    </row>
    <row r="964" spans="1:40" s="73" customFormat="1" x14ac:dyDescent="0.25">
      <c r="A964" s="313"/>
      <c r="B964" s="329" t="s">
        <v>1618</v>
      </c>
      <c r="D964" s="74">
        <f>IFERROR(VLOOKUP(B964,'REQ. PINTADO'!B:C,2,0),0)</f>
        <v>0</v>
      </c>
      <c r="E964" s="305">
        <f t="shared" si="114"/>
        <v>174.75526981315039</v>
      </c>
      <c r="F964" s="103" t="s">
        <v>166</v>
      </c>
      <c r="G964" s="75" t="s">
        <v>147</v>
      </c>
      <c r="H964" s="90">
        <v>17.489999999999998</v>
      </c>
      <c r="I964" s="90">
        <v>11.03</v>
      </c>
      <c r="J964" s="76">
        <v>0.105</v>
      </c>
      <c r="K964" s="306">
        <v>16.38</v>
      </c>
      <c r="L964" s="78">
        <f t="shared" si="115"/>
        <v>5.8725846657214182</v>
      </c>
      <c r="M964" s="58">
        <f>+VLOOKUP(F964,Material!$H$2:$M$17,6,FALSE)*H964*I964*(1+Material!$K$14)</f>
        <v>43.724062192962187</v>
      </c>
      <c r="N964" s="79" t="str">
        <f t="shared" ref="N964:N1027" si="132">+N963</f>
        <v>T5.0</v>
      </c>
      <c r="O964" s="80">
        <f>+VLOOKUP(N964,[3]Material!$A$3:$B$58,2,FALSE)</f>
        <v>5000</v>
      </c>
      <c r="P964" s="79" t="s">
        <v>42</v>
      </c>
      <c r="Q964" s="79" t="str">
        <f>+VLOOKUP(F964,[3]Material!$C$2:$E$12,2,FALSE)</f>
        <v>Cal 16</v>
      </c>
      <c r="R964" s="81">
        <f>+IF(P964="ACERO A36",VLOOKUP(Q964,'[3]Velocidades Std 1500 w'!$B$2:$F$15,5,FALSE),IF(P964="INOXIDABLE",VLOOKUP(Q964,'[3]Velocidades Std 1500 w'!$B$17:$F$28,5,FALSE),IF(P964="ALUMINIO",VLOOKUP(Q964,'[3]Velocidades Std 1500 w'!$B$30:$F$38,5,FALSE))))</f>
        <v>9.1575091575091579E-7</v>
      </c>
      <c r="S964" s="82">
        <f t="shared" si="116"/>
        <v>4.578754578754579E-3</v>
      </c>
      <c r="T964" s="83">
        <f t="shared" si="117"/>
        <v>5.938324615384615</v>
      </c>
      <c r="U964" s="307">
        <f t="shared" si="130"/>
        <v>1801.2917999999997</v>
      </c>
      <c r="V964" s="80">
        <f t="shared" si="122"/>
        <v>8.2476730769230766</v>
      </c>
      <c r="W964" s="98">
        <v>7</v>
      </c>
      <c r="X964" s="84">
        <f>+IF(P964="ACERO A36",VLOOKUP(Q964,'[3]Tiempo Objeto'!$B$2:$C$12,2,FALSE),IF(P964="INOXIDABLE",VLOOKUP(Q964,'[3]Tiempo Objeto'!$B$14:$C$22,2,FALSE),IF(P964="ALUMINIO",VLOOKUP(Q964,'[3]Tiempo Objeto'!$B$24:$C$32,2,FALSE))))</f>
        <v>0.24666666666666667</v>
      </c>
      <c r="Y964" s="84">
        <f t="shared" si="118"/>
        <v>1.7266666666666668</v>
      </c>
      <c r="Z964" s="80">
        <f t="shared" si="119"/>
        <v>2.3981481481481484</v>
      </c>
      <c r="AA964" s="100">
        <v>3</v>
      </c>
      <c r="AB964" s="86">
        <f>+AA964*Analisis!$J$6</f>
        <v>75</v>
      </c>
      <c r="AC964" s="100"/>
      <c r="AD964" s="85">
        <f t="shared" si="120"/>
        <v>0</v>
      </c>
      <c r="AE964" s="86">
        <f>+AC964*Analisis!$J$7</f>
        <v>0</v>
      </c>
      <c r="AF964" s="308">
        <f>+H964*0.0254*I964*0.0254*2*(1+[3]Analisis!$G$2)</f>
        <v>0.31115211962999995</v>
      </c>
      <c r="AG964" s="86">
        <f>+AF964*Analisis!$J$8</f>
        <v>33.152517508196432</v>
      </c>
      <c r="AH964" s="309">
        <f t="shared" si="126"/>
        <v>162.52240092622986</v>
      </c>
      <c r="AI964" s="86">
        <f>+AH964/(1-Analisis!G969)</f>
        <v>162.52240092622986</v>
      </c>
      <c r="AJ964" s="86">
        <f t="shared" si="121"/>
        <v>174.75526981315039</v>
      </c>
      <c r="AK964" s="86">
        <f t="shared" si="127"/>
        <v>0</v>
      </c>
      <c r="AL964" s="310" t="e">
        <f>+VLOOKUP(B964,#REF!,2,FALSE)</f>
        <v>#REF!</v>
      </c>
      <c r="AM964" s="311" t="e">
        <f t="shared" si="124"/>
        <v>#REF!</v>
      </c>
      <c r="AN964" s="312" t="e">
        <f t="shared" si="129"/>
        <v>#REF!</v>
      </c>
    </row>
    <row r="965" spans="1:40" s="73" customFormat="1" x14ac:dyDescent="0.25">
      <c r="A965" s="313"/>
      <c r="B965" s="329" t="s">
        <v>1619</v>
      </c>
      <c r="D965" s="74">
        <f>IFERROR(VLOOKUP(B965,'REQ. PINTADO'!B:C,2,0),0)</f>
        <v>0</v>
      </c>
      <c r="E965" s="305">
        <f t="shared" si="114"/>
        <v>213.54022827724836</v>
      </c>
      <c r="F965" s="103" t="s">
        <v>166</v>
      </c>
      <c r="G965" s="75" t="s">
        <v>147</v>
      </c>
      <c r="H965" s="90">
        <v>17.489999999999998</v>
      </c>
      <c r="I965" s="90">
        <v>16.03</v>
      </c>
      <c r="J965" s="76">
        <v>0.105</v>
      </c>
      <c r="K965" s="306">
        <v>16.38</v>
      </c>
      <c r="L965" s="78">
        <f t="shared" si="115"/>
        <v>8.5346810690402855</v>
      </c>
      <c r="M965" s="58">
        <f>+VLOOKUP(F965,Material!$H$2:$M$17,6,FALSE)*H965*I965*(1+Material!$K$14)</f>
        <v>63.544579959490846</v>
      </c>
      <c r="N965" s="79" t="str">
        <f t="shared" si="132"/>
        <v>T5.0</v>
      </c>
      <c r="O965" s="80">
        <f>+VLOOKUP(N965,[3]Material!$A$3:$B$58,2,FALSE)</f>
        <v>5000</v>
      </c>
      <c r="P965" s="79" t="s">
        <v>42</v>
      </c>
      <c r="Q965" s="79" t="str">
        <f>+VLOOKUP(F965,[3]Material!$C$2:$E$12,2,FALSE)</f>
        <v>Cal 16</v>
      </c>
      <c r="R965" s="81">
        <f>+IF(P965="ACERO A36",VLOOKUP(Q965,'[3]Velocidades Std 1500 w'!$B$2:$F$15,5,FALSE),IF(P965="INOXIDABLE",VLOOKUP(Q965,'[3]Velocidades Std 1500 w'!$B$17:$F$28,5,FALSE),IF(P965="ALUMINIO",VLOOKUP(Q965,'[3]Velocidades Std 1500 w'!$B$30:$F$38,5,FALSE))))</f>
        <v>9.1575091575091579E-7</v>
      </c>
      <c r="S965" s="82">
        <f t="shared" si="116"/>
        <v>4.578754578754579E-3</v>
      </c>
      <c r="T965" s="83">
        <f t="shared" si="117"/>
        <v>6.8175553846153836</v>
      </c>
      <c r="U965" s="307">
        <f t="shared" si="130"/>
        <v>2067.9917999999998</v>
      </c>
      <c r="V965" s="80">
        <f t="shared" si="122"/>
        <v>9.4688269230769233</v>
      </c>
      <c r="W965" s="98">
        <v>7</v>
      </c>
      <c r="X965" s="84">
        <f>+IF(P965="ACERO A36",VLOOKUP(Q965,'[3]Tiempo Objeto'!$B$2:$C$12,2,FALSE),IF(P965="INOXIDABLE",VLOOKUP(Q965,'[3]Tiempo Objeto'!$B$14:$C$22,2,FALSE),IF(P965="ALUMINIO",VLOOKUP(Q965,'[3]Tiempo Objeto'!$B$24:$C$32,2,FALSE))))</f>
        <v>0.24666666666666667</v>
      </c>
      <c r="Y965" s="84">
        <f t="shared" si="118"/>
        <v>1.7266666666666668</v>
      </c>
      <c r="Z965" s="80">
        <f t="shared" si="119"/>
        <v>2.3981481481481484</v>
      </c>
      <c r="AA965" s="100">
        <v>3</v>
      </c>
      <c r="AB965" s="86">
        <f>+AA965*Analisis!$J$6</f>
        <v>75</v>
      </c>
      <c r="AC965" s="100"/>
      <c r="AD965" s="85">
        <f t="shared" si="120"/>
        <v>0</v>
      </c>
      <c r="AE965" s="86">
        <f>+AC965*Analisis!$J$7</f>
        <v>0</v>
      </c>
      <c r="AF965" s="308">
        <f>+H965*0.0254*I965*0.0254*2*(1+[3]Analisis!$G$2)</f>
        <v>0.45220022462999993</v>
      </c>
      <c r="AG965" s="86">
        <f>+AF965*Analisis!$J$8</f>
        <v>48.180857267125006</v>
      </c>
      <c r="AH965" s="309">
        <f t="shared" si="126"/>
        <v>198.59241229784095</v>
      </c>
      <c r="AI965" s="86">
        <f>+AH965/(1-Analisis!G970)</f>
        <v>198.59241229784095</v>
      </c>
      <c r="AJ965" s="86">
        <f t="shared" si="121"/>
        <v>213.54022827724836</v>
      </c>
      <c r="AK965" s="86">
        <f t="shared" si="127"/>
        <v>0</v>
      </c>
      <c r="AL965" s="310" t="e">
        <f>+VLOOKUP(B965,#REF!,2,FALSE)</f>
        <v>#REF!</v>
      </c>
      <c r="AM965" s="311" t="e">
        <f t="shared" si="124"/>
        <v>#REF!</v>
      </c>
      <c r="AN965" s="312" t="e">
        <f t="shared" si="129"/>
        <v>#REF!</v>
      </c>
    </row>
    <row r="966" spans="1:40" s="73" customFormat="1" x14ac:dyDescent="0.25">
      <c r="A966" s="313"/>
      <c r="B966" s="329" t="s">
        <v>1620</v>
      </c>
      <c r="D966" s="74">
        <f>IFERROR(VLOOKUP(B966,'REQ. PINTADO'!B:C,2,0),0)</f>
        <v>0</v>
      </c>
      <c r="E966" s="305">
        <f t="shared" si="114"/>
        <v>271.71766597339519</v>
      </c>
      <c r="F966" s="103" t="s">
        <v>166</v>
      </c>
      <c r="G966" s="75" t="s">
        <v>147</v>
      </c>
      <c r="H966" s="90">
        <v>17.489999999999998</v>
      </c>
      <c r="I966" s="90">
        <v>23.53</v>
      </c>
      <c r="J966" s="76">
        <v>0.105</v>
      </c>
      <c r="K966" s="306">
        <v>16.38</v>
      </c>
      <c r="L966" s="78">
        <f t="shared" si="115"/>
        <v>12.527825674018583</v>
      </c>
      <c r="M966" s="58">
        <f>+VLOOKUP(F966,Material!$H$2:$M$17,6,FALSE)*H966*I966*(1+Material!$K$14)</f>
        <v>93.275356609283804</v>
      </c>
      <c r="N966" s="79" t="str">
        <f t="shared" si="132"/>
        <v>T5.0</v>
      </c>
      <c r="O966" s="80">
        <f>+VLOOKUP(N966,[3]Material!$A$3:$B$58,2,FALSE)</f>
        <v>5000</v>
      </c>
      <c r="P966" s="79" t="s">
        <v>42</v>
      </c>
      <c r="Q966" s="79" t="str">
        <f>+VLOOKUP(F966,[3]Material!$C$2:$E$12,2,FALSE)</f>
        <v>Cal 16</v>
      </c>
      <c r="R966" s="81">
        <f>+IF(P966="ACERO A36",VLOOKUP(Q966,'[3]Velocidades Std 1500 w'!$B$2:$F$15,5,FALSE),IF(P966="INOXIDABLE",VLOOKUP(Q966,'[3]Velocidades Std 1500 w'!$B$17:$F$28,5,FALSE),IF(P966="ALUMINIO",VLOOKUP(Q966,'[3]Velocidades Std 1500 w'!$B$30:$F$38,5,FALSE))))</f>
        <v>9.1575091575091579E-7</v>
      </c>
      <c r="S966" s="82">
        <f t="shared" si="116"/>
        <v>4.578754578754579E-3</v>
      </c>
      <c r="T966" s="83">
        <f t="shared" si="117"/>
        <v>8.136401538461536</v>
      </c>
      <c r="U966" s="307">
        <f t="shared" si="130"/>
        <v>2468.0417999999995</v>
      </c>
      <c r="V966" s="80">
        <f t="shared" si="122"/>
        <v>11.30055769230769</v>
      </c>
      <c r="W966" s="98">
        <v>7</v>
      </c>
      <c r="X966" s="84">
        <f>+IF(P966="ACERO A36",VLOOKUP(Q966,'[3]Tiempo Objeto'!$B$2:$C$12,2,FALSE),IF(P966="INOXIDABLE",VLOOKUP(Q966,'[3]Tiempo Objeto'!$B$14:$C$22,2,FALSE),IF(P966="ALUMINIO",VLOOKUP(Q966,'[3]Tiempo Objeto'!$B$24:$C$32,2,FALSE))))</f>
        <v>0.24666666666666667</v>
      </c>
      <c r="Y966" s="84">
        <f t="shared" si="118"/>
        <v>1.7266666666666668</v>
      </c>
      <c r="Z966" s="80">
        <f t="shared" si="119"/>
        <v>2.3981481481481484</v>
      </c>
      <c r="AA966" s="100">
        <v>3</v>
      </c>
      <c r="AB966" s="86">
        <f>+AA966*Analisis!$J$6</f>
        <v>75</v>
      </c>
      <c r="AC966" s="100"/>
      <c r="AD966" s="85">
        <f t="shared" si="120"/>
        <v>0</v>
      </c>
      <c r="AE966" s="86">
        <f>+AC966*Analisis!$J$7</f>
        <v>0</v>
      </c>
      <c r="AF966" s="308">
        <f>+H966*0.0254*I966*0.0254*2*(1+[3]Analisis!$G$2)</f>
        <v>0.66377238212999989</v>
      </c>
      <c r="AG966" s="86">
        <f>+AF966*Analisis!$J$8</f>
        <v>70.723366905517864</v>
      </c>
      <c r="AH966" s="309">
        <f t="shared" si="126"/>
        <v>252.6974293552575</v>
      </c>
      <c r="AI966" s="86">
        <f>+AH966/(1-Analisis!G971)</f>
        <v>252.6974293552575</v>
      </c>
      <c r="AJ966" s="86">
        <f t="shared" si="121"/>
        <v>271.71766597339519</v>
      </c>
      <c r="AK966" s="86">
        <f t="shared" si="127"/>
        <v>0</v>
      </c>
      <c r="AL966" s="310" t="e">
        <f>+VLOOKUP(B966,#REF!,2,FALSE)</f>
        <v>#REF!</v>
      </c>
      <c r="AM966" s="311" t="e">
        <f t="shared" si="124"/>
        <v>#REF!</v>
      </c>
      <c r="AN966" s="312" t="e">
        <f t="shared" si="129"/>
        <v>#REF!</v>
      </c>
    </row>
    <row r="967" spans="1:40" s="73" customFormat="1" x14ac:dyDescent="0.25">
      <c r="A967" s="313"/>
      <c r="B967" s="329" t="s">
        <v>1621</v>
      </c>
      <c r="D967" s="74">
        <f>IFERROR(VLOOKUP(B967,'REQ. PINTADO'!B:C,2,0),0)</f>
        <v>0</v>
      </c>
      <c r="E967" s="305">
        <f t="shared" si="114"/>
        <v>155.36279058110142</v>
      </c>
      <c r="F967" s="103" t="s">
        <v>166</v>
      </c>
      <c r="G967" s="75" t="s">
        <v>147</v>
      </c>
      <c r="H967" s="90">
        <v>17.489999999999998</v>
      </c>
      <c r="I967" s="90">
        <v>8.5299999999999994</v>
      </c>
      <c r="J967" s="76">
        <v>0.105</v>
      </c>
      <c r="K967" s="306">
        <v>16.38</v>
      </c>
      <c r="L967" s="78">
        <f t="shared" si="115"/>
        <v>4.5415364640619851</v>
      </c>
      <c r="M967" s="58">
        <f>+VLOOKUP(F967,Material!$H$2:$M$17,6,FALSE)*H967*I967*(1+Material!$K$14)</f>
        <v>33.813803309697867</v>
      </c>
      <c r="N967" s="79" t="str">
        <f t="shared" si="132"/>
        <v>T5.0</v>
      </c>
      <c r="O967" s="80">
        <f>+VLOOKUP(N967,[3]Material!$A$3:$B$58,2,FALSE)</f>
        <v>5000</v>
      </c>
      <c r="P967" s="79" t="s">
        <v>42</v>
      </c>
      <c r="Q967" s="79" t="str">
        <f>+VLOOKUP(F967,[3]Material!$C$2:$E$12,2,FALSE)</f>
        <v>Cal 16</v>
      </c>
      <c r="R967" s="81">
        <f>+IF(P967="ACERO A36",VLOOKUP(Q967,'[3]Velocidades Std 1500 w'!$B$2:$F$15,5,FALSE),IF(P967="INOXIDABLE",VLOOKUP(Q967,'[3]Velocidades Std 1500 w'!$B$17:$F$28,5,FALSE),IF(P967="ALUMINIO",VLOOKUP(Q967,'[3]Velocidades Std 1500 w'!$B$30:$F$38,5,FALSE))))</f>
        <v>9.1575091575091579E-7</v>
      </c>
      <c r="S967" s="82">
        <f t="shared" si="116"/>
        <v>4.578754578754579E-3</v>
      </c>
      <c r="T967" s="83">
        <f t="shared" si="117"/>
        <v>5.4987092307692294</v>
      </c>
      <c r="U967" s="307">
        <f t="shared" si="130"/>
        <v>1667.9417999999996</v>
      </c>
      <c r="V967" s="80">
        <f t="shared" si="122"/>
        <v>7.6370961538461524</v>
      </c>
      <c r="W967" s="98">
        <v>7</v>
      </c>
      <c r="X967" s="84">
        <f>+IF(P967="ACERO A36",VLOOKUP(Q967,'[3]Tiempo Objeto'!$B$2:$C$12,2,FALSE),IF(P967="INOXIDABLE",VLOOKUP(Q967,'[3]Tiempo Objeto'!$B$14:$C$22,2,FALSE),IF(P967="ALUMINIO",VLOOKUP(Q967,'[3]Tiempo Objeto'!$B$24:$C$32,2,FALSE))))</f>
        <v>0.24666666666666667</v>
      </c>
      <c r="Y967" s="84">
        <f t="shared" si="118"/>
        <v>1.7266666666666668</v>
      </c>
      <c r="Z967" s="80">
        <f t="shared" si="119"/>
        <v>2.3981481481481484</v>
      </c>
      <c r="AA967" s="100">
        <v>3</v>
      </c>
      <c r="AB967" s="86">
        <f>+AA967*Analisis!$J$6</f>
        <v>75</v>
      </c>
      <c r="AC967" s="100"/>
      <c r="AD967" s="85">
        <f t="shared" si="120"/>
        <v>0</v>
      </c>
      <c r="AE967" s="86">
        <f>+AC967*Analisis!$J$7</f>
        <v>0</v>
      </c>
      <c r="AF967" s="308">
        <f>+H967*0.0254*I967*0.0254*2*(1+[3]Analisis!$G$2)</f>
        <v>0.2406280671299999</v>
      </c>
      <c r="AG967" s="86">
        <f>+AF967*Analisis!$J$8</f>
        <v>25.638347628732141</v>
      </c>
      <c r="AH967" s="309">
        <f t="shared" si="126"/>
        <v>144.48739524042432</v>
      </c>
      <c r="AI967" s="86">
        <f>+AH967/(1-Analisis!G972)</f>
        <v>144.48739524042432</v>
      </c>
      <c r="AJ967" s="86">
        <f t="shared" si="121"/>
        <v>155.36279058110142</v>
      </c>
      <c r="AK967" s="86">
        <f t="shared" si="127"/>
        <v>0</v>
      </c>
      <c r="AL967" s="310" t="e">
        <f>+VLOOKUP(B967,#REF!,2,FALSE)</f>
        <v>#REF!</v>
      </c>
      <c r="AM967" s="311" t="e">
        <f t="shared" si="124"/>
        <v>#REF!</v>
      </c>
      <c r="AN967" s="312" t="e">
        <f t="shared" si="129"/>
        <v>#REF!</v>
      </c>
    </row>
    <row r="968" spans="1:40" s="73" customFormat="1" x14ac:dyDescent="0.25">
      <c r="A968" s="313"/>
      <c r="B968" s="329" t="s">
        <v>1622</v>
      </c>
      <c r="D968" s="74">
        <f>IFERROR(VLOOKUP(B968,'REQ. PINTADO'!B:C,2,0),0)</f>
        <v>0</v>
      </c>
      <c r="E968" s="305">
        <f t="shared" si="114"/>
        <v>174.75526981315039</v>
      </c>
      <c r="F968" s="103" t="s">
        <v>166</v>
      </c>
      <c r="G968" s="75" t="s">
        <v>147</v>
      </c>
      <c r="H968" s="90">
        <v>17.489999999999998</v>
      </c>
      <c r="I968" s="90">
        <v>11.03</v>
      </c>
      <c r="J968" s="76">
        <v>0.105</v>
      </c>
      <c r="K968" s="306">
        <v>16.38</v>
      </c>
      <c r="L968" s="78">
        <f t="shared" si="115"/>
        <v>5.8725846657214182</v>
      </c>
      <c r="M968" s="58">
        <f>+VLOOKUP(F968,Material!$H$2:$M$17,6,FALSE)*H968*I968*(1+Material!$K$14)</f>
        <v>43.724062192962187</v>
      </c>
      <c r="N968" s="79" t="str">
        <f t="shared" si="132"/>
        <v>T5.0</v>
      </c>
      <c r="O968" s="80">
        <f>+VLOOKUP(N968,[3]Material!$A$3:$B$58,2,FALSE)</f>
        <v>5000</v>
      </c>
      <c r="P968" s="79" t="s">
        <v>42</v>
      </c>
      <c r="Q968" s="79" t="str">
        <f>+VLOOKUP(F968,[3]Material!$C$2:$E$12,2,FALSE)</f>
        <v>Cal 16</v>
      </c>
      <c r="R968" s="81">
        <f>+IF(P968="ACERO A36",VLOOKUP(Q968,'[3]Velocidades Std 1500 w'!$B$2:$F$15,5,FALSE),IF(P968="INOXIDABLE",VLOOKUP(Q968,'[3]Velocidades Std 1500 w'!$B$17:$F$28,5,FALSE),IF(P968="ALUMINIO",VLOOKUP(Q968,'[3]Velocidades Std 1500 w'!$B$30:$F$38,5,FALSE))))</f>
        <v>9.1575091575091579E-7</v>
      </c>
      <c r="S968" s="82">
        <f t="shared" si="116"/>
        <v>4.578754578754579E-3</v>
      </c>
      <c r="T968" s="83">
        <f t="shared" si="117"/>
        <v>5.938324615384615</v>
      </c>
      <c r="U968" s="307">
        <f t="shared" si="130"/>
        <v>1801.2917999999997</v>
      </c>
      <c r="V968" s="80">
        <f t="shared" si="122"/>
        <v>8.2476730769230766</v>
      </c>
      <c r="W968" s="98">
        <v>7</v>
      </c>
      <c r="X968" s="84">
        <f>+IF(P968="ACERO A36",VLOOKUP(Q968,'[3]Tiempo Objeto'!$B$2:$C$12,2,FALSE),IF(P968="INOXIDABLE",VLOOKUP(Q968,'[3]Tiempo Objeto'!$B$14:$C$22,2,FALSE),IF(P968="ALUMINIO",VLOOKUP(Q968,'[3]Tiempo Objeto'!$B$24:$C$32,2,FALSE))))</f>
        <v>0.24666666666666667</v>
      </c>
      <c r="Y968" s="84">
        <f t="shared" si="118"/>
        <v>1.7266666666666668</v>
      </c>
      <c r="Z968" s="80">
        <f t="shared" si="119"/>
        <v>2.3981481481481484</v>
      </c>
      <c r="AA968" s="100">
        <v>3</v>
      </c>
      <c r="AB968" s="86">
        <f>+AA968*Analisis!$J$6</f>
        <v>75</v>
      </c>
      <c r="AC968" s="100"/>
      <c r="AD968" s="85">
        <f t="shared" si="120"/>
        <v>0</v>
      </c>
      <c r="AE968" s="86">
        <f>+AC968*Analisis!$J$7</f>
        <v>0</v>
      </c>
      <c r="AF968" s="308">
        <f>+H968*0.0254*I968*0.0254*2*(1+[3]Analisis!$G$2)</f>
        <v>0.31115211962999995</v>
      </c>
      <c r="AG968" s="86">
        <f>+AF968*Analisis!$J$8</f>
        <v>33.152517508196432</v>
      </c>
      <c r="AH968" s="309">
        <f t="shared" si="126"/>
        <v>162.52240092622986</v>
      </c>
      <c r="AI968" s="86">
        <f>+AH968/(1-Analisis!G973)</f>
        <v>162.52240092622986</v>
      </c>
      <c r="AJ968" s="86">
        <f t="shared" si="121"/>
        <v>174.75526981315039</v>
      </c>
      <c r="AK968" s="86">
        <f t="shared" si="127"/>
        <v>0</v>
      </c>
      <c r="AL968" s="310" t="e">
        <f>+VLOOKUP(B968,#REF!,2,FALSE)</f>
        <v>#REF!</v>
      </c>
      <c r="AM968" s="311" t="e">
        <f t="shared" si="124"/>
        <v>#REF!</v>
      </c>
      <c r="AN968" s="312" t="e">
        <f t="shared" si="129"/>
        <v>#REF!</v>
      </c>
    </row>
    <row r="969" spans="1:40" s="73" customFormat="1" x14ac:dyDescent="0.25">
      <c r="A969" s="313"/>
      <c r="B969" s="329" t="s">
        <v>1623</v>
      </c>
      <c r="D969" s="74">
        <f>IFERROR(VLOOKUP(B969,'REQ. PINTADO'!B:C,2,0),0)</f>
        <v>0</v>
      </c>
      <c r="E969" s="305">
        <f t="shared" si="114"/>
        <v>213.54022827724836</v>
      </c>
      <c r="F969" s="103" t="s">
        <v>166</v>
      </c>
      <c r="G969" s="75" t="s">
        <v>147</v>
      </c>
      <c r="H969" s="90">
        <v>17.489999999999998</v>
      </c>
      <c r="I969" s="90">
        <v>16.03</v>
      </c>
      <c r="J969" s="76">
        <v>0.105</v>
      </c>
      <c r="K969" s="306">
        <v>16.38</v>
      </c>
      <c r="L969" s="78">
        <f t="shared" si="115"/>
        <v>8.5346810690402855</v>
      </c>
      <c r="M969" s="58">
        <f>+VLOOKUP(F969,Material!$H$2:$M$17,6,FALSE)*H969*I969*(1+Material!$K$14)</f>
        <v>63.544579959490846</v>
      </c>
      <c r="N969" s="79" t="str">
        <f t="shared" si="132"/>
        <v>T5.0</v>
      </c>
      <c r="O969" s="80">
        <f>+VLOOKUP(N969,[3]Material!$A$3:$B$58,2,FALSE)</f>
        <v>5000</v>
      </c>
      <c r="P969" s="79" t="s">
        <v>42</v>
      </c>
      <c r="Q969" s="79" t="str">
        <f>+VLOOKUP(F969,[3]Material!$C$2:$E$12,2,FALSE)</f>
        <v>Cal 16</v>
      </c>
      <c r="R969" s="81">
        <f>+IF(P969="ACERO A36",VLOOKUP(Q969,'[3]Velocidades Std 1500 w'!$B$2:$F$15,5,FALSE),IF(P969="INOXIDABLE",VLOOKUP(Q969,'[3]Velocidades Std 1500 w'!$B$17:$F$28,5,FALSE),IF(P969="ALUMINIO",VLOOKUP(Q969,'[3]Velocidades Std 1500 w'!$B$30:$F$38,5,FALSE))))</f>
        <v>9.1575091575091579E-7</v>
      </c>
      <c r="S969" s="82">
        <f t="shared" si="116"/>
        <v>4.578754578754579E-3</v>
      </c>
      <c r="T969" s="83">
        <f t="shared" si="117"/>
        <v>6.8175553846153836</v>
      </c>
      <c r="U969" s="307">
        <f t="shared" si="130"/>
        <v>2067.9917999999998</v>
      </c>
      <c r="V969" s="80">
        <f t="shared" si="122"/>
        <v>9.4688269230769233</v>
      </c>
      <c r="W969" s="98">
        <v>7</v>
      </c>
      <c r="X969" s="84">
        <f>+IF(P969="ACERO A36",VLOOKUP(Q969,'[3]Tiempo Objeto'!$B$2:$C$12,2,FALSE),IF(P969="INOXIDABLE",VLOOKUP(Q969,'[3]Tiempo Objeto'!$B$14:$C$22,2,FALSE),IF(P969="ALUMINIO",VLOOKUP(Q969,'[3]Tiempo Objeto'!$B$24:$C$32,2,FALSE))))</f>
        <v>0.24666666666666667</v>
      </c>
      <c r="Y969" s="84">
        <f t="shared" si="118"/>
        <v>1.7266666666666668</v>
      </c>
      <c r="Z969" s="80">
        <f t="shared" si="119"/>
        <v>2.3981481481481484</v>
      </c>
      <c r="AA969" s="100">
        <v>3</v>
      </c>
      <c r="AB969" s="86">
        <f>+AA969*Analisis!$J$6</f>
        <v>75</v>
      </c>
      <c r="AC969" s="100"/>
      <c r="AD969" s="85">
        <f t="shared" si="120"/>
        <v>0</v>
      </c>
      <c r="AE969" s="86">
        <f>+AC969*Analisis!$J$7</f>
        <v>0</v>
      </c>
      <c r="AF969" s="308">
        <f>+H969*0.0254*I969*0.0254*2*(1+[3]Analisis!$G$2)</f>
        <v>0.45220022462999993</v>
      </c>
      <c r="AG969" s="86">
        <f>+AF969*Analisis!$J$8</f>
        <v>48.180857267125006</v>
      </c>
      <c r="AH969" s="309">
        <f t="shared" si="126"/>
        <v>198.59241229784095</v>
      </c>
      <c r="AI969" s="86">
        <f>+AH969/(1-Analisis!G974)</f>
        <v>198.59241229784095</v>
      </c>
      <c r="AJ969" s="86">
        <f t="shared" si="121"/>
        <v>213.54022827724836</v>
      </c>
      <c r="AK969" s="86">
        <f t="shared" si="127"/>
        <v>0</v>
      </c>
      <c r="AL969" s="310" t="e">
        <f>+VLOOKUP(B969,#REF!,2,FALSE)</f>
        <v>#REF!</v>
      </c>
      <c r="AM969" s="311" t="e">
        <f t="shared" si="124"/>
        <v>#REF!</v>
      </c>
      <c r="AN969" s="312" t="e">
        <f t="shared" si="129"/>
        <v>#REF!</v>
      </c>
    </row>
    <row r="970" spans="1:40" s="73" customFormat="1" x14ac:dyDescent="0.25">
      <c r="A970" s="313"/>
      <c r="B970" s="329" t="s">
        <v>1624</v>
      </c>
      <c r="D970" s="74">
        <f>IFERROR(VLOOKUP(B970,'REQ. PINTADO'!B:C,2,0),0)</f>
        <v>0</v>
      </c>
      <c r="E970" s="305">
        <f t="shared" si="114"/>
        <v>174.75526981315039</v>
      </c>
      <c r="F970" s="103" t="s">
        <v>166</v>
      </c>
      <c r="G970" s="75" t="s">
        <v>147</v>
      </c>
      <c r="H970" s="90">
        <v>17.489999999999998</v>
      </c>
      <c r="I970" s="90">
        <v>11.03</v>
      </c>
      <c r="J970" s="76">
        <v>0.105</v>
      </c>
      <c r="K970" s="306">
        <v>16.38</v>
      </c>
      <c r="L970" s="78">
        <f t="shared" si="115"/>
        <v>5.8725846657214182</v>
      </c>
      <c r="M970" s="58">
        <f>+VLOOKUP(F970,Material!$H$2:$M$17,6,FALSE)*H970*I970*(1+Material!$K$14)</f>
        <v>43.724062192962187</v>
      </c>
      <c r="N970" s="79" t="str">
        <f t="shared" si="132"/>
        <v>T5.0</v>
      </c>
      <c r="O970" s="80">
        <f>+VLOOKUP(N970,[3]Material!$A$3:$B$58,2,FALSE)</f>
        <v>5000</v>
      </c>
      <c r="P970" s="79" t="s">
        <v>42</v>
      </c>
      <c r="Q970" s="79" t="str">
        <f>+VLOOKUP(F970,[3]Material!$C$2:$E$12,2,FALSE)</f>
        <v>Cal 16</v>
      </c>
      <c r="R970" s="81">
        <f>+IF(P970="ACERO A36",VLOOKUP(Q970,'[3]Velocidades Std 1500 w'!$B$2:$F$15,5,FALSE),IF(P970="INOXIDABLE",VLOOKUP(Q970,'[3]Velocidades Std 1500 w'!$B$17:$F$28,5,FALSE),IF(P970="ALUMINIO",VLOOKUP(Q970,'[3]Velocidades Std 1500 w'!$B$30:$F$38,5,FALSE))))</f>
        <v>9.1575091575091579E-7</v>
      </c>
      <c r="S970" s="82">
        <f t="shared" si="116"/>
        <v>4.578754578754579E-3</v>
      </c>
      <c r="T970" s="83">
        <f t="shared" si="117"/>
        <v>5.938324615384615</v>
      </c>
      <c r="U970" s="307">
        <f t="shared" si="130"/>
        <v>1801.2917999999997</v>
      </c>
      <c r="V970" s="80">
        <f t="shared" si="122"/>
        <v>8.2476730769230766</v>
      </c>
      <c r="W970" s="98">
        <v>7</v>
      </c>
      <c r="X970" s="84">
        <f>+IF(P970="ACERO A36",VLOOKUP(Q970,'[3]Tiempo Objeto'!$B$2:$C$12,2,FALSE),IF(P970="INOXIDABLE",VLOOKUP(Q970,'[3]Tiempo Objeto'!$B$14:$C$22,2,FALSE),IF(P970="ALUMINIO",VLOOKUP(Q970,'[3]Tiempo Objeto'!$B$24:$C$32,2,FALSE))))</f>
        <v>0.24666666666666667</v>
      </c>
      <c r="Y970" s="84">
        <f t="shared" si="118"/>
        <v>1.7266666666666668</v>
      </c>
      <c r="Z970" s="80">
        <f t="shared" si="119"/>
        <v>2.3981481481481484</v>
      </c>
      <c r="AA970" s="100">
        <v>3</v>
      </c>
      <c r="AB970" s="86">
        <f>+AA970*Analisis!$J$6</f>
        <v>75</v>
      </c>
      <c r="AC970" s="100"/>
      <c r="AD970" s="85">
        <f t="shared" si="120"/>
        <v>0</v>
      </c>
      <c r="AE970" s="86">
        <f>+AC970*Analisis!$J$7</f>
        <v>0</v>
      </c>
      <c r="AF970" s="308">
        <f>+H970*0.0254*I970*0.0254*2*(1+[3]Analisis!$G$2)</f>
        <v>0.31115211962999995</v>
      </c>
      <c r="AG970" s="86">
        <f>+AF970*Analisis!$J$8</f>
        <v>33.152517508196432</v>
      </c>
      <c r="AH970" s="309">
        <f t="shared" si="126"/>
        <v>162.52240092622986</v>
      </c>
      <c r="AI970" s="86">
        <f>+AH970/(1-Analisis!G975)</f>
        <v>162.52240092622986</v>
      </c>
      <c r="AJ970" s="86">
        <f t="shared" si="121"/>
        <v>174.75526981315039</v>
      </c>
      <c r="AK970" s="86">
        <f t="shared" si="127"/>
        <v>0</v>
      </c>
      <c r="AL970" s="310" t="e">
        <f>+VLOOKUP(B970,#REF!,2,FALSE)</f>
        <v>#REF!</v>
      </c>
      <c r="AM970" s="311" t="e">
        <f t="shared" si="124"/>
        <v>#REF!</v>
      </c>
      <c r="AN970" s="312" t="e">
        <f t="shared" si="129"/>
        <v>#REF!</v>
      </c>
    </row>
    <row r="971" spans="1:40" s="73" customFormat="1" x14ac:dyDescent="0.25">
      <c r="A971" s="313"/>
      <c r="B971" s="329" t="s">
        <v>1625</v>
      </c>
      <c r="D971" s="74">
        <f>IFERROR(VLOOKUP(B971,'REQ. PINTADO'!B:C,2,0),0)</f>
        <v>0</v>
      </c>
      <c r="E971" s="305">
        <f t="shared" si="114"/>
        <v>213.54022827724836</v>
      </c>
      <c r="F971" s="103" t="s">
        <v>166</v>
      </c>
      <c r="G971" s="75" t="s">
        <v>147</v>
      </c>
      <c r="H971" s="90">
        <v>17.489999999999998</v>
      </c>
      <c r="I971" s="90">
        <v>16.03</v>
      </c>
      <c r="J971" s="76">
        <v>0.105</v>
      </c>
      <c r="K971" s="306">
        <v>16.38</v>
      </c>
      <c r="L971" s="78">
        <f t="shared" si="115"/>
        <v>8.5346810690402855</v>
      </c>
      <c r="M971" s="58">
        <f>+VLOOKUP(F971,Material!$H$2:$M$17,6,FALSE)*H971*I971*(1+Material!$K$14)</f>
        <v>63.544579959490846</v>
      </c>
      <c r="N971" s="79" t="str">
        <f t="shared" si="132"/>
        <v>T5.0</v>
      </c>
      <c r="O971" s="80">
        <f>+VLOOKUP(N971,[3]Material!$A$3:$B$58,2,FALSE)</f>
        <v>5000</v>
      </c>
      <c r="P971" s="79" t="s">
        <v>42</v>
      </c>
      <c r="Q971" s="79" t="str">
        <f>+VLOOKUP(F971,[3]Material!$C$2:$E$12,2,FALSE)</f>
        <v>Cal 16</v>
      </c>
      <c r="R971" s="81">
        <f>+IF(P971="ACERO A36",VLOOKUP(Q971,'[3]Velocidades Std 1500 w'!$B$2:$F$15,5,FALSE),IF(P971="INOXIDABLE",VLOOKUP(Q971,'[3]Velocidades Std 1500 w'!$B$17:$F$28,5,FALSE),IF(P971="ALUMINIO",VLOOKUP(Q971,'[3]Velocidades Std 1500 w'!$B$30:$F$38,5,FALSE))))</f>
        <v>9.1575091575091579E-7</v>
      </c>
      <c r="S971" s="82">
        <f t="shared" si="116"/>
        <v>4.578754578754579E-3</v>
      </c>
      <c r="T971" s="83">
        <f t="shared" si="117"/>
        <v>6.8175553846153836</v>
      </c>
      <c r="U971" s="307">
        <f t="shared" si="130"/>
        <v>2067.9917999999998</v>
      </c>
      <c r="V971" s="80">
        <f t="shared" si="122"/>
        <v>9.4688269230769233</v>
      </c>
      <c r="W971" s="98">
        <v>7</v>
      </c>
      <c r="X971" s="84">
        <f>+IF(P971="ACERO A36",VLOOKUP(Q971,'[3]Tiempo Objeto'!$B$2:$C$12,2,FALSE),IF(P971="INOXIDABLE",VLOOKUP(Q971,'[3]Tiempo Objeto'!$B$14:$C$22,2,FALSE),IF(P971="ALUMINIO",VLOOKUP(Q971,'[3]Tiempo Objeto'!$B$24:$C$32,2,FALSE))))</f>
        <v>0.24666666666666667</v>
      </c>
      <c r="Y971" s="84">
        <f t="shared" si="118"/>
        <v>1.7266666666666668</v>
      </c>
      <c r="Z971" s="80">
        <f t="shared" si="119"/>
        <v>2.3981481481481484</v>
      </c>
      <c r="AA971" s="100">
        <v>3</v>
      </c>
      <c r="AB971" s="86">
        <f>+AA971*Analisis!$J$6</f>
        <v>75</v>
      </c>
      <c r="AC971" s="100"/>
      <c r="AD971" s="85">
        <f t="shared" si="120"/>
        <v>0</v>
      </c>
      <c r="AE971" s="86">
        <f>+AC971*Analisis!$J$7</f>
        <v>0</v>
      </c>
      <c r="AF971" s="308">
        <f>+H971*0.0254*I971*0.0254*2*(1+[3]Analisis!$G$2)</f>
        <v>0.45220022462999993</v>
      </c>
      <c r="AG971" s="86">
        <f>+AF971*Analisis!$J$8</f>
        <v>48.180857267125006</v>
      </c>
      <c r="AH971" s="309">
        <f t="shared" si="126"/>
        <v>198.59241229784095</v>
      </c>
      <c r="AI971" s="86">
        <f>+AH971/(1-Analisis!G976)</f>
        <v>198.59241229784095</v>
      </c>
      <c r="AJ971" s="86">
        <f t="shared" si="121"/>
        <v>213.54022827724836</v>
      </c>
      <c r="AK971" s="86">
        <f t="shared" si="127"/>
        <v>0</v>
      </c>
      <c r="AL971" s="310" t="e">
        <f>+VLOOKUP(B971,#REF!,2,FALSE)</f>
        <v>#REF!</v>
      </c>
      <c r="AM971" s="311" t="e">
        <f t="shared" si="124"/>
        <v>#REF!</v>
      </c>
      <c r="AN971" s="312" t="e">
        <f t="shared" si="129"/>
        <v>#REF!</v>
      </c>
    </row>
    <row r="972" spans="1:40" s="73" customFormat="1" x14ac:dyDescent="0.25">
      <c r="A972" s="313"/>
      <c r="B972" s="329" t="s">
        <v>1626</v>
      </c>
      <c r="D972" s="74">
        <f>IFERROR(VLOOKUP(B972,'REQ. PINTADO'!B:C,2,0),0)</f>
        <v>0</v>
      </c>
      <c r="E972" s="305">
        <f t="shared" si="114"/>
        <v>174.75526981315039</v>
      </c>
      <c r="F972" s="103" t="s">
        <v>166</v>
      </c>
      <c r="G972" s="75" t="s">
        <v>147</v>
      </c>
      <c r="H972" s="90">
        <v>17.489999999999998</v>
      </c>
      <c r="I972" s="90">
        <v>11.03</v>
      </c>
      <c r="J972" s="76">
        <v>0.105</v>
      </c>
      <c r="K972" s="306">
        <v>16.38</v>
      </c>
      <c r="L972" s="78">
        <f t="shared" si="115"/>
        <v>5.8725846657214182</v>
      </c>
      <c r="M972" s="58">
        <f>+VLOOKUP(F972,Material!$H$2:$M$17,6,FALSE)*H972*I972*(1+Material!$K$14)</f>
        <v>43.724062192962187</v>
      </c>
      <c r="N972" s="79" t="str">
        <f t="shared" si="132"/>
        <v>T5.0</v>
      </c>
      <c r="O972" s="80">
        <f>+VLOOKUP(N972,[3]Material!$A$3:$B$58,2,FALSE)</f>
        <v>5000</v>
      </c>
      <c r="P972" s="79" t="s">
        <v>42</v>
      </c>
      <c r="Q972" s="79" t="str">
        <f>+VLOOKUP(F972,[3]Material!$C$2:$E$12,2,FALSE)</f>
        <v>Cal 16</v>
      </c>
      <c r="R972" s="81">
        <f>+IF(P972="ACERO A36",VLOOKUP(Q972,'[3]Velocidades Std 1500 w'!$B$2:$F$15,5,FALSE),IF(P972="INOXIDABLE",VLOOKUP(Q972,'[3]Velocidades Std 1500 w'!$B$17:$F$28,5,FALSE),IF(P972="ALUMINIO",VLOOKUP(Q972,'[3]Velocidades Std 1500 w'!$B$30:$F$38,5,FALSE))))</f>
        <v>9.1575091575091579E-7</v>
      </c>
      <c r="S972" s="82">
        <f t="shared" si="116"/>
        <v>4.578754578754579E-3</v>
      </c>
      <c r="T972" s="83">
        <f t="shared" si="117"/>
        <v>5.938324615384615</v>
      </c>
      <c r="U972" s="307">
        <f t="shared" si="130"/>
        <v>1801.2917999999997</v>
      </c>
      <c r="V972" s="80">
        <f t="shared" si="122"/>
        <v>8.2476730769230766</v>
      </c>
      <c r="W972" s="98">
        <v>7</v>
      </c>
      <c r="X972" s="84">
        <f>+IF(P972="ACERO A36",VLOOKUP(Q972,'[3]Tiempo Objeto'!$B$2:$C$12,2,FALSE),IF(P972="INOXIDABLE",VLOOKUP(Q972,'[3]Tiempo Objeto'!$B$14:$C$22,2,FALSE),IF(P972="ALUMINIO",VLOOKUP(Q972,'[3]Tiempo Objeto'!$B$24:$C$32,2,FALSE))))</f>
        <v>0.24666666666666667</v>
      </c>
      <c r="Y972" s="84">
        <f t="shared" si="118"/>
        <v>1.7266666666666668</v>
      </c>
      <c r="Z972" s="80">
        <f t="shared" si="119"/>
        <v>2.3981481481481484</v>
      </c>
      <c r="AA972" s="100">
        <v>3</v>
      </c>
      <c r="AB972" s="86">
        <f>+AA972*Analisis!$J$6</f>
        <v>75</v>
      </c>
      <c r="AC972" s="100"/>
      <c r="AD972" s="85">
        <f t="shared" si="120"/>
        <v>0</v>
      </c>
      <c r="AE972" s="86">
        <f>+AC972*Analisis!$J$7</f>
        <v>0</v>
      </c>
      <c r="AF972" s="308">
        <f>+H972*0.0254*I972*0.0254*2*(1+[3]Analisis!$G$2)</f>
        <v>0.31115211962999995</v>
      </c>
      <c r="AG972" s="86">
        <f>+AF972*Analisis!$J$8</f>
        <v>33.152517508196432</v>
      </c>
      <c r="AH972" s="309">
        <f t="shared" si="126"/>
        <v>162.52240092622986</v>
      </c>
      <c r="AI972" s="86">
        <f>+AH972/(1-Analisis!G977)</f>
        <v>162.52240092622986</v>
      </c>
      <c r="AJ972" s="86">
        <f t="shared" si="121"/>
        <v>174.75526981315039</v>
      </c>
      <c r="AK972" s="86">
        <f t="shared" si="127"/>
        <v>0</v>
      </c>
      <c r="AL972" s="310" t="e">
        <f>+VLOOKUP(B972,#REF!,2,FALSE)</f>
        <v>#REF!</v>
      </c>
      <c r="AM972" s="311" t="e">
        <f t="shared" si="124"/>
        <v>#REF!</v>
      </c>
      <c r="AN972" s="312" t="e">
        <f t="shared" si="129"/>
        <v>#REF!</v>
      </c>
    </row>
    <row r="973" spans="1:40" s="73" customFormat="1" x14ac:dyDescent="0.25">
      <c r="A973" s="313"/>
      <c r="B973" s="329" t="s">
        <v>1627</v>
      </c>
      <c r="D973" s="74">
        <f>IFERROR(VLOOKUP(B973,'REQ. PINTADO'!B:C,2,0),0)</f>
        <v>0</v>
      </c>
      <c r="E973" s="305">
        <f t="shared" si="114"/>
        <v>213.54022827724836</v>
      </c>
      <c r="F973" s="103" t="s">
        <v>166</v>
      </c>
      <c r="G973" s="75" t="s">
        <v>147</v>
      </c>
      <c r="H973" s="90">
        <v>17.489999999999998</v>
      </c>
      <c r="I973" s="90">
        <v>16.03</v>
      </c>
      <c r="J973" s="76">
        <v>0.105</v>
      </c>
      <c r="K973" s="306">
        <v>16.38</v>
      </c>
      <c r="L973" s="78">
        <f t="shared" si="115"/>
        <v>8.5346810690402855</v>
      </c>
      <c r="M973" s="58">
        <f>+VLOOKUP(F973,Material!$H$2:$M$17,6,FALSE)*H973*I973*(1+Material!$K$14)</f>
        <v>63.544579959490846</v>
      </c>
      <c r="N973" s="79" t="str">
        <f t="shared" si="132"/>
        <v>T5.0</v>
      </c>
      <c r="O973" s="80">
        <f>+VLOOKUP(N973,[3]Material!$A$3:$B$58,2,FALSE)</f>
        <v>5000</v>
      </c>
      <c r="P973" s="79" t="s">
        <v>42</v>
      </c>
      <c r="Q973" s="79" t="str">
        <f>+VLOOKUP(F973,[3]Material!$C$2:$E$12,2,FALSE)</f>
        <v>Cal 16</v>
      </c>
      <c r="R973" s="81">
        <f>+IF(P973="ACERO A36",VLOOKUP(Q973,'[3]Velocidades Std 1500 w'!$B$2:$F$15,5,FALSE),IF(P973="INOXIDABLE",VLOOKUP(Q973,'[3]Velocidades Std 1500 w'!$B$17:$F$28,5,FALSE),IF(P973="ALUMINIO",VLOOKUP(Q973,'[3]Velocidades Std 1500 w'!$B$30:$F$38,5,FALSE))))</f>
        <v>9.1575091575091579E-7</v>
      </c>
      <c r="S973" s="82">
        <f t="shared" si="116"/>
        <v>4.578754578754579E-3</v>
      </c>
      <c r="T973" s="83">
        <f t="shared" si="117"/>
        <v>6.8175553846153836</v>
      </c>
      <c r="U973" s="307">
        <f t="shared" si="130"/>
        <v>2067.9917999999998</v>
      </c>
      <c r="V973" s="80">
        <f t="shared" si="122"/>
        <v>9.4688269230769233</v>
      </c>
      <c r="W973" s="98">
        <v>7</v>
      </c>
      <c r="X973" s="84">
        <f>+IF(P973="ACERO A36",VLOOKUP(Q973,'[3]Tiempo Objeto'!$B$2:$C$12,2,FALSE),IF(P973="INOXIDABLE",VLOOKUP(Q973,'[3]Tiempo Objeto'!$B$14:$C$22,2,FALSE),IF(P973="ALUMINIO",VLOOKUP(Q973,'[3]Tiempo Objeto'!$B$24:$C$32,2,FALSE))))</f>
        <v>0.24666666666666667</v>
      </c>
      <c r="Y973" s="84">
        <f t="shared" si="118"/>
        <v>1.7266666666666668</v>
      </c>
      <c r="Z973" s="80">
        <f t="shared" si="119"/>
        <v>2.3981481481481484</v>
      </c>
      <c r="AA973" s="100">
        <v>3</v>
      </c>
      <c r="AB973" s="86">
        <f>+AA973*Analisis!$J$6</f>
        <v>75</v>
      </c>
      <c r="AC973" s="100"/>
      <c r="AD973" s="85">
        <f t="shared" si="120"/>
        <v>0</v>
      </c>
      <c r="AE973" s="86">
        <f>+AC973*Analisis!$J$7</f>
        <v>0</v>
      </c>
      <c r="AF973" s="308">
        <f>+H973*0.0254*I973*0.0254*2*(1+[3]Analisis!$G$2)</f>
        <v>0.45220022462999993</v>
      </c>
      <c r="AG973" s="86">
        <f>+AF973*Analisis!$J$8</f>
        <v>48.180857267125006</v>
      </c>
      <c r="AH973" s="309">
        <f t="shared" si="126"/>
        <v>198.59241229784095</v>
      </c>
      <c r="AI973" s="86">
        <f>+AH973/(1-Analisis!G978)</f>
        <v>198.59241229784095</v>
      </c>
      <c r="AJ973" s="86">
        <f t="shared" si="121"/>
        <v>213.54022827724836</v>
      </c>
      <c r="AK973" s="86">
        <f t="shared" si="127"/>
        <v>0</v>
      </c>
      <c r="AL973" s="310" t="e">
        <f>+VLOOKUP(B973,#REF!,2,FALSE)</f>
        <v>#REF!</v>
      </c>
      <c r="AM973" s="311" t="e">
        <f t="shared" si="124"/>
        <v>#REF!</v>
      </c>
      <c r="AN973" s="312" t="e">
        <f t="shared" si="129"/>
        <v>#REF!</v>
      </c>
    </row>
    <row r="974" spans="1:40" s="73" customFormat="1" x14ac:dyDescent="0.25">
      <c r="A974" s="313"/>
      <c r="B974" s="329" t="s">
        <v>1628</v>
      </c>
      <c r="D974" s="74">
        <f>IFERROR(VLOOKUP(B974,'REQ. PINTADO'!B:C,2,0),0)</f>
        <v>0</v>
      </c>
      <c r="E974" s="305">
        <f t="shared" si="114"/>
        <v>174.75526981315039</v>
      </c>
      <c r="F974" s="103" t="s">
        <v>166</v>
      </c>
      <c r="G974" s="75" t="s">
        <v>147</v>
      </c>
      <c r="H974" s="90">
        <v>17.489999999999998</v>
      </c>
      <c r="I974" s="90">
        <v>11.03</v>
      </c>
      <c r="J974" s="76">
        <v>0.105</v>
      </c>
      <c r="K974" s="306">
        <v>16.38</v>
      </c>
      <c r="L974" s="78">
        <f t="shared" si="115"/>
        <v>5.8725846657214182</v>
      </c>
      <c r="M974" s="58">
        <f>+VLOOKUP(F974,Material!$H$2:$M$17,6,FALSE)*H974*I974*(1+Material!$K$14)</f>
        <v>43.724062192962187</v>
      </c>
      <c r="N974" s="79" t="str">
        <f t="shared" si="132"/>
        <v>T5.0</v>
      </c>
      <c r="O974" s="80">
        <f>+VLOOKUP(N974,[3]Material!$A$3:$B$58,2,FALSE)</f>
        <v>5000</v>
      </c>
      <c r="P974" s="79" t="s">
        <v>42</v>
      </c>
      <c r="Q974" s="79" t="str">
        <f>+VLOOKUP(F974,[3]Material!$C$2:$E$12,2,FALSE)</f>
        <v>Cal 16</v>
      </c>
      <c r="R974" s="81">
        <f>+IF(P974="ACERO A36",VLOOKUP(Q974,'[3]Velocidades Std 1500 w'!$B$2:$F$15,5,FALSE),IF(P974="INOXIDABLE",VLOOKUP(Q974,'[3]Velocidades Std 1500 w'!$B$17:$F$28,5,FALSE),IF(P974="ALUMINIO",VLOOKUP(Q974,'[3]Velocidades Std 1500 w'!$B$30:$F$38,5,FALSE))))</f>
        <v>9.1575091575091579E-7</v>
      </c>
      <c r="S974" s="82">
        <f t="shared" si="116"/>
        <v>4.578754578754579E-3</v>
      </c>
      <c r="T974" s="83">
        <f t="shared" si="117"/>
        <v>5.938324615384615</v>
      </c>
      <c r="U974" s="307">
        <f t="shared" si="130"/>
        <v>1801.2917999999997</v>
      </c>
      <c r="V974" s="80">
        <f t="shared" si="122"/>
        <v>8.2476730769230766</v>
      </c>
      <c r="W974" s="98">
        <v>7</v>
      </c>
      <c r="X974" s="84">
        <f>+IF(P974="ACERO A36",VLOOKUP(Q974,'[3]Tiempo Objeto'!$B$2:$C$12,2,FALSE),IF(P974="INOXIDABLE",VLOOKUP(Q974,'[3]Tiempo Objeto'!$B$14:$C$22,2,FALSE),IF(P974="ALUMINIO",VLOOKUP(Q974,'[3]Tiempo Objeto'!$B$24:$C$32,2,FALSE))))</f>
        <v>0.24666666666666667</v>
      </c>
      <c r="Y974" s="84">
        <f t="shared" si="118"/>
        <v>1.7266666666666668</v>
      </c>
      <c r="Z974" s="80">
        <f t="shared" si="119"/>
        <v>2.3981481481481484</v>
      </c>
      <c r="AA974" s="100">
        <v>3</v>
      </c>
      <c r="AB974" s="86">
        <f>+AA974*Analisis!$J$6</f>
        <v>75</v>
      </c>
      <c r="AC974" s="100"/>
      <c r="AD974" s="85">
        <f t="shared" si="120"/>
        <v>0</v>
      </c>
      <c r="AE974" s="86">
        <f>+AC974*Analisis!$J$7</f>
        <v>0</v>
      </c>
      <c r="AF974" s="308">
        <f>+H974*0.0254*I974*0.0254*2*(1+[3]Analisis!$G$2)</f>
        <v>0.31115211962999995</v>
      </c>
      <c r="AG974" s="86">
        <f>+AF974*Analisis!$J$8</f>
        <v>33.152517508196432</v>
      </c>
      <c r="AH974" s="309">
        <f t="shared" si="126"/>
        <v>162.52240092622986</v>
      </c>
      <c r="AI974" s="86">
        <f>+AH974/(1-Analisis!G979)</f>
        <v>162.52240092622986</v>
      </c>
      <c r="AJ974" s="86">
        <f t="shared" si="121"/>
        <v>174.75526981315039</v>
      </c>
      <c r="AK974" s="86">
        <f t="shared" si="127"/>
        <v>0</v>
      </c>
      <c r="AL974" s="310" t="e">
        <f>+VLOOKUP(B974,#REF!,2,FALSE)</f>
        <v>#REF!</v>
      </c>
      <c r="AM974" s="311" t="e">
        <f t="shared" si="124"/>
        <v>#REF!</v>
      </c>
      <c r="AN974" s="312" t="e">
        <f t="shared" si="129"/>
        <v>#REF!</v>
      </c>
    </row>
    <row r="975" spans="1:40" s="73" customFormat="1" x14ac:dyDescent="0.25">
      <c r="A975" s="313"/>
      <c r="B975" s="329" t="s">
        <v>1629</v>
      </c>
      <c r="D975" s="74">
        <f>IFERROR(VLOOKUP(B975,'REQ. PINTADO'!B:C,2,0),0)</f>
        <v>0</v>
      </c>
      <c r="E975" s="305">
        <f t="shared" si="114"/>
        <v>213.54022827724836</v>
      </c>
      <c r="F975" s="103" t="s">
        <v>166</v>
      </c>
      <c r="G975" s="75" t="s">
        <v>147</v>
      </c>
      <c r="H975" s="90">
        <v>17.489999999999998</v>
      </c>
      <c r="I975" s="90">
        <v>16.03</v>
      </c>
      <c r="J975" s="76">
        <v>0.105</v>
      </c>
      <c r="K975" s="306">
        <v>16.38</v>
      </c>
      <c r="L975" s="78">
        <f t="shared" si="115"/>
        <v>8.5346810690402855</v>
      </c>
      <c r="M975" s="58">
        <f>+VLOOKUP(F975,Material!$H$2:$M$17,6,FALSE)*H975*I975*(1+Material!$K$14)</f>
        <v>63.544579959490846</v>
      </c>
      <c r="N975" s="79" t="str">
        <f t="shared" si="132"/>
        <v>T5.0</v>
      </c>
      <c r="O975" s="80">
        <f>+VLOOKUP(N975,[3]Material!$A$3:$B$58,2,FALSE)</f>
        <v>5000</v>
      </c>
      <c r="P975" s="79" t="s">
        <v>42</v>
      </c>
      <c r="Q975" s="79" t="str">
        <f>+VLOOKUP(F975,[3]Material!$C$2:$E$12,2,FALSE)</f>
        <v>Cal 16</v>
      </c>
      <c r="R975" s="81">
        <f>+IF(P975="ACERO A36",VLOOKUP(Q975,'[3]Velocidades Std 1500 w'!$B$2:$F$15,5,FALSE),IF(P975="INOXIDABLE",VLOOKUP(Q975,'[3]Velocidades Std 1500 w'!$B$17:$F$28,5,FALSE),IF(P975="ALUMINIO",VLOOKUP(Q975,'[3]Velocidades Std 1500 w'!$B$30:$F$38,5,FALSE))))</f>
        <v>9.1575091575091579E-7</v>
      </c>
      <c r="S975" s="82">
        <f t="shared" si="116"/>
        <v>4.578754578754579E-3</v>
      </c>
      <c r="T975" s="83">
        <f t="shared" si="117"/>
        <v>6.8175553846153836</v>
      </c>
      <c r="U975" s="307">
        <f t="shared" si="130"/>
        <v>2067.9917999999998</v>
      </c>
      <c r="V975" s="80">
        <f t="shared" si="122"/>
        <v>9.4688269230769233</v>
      </c>
      <c r="W975" s="98">
        <v>7</v>
      </c>
      <c r="X975" s="84">
        <f>+IF(P975="ACERO A36",VLOOKUP(Q975,'[3]Tiempo Objeto'!$B$2:$C$12,2,FALSE),IF(P975="INOXIDABLE",VLOOKUP(Q975,'[3]Tiempo Objeto'!$B$14:$C$22,2,FALSE),IF(P975="ALUMINIO",VLOOKUP(Q975,'[3]Tiempo Objeto'!$B$24:$C$32,2,FALSE))))</f>
        <v>0.24666666666666667</v>
      </c>
      <c r="Y975" s="84">
        <f t="shared" si="118"/>
        <v>1.7266666666666668</v>
      </c>
      <c r="Z975" s="80">
        <f t="shared" si="119"/>
        <v>2.3981481481481484</v>
      </c>
      <c r="AA975" s="100">
        <v>3</v>
      </c>
      <c r="AB975" s="86">
        <f>+AA975*Analisis!$J$6</f>
        <v>75</v>
      </c>
      <c r="AC975" s="100"/>
      <c r="AD975" s="85">
        <f t="shared" si="120"/>
        <v>0</v>
      </c>
      <c r="AE975" s="86">
        <f>+AC975*Analisis!$J$7</f>
        <v>0</v>
      </c>
      <c r="AF975" s="308">
        <f>+H975*0.0254*I975*0.0254*2*(1+[3]Analisis!$G$2)</f>
        <v>0.45220022462999993</v>
      </c>
      <c r="AG975" s="86">
        <f>+AF975*Analisis!$J$8</f>
        <v>48.180857267125006</v>
      </c>
      <c r="AH975" s="309">
        <f t="shared" si="126"/>
        <v>198.59241229784095</v>
      </c>
      <c r="AI975" s="86">
        <f>+AH975/(1-Analisis!G980)</f>
        <v>198.59241229784095</v>
      </c>
      <c r="AJ975" s="86">
        <f t="shared" si="121"/>
        <v>213.54022827724836</v>
      </c>
      <c r="AK975" s="86">
        <f t="shared" si="127"/>
        <v>0</v>
      </c>
      <c r="AL975" s="310" t="e">
        <f>+VLOOKUP(B975,#REF!,2,FALSE)</f>
        <v>#REF!</v>
      </c>
      <c r="AM975" s="311" t="e">
        <f t="shared" si="124"/>
        <v>#REF!</v>
      </c>
      <c r="AN975" s="312" t="e">
        <f t="shared" si="129"/>
        <v>#REF!</v>
      </c>
    </row>
    <row r="976" spans="1:40" s="73" customFormat="1" x14ac:dyDescent="0.25">
      <c r="A976" s="313"/>
      <c r="B976" s="329" t="s">
        <v>1630</v>
      </c>
      <c r="D976" s="74">
        <f>IFERROR(VLOOKUP(B976,'REQ. PINTADO'!B:C,2,0),0)</f>
        <v>0</v>
      </c>
      <c r="E976" s="305">
        <f t="shared" si="114"/>
        <v>174.75526981315039</v>
      </c>
      <c r="F976" s="103" t="s">
        <v>166</v>
      </c>
      <c r="G976" s="75" t="s">
        <v>147</v>
      </c>
      <c r="H976" s="90">
        <v>17.489999999999998</v>
      </c>
      <c r="I976" s="90">
        <v>11.03</v>
      </c>
      <c r="J976" s="76">
        <v>0.105</v>
      </c>
      <c r="K976" s="306">
        <v>16.38</v>
      </c>
      <c r="L976" s="78">
        <f t="shared" si="115"/>
        <v>5.8725846657214182</v>
      </c>
      <c r="M976" s="58">
        <f>+VLOOKUP(F976,Material!$H$2:$M$17,6,FALSE)*H976*I976*(1+Material!$K$14)</f>
        <v>43.724062192962187</v>
      </c>
      <c r="N976" s="79" t="str">
        <f t="shared" si="132"/>
        <v>T5.0</v>
      </c>
      <c r="O976" s="80">
        <f>+VLOOKUP(N976,[3]Material!$A$3:$B$58,2,FALSE)</f>
        <v>5000</v>
      </c>
      <c r="P976" s="79" t="s">
        <v>42</v>
      </c>
      <c r="Q976" s="79" t="str">
        <f>+VLOOKUP(F976,[3]Material!$C$2:$E$12,2,FALSE)</f>
        <v>Cal 16</v>
      </c>
      <c r="R976" s="81">
        <f>+IF(P976="ACERO A36",VLOOKUP(Q976,'[3]Velocidades Std 1500 w'!$B$2:$F$15,5,FALSE),IF(P976="INOXIDABLE",VLOOKUP(Q976,'[3]Velocidades Std 1500 w'!$B$17:$F$28,5,FALSE),IF(P976="ALUMINIO",VLOOKUP(Q976,'[3]Velocidades Std 1500 w'!$B$30:$F$38,5,FALSE))))</f>
        <v>9.1575091575091579E-7</v>
      </c>
      <c r="S976" s="82">
        <f t="shared" si="116"/>
        <v>4.578754578754579E-3</v>
      </c>
      <c r="T976" s="83">
        <f t="shared" si="117"/>
        <v>5.938324615384615</v>
      </c>
      <c r="U976" s="307">
        <f t="shared" si="130"/>
        <v>1801.2917999999997</v>
      </c>
      <c r="V976" s="80">
        <f t="shared" si="122"/>
        <v>8.2476730769230766</v>
      </c>
      <c r="W976" s="98">
        <v>7</v>
      </c>
      <c r="X976" s="84">
        <f>+IF(P976="ACERO A36",VLOOKUP(Q976,'[3]Tiempo Objeto'!$B$2:$C$12,2,FALSE),IF(P976="INOXIDABLE",VLOOKUP(Q976,'[3]Tiempo Objeto'!$B$14:$C$22,2,FALSE),IF(P976="ALUMINIO",VLOOKUP(Q976,'[3]Tiempo Objeto'!$B$24:$C$32,2,FALSE))))</f>
        <v>0.24666666666666667</v>
      </c>
      <c r="Y976" s="84">
        <f t="shared" si="118"/>
        <v>1.7266666666666668</v>
      </c>
      <c r="Z976" s="80">
        <f t="shared" si="119"/>
        <v>2.3981481481481484</v>
      </c>
      <c r="AA976" s="100">
        <v>3</v>
      </c>
      <c r="AB976" s="86">
        <f>+AA976*Analisis!$J$6</f>
        <v>75</v>
      </c>
      <c r="AC976" s="100"/>
      <c r="AD976" s="85">
        <f t="shared" si="120"/>
        <v>0</v>
      </c>
      <c r="AE976" s="86">
        <f>+AC976*Analisis!$J$7</f>
        <v>0</v>
      </c>
      <c r="AF976" s="308">
        <f>+H976*0.0254*I976*0.0254*2*(1+[3]Analisis!$G$2)</f>
        <v>0.31115211962999995</v>
      </c>
      <c r="AG976" s="86">
        <f>+AF976*Analisis!$J$8</f>
        <v>33.152517508196432</v>
      </c>
      <c r="AH976" s="309">
        <f t="shared" si="126"/>
        <v>162.52240092622986</v>
      </c>
      <c r="AI976" s="86">
        <f>+AH976/(1-Analisis!G981)</f>
        <v>162.52240092622986</v>
      </c>
      <c r="AJ976" s="86">
        <f t="shared" si="121"/>
        <v>174.75526981315039</v>
      </c>
      <c r="AK976" s="86">
        <f t="shared" si="127"/>
        <v>0</v>
      </c>
      <c r="AL976" s="310" t="e">
        <f>+VLOOKUP(B976,#REF!,2,FALSE)</f>
        <v>#REF!</v>
      </c>
      <c r="AM976" s="311" t="e">
        <f t="shared" si="124"/>
        <v>#REF!</v>
      </c>
      <c r="AN976" s="312" t="e">
        <f t="shared" si="129"/>
        <v>#REF!</v>
      </c>
    </row>
    <row r="977" spans="1:40" s="73" customFormat="1" x14ac:dyDescent="0.25">
      <c r="A977" s="313"/>
      <c r="B977" s="329" t="s">
        <v>1631</v>
      </c>
      <c r="D977" s="74">
        <f>IFERROR(VLOOKUP(B977,'REQ. PINTADO'!B:C,2,0),0)</f>
        <v>0</v>
      </c>
      <c r="E977" s="305">
        <f t="shared" si="114"/>
        <v>213.54022827724836</v>
      </c>
      <c r="F977" s="103" t="s">
        <v>166</v>
      </c>
      <c r="G977" s="75" t="s">
        <v>147</v>
      </c>
      <c r="H977" s="90">
        <v>17.489999999999998</v>
      </c>
      <c r="I977" s="90">
        <v>16.03</v>
      </c>
      <c r="J977" s="76">
        <v>0.105</v>
      </c>
      <c r="K977" s="306">
        <v>16.38</v>
      </c>
      <c r="L977" s="78">
        <f t="shared" si="115"/>
        <v>8.5346810690402855</v>
      </c>
      <c r="M977" s="58">
        <f>+VLOOKUP(F977,Material!$H$2:$M$17,6,FALSE)*H977*I977*(1+Material!$K$14)</f>
        <v>63.544579959490846</v>
      </c>
      <c r="N977" s="79" t="str">
        <f t="shared" si="132"/>
        <v>T5.0</v>
      </c>
      <c r="O977" s="80">
        <f>+VLOOKUP(N977,[3]Material!$A$3:$B$58,2,FALSE)</f>
        <v>5000</v>
      </c>
      <c r="P977" s="79" t="s">
        <v>42</v>
      </c>
      <c r="Q977" s="79" t="str">
        <f>+VLOOKUP(F977,[3]Material!$C$2:$E$12,2,FALSE)</f>
        <v>Cal 16</v>
      </c>
      <c r="R977" s="81">
        <f>+IF(P977="ACERO A36",VLOOKUP(Q977,'[3]Velocidades Std 1500 w'!$B$2:$F$15,5,FALSE),IF(P977="INOXIDABLE",VLOOKUP(Q977,'[3]Velocidades Std 1500 w'!$B$17:$F$28,5,FALSE),IF(P977="ALUMINIO",VLOOKUP(Q977,'[3]Velocidades Std 1500 w'!$B$30:$F$38,5,FALSE))))</f>
        <v>9.1575091575091579E-7</v>
      </c>
      <c r="S977" s="82">
        <f t="shared" si="116"/>
        <v>4.578754578754579E-3</v>
      </c>
      <c r="T977" s="83">
        <f t="shared" si="117"/>
        <v>6.8175553846153836</v>
      </c>
      <c r="U977" s="307">
        <f t="shared" si="130"/>
        <v>2067.9917999999998</v>
      </c>
      <c r="V977" s="80">
        <f t="shared" si="122"/>
        <v>9.4688269230769233</v>
      </c>
      <c r="W977" s="98">
        <v>7</v>
      </c>
      <c r="X977" s="84">
        <f>+IF(P977="ACERO A36",VLOOKUP(Q977,'[3]Tiempo Objeto'!$B$2:$C$12,2,FALSE),IF(P977="INOXIDABLE",VLOOKUP(Q977,'[3]Tiempo Objeto'!$B$14:$C$22,2,FALSE),IF(P977="ALUMINIO",VLOOKUP(Q977,'[3]Tiempo Objeto'!$B$24:$C$32,2,FALSE))))</f>
        <v>0.24666666666666667</v>
      </c>
      <c r="Y977" s="84">
        <f t="shared" si="118"/>
        <v>1.7266666666666668</v>
      </c>
      <c r="Z977" s="80">
        <f t="shared" si="119"/>
        <v>2.3981481481481484</v>
      </c>
      <c r="AA977" s="100">
        <v>3</v>
      </c>
      <c r="AB977" s="86">
        <f>+AA977*Analisis!$J$6</f>
        <v>75</v>
      </c>
      <c r="AC977" s="100"/>
      <c r="AD977" s="85">
        <f t="shared" si="120"/>
        <v>0</v>
      </c>
      <c r="AE977" s="86">
        <f>+AC977*Analisis!$J$7</f>
        <v>0</v>
      </c>
      <c r="AF977" s="308">
        <f>+H977*0.0254*I977*0.0254*2*(1+[3]Analisis!$G$2)</f>
        <v>0.45220022462999993</v>
      </c>
      <c r="AG977" s="86">
        <f>+AF977*Analisis!$J$8</f>
        <v>48.180857267125006</v>
      </c>
      <c r="AH977" s="309">
        <f t="shared" si="126"/>
        <v>198.59241229784095</v>
      </c>
      <c r="AI977" s="86">
        <f>+AH977/(1-Analisis!G982)</f>
        <v>198.59241229784095</v>
      </c>
      <c r="AJ977" s="86">
        <f t="shared" si="121"/>
        <v>213.54022827724836</v>
      </c>
      <c r="AK977" s="86">
        <f t="shared" si="127"/>
        <v>0</v>
      </c>
      <c r="AL977" s="310" t="e">
        <f>+VLOOKUP(B977,#REF!,2,FALSE)</f>
        <v>#REF!</v>
      </c>
      <c r="AM977" s="311" t="e">
        <f t="shared" si="124"/>
        <v>#REF!</v>
      </c>
      <c r="AN977" s="312" t="e">
        <f t="shared" si="129"/>
        <v>#REF!</v>
      </c>
    </row>
    <row r="978" spans="1:40" s="73" customFormat="1" x14ac:dyDescent="0.25">
      <c r="A978" s="313"/>
      <c r="B978" s="329" t="s">
        <v>1632</v>
      </c>
      <c r="D978" s="74">
        <f>IFERROR(VLOOKUP(B978,'REQ. PINTADO'!B:C,2,0),0)</f>
        <v>0</v>
      </c>
      <c r="E978" s="305">
        <f t="shared" si="114"/>
        <v>174.75526981315039</v>
      </c>
      <c r="F978" s="103" t="s">
        <v>166</v>
      </c>
      <c r="G978" s="75" t="s">
        <v>147</v>
      </c>
      <c r="H978" s="90">
        <v>17.489999999999998</v>
      </c>
      <c r="I978" s="90">
        <v>11.03</v>
      </c>
      <c r="J978" s="76">
        <v>0.105</v>
      </c>
      <c r="K978" s="306">
        <v>16.38</v>
      </c>
      <c r="L978" s="78">
        <f t="shared" si="115"/>
        <v>5.8725846657214182</v>
      </c>
      <c r="M978" s="58">
        <f>+VLOOKUP(F978,Material!$H$2:$M$17,6,FALSE)*H978*I978*(1+Material!$K$14)</f>
        <v>43.724062192962187</v>
      </c>
      <c r="N978" s="79" t="str">
        <f t="shared" si="132"/>
        <v>T5.0</v>
      </c>
      <c r="O978" s="80">
        <f>+VLOOKUP(N978,[3]Material!$A$3:$B$58,2,FALSE)</f>
        <v>5000</v>
      </c>
      <c r="P978" s="79" t="s">
        <v>42</v>
      </c>
      <c r="Q978" s="79" t="str">
        <f>+VLOOKUP(F978,[3]Material!$C$2:$E$12,2,FALSE)</f>
        <v>Cal 16</v>
      </c>
      <c r="R978" s="81">
        <f>+IF(P978="ACERO A36",VLOOKUP(Q978,'[3]Velocidades Std 1500 w'!$B$2:$F$15,5,FALSE),IF(P978="INOXIDABLE",VLOOKUP(Q978,'[3]Velocidades Std 1500 w'!$B$17:$F$28,5,FALSE),IF(P978="ALUMINIO",VLOOKUP(Q978,'[3]Velocidades Std 1500 w'!$B$30:$F$38,5,FALSE))))</f>
        <v>9.1575091575091579E-7</v>
      </c>
      <c r="S978" s="82">
        <f t="shared" si="116"/>
        <v>4.578754578754579E-3</v>
      </c>
      <c r="T978" s="83">
        <f t="shared" si="117"/>
        <v>5.938324615384615</v>
      </c>
      <c r="U978" s="307">
        <f t="shared" si="130"/>
        <v>1801.2917999999997</v>
      </c>
      <c r="V978" s="80">
        <f t="shared" si="122"/>
        <v>8.2476730769230766</v>
      </c>
      <c r="W978" s="98">
        <v>7</v>
      </c>
      <c r="X978" s="84">
        <f>+IF(P978="ACERO A36",VLOOKUP(Q978,'[3]Tiempo Objeto'!$B$2:$C$12,2,FALSE),IF(P978="INOXIDABLE",VLOOKUP(Q978,'[3]Tiempo Objeto'!$B$14:$C$22,2,FALSE),IF(P978="ALUMINIO",VLOOKUP(Q978,'[3]Tiempo Objeto'!$B$24:$C$32,2,FALSE))))</f>
        <v>0.24666666666666667</v>
      </c>
      <c r="Y978" s="84">
        <f t="shared" si="118"/>
        <v>1.7266666666666668</v>
      </c>
      <c r="Z978" s="80">
        <f t="shared" si="119"/>
        <v>2.3981481481481484</v>
      </c>
      <c r="AA978" s="100">
        <v>3</v>
      </c>
      <c r="AB978" s="86">
        <f>+AA978*Analisis!$J$6</f>
        <v>75</v>
      </c>
      <c r="AC978" s="100"/>
      <c r="AD978" s="85">
        <f t="shared" si="120"/>
        <v>0</v>
      </c>
      <c r="AE978" s="86">
        <f>+AC978*Analisis!$J$7</f>
        <v>0</v>
      </c>
      <c r="AF978" s="308">
        <f>+H978*0.0254*I978*0.0254*2*(1+[3]Analisis!$G$2)</f>
        <v>0.31115211962999995</v>
      </c>
      <c r="AG978" s="86">
        <f>+AF978*Analisis!$J$8</f>
        <v>33.152517508196432</v>
      </c>
      <c r="AH978" s="309">
        <f t="shared" si="126"/>
        <v>162.52240092622986</v>
      </c>
      <c r="AI978" s="86">
        <f>+AH978/(1-Analisis!G983)</f>
        <v>162.52240092622986</v>
      </c>
      <c r="AJ978" s="86">
        <f t="shared" si="121"/>
        <v>174.75526981315039</v>
      </c>
      <c r="AK978" s="86">
        <f t="shared" si="127"/>
        <v>0</v>
      </c>
      <c r="AL978" s="310" t="e">
        <f>+VLOOKUP(B978,#REF!,2,FALSE)</f>
        <v>#REF!</v>
      </c>
      <c r="AM978" s="311" t="e">
        <f t="shared" si="124"/>
        <v>#REF!</v>
      </c>
      <c r="AN978" s="312" t="e">
        <f t="shared" si="129"/>
        <v>#REF!</v>
      </c>
    </row>
    <row r="979" spans="1:40" s="73" customFormat="1" x14ac:dyDescent="0.25">
      <c r="A979" s="313"/>
      <c r="B979" s="329" t="s">
        <v>1633</v>
      </c>
      <c r="D979" s="74">
        <f>IFERROR(VLOOKUP(B979,'REQ. PINTADO'!B:C,2,0),0)</f>
        <v>0</v>
      </c>
      <c r="E979" s="305">
        <f t="shared" si="114"/>
        <v>213.54022827724836</v>
      </c>
      <c r="F979" s="103" t="s">
        <v>166</v>
      </c>
      <c r="G979" s="75" t="s">
        <v>147</v>
      </c>
      <c r="H979" s="90">
        <v>17.489999999999998</v>
      </c>
      <c r="I979" s="90">
        <v>16.03</v>
      </c>
      <c r="J979" s="76">
        <v>0.105</v>
      </c>
      <c r="K979" s="306">
        <v>16.38</v>
      </c>
      <c r="L979" s="78">
        <f t="shared" si="115"/>
        <v>8.5346810690402855</v>
      </c>
      <c r="M979" s="58">
        <f>+VLOOKUP(F979,Material!$H$2:$M$17,6,FALSE)*H979*I979*(1+Material!$K$14)</f>
        <v>63.544579959490846</v>
      </c>
      <c r="N979" s="79" t="str">
        <f t="shared" si="132"/>
        <v>T5.0</v>
      </c>
      <c r="O979" s="80">
        <f>+VLOOKUP(N979,[3]Material!$A$3:$B$58,2,FALSE)</f>
        <v>5000</v>
      </c>
      <c r="P979" s="79" t="s">
        <v>42</v>
      </c>
      <c r="Q979" s="79" t="str">
        <f>+VLOOKUP(F979,[3]Material!$C$2:$E$12,2,FALSE)</f>
        <v>Cal 16</v>
      </c>
      <c r="R979" s="81">
        <f>+IF(P979="ACERO A36",VLOOKUP(Q979,'[3]Velocidades Std 1500 w'!$B$2:$F$15,5,FALSE),IF(P979="INOXIDABLE",VLOOKUP(Q979,'[3]Velocidades Std 1500 w'!$B$17:$F$28,5,FALSE),IF(P979="ALUMINIO",VLOOKUP(Q979,'[3]Velocidades Std 1500 w'!$B$30:$F$38,5,FALSE))))</f>
        <v>9.1575091575091579E-7</v>
      </c>
      <c r="S979" s="82">
        <f t="shared" si="116"/>
        <v>4.578754578754579E-3</v>
      </c>
      <c r="T979" s="83">
        <f t="shared" si="117"/>
        <v>6.8175553846153836</v>
      </c>
      <c r="U979" s="307">
        <f t="shared" si="130"/>
        <v>2067.9917999999998</v>
      </c>
      <c r="V979" s="80">
        <f t="shared" si="122"/>
        <v>9.4688269230769233</v>
      </c>
      <c r="W979" s="98">
        <v>7</v>
      </c>
      <c r="X979" s="84">
        <f>+IF(P979="ACERO A36",VLOOKUP(Q979,'[3]Tiempo Objeto'!$B$2:$C$12,2,FALSE),IF(P979="INOXIDABLE",VLOOKUP(Q979,'[3]Tiempo Objeto'!$B$14:$C$22,2,FALSE),IF(P979="ALUMINIO",VLOOKUP(Q979,'[3]Tiempo Objeto'!$B$24:$C$32,2,FALSE))))</f>
        <v>0.24666666666666667</v>
      </c>
      <c r="Y979" s="84">
        <f t="shared" si="118"/>
        <v>1.7266666666666668</v>
      </c>
      <c r="Z979" s="80">
        <f t="shared" si="119"/>
        <v>2.3981481481481484</v>
      </c>
      <c r="AA979" s="100">
        <v>3</v>
      </c>
      <c r="AB979" s="86">
        <f>+AA979*Analisis!$J$6</f>
        <v>75</v>
      </c>
      <c r="AC979" s="100"/>
      <c r="AD979" s="85">
        <f t="shared" si="120"/>
        <v>0</v>
      </c>
      <c r="AE979" s="86">
        <f>+AC979*Analisis!$J$7</f>
        <v>0</v>
      </c>
      <c r="AF979" s="308">
        <f>+H979*0.0254*I979*0.0254*2*(1+[3]Analisis!$G$2)</f>
        <v>0.45220022462999993</v>
      </c>
      <c r="AG979" s="86">
        <f>+AF979*Analisis!$J$8</f>
        <v>48.180857267125006</v>
      </c>
      <c r="AH979" s="309">
        <f t="shared" si="126"/>
        <v>198.59241229784095</v>
      </c>
      <c r="AI979" s="86">
        <f>+AH979/(1-Analisis!G984)</f>
        <v>198.59241229784095</v>
      </c>
      <c r="AJ979" s="86">
        <f t="shared" si="121"/>
        <v>213.54022827724836</v>
      </c>
      <c r="AK979" s="86">
        <f t="shared" si="127"/>
        <v>0</v>
      </c>
      <c r="AL979" s="310" t="e">
        <f>+VLOOKUP(B979,#REF!,2,FALSE)</f>
        <v>#REF!</v>
      </c>
      <c r="AM979" s="311" t="e">
        <f t="shared" si="124"/>
        <v>#REF!</v>
      </c>
      <c r="AN979" s="312" t="e">
        <f t="shared" si="129"/>
        <v>#REF!</v>
      </c>
    </row>
    <row r="980" spans="1:40" s="73" customFormat="1" x14ac:dyDescent="0.25">
      <c r="A980" s="313"/>
      <c r="B980" s="329" t="s">
        <v>1634</v>
      </c>
      <c r="D980" s="74">
        <f>IFERROR(VLOOKUP(B980,'REQ. PINTADO'!B:C,2,0),0)</f>
        <v>0</v>
      </c>
      <c r="E980" s="305">
        <f t="shared" si="114"/>
        <v>174.75526981315039</v>
      </c>
      <c r="F980" s="103" t="s">
        <v>166</v>
      </c>
      <c r="G980" s="75" t="s">
        <v>147</v>
      </c>
      <c r="H980" s="90">
        <v>17.489999999999998</v>
      </c>
      <c r="I980" s="90">
        <v>11.03</v>
      </c>
      <c r="J980" s="76">
        <v>0.105</v>
      </c>
      <c r="K980" s="306">
        <v>16.38</v>
      </c>
      <c r="L980" s="78">
        <f t="shared" si="115"/>
        <v>5.8725846657214182</v>
      </c>
      <c r="M980" s="58">
        <f>+VLOOKUP(F980,Material!$H$2:$M$17,6,FALSE)*H980*I980*(1+Material!$K$14)</f>
        <v>43.724062192962187</v>
      </c>
      <c r="N980" s="79" t="str">
        <f t="shared" si="132"/>
        <v>T5.0</v>
      </c>
      <c r="O980" s="80">
        <f>+VLOOKUP(N980,[3]Material!$A$3:$B$58,2,FALSE)</f>
        <v>5000</v>
      </c>
      <c r="P980" s="79" t="s">
        <v>42</v>
      </c>
      <c r="Q980" s="79" t="str">
        <f>+VLOOKUP(F980,[3]Material!$C$2:$E$12,2,FALSE)</f>
        <v>Cal 16</v>
      </c>
      <c r="R980" s="81">
        <f>+IF(P980="ACERO A36",VLOOKUP(Q980,'[3]Velocidades Std 1500 w'!$B$2:$F$15,5,FALSE),IF(P980="INOXIDABLE",VLOOKUP(Q980,'[3]Velocidades Std 1500 w'!$B$17:$F$28,5,FALSE),IF(P980="ALUMINIO",VLOOKUP(Q980,'[3]Velocidades Std 1500 w'!$B$30:$F$38,5,FALSE))))</f>
        <v>9.1575091575091579E-7</v>
      </c>
      <c r="S980" s="82">
        <f t="shared" si="116"/>
        <v>4.578754578754579E-3</v>
      </c>
      <c r="T980" s="83">
        <f t="shared" si="117"/>
        <v>5.938324615384615</v>
      </c>
      <c r="U980" s="307">
        <f t="shared" si="130"/>
        <v>1801.2917999999997</v>
      </c>
      <c r="V980" s="80">
        <f t="shared" si="122"/>
        <v>8.2476730769230766</v>
      </c>
      <c r="W980" s="98">
        <v>7</v>
      </c>
      <c r="X980" s="84">
        <f>+IF(P980="ACERO A36",VLOOKUP(Q980,'[3]Tiempo Objeto'!$B$2:$C$12,2,FALSE),IF(P980="INOXIDABLE",VLOOKUP(Q980,'[3]Tiempo Objeto'!$B$14:$C$22,2,FALSE),IF(P980="ALUMINIO",VLOOKUP(Q980,'[3]Tiempo Objeto'!$B$24:$C$32,2,FALSE))))</f>
        <v>0.24666666666666667</v>
      </c>
      <c r="Y980" s="84">
        <f t="shared" si="118"/>
        <v>1.7266666666666668</v>
      </c>
      <c r="Z980" s="80">
        <f t="shared" si="119"/>
        <v>2.3981481481481484</v>
      </c>
      <c r="AA980" s="100">
        <v>3</v>
      </c>
      <c r="AB980" s="86">
        <f>+AA980*Analisis!$J$6</f>
        <v>75</v>
      </c>
      <c r="AC980" s="100"/>
      <c r="AD980" s="85">
        <f t="shared" si="120"/>
        <v>0</v>
      </c>
      <c r="AE980" s="86">
        <f>+AC980*Analisis!$J$7</f>
        <v>0</v>
      </c>
      <c r="AF980" s="308">
        <f>+H980*0.0254*I980*0.0254*2*(1+[3]Analisis!$G$2)</f>
        <v>0.31115211962999995</v>
      </c>
      <c r="AG980" s="86">
        <f>+AF980*Analisis!$J$8</f>
        <v>33.152517508196432</v>
      </c>
      <c r="AH980" s="309">
        <f t="shared" si="126"/>
        <v>162.52240092622986</v>
      </c>
      <c r="AI980" s="86">
        <f>+AH980/(1-Analisis!G985)</f>
        <v>162.52240092622986</v>
      </c>
      <c r="AJ980" s="86">
        <f t="shared" si="121"/>
        <v>174.75526981315039</v>
      </c>
      <c r="AK980" s="86">
        <f t="shared" si="127"/>
        <v>0</v>
      </c>
      <c r="AL980" s="310" t="e">
        <f>+VLOOKUP(B980,#REF!,2,FALSE)</f>
        <v>#REF!</v>
      </c>
      <c r="AM980" s="311" t="e">
        <f t="shared" si="124"/>
        <v>#REF!</v>
      </c>
      <c r="AN980" s="312" t="e">
        <f t="shared" si="129"/>
        <v>#REF!</v>
      </c>
    </row>
    <row r="981" spans="1:40" s="73" customFormat="1" x14ac:dyDescent="0.25">
      <c r="A981" s="313"/>
      <c r="B981" s="329" t="s">
        <v>1635</v>
      </c>
      <c r="D981" s="74">
        <f>IFERROR(VLOOKUP(B981,'REQ. PINTADO'!B:C,2,0),0)</f>
        <v>0</v>
      </c>
      <c r="E981" s="305">
        <f t="shared" si="114"/>
        <v>213.54022827724836</v>
      </c>
      <c r="F981" s="103" t="s">
        <v>166</v>
      </c>
      <c r="G981" s="75" t="s">
        <v>147</v>
      </c>
      <c r="H981" s="90">
        <v>17.489999999999998</v>
      </c>
      <c r="I981" s="90">
        <v>16.03</v>
      </c>
      <c r="J981" s="76">
        <v>0.105</v>
      </c>
      <c r="K981" s="306">
        <v>16.38</v>
      </c>
      <c r="L981" s="78">
        <f t="shared" si="115"/>
        <v>8.5346810690402855</v>
      </c>
      <c r="M981" s="58">
        <f>+VLOOKUP(F981,Material!$H$2:$M$17,6,FALSE)*H981*I981*(1+Material!$K$14)</f>
        <v>63.544579959490846</v>
      </c>
      <c r="N981" s="79" t="str">
        <f t="shared" si="132"/>
        <v>T5.0</v>
      </c>
      <c r="O981" s="80">
        <f>+VLOOKUP(N981,[3]Material!$A$3:$B$58,2,FALSE)</f>
        <v>5000</v>
      </c>
      <c r="P981" s="79" t="s">
        <v>42</v>
      </c>
      <c r="Q981" s="79" t="str">
        <f>+VLOOKUP(F981,[3]Material!$C$2:$E$12,2,FALSE)</f>
        <v>Cal 16</v>
      </c>
      <c r="R981" s="81">
        <f>+IF(P981="ACERO A36",VLOOKUP(Q981,'[3]Velocidades Std 1500 w'!$B$2:$F$15,5,FALSE),IF(P981="INOXIDABLE",VLOOKUP(Q981,'[3]Velocidades Std 1500 w'!$B$17:$F$28,5,FALSE),IF(P981="ALUMINIO",VLOOKUP(Q981,'[3]Velocidades Std 1500 w'!$B$30:$F$38,5,FALSE))))</f>
        <v>9.1575091575091579E-7</v>
      </c>
      <c r="S981" s="82">
        <f t="shared" si="116"/>
        <v>4.578754578754579E-3</v>
      </c>
      <c r="T981" s="83">
        <f t="shared" si="117"/>
        <v>6.8175553846153836</v>
      </c>
      <c r="U981" s="307">
        <f t="shared" si="130"/>
        <v>2067.9917999999998</v>
      </c>
      <c r="V981" s="80">
        <f t="shared" si="122"/>
        <v>9.4688269230769233</v>
      </c>
      <c r="W981" s="98">
        <v>7</v>
      </c>
      <c r="X981" s="84">
        <f>+IF(P981="ACERO A36",VLOOKUP(Q981,'[3]Tiempo Objeto'!$B$2:$C$12,2,FALSE),IF(P981="INOXIDABLE",VLOOKUP(Q981,'[3]Tiempo Objeto'!$B$14:$C$22,2,FALSE),IF(P981="ALUMINIO",VLOOKUP(Q981,'[3]Tiempo Objeto'!$B$24:$C$32,2,FALSE))))</f>
        <v>0.24666666666666667</v>
      </c>
      <c r="Y981" s="84">
        <f t="shared" si="118"/>
        <v>1.7266666666666668</v>
      </c>
      <c r="Z981" s="80">
        <f t="shared" si="119"/>
        <v>2.3981481481481484</v>
      </c>
      <c r="AA981" s="100">
        <v>3</v>
      </c>
      <c r="AB981" s="86">
        <f>+AA981*Analisis!$J$6</f>
        <v>75</v>
      </c>
      <c r="AC981" s="100"/>
      <c r="AD981" s="85">
        <f t="shared" si="120"/>
        <v>0</v>
      </c>
      <c r="AE981" s="86">
        <f>+AC981*Analisis!$J$7</f>
        <v>0</v>
      </c>
      <c r="AF981" s="308">
        <f>+H981*0.0254*I981*0.0254*2*(1+[3]Analisis!$G$2)</f>
        <v>0.45220022462999993</v>
      </c>
      <c r="AG981" s="86">
        <f>+AF981*Analisis!$J$8</f>
        <v>48.180857267125006</v>
      </c>
      <c r="AH981" s="309">
        <f t="shared" si="126"/>
        <v>198.59241229784095</v>
      </c>
      <c r="AI981" s="86">
        <f>+AH981/(1-Analisis!G986)</f>
        <v>198.59241229784095</v>
      </c>
      <c r="AJ981" s="86">
        <f t="shared" si="121"/>
        <v>213.54022827724836</v>
      </c>
      <c r="AK981" s="86">
        <f t="shared" si="127"/>
        <v>0</v>
      </c>
      <c r="AL981" s="310" t="e">
        <f>+VLOOKUP(B981,#REF!,2,FALSE)</f>
        <v>#REF!</v>
      </c>
      <c r="AM981" s="311" t="e">
        <f t="shared" si="124"/>
        <v>#REF!</v>
      </c>
      <c r="AN981" s="312" t="e">
        <f t="shared" si="129"/>
        <v>#REF!</v>
      </c>
    </row>
    <row r="982" spans="1:40" s="73" customFormat="1" x14ac:dyDescent="0.25">
      <c r="A982" s="313"/>
      <c r="B982" s="329" t="s">
        <v>1636</v>
      </c>
      <c r="D982" s="74">
        <f>IFERROR(VLOOKUP(B982,'REQ. PINTADO'!B:C,2,0),0)</f>
        <v>0</v>
      </c>
      <c r="E982" s="305">
        <f t="shared" si="114"/>
        <v>174.75526981315039</v>
      </c>
      <c r="F982" s="103" t="s">
        <v>166</v>
      </c>
      <c r="G982" s="75" t="s">
        <v>147</v>
      </c>
      <c r="H982" s="90">
        <v>17.489999999999998</v>
      </c>
      <c r="I982" s="90">
        <v>11.03</v>
      </c>
      <c r="J982" s="76">
        <v>0.105</v>
      </c>
      <c r="K982" s="306">
        <v>16.38</v>
      </c>
      <c r="L982" s="78">
        <f t="shared" si="115"/>
        <v>5.8725846657214182</v>
      </c>
      <c r="M982" s="58">
        <f>+VLOOKUP(F982,Material!$H$2:$M$17,6,FALSE)*H982*I982*(1+Material!$K$14)</f>
        <v>43.724062192962187</v>
      </c>
      <c r="N982" s="79" t="str">
        <f t="shared" si="132"/>
        <v>T5.0</v>
      </c>
      <c r="O982" s="80">
        <f>+VLOOKUP(N982,[3]Material!$A$3:$B$58,2,FALSE)</f>
        <v>5000</v>
      </c>
      <c r="P982" s="79" t="s">
        <v>42</v>
      </c>
      <c r="Q982" s="79" t="str">
        <f>+VLOOKUP(F982,[3]Material!$C$2:$E$12,2,FALSE)</f>
        <v>Cal 16</v>
      </c>
      <c r="R982" s="81">
        <f>+IF(P982="ACERO A36",VLOOKUP(Q982,'[3]Velocidades Std 1500 w'!$B$2:$F$15,5,FALSE),IF(P982="INOXIDABLE",VLOOKUP(Q982,'[3]Velocidades Std 1500 w'!$B$17:$F$28,5,FALSE),IF(P982="ALUMINIO",VLOOKUP(Q982,'[3]Velocidades Std 1500 w'!$B$30:$F$38,5,FALSE))))</f>
        <v>9.1575091575091579E-7</v>
      </c>
      <c r="S982" s="82">
        <f t="shared" si="116"/>
        <v>4.578754578754579E-3</v>
      </c>
      <c r="T982" s="83">
        <f t="shared" si="117"/>
        <v>5.938324615384615</v>
      </c>
      <c r="U982" s="307">
        <f t="shared" si="130"/>
        <v>1801.2917999999997</v>
      </c>
      <c r="V982" s="80">
        <f t="shared" si="122"/>
        <v>8.2476730769230766</v>
      </c>
      <c r="W982" s="98">
        <v>7</v>
      </c>
      <c r="X982" s="84">
        <f>+IF(P982="ACERO A36",VLOOKUP(Q982,'[3]Tiempo Objeto'!$B$2:$C$12,2,FALSE),IF(P982="INOXIDABLE",VLOOKUP(Q982,'[3]Tiempo Objeto'!$B$14:$C$22,2,FALSE),IF(P982="ALUMINIO",VLOOKUP(Q982,'[3]Tiempo Objeto'!$B$24:$C$32,2,FALSE))))</f>
        <v>0.24666666666666667</v>
      </c>
      <c r="Y982" s="84">
        <f t="shared" si="118"/>
        <v>1.7266666666666668</v>
      </c>
      <c r="Z982" s="80">
        <f t="shared" si="119"/>
        <v>2.3981481481481484</v>
      </c>
      <c r="AA982" s="100">
        <v>3</v>
      </c>
      <c r="AB982" s="86">
        <f>+AA982*Analisis!$J$6</f>
        <v>75</v>
      </c>
      <c r="AC982" s="100"/>
      <c r="AD982" s="85">
        <f t="shared" si="120"/>
        <v>0</v>
      </c>
      <c r="AE982" s="86">
        <f>+AC982*Analisis!$J$7</f>
        <v>0</v>
      </c>
      <c r="AF982" s="308">
        <f>+H982*0.0254*I982*0.0254*2*(1+[3]Analisis!$G$2)</f>
        <v>0.31115211962999995</v>
      </c>
      <c r="AG982" s="86">
        <f>+AF982*Analisis!$J$8</f>
        <v>33.152517508196432</v>
      </c>
      <c r="AH982" s="309">
        <f t="shared" si="126"/>
        <v>162.52240092622986</v>
      </c>
      <c r="AI982" s="86">
        <f>+AH982/(1-Analisis!G987)</f>
        <v>162.52240092622986</v>
      </c>
      <c r="AJ982" s="86">
        <f t="shared" si="121"/>
        <v>174.75526981315039</v>
      </c>
      <c r="AK982" s="86">
        <f t="shared" si="127"/>
        <v>0</v>
      </c>
      <c r="AL982" s="310" t="e">
        <f>+VLOOKUP(B982,#REF!,2,FALSE)</f>
        <v>#REF!</v>
      </c>
      <c r="AM982" s="311" t="e">
        <f t="shared" si="124"/>
        <v>#REF!</v>
      </c>
      <c r="AN982" s="312" t="e">
        <f t="shared" si="129"/>
        <v>#REF!</v>
      </c>
    </row>
    <row r="983" spans="1:40" s="73" customFormat="1" x14ac:dyDescent="0.25">
      <c r="A983" s="313"/>
      <c r="B983" s="329" t="s">
        <v>1637</v>
      </c>
      <c r="D983" s="74">
        <f>IFERROR(VLOOKUP(B983,'REQ. PINTADO'!B:C,2,0),0)</f>
        <v>0</v>
      </c>
      <c r="E983" s="305">
        <f t="shared" si="114"/>
        <v>213.54022827724836</v>
      </c>
      <c r="F983" s="103" t="s">
        <v>166</v>
      </c>
      <c r="G983" s="75" t="s">
        <v>147</v>
      </c>
      <c r="H983" s="90">
        <v>17.489999999999998</v>
      </c>
      <c r="I983" s="90">
        <v>16.03</v>
      </c>
      <c r="J983" s="76">
        <v>0.105</v>
      </c>
      <c r="K983" s="306">
        <v>16.38</v>
      </c>
      <c r="L983" s="78">
        <f t="shared" si="115"/>
        <v>8.5346810690402855</v>
      </c>
      <c r="M983" s="58">
        <f>+VLOOKUP(F983,Material!$H$2:$M$17,6,FALSE)*H983*I983*(1+Material!$K$14)</f>
        <v>63.544579959490846</v>
      </c>
      <c r="N983" s="79" t="str">
        <f t="shared" si="132"/>
        <v>T5.0</v>
      </c>
      <c r="O983" s="80">
        <f>+VLOOKUP(N983,[3]Material!$A$3:$B$58,2,FALSE)</f>
        <v>5000</v>
      </c>
      <c r="P983" s="79" t="s">
        <v>42</v>
      </c>
      <c r="Q983" s="79" t="str">
        <f>+VLOOKUP(F983,[3]Material!$C$2:$E$12,2,FALSE)</f>
        <v>Cal 16</v>
      </c>
      <c r="R983" s="81">
        <f>+IF(P983="ACERO A36",VLOOKUP(Q983,'[3]Velocidades Std 1500 w'!$B$2:$F$15,5,FALSE),IF(P983="INOXIDABLE",VLOOKUP(Q983,'[3]Velocidades Std 1500 w'!$B$17:$F$28,5,FALSE),IF(P983="ALUMINIO",VLOOKUP(Q983,'[3]Velocidades Std 1500 w'!$B$30:$F$38,5,FALSE))))</f>
        <v>9.1575091575091579E-7</v>
      </c>
      <c r="S983" s="82">
        <f t="shared" si="116"/>
        <v>4.578754578754579E-3</v>
      </c>
      <c r="T983" s="83">
        <f t="shared" si="117"/>
        <v>6.8175553846153836</v>
      </c>
      <c r="U983" s="307">
        <f t="shared" si="130"/>
        <v>2067.9917999999998</v>
      </c>
      <c r="V983" s="80">
        <f t="shared" si="122"/>
        <v>9.4688269230769233</v>
      </c>
      <c r="W983" s="98">
        <v>7</v>
      </c>
      <c r="X983" s="84">
        <f>+IF(P983="ACERO A36",VLOOKUP(Q983,'[3]Tiempo Objeto'!$B$2:$C$12,2,FALSE),IF(P983="INOXIDABLE",VLOOKUP(Q983,'[3]Tiempo Objeto'!$B$14:$C$22,2,FALSE),IF(P983="ALUMINIO",VLOOKUP(Q983,'[3]Tiempo Objeto'!$B$24:$C$32,2,FALSE))))</f>
        <v>0.24666666666666667</v>
      </c>
      <c r="Y983" s="84">
        <f t="shared" si="118"/>
        <v>1.7266666666666668</v>
      </c>
      <c r="Z983" s="80">
        <f t="shared" si="119"/>
        <v>2.3981481481481484</v>
      </c>
      <c r="AA983" s="100">
        <v>3</v>
      </c>
      <c r="AB983" s="86">
        <f>+AA983*Analisis!$J$6</f>
        <v>75</v>
      </c>
      <c r="AC983" s="100"/>
      <c r="AD983" s="85">
        <f t="shared" si="120"/>
        <v>0</v>
      </c>
      <c r="AE983" s="86">
        <f>+AC983*Analisis!$J$7</f>
        <v>0</v>
      </c>
      <c r="AF983" s="308">
        <f>+H983*0.0254*I983*0.0254*2*(1+[3]Analisis!$G$2)</f>
        <v>0.45220022462999993</v>
      </c>
      <c r="AG983" s="86">
        <f>+AF983*Analisis!$J$8</f>
        <v>48.180857267125006</v>
      </c>
      <c r="AH983" s="309">
        <f t="shared" si="126"/>
        <v>198.59241229784095</v>
      </c>
      <c r="AI983" s="86">
        <f>+AH983/(1-Analisis!G988)</f>
        <v>198.59241229784095</v>
      </c>
      <c r="AJ983" s="86">
        <f t="shared" si="121"/>
        <v>213.54022827724836</v>
      </c>
      <c r="AK983" s="86">
        <f t="shared" si="127"/>
        <v>0</v>
      </c>
      <c r="AL983" s="310" t="e">
        <f>+VLOOKUP(B983,#REF!,2,FALSE)</f>
        <v>#REF!</v>
      </c>
      <c r="AM983" s="311" t="e">
        <f t="shared" si="124"/>
        <v>#REF!</v>
      </c>
      <c r="AN983" s="312" t="e">
        <f t="shared" si="129"/>
        <v>#REF!</v>
      </c>
    </row>
    <row r="984" spans="1:40" s="73" customFormat="1" x14ac:dyDescent="0.25">
      <c r="A984" s="313"/>
      <c r="B984" s="329" t="s">
        <v>1638</v>
      </c>
      <c r="D984" s="74">
        <f>IFERROR(VLOOKUP(B984,'REQ. PINTADO'!B:C,2,0),0)</f>
        <v>0</v>
      </c>
      <c r="E984" s="305">
        <f t="shared" si="114"/>
        <v>174.75526981315039</v>
      </c>
      <c r="F984" s="103" t="s">
        <v>166</v>
      </c>
      <c r="G984" s="75" t="s">
        <v>147</v>
      </c>
      <c r="H984" s="90">
        <v>17.489999999999998</v>
      </c>
      <c r="I984" s="90">
        <v>11.03</v>
      </c>
      <c r="J984" s="76">
        <v>0.105</v>
      </c>
      <c r="K984" s="306">
        <v>16.38</v>
      </c>
      <c r="L984" s="78">
        <f t="shared" si="115"/>
        <v>5.8725846657214182</v>
      </c>
      <c r="M984" s="58">
        <f>+VLOOKUP(F984,Material!$H$2:$M$17,6,FALSE)*H984*I984*(1+Material!$K$14)</f>
        <v>43.724062192962187</v>
      </c>
      <c r="N984" s="79" t="str">
        <f t="shared" si="132"/>
        <v>T5.0</v>
      </c>
      <c r="O984" s="80">
        <f>+VLOOKUP(N984,[3]Material!$A$3:$B$58,2,FALSE)</f>
        <v>5000</v>
      </c>
      <c r="P984" s="79" t="s">
        <v>42</v>
      </c>
      <c r="Q984" s="79" t="str">
        <f>+VLOOKUP(F984,[3]Material!$C$2:$E$12,2,FALSE)</f>
        <v>Cal 16</v>
      </c>
      <c r="R984" s="81">
        <f>+IF(P984="ACERO A36",VLOOKUP(Q984,'[3]Velocidades Std 1500 w'!$B$2:$F$15,5,FALSE),IF(P984="INOXIDABLE",VLOOKUP(Q984,'[3]Velocidades Std 1500 w'!$B$17:$F$28,5,FALSE),IF(P984="ALUMINIO",VLOOKUP(Q984,'[3]Velocidades Std 1500 w'!$B$30:$F$38,5,FALSE))))</f>
        <v>9.1575091575091579E-7</v>
      </c>
      <c r="S984" s="82">
        <f t="shared" si="116"/>
        <v>4.578754578754579E-3</v>
      </c>
      <c r="T984" s="83">
        <f t="shared" si="117"/>
        <v>5.938324615384615</v>
      </c>
      <c r="U984" s="307">
        <f t="shared" si="130"/>
        <v>1801.2917999999997</v>
      </c>
      <c r="V984" s="80">
        <f t="shared" si="122"/>
        <v>8.2476730769230766</v>
      </c>
      <c r="W984" s="98">
        <v>7</v>
      </c>
      <c r="X984" s="84">
        <f>+IF(P984="ACERO A36",VLOOKUP(Q984,'[3]Tiempo Objeto'!$B$2:$C$12,2,FALSE),IF(P984="INOXIDABLE",VLOOKUP(Q984,'[3]Tiempo Objeto'!$B$14:$C$22,2,FALSE),IF(P984="ALUMINIO",VLOOKUP(Q984,'[3]Tiempo Objeto'!$B$24:$C$32,2,FALSE))))</f>
        <v>0.24666666666666667</v>
      </c>
      <c r="Y984" s="84">
        <f t="shared" si="118"/>
        <v>1.7266666666666668</v>
      </c>
      <c r="Z984" s="80">
        <f t="shared" si="119"/>
        <v>2.3981481481481484</v>
      </c>
      <c r="AA984" s="100">
        <v>3</v>
      </c>
      <c r="AB984" s="86">
        <f>+AA984*Analisis!$J$6</f>
        <v>75</v>
      </c>
      <c r="AC984" s="100"/>
      <c r="AD984" s="85">
        <f t="shared" si="120"/>
        <v>0</v>
      </c>
      <c r="AE984" s="86">
        <f>+AC984*Analisis!$J$7</f>
        <v>0</v>
      </c>
      <c r="AF984" s="308">
        <f>+H984*0.0254*I984*0.0254*2*(1+[3]Analisis!$G$2)</f>
        <v>0.31115211962999995</v>
      </c>
      <c r="AG984" s="86">
        <f>+AF984*Analisis!$J$8</f>
        <v>33.152517508196432</v>
      </c>
      <c r="AH984" s="309">
        <f t="shared" si="126"/>
        <v>162.52240092622986</v>
      </c>
      <c r="AI984" s="86">
        <f>+AH984/(1-Analisis!G989)</f>
        <v>162.52240092622986</v>
      </c>
      <c r="AJ984" s="86">
        <f t="shared" si="121"/>
        <v>174.75526981315039</v>
      </c>
      <c r="AK984" s="86">
        <f t="shared" si="127"/>
        <v>0</v>
      </c>
      <c r="AL984" s="310" t="e">
        <f>+VLOOKUP(B984,#REF!,2,FALSE)</f>
        <v>#REF!</v>
      </c>
      <c r="AM984" s="311" t="e">
        <f t="shared" si="124"/>
        <v>#REF!</v>
      </c>
      <c r="AN984" s="312" t="e">
        <f t="shared" si="129"/>
        <v>#REF!</v>
      </c>
    </row>
    <row r="985" spans="1:40" s="73" customFormat="1" x14ac:dyDescent="0.25">
      <c r="A985" s="313"/>
      <c r="B985" s="329" t="s">
        <v>1639</v>
      </c>
      <c r="D985" s="74">
        <f>IFERROR(VLOOKUP(B985,'REQ. PINTADO'!B:C,2,0),0)</f>
        <v>0</v>
      </c>
      <c r="E985" s="305">
        <f t="shared" si="114"/>
        <v>213.54022827724836</v>
      </c>
      <c r="F985" s="103" t="s">
        <v>166</v>
      </c>
      <c r="G985" s="75" t="s">
        <v>147</v>
      </c>
      <c r="H985" s="90">
        <v>17.489999999999998</v>
      </c>
      <c r="I985" s="90">
        <v>16.03</v>
      </c>
      <c r="J985" s="76">
        <v>0.105</v>
      </c>
      <c r="K985" s="306">
        <v>16.38</v>
      </c>
      <c r="L985" s="78">
        <f t="shared" si="115"/>
        <v>8.5346810690402855</v>
      </c>
      <c r="M985" s="58">
        <f>+VLOOKUP(F985,Material!$H$2:$M$17,6,FALSE)*H985*I985*(1+Material!$K$14)</f>
        <v>63.544579959490846</v>
      </c>
      <c r="N985" s="79" t="str">
        <f t="shared" si="132"/>
        <v>T5.0</v>
      </c>
      <c r="O985" s="80">
        <f>+VLOOKUP(N985,[3]Material!$A$3:$B$58,2,FALSE)</f>
        <v>5000</v>
      </c>
      <c r="P985" s="79" t="s">
        <v>42</v>
      </c>
      <c r="Q985" s="79" t="str">
        <f>+VLOOKUP(F985,[3]Material!$C$2:$E$12,2,FALSE)</f>
        <v>Cal 16</v>
      </c>
      <c r="R985" s="81">
        <f>+IF(P985="ACERO A36",VLOOKUP(Q985,'[3]Velocidades Std 1500 w'!$B$2:$F$15,5,FALSE),IF(P985="INOXIDABLE",VLOOKUP(Q985,'[3]Velocidades Std 1500 w'!$B$17:$F$28,5,FALSE),IF(P985="ALUMINIO",VLOOKUP(Q985,'[3]Velocidades Std 1500 w'!$B$30:$F$38,5,FALSE))))</f>
        <v>9.1575091575091579E-7</v>
      </c>
      <c r="S985" s="82">
        <f t="shared" si="116"/>
        <v>4.578754578754579E-3</v>
      </c>
      <c r="T985" s="83">
        <f t="shared" si="117"/>
        <v>6.8175553846153836</v>
      </c>
      <c r="U985" s="307">
        <f t="shared" si="130"/>
        <v>2067.9917999999998</v>
      </c>
      <c r="V985" s="80">
        <f t="shared" si="122"/>
        <v>9.4688269230769233</v>
      </c>
      <c r="W985" s="98">
        <v>7</v>
      </c>
      <c r="X985" s="84">
        <f>+IF(P985="ACERO A36",VLOOKUP(Q985,'[3]Tiempo Objeto'!$B$2:$C$12,2,FALSE),IF(P985="INOXIDABLE",VLOOKUP(Q985,'[3]Tiempo Objeto'!$B$14:$C$22,2,FALSE),IF(P985="ALUMINIO",VLOOKUP(Q985,'[3]Tiempo Objeto'!$B$24:$C$32,2,FALSE))))</f>
        <v>0.24666666666666667</v>
      </c>
      <c r="Y985" s="84">
        <f t="shared" si="118"/>
        <v>1.7266666666666668</v>
      </c>
      <c r="Z985" s="80">
        <f t="shared" si="119"/>
        <v>2.3981481481481484</v>
      </c>
      <c r="AA985" s="100">
        <v>3</v>
      </c>
      <c r="AB985" s="86">
        <f>+AA985*Analisis!$J$6</f>
        <v>75</v>
      </c>
      <c r="AC985" s="100"/>
      <c r="AD985" s="85">
        <f t="shared" si="120"/>
        <v>0</v>
      </c>
      <c r="AE985" s="86">
        <f>+AC985*Analisis!$J$7</f>
        <v>0</v>
      </c>
      <c r="AF985" s="308">
        <f>+H985*0.0254*I985*0.0254*2*(1+[3]Analisis!$G$2)</f>
        <v>0.45220022462999993</v>
      </c>
      <c r="AG985" s="86">
        <f>+AF985*Analisis!$J$8</f>
        <v>48.180857267125006</v>
      </c>
      <c r="AH985" s="309">
        <f t="shared" si="126"/>
        <v>198.59241229784095</v>
      </c>
      <c r="AI985" s="86">
        <f>+AH985/(1-Analisis!G990)</f>
        <v>198.59241229784095</v>
      </c>
      <c r="AJ985" s="86">
        <f t="shared" si="121"/>
        <v>213.54022827724836</v>
      </c>
      <c r="AK985" s="86">
        <f t="shared" si="127"/>
        <v>0</v>
      </c>
      <c r="AL985" s="310" t="e">
        <f>+VLOOKUP(B985,#REF!,2,FALSE)</f>
        <v>#REF!</v>
      </c>
      <c r="AM985" s="311" t="e">
        <f t="shared" si="124"/>
        <v>#REF!</v>
      </c>
      <c r="AN985" s="312" t="e">
        <f t="shared" si="129"/>
        <v>#REF!</v>
      </c>
    </row>
    <row r="986" spans="1:40" s="73" customFormat="1" x14ac:dyDescent="0.25">
      <c r="A986" s="313"/>
      <c r="B986" s="329" t="s">
        <v>1640</v>
      </c>
      <c r="D986" s="74">
        <f>IFERROR(VLOOKUP(B986,'REQ. PINTADO'!B:C,2,0),0)</f>
        <v>0</v>
      </c>
      <c r="E986" s="305">
        <f t="shared" si="114"/>
        <v>174.75526981315039</v>
      </c>
      <c r="F986" s="103" t="s">
        <v>166</v>
      </c>
      <c r="G986" s="75" t="s">
        <v>147</v>
      </c>
      <c r="H986" s="90">
        <v>17.489999999999998</v>
      </c>
      <c r="I986" s="90">
        <v>11.03</v>
      </c>
      <c r="J986" s="76">
        <v>0.105</v>
      </c>
      <c r="K986" s="306">
        <v>16.38</v>
      </c>
      <c r="L986" s="78">
        <f t="shared" si="115"/>
        <v>5.8725846657214182</v>
      </c>
      <c r="M986" s="58">
        <f>+VLOOKUP(F986,Material!$H$2:$M$17,6,FALSE)*H986*I986*(1+Material!$K$14)</f>
        <v>43.724062192962187</v>
      </c>
      <c r="N986" s="79" t="str">
        <f t="shared" si="132"/>
        <v>T5.0</v>
      </c>
      <c r="O986" s="80">
        <f>+VLOOKUP(N986,[3]Material!$A$3:$B$58,2,FALSE)</f>
        <v>5000</v>
      </c>
      <c r="P986" s="79" t="s">
        <v>42</v>
      </c>
      <c r="Q986" s="79" t="str">
        <f>+VLOOKUP(F986,[3]Material!$C$2:$E$12,2,FALSE)</f>
        <v>Cal 16</v>
      </c>
      <c r="R986" s="81">
        <f>+IF(P986="ACERO A36",VLOOKUP(Q986,'[3]Velocidades Std 1500 w'!$B$2:$F$15,5,FALSE),IF(P986="INOXIDABLE",VLOOKUP(Q986,'[3]Velocidades Std 1500 w'!$B$17:$F$28,5,FALSE),IF(P986="ALUMINIO",VLOOKUP(Q986,'[3]Velocidades Std 1500 w'!$B$30:$F$38,5,FALSE))))</f>
        <v>9.1575091575091579E-7</v>
      </c>
      <c r="S986" s="82">
        <f t="shared" si="116"/>
        <v>4.578754578754579E-3</v>
      </c>
      <c r="T986" s="83">
        <f t="shared" si="117"/>
        <v>5.938324615384615</v>
      </c>
      <c r="U986" s="307">
        <f t="shared" si="130"/>
        <v>1801.2917999999997</v>
      </c>
      <c r="V986" s="80">
        <f t="shared" si="122"/>
        <v>8.2476730769230766</v>
      </c>
      <c r="W986" s="98">
        <v>7</v>
      </c>
      <c r="X986" s="84">
        <f>+IF(P986="ACERO A36",VLOOKUP(Q986,'[3]Tiempo Objeto'!$B$2:$C$12,2,FALSE),IF(P986="INOXIDABLE",VLOOKUP(Q986,'[3]Tiempo Objeto'!$B$14:$C$22,2,FALSE),IF(P986="ALUMINIO",VLOOKUP(Q986,'[3]Tiempo Objeto'!$B$24:$C$32,2,FALSE))))</f>
        <v>0.24666666666666667</v>
      </c>
      <c r="Y986" s="84">
        <f t="shared" si="118"/>
        <v>1.7266666666666668</v>
      </c>
      <c r="Z986" s="80">
        <f t="shared" si="119"/>
        <v>2.3981481481481484</v>
      </c>
      <c r="AA986" s="100">
        <v>3</v>
      </c>
      <c r="AB986" s="86">
        <f>+AA986*Analisis!$J$6</f>
        <v>75</v>
      </c>
      <c r="AC986" s="100"/>
      <c r="AD986" s="85">
        <f t="shared" si="120"/>
        <v>0</v>
      </c>
      <c r="AE986" s="86">
        <f>+AC986*Analisis!$J$7</f>
        <v>0</v>
      </c>
      <c r="AF986" s="308">
        <f>+H986*0.0254*I986*0.0254*2*(1+[3]Analisis!$G$2)</f>
        <v>0.31115211962999995</v>
      </c>
      <c r="AG986" s="86">
        <f>+AF986*Analisis!$J$8</f>
        <v>33.152517508196432</v>
      </c>
      <c r="AH986" s="309">
        <f t="shared" si="126"/>
        <v>162.52240092622986</v>
      </c>
      <c r="AI986" s="86">
        <f>+AH986/(1-Analisis!G991)</f>
        <v>162.52240092622986</v>
      </c>
      <c r="AJ986" s="86">
        <f t="shared" si="121"/>
        <v>174.75526981315039</v>
      </c>
      <c r="AK986" s="86">
        <f t="shared" si="127"/>
        <v>0</v>
      </c>
      <c r="AL986" s="310" t="e">
        <f>+VLOOKUP(B986,#REF!,2,FALSE)</f>
        <v>#REF!</v>
      </c>
      <c r="AM986" s="311" t="e">
        <f t="shared" si="124"/>
        <v>#REF!</v>
      </c>
      <c r="AN986" s="312" t="e">
        <f t="shared" si="129"/>
        <v>#REF!</v>
      </c>
    </row>
    <row r="987" spans="1:40" s="73" customFormat="1" x14ac:dyDescent="0.25">
      <c r="A987" s="313"/>
      <c r="B987" s="329" t="s">
        <v>1641</v>
      </c>
      <c r="D987" s="74">
        <f>IFERROR(VLOOKUP(B987,'REQ. PINTADO'!B:C,2,0),0)</f>
        <v>0</v>
      </c>
      <c r="E987" s="305">
        <f t="shared" si="114"/>
        <v>213.54022827724836</v>
      </c>
      <c r="F987" s="103" t="s">
        <v>166</v>
      </c>
      <c r="G987" s="75" t="s">
        <v>147</v>
      </c>
      <c r="H987" s="90">
        <v>17.489999999999998</v>
      </c>
      <c r="I987" s="90">
        <v>16.03</v>
      </c>
      <c r="J987" s="76">
        <v>0.105</v>
      </c>
      <c r="K987" s="306">
        <v>16.38</v>
      </c>
      <c r="L987" s="78">
        <f t="shared" si="115"/>
        <v>8.5346810690402855</v>
      </c>
      <c r="M987" s="58">
        <f>+VLOOKUP(F987,Material!$H$2:$M$17,6,FALSE)*H987*I987*(1+Material!$K$14)</f>
        <v>63.544579959490846</v>
      </c>
      <c r="N987" s="79" t="str">
        <f t="shared" si="132"/>
        <v>T5.0</v>
      </c>
      <c r="O987" s="80">
        <f>+VLOOKUP(N987,[3]Material!$A$3:$B$58,2,FALSE)</f>
        <v>5000</v>
      </c>
      <c r="P987" s="79" t="s">
        <v>42</v>
      </c>
      <c r="Q987" s="79" t="str">
        <f>+VLOOKUP(F987,[3]Material!$C$2:$E$12,2,FALSE)</f>
        <v>Cal 16</v>
      </c>
      <c r="R987" s="81">
        <f>+IF(P987="ACERO A36",VLOOKUP(Q987,'[3]Velocidades Std 1500 w'!$B$2:$F$15,5,FALSE),IF(P987="INOXIDABLE",VLOOKUP(Q987,'[3]Velocidades Std 1500 w'!$B$17:$F$28,5,FALSE),IF(P987="ALUMINIO",VLOOKUP(Q987,'[3]Velocidades Std 1500 w'!$B$30:$F$38,5,FALSE))))</f>
        <v>9.1575091575091579E-7</v>
      </c>
      <c r="S987" s="82">
        <f t="shared" si="116"/>
        <v>4.578754578754579E-3</v>
      </c>
      <c r="T987" s="83">
        <f t="shared" si="117"/>
        <v>6.8175553846153836</v>
      </c>
      <c r="U987" s="307">
        <f t="shared" si="130"/>
        <v>2067.9917999999998</v>
      </c>
      <c r="V987" s="80">
        <f t="shared" si="122"/>
        <v>9.4688269230769233</v>
      </c>
      <c r="W987" s="98">
        <v>7</v>
      </c>
      <c r="X987" s="84">
        <f>+IF(P987="ACERO A36",VLOOKUP(Q987,'[3]Tiempo Objeto'!$B$2:$C$12,2,FALSE),IF(P987="INOXIDABLE",VLOOKUP(Q987,'[3]Tiempo Objeto'!$B$14:$C$22,2,FALSE),IF(P987="ALUMINIO",VLOOKUP(Q987,'[3]Tiempo Objeto'!$B$24:$C$32,2,FALSE))))</f>
        <v>0.24666666666666667</v>
      </c>
      <c r="Y987" s="84">
        <f t="shared" si="118"/>
        <v>1.7266666666666668</v>
      </c>
      <c r="Z987" s="80">
        <f t="shared" si="119"/>
        <v>2.3981481481481484</v>
      </c>
      <c r="AA987" s="100">
        <v>3</v>
      </c>
      <c r="AB987" s="86">
        <f>+AA987*Analisis!$J$6</f>
        <v>75</v>
      </c>
      <c r="AC987" s="100"/>
      <c r="AD987" s="85">
        <f t="shared" si="120"/>
        <v>0</v>
      </c>
      <c r="AE987" s="86">
        <f>+AC987*Analisis!$J$7</f>
        <v>0</v>
      </c>
      <c r="AF987" s="308">
        <f>+H987*0.0254*I987*0.0254*2*(1+[3]Analisis!$G$2)</f>
        <v>0.45220022462999993</v>
      </c>
      <c r="AG987" s="86">
        <f>+AF987*Analisis!$J$8</f>
        <v>48.180857267125006</v>
      </c>
      <c r="AH987" s="309">
        <f t="shared" si="126"/>
        <v>198.59241229784095</v>
      </c>
      <c r="AI987" s="86">
        <f>+AH987/(1-Analisis!G992)</f>
        <v>198.59241229784095</v>
      </c>
      <c r="AJ987" s="86">
        <f t="shared" si="121"/>
        <v>213.54022827724836</v>
      </c>
      <c r="AK987" s="86">
        <f t="shared" si="127"/>
        <v>0</v>
      </c>
      <c r="AL987" s="310" t="e">
        <f>+VLOOKUP(B987,#REF!,2,FALSE)</f>
        <v>#REF!</v>
      </c>
      <c r="AM987" s="311" t="e">
        <f t="shared" si="124"/>
        <v>#REF!</v>
      </c>
      <c r="AN987" s="312" t="e">
        <f t="shared" si="129"/>
        <v>#REF!</v>
      </c>
    </row>
    <row r="988" spans="1:40" s="73" customFormat="1" x14ac:dyDescent="0.25">
      <c r="A988" s="313"/>
      <c r="B988" s="329" t="s">
        <v>1642</v>
      </c>
      <c r="D988" s="74">
        <f>IFERROR(VLOOKUP(B988,'REQ. PINTADO'!B:C,2,0),0)</f>
        <v>0</v>
      </c>
      <c r="E988" s="305">
        <f t="shared" si="114"/>
        <v>174.75526981315039</v>
      </c>
      <c r="F988" s="103" t="s">
        <v>166</v>
      </c>
      <c r="G988" s="75" t="s">
        <v>147</v>
      </c>
      <c r="H988" s="90">
        <v>17.489999999999998</v>
      </c>
      <c r="I988" s="90">
        <v>11.03</v>
      </c>
      <c r="J988" s="76">
        <v>0.105</v>
      </c>
      <c r="K988" s="306">
        <v>16.38</v>
      </c>
      <c r="L988" s="78">
        <f t="shared" si="115"/>
        <v>5.8725846657214182</v>
      </c>
      <c r="M988" s="58">
        <f>+VLOOKUP(F988,Material!$H$2:$M$17,6,FALSE)*H988*I988*(1+Material!$K$14)</f>
        <v>43.724062192962187</v>
      </c>
      <c r="N988" s="79" t="str">
        <f t="shared" si="132"/>
        <v>T5.0</v>
      </c>
      <c r="O988" s="80">
        <f>+VLOOKUP(N988,[3]Material!$A$3:$B$58,2,FALSE)</f>
        <v>5000</v>
      </c>
      <c r="P988" s="79" t="s">
        <v>42</v>
      </c>
      <c r="Q988" s="79" t="str">
        <f>+VLOOKUP(F988,[3]Material!$C$2:$E$12,2,FALSE)</f>
        <v>Cal 16</v>
      </c>
      <c r="R988" s="81">
        <f>+IF(P988="ACERO A36",VLOOKUP(Q988,'[3]Velocidades Std 1500 w'!$B$2:$F$15,5,FALSE),IF(P988="INOXIDABLE",VLOOKUP(Q988,'[3]Velocidades Std 1500 w'!$B$17:$F$28,5,FALSE),IF(P988="ALUMINIO",VLOOKUP(Q988,'[3]Velocidades Std 1500 w'!$B$30:$F$38,5,FALSE))))</f>
        <v>9.1575091575091579E-7</v>
      </c>
      <c r="S988" s="82">
        <f t="shared" si="116"/>
        <v>4.578754578754579E-3</v>
      </c>
      <c r="T988" s="83">
        <f t="shared" si="117"/>
        <v>5.938324615384615</v>
      </c>
      <c r="U988" s="307">
        <f t="shared" si="130"/>
        <v>1801.2917999999997</v>
      </c>
      <c r="V988" s="80">
        <f t="shared" si="122"/>
        <v>8.2476730769230766</v>
      </c>
      <c r="W988" s="98">
        <v>7</v>
      </c>
      <c r="X988" s="84">
        <f>+IF(P988="ACERO A36",VLOOKUP(Q988,'[3]Tiempo Objeto'!$B$2:$C$12,2,FALSE),IF(P988="INOXIDABLE",VLOOKUP(Q988,'[3]Tiempo Objeto'!$B$14:$C$22,2,FALSE),IF(P988="ALUMINIO",VLOOKUP(Q988,'[3]Tiempo Objeto'!$B$24:$C$32,2,FALSE))))</f>
        <v>0.24666666666666667</v>
      </c>
      <c r="Y988" s="84">
        <f t="shared" si="118"/>
        <v>1.7266666666666668</v>
      </c>
      <c r="Z988" s="80">
        <f t="shared" si="119"/>
        <v>2.3981481481481484</v>
      </c>
      <c r="AA988" s="100">
        <v>3</v>
      </c>
      <c r="AB988" s="86">
        <f>+AA988*Analisis!$J$6</f>
        <v>75</v>
      </c>
      <c r="AC988" s="100"/>
      <c r="AD988" s="85">
        <f t="shared" si="120"/>
        <v>0</v>
      </c>
      <c r="AE988" s="86">
        <f>+AC988*Analisis!$J$7</f>
        <v>0</v>
      </c>
      <c r="AF988" s="308">
        <f>+H988*0.0254*I988*0.0254*2*(1+[3]Analisis!$G$2)</f>
        <v>0.31115211962999995</v>
      </c>
      <c r="AG988" s="86">
        <f>+AF988*Analisis!$J$8</f>
        <v>33.152517508196432</v>
      </c>
      <c r="AH988" s="309">
        <f t="shared" si="126"/>
        <v>162.52240092622986</v>
      </c>
      <c r="AI988" s="86">
        <f>+AH988/(1-Analisis!G993)</f>
        <v>162.52240092622986</v>
      </c>
      <c r="AJ988" s="86">
        <f t="shared" si="121"/>
        <v>174.75526981315039</v>
      </c>
      <c r="AK988" s="86">
        <f t="shared" si="127"/>
        <v>0</v>
      </c>
      <c r="AL988" s="310" t="e">
        <f>+VLOOKUP(B988,#REF!,2,FALSE)</f>
        <v>#REF!</v>
      </c>
      <c r="AM988" s="311" t="e">
        <f t="shared" si="124"/>
        <v>#REF!</v>
      </c>
      <c r="AN988" s="312" t="e">
        <f t="shared" si="129"/>
        <v>#REF!</v>
      </c>
    </row>
    <row r="989" spans="1:40" s="73" customFormat="1" x14ac:dyDescent="0.25">
      <c r="A989" s="313"/>
      <c r="B989" s="329" t="s">
        <v>1643</v>
      </c>
      <c r="D989" s="74">
        <f>IFERROR(VLOOKUP(B989,'REQ. PINTADO'!B:C,2,0),0)</f>
        <v>0</v>
      </c>
      <c r="E989" s="305">
        <f t="shared" si="114"/>
        <v>213.54022827724836</v>
      </c>
      <c r="F989" s="103" t="s">
        <v>166</v>
      </c>
      <c r="G989" s="75" t="s">
        <v>147</v>
      </c>
      <c r="H989" s="90">
        <v>17.489999999999998</v>
      </c>
      <c r="I989" s="90">
        <v>16.03</v>
      </c>
      <c r="J989" s="76">
        <v>0.105</v>
      </c>
      <c r="K989" s="306">
        <v>16.38</v>
      </c>
      <c r="L989" s="78">
        <f t="shared" si="115"/>
        <v>8.5346810690402855</v>
      </c>
      <c r="M989" s="58">
        <f>+VLOOKUP(F989,Material!$H$2:$M$17,6,FALSE)*H989*I989*(1+Material!$K$14)</f>
        <v>63.544579959490846</v>
      </c>
      <c r="N989" s="79" t="str">
        <f t="shared" si="132"/>
        <v>T5.0</v>
      </c>
      <c r="O989" s="80">
        <f>+VLOOKUP(N989,[3]Material!$A$3:$B$58,2,FALSE)</f>
        <v>5000</v>
      </c>
      <c r="P989" s="79" t="s">
        <v>42</v>
      </c>
      <c r="Q989" s="79" t="str">
        <f>+VLOOKUP(F989,[3]Material!$C$2:$E$12,2,FALSE)</f>
        <v>Cal 16</v>
      </c>
      <c r="R989" s="81">
        <f>+IF(P989="ACERO A36",VLOOKUP(Q989,'[3]Velocidades Std 1500 w'!$B$2:$F$15,5,FALSE),IF(P989="INOXIDABLE",VLOOKUP(Q989,'[3]Velocidades Std 1500 w'!$B$17:$F$28,5,FALSE),IF(P989="ALUMINIO",VLOOKUP(Q989,'[3]Velocidades Std 1500 w'!$B$30:$F$38,5,FALSE))))</f>
        <v>9.1575091575091579E-7</v>
      </c>
      <c r="S989" s="82">
        <f t="shared" si="116"/>
        <v>4.578754578754579E-3</v>
      </c>
      <c r="T989" s="83">
        <f t="shared" si="117"/>
        <v>6.8175553846153836</v>
      </c>
      <c r="U989" s="307">
        <f t="shared" si="130"/>
        <v>2067.9917999999998</v>
      </c>
      <c r="V989" s="80">
        <f t="shared" si="122"/>
        <v>9.4688269230769233</v>
      </c>
      <c r="W989" s="98">
        <v>7</v>
      </c>
      <c r="X989" s="84">
        <f>+IF(P989="ACERO A36",VLOOKUP(Q989,'[3]Tiempo Objeto'!$B$2:$C$12,2,FALSE),IF(P989="INOXIDABLE",VLOOKUP(Q989,'[3]Tiempo Objeto'!$B$14:$C$22,2,FALSE),IF(P989="ALUMINIO",VLOOKUP(Q989,'[3]Tiempo Objeto'!$B$24:$C$32,2,FALSE))))</f>
        <v>0.24666666666666667</v>
      </c>
      <c r="Y989" s="84">
        <f t="shared" si="118"/>
        <v>1.7266666666666668</v>
      </c>
      <c r="Z989" s="80">
        <f t="shared" si="119"/>
        <v>2.3981481481481484</v>
      </c>
      <c r="AA989" s="100">
        <v>3</v>
      </c>
      <c r="AB989" s="86">
        <f>+AA989*Analisis!$J$6</f>
        <v>75</v>
      </c>
      <c r="AC989" s="100"/>
      <c r="AD989" s="85">
        <f t="shared" si="120"/>
        <v>0</v>
      </c>
      <c r="AE989" s="86">
        <f>+AC989*Analisis!$J$7</f>
        <v>0</v>
      </c>
      <c r="AF989" s="308">
        <f>+H989*0.0254*I989*0.0254*2*(1+[3]Analisis!$G$2)</f>
        <v>0.45220022462999993</v>
      </c>
      <c r="AG989" s="86">
        <f>+AF989*Analisis!$J$8</f>
        <v>48.180857267125006</v>
      </c>
      <c r="AH989" s="309">
        <f t="shared" si="126"/>
        <v>198.59241229784095</v>
      </c>
      <c r="AI989" s="86">
        <f>+AH989/(1-Analisis!G994)</f>
        <v>198.59241229784095</v>
      </c>
      <c r="AJ989" s="86">
        <f t="shared" si="121"/>
        <v>213.54022827724836</v>
      </c>
      <c r="AK989" s="86">
        <f t="shared" si="127"/>
        <v>0</v>
      </c>
      <c r="AL989" s="310" t="e">
        <f>+VLOOKUP(B989,#REF!,2,FALSE)</f>
        <v>#REF!</v>
      </c>
      <c r="AM989" s="311" t="e">
        <f t="shared" si="124"/>
        <v>#REF!</v>
      </c>
      <c r="AN989" s="312" t="e">
        <f t="shared" si="129"/>
        <v>#REF!</v>
      </c>
    </row>
    <row r="990" spans="1:40" s="73" customFormat="1" x14ac:dyDescent="0.25">
      <c r="A990" s="313"/>
      <c r="B990" s="329" t="s">
        <v>1644</v>
      </c>
      <c r="D990" s="74">
        <f>IFERROR(VLOOKUP(B990,'REQ. PINTADO'!B:C,2,0),0)</f>
        <v>0</v>
      </c>
      <c r="E990" s="305">
        <f t="shared" si="114"/>
        <v>174.75526981315039</v>
      </c>
      <c r="F990" s="103" t="s">
        <v>166</v>
      </c>
      <c r="G990" s="75" t="s">
        <v>147</v>
      </c>
      <c r="H990" s="90">
        <v>17.489999999999998</v>
      </c>
      <c r="I990" s="90">
        <v>11.03</v>
      </c>
      <c r="J990" s="76">
        <v>0.105</v>
      </c>
      <c r="K990" s="306">
        <v>16.38</v>
      </c>
      <c r="L990" s="78">
        <f t="shared" si="115"/>
        <v>5.8725846657214182</v>
      </c>
      <c r="M990" s="58">
        <f>+VLOOKUP(F990,Material!$H$2:$M$17,6,FALSE)*H990*I990*(1+Material!$K$14)</f>
        <v>43.724062192962187</v>
      </c>
      <c r="N990" s="79" t="str">
        <f t="shared" si="132"/>
        <v>T5.0</v>
      </c>
      <c r="O990" s="80">
        <f>+VLOOKUP(N990,[3]Material!$A$3:$B$58,2,FALSE)</f>
        <v>5000</v>
      </c>
      <c r="P990" s="79" t="s">
        <v>42</v>
      </c>
      <c r="Q990" s="79" t="str">
        <f>+VLOOKUP(F990,[3]Material!$C$2:$E$12,2,FALSE)</f>
        <v>Cal 16</v>
      </c>
      <c r="R990" s="81">
        <f>+IF(P990="ACERO A36",VLOOKUP(Q990,'[3]Velocidades Std 1500 w'!$B$2:$F$15,5,FALSE),IF(P990="INOXIDABLE",VLOOKUP(Q990,'[3]Velocidades Std 1500 w'!$B$17:$F$28,5,FALSE),IF(P990="ALUMINIO",VLOOKUP(Q990,'[3]Velocidades Std 1500 w'!$B$30:$F$38,5,FALSE))))</f>
        <v>9.1575091575091579E-7</v>
      </c>
      <c r="S990" s="82">
        <f t="shared" si="116"/>
        <v>4.578754578754579E-3</v>
      </c>
      <c r="T990" s="83">
        <f t="shared" si="117"/>
        <v>5.938324615384615</v>
      </c>
      <c r="U990" s="307">
        <f t="shared" si="130"/>
        <v>1801.2917999999997</v>
      </c>
      <c r="V990" s="80">
        <f t="shared" si="122"/>
        <v>8.2476730769230766</v>
      </c>
      <c r="W990" s="98">
        <v>7</v>
      </c>
      <c r="X990" s="84">
        <f>+IF(P990="ACERO A36",VLOOKUP(Q990,'[3]Tiempo Objeto'!$B$2:$C$12,2,FALSE),IF(P990="INOXIDABLE",VLOOKUP(Q990,'[3]Tiempo Objeto'!$B$14:$C$22,2,FALSE),IF(P990="ALUMINIO",VLOOKUP(Q990,'[3]Tiempo Objeto'!$B$24:$C$32,2,FALSE))))</f>
        <v>0.24666666666666667</v>
      </c>
      <c r="Y990" s="84">
        <f t="shared" si="118"/>
        <v>1.7266666666666668</v>
      </c>
      <c r="Z990" s="80">
        <f t="shared" si="119"/>
        <v>2.3981481481481484</v>
      </c>
      <c r="AA990" s="100">
        <v>3</v>
      </c>
      <c r="AB990" s="86">
        <f>+AA990*Analisis!$J$6</f>
        <v>75</v>
      </c>
      <c r="AC990" s="100"/>
      <c r="AD990" s="85">
        <f t="shared" si="120"/>
        <v>0</v>
      </c>
      <c r="AE990" s="86">
        <f>+AC990*Analisis!$J$7</f>
        <v>0</v>
      </c>
      <c r="AF990" s="308">
        <f>+H990*0.0254*I990*0.0254*2*(1+[3]Analisis!$G$2)</f>
        <v>0.31115211962999995</v>
      </c>
      <c r="AG990" s="86">
        <f>+AF990*Analisis!$J$8</f>
        <v>33.152517508196432</v>
      </c>
      <c r="AH990" s="309">
        <f t="shared" si="126"/>
        <v>162.52240092622986</v>
      </c>
      <c r="AI990" s="86">
        <f>+AH990/(1-Analisis!G995)</f>
        <v>162.52240092622986</v>
      </c>
      <c r="AJ990" s="86">
        <f t="shared" si="121"/>
        <v>174.75526981315039</v>
      </c>
      <c r="AK990" s="86">
        <f t="shared" si="127"/>
        <v>0</v>
      </c>
      <c r="AL990" s="310" t="e">
        <f>+VLOOKUP(B990,#REF!,2,FALSE)</f>
        <v>#REF!</v>
      </c>
      <c r="AM990" s="311" t="e">
        <f t="shared" si="124"/>
        <v>#REF!</v>
      </c>
      <c r="AN990" s="312" t="e">
        <f t="shared" si="129"/>
        <v>#REF!</v>
      </c>
    </row>
    <row r="991" spans="1:40" s="73" customFormat="1" x14ac:dyDescent="0.25">
      <c r="A991" s="313"/>
      <c r="B991" s="329" t="s">
        <v>1645</v>
      </c>
      <c r="D991" s="74">
        <f>IFERROR(VLOOKUP(B991,'REQ. PINTADO'!B:C,2,0),0)</f>
        <v>0</v>
      </c>
      <c r="E991" s="305">
        <f t="shared" si="114"/>
        <v>213.54022827724836</v>
      </c>
      <c r="F991" s="103" t="s">
        <v>166</v>
      </c>
      <c r="G991" s="75" t="s">
        <v>147</v>
      </c>
      <c r="H991" s="90">
        <v>17.489999999999998</v>
      </c>
      <c r="I991" s="90">
        <v>16.03</v>
      </c>
      <c r="J991" s="76">
        <v>0.105</v>
      </c>
      <c r="K991" s="306">
        <v>16.38</v>
      </c>
      <c r="L991" s="78">
        <f t="shared" si="115"/>
        <v>8.5346810690402855</v>
      </c>
      <c r="M991" s="58">
        <f>+VLOOKUP(F991,Material!$H$2:$M$17,6,FALSE)*H991*I991*(1+Material!$K$14)</f>
        <v>63.544579959490846</v>
      </c>
      <c r="N991" s="79" t="str">
        <f t="shared" si="132"/>
        <v>T5.0</v>
      </c>
      <c r="O991" s="80">
        <f>+VLOOKUP(N991,[3]Material!$A$3:$B$58,2,FALSE)</f>
        <v>5000</v>
      </c>
      <c r="P991" s="79" t="s">
        <v>42</v>
      </c>
      <c r="Q991" s="79" t="str">
        <f>+VLOOKUP(F991,[3]Material!$C$2:$E$12,2,FALSE)</f>
        <v>Cal 16</v>
      </c>
      <c r="R991" s="81">
        <f>+IF(P991="ACERO A36",VLOOKUP(Q991,'[3]Velocidades Std 1500 w'!$B$2:$F$15,5,FALSE),IF(P991="INOXIDABLE",VLOOKUP(Q991,'[3]Velocidades Std 1500 w'!$B$17:$F$28,5,FALSE),IF(P991="ALUMINIO",VLOOKUP(Q991,'[3]Velocidades Std 1500 w'!$B$30:$F$38,5,FALSE))))</f>
        <v>9.1575091575091579E-7</v>
      </c>
      <c r="S991" s="82">
        <f t="shared" si="116"/>
        <v>4.578754578754579E-3</v>
      </c>
      <c r="T991" s="83">
        <f t="shared" si="117"/>
        <v>6.8175553846153836</v>
      </c>
      <c r="U991" s="307">
        <f t="shared" si="130"/>
        <v>2067.9917999999998</v>
      </c>
      <c r="V991" s="80">
        <f t="shared" si="122"/>
        <v>9.4688269230769233</v>
      </c>
      <c r="W991" s="98">
        <v>7</v>
      </c>
      <c r="X991" s="84">
        <f>+IF(P991="ACERO A36",VLOOKUP(Q991,'[3]Tiempo Objeto'!$B$2:$C$12,2,FALSE),IF(P991="INOXIDABLE",VLOOKUP(Q991,'[3]Tiempo Objeto'!$B$14:$C$22,2,FALSE),IF(P991="ALUMINIO",VLOOKUP(Q991,'[3]Tiempo Objeto'!$B$24:$C$32,2,FALSE))))</f>
        <v>0.24666666666666667</v>
      </c>
      <c r="Y991" s="84">
        <f t="shared" si="118"/>
        <v>1.7266666666666668</v>
      </c>
      <c r="Z991" s="80">
        <f t="shared" si="119"/>
        <v>2.3981481481481484</v>
      </c>
      <c r="AA991" s="100">
        <v>3</v>
      </c>
      <c r="AB991" s="86">
        <f>+AA991*Analisis!$J$6</f>
        <v>75</v>
      </c>
      <c r="AC991" s="100"/>
      <c r="AD991" s="85">
        <f t="shared" si="120"/>
        <v>0</v>
      </c>
      <c r="AE991" s="86">
        <f>+AC991*Analisis!$J$7</f>
        <v>0</v>
      </c>
      <c r="AF991" s="308">
        <f>+H991*0.0254*I991*0.0254*2*(1+[3]Analisis!$G$2)</f>
        <v>0.45220022462999993</v>
      </c>
      <c r="AG991" s="86">
        <f>+AF991*Analisis!$J$8</f>
        <v>48.180857267125006</v>
      </c>
      <c r="AH991" s="309">
        <f t="shared" si="126"/>
        <v>198.59241229784095</v>
      </c>
      <c r="AI991" s="86">
        <f>+AH991/(1-Analisis!G996)</f>
        <v>198.59241229784095</v>
      </c>
      <c r="AJ991" s="86">
        <f t="shared" si="121"/>
        <v>213.54022827724836</v>
      </c>
      <c r="AK991" s="86">
        <f t="shared" si="127"/>
        <v>0</v>
      </c>
      <c r="AL991" s="310" t="e">
        <f>+VLOOKUP(B991,#REF!,2,FALSE)</f>
        <v>#REF!</v>
      </c>
      <c r="AM991" s="311" t="e">
        <f t="shared" si="124"/>
        <v>#REF!</v>
      </c>
      <c r="AN991" s="312" t="e">
        <f t="shared" si="129"/>
        <v>#REF!</v>
      </c>
    </row>
    <row r="992" spans="1:40" s="73" customFormat="1" x14ac:dyDescent="0.25">
      <c r="A992" s="313"/>
      <c r="B992" s="329" t="s">
        <v>1646</v>
      </c>
      <c r="D992" s="74">
        <f>IFERROR(VLOOKUP(B992,'REQ. PINTADO'!B:C,2,0),0)</f>
        <v>0</v>
      </c>
      <c r="E992" s="305">
        <f t="shared" si="114"/>
        <v>174.75526981315039</v>
      </c>
      <c r="F992" s="103" t="s">
        <v>166</v>
      </c>
      <c r="G992" s="75" t="s">
        <v>147</v>
      </c>
      <c r="H992" s="90">
        <v>17.489999999999998</v>
      </c>
      <c r="I992" s="90">
        <v>11.03</v>
      </c>
      <c r="J992" s="76">
        <v>0.105</v>
      </c>
      <c r="K992" s="306">
        <v>16.38</v>
      </c>
      <c r="L992" s="78">
        <f t="shared" si="115"/>
        <v>5.8725846657214182</v>
      </c>
      <c r="M992" s="58">
        <f>+VLOOKUP(F992,Material!$H$2:$M$17,6,FALSE)*H992*I992*(1+Material!$K$14)</f>
        <v>43.724062192962187</v>
      </c>
      <c r="N992" s="79" t="str">
        <f t="shared" si="132"/>
        <v>T5.0</v>
      </c>
      <c r="O992" s="80">
        <f>+VLOOKUP(N992,[3]Material!$A$3:$B$58,2,FALSE)</f>
        <v>5000</v>
      </c>
      <c r="P992" s="79" t="s">
        <v>42</v>
      </c>
      <c r="Q992" s="79" t="str">
        <f>+VLOOKUP(F992,[3]Material!$C$2:$E$12,2,FALSE)</f>
        <v>Cal 16</v>
      </c>
      <c r="R992" s="81">
        <f>+IF(P992="ACERO A36",VLOOKUP(Q992,'[3]Velocidades Std 1500 w'!$B$2:$F$15,5,FALSE),IF(P992="INOXIDABLE",VLOOKUP(Q992,'[3]Velocidades Std 1500 w'!$B$17:$F$28,5,FALSE),IF(P992="ALUMINIO",VLOOKUP(Q992,'[3]Velocidades Std 1500 w'!$B$30:$F$38,5,FALSE))))</f>
        <v>9.1575091575091579E-7</v>
      </c>
      <c r="S992" s="82">
        <f t="shared" si="116"/>
        <v>4.578754578754579E-3</v>
      </c>
      <c r="T992" s="83">
        <f t="shared" si="117"/>
        <v>5.938324615384615</v>
      </c>
      <c r="U992" s="307">
        <f t="shared" si="130"/>
        <v>1801.2917999999997</v>
      </c>
      <c r="V992" s="80">
        <f t="shared" si="122"/>
        <v>8.2476730769230766</v>
      </c>
      <c r="W992" s="98">
        <v>7</v>
      </c>
      <c r="X992" s="84">
        <f>+IF(P992="ACERO A36",VLOOKUP(Q992,'[3]Tiempo Objeto'!$B$2:$C$12,2,FALSE),IF(P992="INOXIDABLE",VLOOKUP(Q992,'[3]Tiempo Objeto'!$B$14:$C$22,2,FALSE),IF(P992="ALUMINIO",VLOOKUP(Q992,'[3]Tiempo Objeto'!$B$24:$C$32,2,FALSE))))</f>
        <v>0.24666666666666667</v>
      </c>
      <c r="Y992" s="84">
        <f t="shared" si="118"/>
        <v>1.7266666666666668</v>
      </c>
      <c r="Z992" s="80">
        <f t="shared" si="119"/>
        <v>2.3981481481481484</v>
      </c>
      <c r="AA992" s="100">
        <v>3</v>
      </c>
      <c r="AB992" s="86">
        <f>+AA992*Analisis!$J$6</f>
        <v>75</v>
      </c>
      <c r="AC992" s="100"/>
      <c r="AD992" s="85">
        <f t="shared" si="120"/>
        <v>0</v>
      </c>
      <c r="AE992" s="86">
        <f>+AC992*Analisis!$J$7</f>
        <v>0</v>
      </c>
      <c r="AF992" s="308">
        <f>+H992*0.0254*I992*0.0254*2*(1+[3]Analisis!$G$2)</f>
        <v>0.31115211962999995</v>
      </c>
      <c r="AG992" s="86">
        <f>+AF992*Analisis!$J$8</f>
        <v>33.152517508196432</v>
      </c>
      <c r="AH992" s="309">
        <f t="shared" si="126"/>
        <v>162.52240092622986</v>
      </c>
      <c r="AI992" s="86">
        <f>+AH992/(1-Analisis!G997)</f>
        <v>162.52240092622986</v>
      </c>
      <c r="AJ992" s="86">
        <f t="shared" si="121"/>
        <v>174.75526981315039</v>
      </c>
      <c r="AK992" s="86">
        <f t="shared" si="127"/>
        <v>0</v>
      </c>
      <c r="AL992" s="310" t="e">
        <f>+VLOOKUP(B992,#REF!,2,FALSE)</f>
        <v>#REF!</v>
      </c>
      <c r="AM992" s="311" t="e">
        <f t="shared" si="124"/>
        <v>#REF!</v>
      </c>
      <c r="AN992" s="312" t="e">
        <f t="shared" si="129"/>
        <v>#REF!</v>
      </c>
    </row>
    <row r="993" spans="1:40" s="73" customFormat="1" x14ac:dyDescent="0.25">
      <c r="A993" s="313"/>
      <c r="B993" s="329" t="s">
        <v>1647</v>
      </c>
      <c r="D993" s="74">
        <f>IFERROR(VLOOKUP(B993,'REQ. PINTADO'!B:C,2,0),0)</f>
        <v>0</v>
      </c>
      <c r="E993" s="305">
        <f t="shared" si="114"/>
        <v>213.54022827724836</v>
      </c>
      <c r="F993" s="103" t="s">
        <v>166</v>
      </c>
      <c r="G993" s="75" t="s">
        <v>147</v>
      </c>
      <c r="H993" s="90">
        <v>17.489999999999998</v>
      </c>
      <c r="I993" s="90">
        <v>16.03</v>
      </c>
      <c r="J993" s="76">
        <v>0.105</v>
      </c>
      <c r="K993" s="306">
        <v>16.38</v>
      </c>
      <c r="L993" s="78">
        <f t="shared" si="115"/>
        <v>8.5346810690402855</v>
      </c>
      <c r="M993" s="58">
        <f>+VLOOKUP(F993,Material!$H$2:$M$17,6,FALSE)*H993*I993*(1+Material!$K$14)</f>
        <v>63.544579959490846</v>
      </c>
      <c r="N993" s="79" t="str">
        <f t="shared" si="132"/>
        <v>T5.0</v>
      </c>
      <c r="O993" s="80">
        <f>+VLOOKUP(N993,[3]Material!$A$3:$B$58,2,FALSE)</f>
        <v>5000</v>
      </c>
      <c r="P993" s="79" t="s">
        <v>42</v>
      </c>
      <c r="Q993" s="79" t="str">
        <f>+VLOOKUP(F993,[3]Material!$C$2:$E$12,2,FALSE)</f>
        <v>Cal 16</v>
      </c>
      <c r="R993" s="81">
        <f>+IF(P993="ACERO A36",VLOOKUP(Q993,'[3]Velocidades Std 1500 w'!$B$2:$F$15,5,FALSE),IF(P993="INOXIDABLE",VLOOKUP(Q993,'[3]Velocidades Std 1500 w'!$B$17:$F$28,5,FALSE),IF(P993="ALUMINIO",VLOOKUP(Q993,'[3]Velocidades Std 1500 w'!$B$30:$F$38,5,FALSE))))</f>
        <v>9.1575091575091579E-7</v>
      </c>
      <c r="S993" s="82">
        <f t="shared" si="116"/>
        <v>4.578754578754579E-3</v>
      </c>
      <c r="T993" s="83">
        <f t="shared" si="117"/>
        <v>6.8175553846153836</v>
      </c>
      <c r="U993" s="307">
        <f t="shared" si="130"/>
        <v>2067.9917999999998</v>
      </c>
      <c r="V993" s="80">
        <f t="shared" si="122"/>
        <v>9.4688269230769233</v>
      </c>
      <c r="W993" s="98">
        <v>7</v>
      </c>
      <c r="X993" s="84">
        <f>+IF(P993="ACERO A36",VLOOKUP(Q993,'[3]Tiempo Objeto'!$B$2:$C$12,2,FALSE),IF(P993="INOXIDABLE",VLOOKUP(Q993,'[3]Tiempo Objeto'!$B$14:$C$22,2,FALSE),IF(P993="ALUMINIO",VLOOKUP(Q993,'[3]Tiempo Objeto'!$B$24:$C$32,2,FALSE))))</f>
        <v>0.24666666666666667</v>
      </c>
      <c r="Y993" s="84">
        <f t="shared" si="118"/>
        <v>1.7266666666666668</v>
      </c>
      <c r="Z993" s="80">
        <f t="shared" si="119"/>
        <v>2.3981481481481484</v>
      </c>
      <c r="AA993" s="100">
        <v>3</v>
      </c>
      <c r="AB993" s="86">
        <f>+AA993*Analisis!$J$6</f>
        <v>75</v>
      </c>
      <c r="AC993" s="100"/>
      <c r="AD993" s="85">
        <f t="shared" si="120"/>
        <v>0</v>
      </c>
      <c r="AE993" s="86">
        <f>+AC993*Analisis!$J$7</f>
        <v>0</v>
      </c>
      <c r="AF993" s="308">
        <f>+H993*0.0254*I993*0.0254*2*(1+[3]Analisis!$G$2)</f>
        <v>0.45220022462999993</v>
      </c>
      <c r="AG993" s="86">
        <f>+AF993*Analisis!$J$8</f>
        <v>48.180857267125006</v>
      </c>
      <c r="AH993" s="309">
        <f t="shared" si="126"/>
        <v>198.59241229784095</v>
      </c>
      <c r="AI993" s="86">
        <f>+AH993/(1-Analisis!G998)</f>
        <v>198.59241229784095</v>
      </c>
      <c r="AJ993" s="86">
        <f t="shared" si="121"/>
        <v>213.54022827724836</v>
      </c>
      <c r="AK993" s="86">
        <f t="shared" si="127"/>
        <v>0</v>
      </c>
      <c r="AL993" s="310" t="e">
        <f>+VLOOKUP(B993,#REF!,2,FALSE)</f>
        <v>#REF!</v>
      </c>
      <c r="AM993" s="311" t="e">
        <f t="shared" si="124"/>
        <v>#REF!</v>
      </c>
      <c r="AN993" s="312" t="e">
        <f t="shared" si="129"/>
        <v>#REF!</v>
      </c>
    </row>
    <row r="994" spans="1:40" s="73" customFormat="1" x14ac:dyDescent="0.25">
      <c r="A994" s="313"/>
      <c r="B994" s="329" t="s">
        <v>1648</v>
      </c>
      <c r="D994" s="74">
        <f>IFERROR(VLOOKUP(B994,'REQ. PINTADO'!B:C,2,0),0)</f>
        <v>0</v>
      </c>
      <c r="E994" s="305">
        <f t="shared" si="114"/>
        <v>174.75526981315039</v>
      </c>
      <c r="F994" s="103" t="s">
        <v>166</v>
      </c>
      <c r="G994" s="75" t="s">
        <v>147</v>
      </c>
      <c r="H994" s="90">
        <v>17.489999999999998</v>
      </c>
      <c r="I994" s="90">
        <v>11.03</v>
      </c>
      <c r="J994" s="76">
        <v>0.105</v>
      </c>
      <c r="K994" s="306">
        <v>16.38</v>
      </c>
      <c r="L994" s="78">
        <f t="shared" si="115"/>
        <v>5.8725846657214182</v>
      </c>
      <c r="M994" s="58">
        <f>+VLOOKUP(F994,Material!$H$2:$M$17,6,FALSE)*H994*I994*(1+Material!$K$14)</f>
        <v>43.724062192962187</v>
      </c>
      <c r="N994" s="79" t="str">
        <f t="shared" si="132"/>
        <v>T5.0</v>
      </c>
      <c r="O994" s="80">
        <f>+VLOOKUP(N994,[3]Material!$A$3:$B$58,2,FALSE)</f>
        <v>5000</v>
      </c>
      <c r="P994" s="79" t="s">
        <v>42</v>
      </c>
      <c r="Q994" s="79" t="str">
        <f>+VLOOKUP(F994,[3]Material!$C$2:$E$12,2,FALSE)</f>
        <v>Cal 16</v>
      </c>
      <c r="R994" s="81">
        <f>+IF(P994="ACERO A36",VLOOKUP(Q994,'[3]Velocidades Std 1500 w'!$B$2:$F$15,5,FALSE),IF(P994="INOXIDABLE",VLOOKUP(Q994,'[3]Velocidades Std 1500 w'!$B$17:$F$28,5,FALSE),IF(P994="ALUMINIO",VLOOKUP(Q994,'[3]Velocidades Std 1500 w'!$B$30:$F$38,5,FALSE))))</f>
        <v>9.1575091575091579E-7</v>
      </c>
      <c r="S994" s="82">
        <f t="shared" si="116"/>
        <v>4.578754578754579E-3</v>
      </c>
      <c r="T994" s="83">
        <f t="shared" si="117"/>
        <v>5.938324615384615</v>
      </c>
      <c r="U994" s="307">
        <f t="shared" si="130"/>
        <v>1801.2917999999997</v>
      </c>
      <c r="V994" s="80">
        <f t="shared" si="122"/>
        <v>8.2476730769230766</v>
      </c>
      <c r="W994" s="98">
        <v>7</v>
      </c>
      <c r="X994" s="84">
        <f>+IF(P994="ACERO A36",VLOOKUP(Q994,'[3]Tiempo Objeto'!$B$2:$C$12,2,FALSE),IF(P994="INOXIDABLE",VLOOKUP(Q994,'[3]Tiempo Objeto'!$B$14:$C$22,2,FALSE),IF(P994="ALUMINIO",VLOOKUP(Q994,'[3]Tiempo Objeto'!$B$24:$C$32,2,FALSE))))</f>
        <v>0.24666666666666667</v>
      </c>
      <c r="Y994" s="84">
        <f t="shared" si="118"/>
        <v>1.7266666666666668</v>
      </c>
      <c r="Z994" s="80">
        <f t="shared" si="119"/>
        <v>2.3981481481481484</v>
      </c>
      <c r="AA994" s="100">
        <v>3</v>
      </c>
      <c r="AB994" s="86">
        <f>+AA994*Analisis!$J$6</f>
        <v>75</v>
      </c>
      <c r="AC994" s="100"/>
      <c r="AD994" s="85">
        <f t="shared" si="120"/>
        <v>0</v>
      </c>
      <c r="AE994" s="86">
        <f>+AC994*Analisis!$J$7</f>
        <v>0</v>
      </c>
      <c r="AF994" s="308">
        <f>+H994*0.0254*I994*0.0254*2*(1+[3]Analisis!$G$2)</f>
        <v>0.31115211962999995</v>
      </c>
      <c r="AG994" s="86">
        <f>+AF994*Analisis!$J$8</f>
        <v>33.152517508196432</v>
      </c>
      <c r="AH994" s="309">
        <f t="shared" si="126"/>
        <v>162.52240092622986</v>
      </c>
      <c r="AI994" s="86">
        <f>+AH994/(1-Analisis!G999)</f>
        <v>162.52240092622986</v>
      </c>
      <c r="AJ994" s="86">
        <f t="shared" si="121"/>
        <v>174.75526981315039</v>
      </c>
      <c r="AK994" s="86">
        <f t="shared" si="127"/>
        <v>0</v>
      </c>
      <c r="AL994" s="310" t="e">
        <f>+VLOOKUP(B994,#REF!,2,FALSE)</f>
        <v>#REF!</v>
      </c>
      <c r="AM994" s="311" t="e">
        <f t="shared" si="124"/>
        <v>#REF!</v>
      </c>
      <c r="AN994" s="312" t="e">
        <f t="shared" si="129"/>
        <v>#REF!</v>
      </c>
    </row>
    <row r="995" spans="1:40" s="73" customFormat="1" x14ac:dyDescent="0.25">
      <c r="A995" s="313"/>
      <c r="B995" s="329" t="s">
        <v>1649</v>
      </c>
      <c r="D995" s="74">
        <f>IFERROR(VLOOKUP(B995,'REQ. PINTADO'!B:C,2,0),0)</f>
        <v>0</v>
      </c>
      <c r="E995" s="305">
        <f t="shared" si="114"/>
        <v>213.54022827724836</v>
      </c>
      <c r="F995" s="103" t="s">
        <v>166</v>
      </c>
      <c r="G995" s="75" t="s">
        <v>147</v>
      </c>
      <c r="H995" s="90">
        <v>17.489999999999998</v>
      </c>
      <c r="I995" s="90">
        <v>16.03</v>
      </c>
      <c r="J995" s="76">
        <v>0.105</v>
      </c>
      <c r="K995" s="306">
        <v>16.38</v>
      </c>
      <c r="L995" s="78">
        <f t="shared" si="115"/>
        <v>8.5346810690402855</v>
      </c>
      <c r="M995" s="58">
        <f>+VLOOKUP(F995,Material!$H$2:$M$17,6,FALSE)*H995*I995*(1+Material!$K$14)</f>
        <v>63.544579959490846</v>
      </c>
      <c r="N995" s="79" t="str">
        <f t="shared" si="132"/>
        <v>T5.0</v>
      </c>
      <c r="O995" s="80">
        <f>+VLOOKUP(N995,[3]Material!$A$3:$B$58,2,FALSE)</f>
        <v>5000</v>
      </c>
      <c r="P995" s="79" t="s">
        <v>42</v>
      </c>
      <c r="Q995" s="79" t="str">
        <f>+VLOOKUP(F995,[3]Material!$C$2:$E$12,2,FALSE)</f>
        <v>Cal 16</v>
      </c>
      <c r="R995" s="81">
        <f>+IF(P995="ACERO A36",VLOOKUP(Q995,'[3]Velocidades Std 1500 w'!$B$2:$F$15,5,FALSE),IF(P995="INOXIDABLE",VLOOKUP(Q995,'[3]Velocidades Std 1500 w'!$B$17:$F$28,5,FALSE),IF(P995="ALUMINIO",VLOOKUP(Q995,'[3]Velocidades Std 1500 w'!$B$30:$F$38,5,FALSE))))</f>
        <v>9.1575091575091579E-7</v>
      </c>
      <c r="S995" s="82">
        <f t="shared" si="116"/>
        <v>4.578754578754579E-3</v>
      </c>
      <c r="T995" s="83">
        <f t="shared" si="117"/>
        <v>6.8175553846153836</v>
      </c>
      <c r="U995" s="307">
        <f t="shared" si="130"/>
        <v>2067.9917999999998</v>
      </c>
      <c r="V995" s="80">
        <f t="shared" si="122"/>
        <v>9.4688269230769233</v>
      </c>
      <c r="W995" s="98">
        <v>7</v>
      </c>
      <c r="X995" s="84">
        <f>+IF(P995="ACERO A36",VLOOKUP(Q995,'[3]Tiempo Objeto'!$B$2:$C$12,2,FALSE),IF(P995="INOXIDABLE",VLOOKUP(Q995,'[3]Tiempo Objeto'!$B$14:$C$22,2,FALSE),IF(P995="ALUMINIO",VLOOKUP(Q995,'[3]Tiempo Objeto'!$B$24:$C$32,2,FALSE))))</f>
        <v>0.24666666666666667</v>
      </c>
      <c r="Y995" s="84">
        <f t="shared" si="118"/>
        <v>1.7266666666666668</v>
      </c>
      <c r="Z995" s="80">
        <f t="shared" si="119"/>
        <v>2.3981481481481484</v>
      </c>
      <c r="AA995" s="100">
        <v>3</v>
      </c>
      <c r="AB995" s="86">
        <f>+AA995*Analisis!$J$6</f>
        <v>75</v>
      </c>
      <c r="AC995" s="100"/>
      <c r="AD995" s="85">
        <f t="shared" si="120"/>
        <v>0</v>
      </c>
      <c r="AE995" s="86">
        <f>+AC995*Analisis!$J$7</f>
        <v>0</v>
      </c>
      <c r="AF995" s="308">
        <f>+H995*0.0254*I995*0.0254*2*(1+[3]Analisis!$G$2)</f>
        <v>0.45220022462999993</v>
      </c>
      <c r="AG995" s="86">
        <f>+AF995*Analisis!$J$8</f>
        <v>48.180857267125006</v>
      </c>
      <c r="AH995" s="309">
        <f t="shared" si="126"/>
        <v>198.59241229784095</v>
      </c>
      <c r="AI995" s="86">
        <f>+AH995/(1-Analisis!G1000)</f>
        <v>198.59241229784095</v>
      </c>
      <c r="AJ995" s="86">
        <f t="shared" si="121"/>
        <v>213.54022827724836</v>
      </c>
      <c r="AK995" s="86">
        <f t="shared" si="127"/>
        <v>0</v>
      </c>
      <c r="AL995" s="310" t="e">
        <f>+VLOOKUP(B995,#REF!,2,FALSE)</f>
        <v>#REF!</v>
      </c>
      <c r="AM995" s="311" t="e">
        <f t="shared" si="124"/>
        <v>#REF!</v>
      </c>
      <c r="AN995" s="312" t="e">
        <f t="shared" si="129"/>
        <v>#REF!</v>
      </c>
    </row>
    <row r="996" spans="1:40" s="73" customFormat="1" x14ac:dyDescent="0.25">
      <c r="A996" s="313"/>
      <c r="B996" s="329" t="s">
        <v>1650</v>
      </c>
      <c r="D996" s="74">
        <f>IFERROR(VLOOKUP(B996,'REQ. PINTADO'!B:C,2,0),0)</f>
        <v>0</v>
      </c>
      <c r="E996" s="305">
        <f t="shared" si="114"/>
        <v>950.4544390951088</v>
      </c>
      <c r="F996" s="103" t="s">
        <v>166</v>
      </c>
      <c r="G996" s="75" t="s">
        <v>147</v>
      </c>
      <c r="H996" s="90">
        <v>17.489999999999998</v>
      </c>
      <c r="I996" s="90">
        <v>111.03</v>
      </c>
      <c r="J996" s="76">
        <v>0.105</v>
      </c>
      <c r="K996" s="306">
        <v>16.38</v>
      </c>
      <c r="L996" s="78">
        <f t="shared" si="115"/>
        <v>59.114512732098738</v>
      </c>
      <c r="M996" s="58">
        <f>+VLOOKUP(F996,Material!$H$2:$M$17,6,FALSE)*H996*I996*(1+Material!$K$14)</f>
        <v>440.13441752353509</v>
      </c>
      <c r="N996" s="79" t="str">
        <f t="shared" si="132"/>
        <v>T5.0</v>
      </c>
      <c r="O996" s="80">
        <f>+VLOOKUP(N996,[3]Material!$A$3:$B$58,2,FALSE)</f>
        <v>5000</v>
      </c>
      <c r="P996" s="79" t="s">
        <v>42</v>
      </c>
      <c r="Q996" s="79" t="str">
        <f>+VLOOKUP(F996,[3]Material!$C$2:$E$12,2,FALSE)</f>
        <v>Cal 16</v>
      </c>
      <c r="R996" s="81">
        <f>+IF(P996="ACERO A36",VLOOKUP(Q996,'[3]Velocidades Std 1500 w'!$B$2:$F$15,5,FALSE),IF(P996="INOXIDABLE",VLOOKUP(Q996,'[3]Velocidades Std 1500 w'!$B$17:$F$28,5,FALSE),IF(P996="ALUMINIO",VLOOKUP(Q996,'[3]Velocidades Std 1500 w'!$B$30:$F$38,5,FALSE))))</f>
        <v>9.1575091575091579E-7</v>
      </c>
      <c r="S996" s="82">
        <f t="shared" si="116"/>
        <v>4.578754578754579E-3</v>
      </c>
      <c r="T996" s="83">
        <f t="shared" si="117"/>
        <v>23.522940000000002</v>
      </c>
      <c r="U996" s="307">
        <f t="shared" si="130"/>
        <v>7135.2918000000009</v>
      </c>
      <c r="V996" s="80">
        <f t="shared" si="122"/>
        <v>32.670750000000005</v>
      </c>
      <c r="W996" s="98">
        <v>7</v>
      </c>
      <c r="X996" s="84">
        <f>+IF(P996="ACERO A36",VLOOKUP(Q996,'[3]Tiempo Objeto'!$B$2:$C$12,2,FALSE),IF(P996="INOXIDABLE",VLOOKUP(Q996,'[3]Tiempo Objeto'!$B$14:$C$22,2,FALSE),IF(P996="ALUMINIO",VLOOKUP(Q996,'[3]Tiempo Objeto'!$B$24:$C$32,2,FALSE))))</f>
        <v>0.24666666666666667</v>
      </c>
      <c r="Y996" s="84">
        <f t="shared" si="118"/>
        <v>1.7266666666666668</v>
      </c>
      <c r="Z996" s="80">
        <f t="shared" si="119"/>
        <v>2.3981481481481484</v>
      </c>
      <c r="AA996" s="100">
        <v>3</v>
      </c>
      <c r="AB996" s="86">
        <f>+AA996*Analisis!$J$6</f>
        <v>75</v>
      </c>
      <c r="AC996" s="100"/>
      <c r="AD996" s="85">
        <f t="shared" si="120"/>
        <v>0</v>
      </c>
      <c r="AE996" s="86">
        <f>+AC996*Analisis!$J$7</f>
        <v>0</v>
      </c>
      <c r="AF996" s="308">
        <f>+H996*0.0254*I996*0.0254*2*(1+[3]Analisis!$G$2)</f>
        <v>3.1321142196299996</v>
      </c>
      <c r="AG996" s="86">
        <f>+AF996*Analisis!$J$8</f>
        <v>333.71931268676792</v>
      </c>
      <c r="AH996" s="309">
        <f t="shared" si="126"/>
        <v>883.92262835845111</v>
      </c>
      <c r="AI996" s="86">
        <f>+AH996/(1-Analisis!G1001)</f>
        <v>883.92262835845111</v>
      </c>
      <c r="AJ996" s="86">
        <f t="shared" si="121"/>
        <v>950.4544390951088</v>
      </c>
      <c r="AK996" s="86">
        <f t="shared" si="127"/>
        <v>0</v>
      </c>
      <c r="AL996" s="310" t="e">
        <f>+VLOOKUP(B996,#REF!,2,FALSE)</f>
        <v>#REF!</v>
      </c>
      <c r="AM996" s="311" t="e">
        <f t="shared" si="124"/>
        <v>#REF!</v>
      </c>
      <c r="AN996" s="312" t="e">
        <f t="shared" si="129"/>
        <v>#REF!</v>
      </c>
    </row>
    <row r="997" spans="1:40" s="73" customFormat="1" x14ac:dyDescent="0.25">
      <c r="A997" s="313"/>
      <c r="B997" s="329" t="s">
        <v>1651</v>
      </c>
      <c r="D997" s="74">
        <f>IFERROR(VLOOKUP(B997,'REQ. PINTADO'!B:C,2,0),0)</f>
        <v>0</v>
      </c>
      <c r="E997" s="305">
        <f t="shared" si="114"/>
        <v>989.23939755920662</v>
      </c>
      <c r="F997" s="103" t="s">
        <v>166</v>
      </c>
      <c r="G997" s="75" t="s">
        <v>147</v>
      </c>
      <c r="H997" s="90">
        <v>17.489999999999998</v>
      </c>
      <c r="I997" s="90">
        <v>116.03</v>
      </c>
      <c r="J997" s="76">
        <v>0.105</v>
      </c>
      <c r="K997" s="306">
        <v>16.38</v>
      </c>
      <c r="L997" s="78">
        <f t="shared" si="115"/>
        <v>61.776609135417608</v>
      </c>
      <c r="M997" s="58">
        <f>+VLOOKUP(F997,Material!$H$2:$M$17,6,FALSE)*H997*I997*(1+Material!$K$14)</f>
        <v>459.95493529006376</v>
      </c>
      <c r="N997" s="79" t="str">
        <f t="shared" si="132"/>
        <v>T5.0</v>
      </c>
      <c r="O997" s="80">
        <f>+VLOOKUP(N997,[3]Material!$A$3:$B$58,2,FALSE)</f>
        <v>5000</v>
      </c>
      <c r="P997" s="79" t="s">
        <v>42</v>
      </c>
      <c r="Q997" s="79" t="str">
        <f>+VLOOKUP(F997,[3]Material!$C$2:$E$12,2,FALSE)</f>
        <v>Cal 16</v>
      </c>
      <c r="R997" s="81">
        <f>+IF(P997="ACERO A36",VLOOKUP(Q997,'[3]Velocidades Std 1500 w'!$B$2:$F$15,5,FALSE),IF(P997="INOXIDABLE",VLOOKUP(Q997,'[3]Velocidades Std 1500 w'!$B$17:$F$28,5,FALSE),IF(P997="ALUMINIO",VLOOKUP(Q997,'[3]Velocidades Std 1500 w'!$B$30:$F$38,5,FALSE))))</f>
        <v>9.1575091575091579E-7</v>
      </c>
      <c r="S997" s="82">
        <f t="shared" si="116"/>
        <v>4.578754578754579E-3</v>
      </c>
      <c r="T997" s="83">
        <f t="shared" si="117"/>
        <v>24.402170769230771</v>
      </c>
      <c r="U997" s="307">
        <f t="shared" si="130"/>
        <v>7401.9918000000007</v>
      </c>
      <c r="V997" s="80">
        <f t="shared" si="122"/>
        <v>33.891903846153852</v>
      </c>
      <c r="W997" s="98">
        <v>7</v>
      </c>
      <c r="X997" s="84">
        <f>+IF(P997="ACERO A36",VLOOKUP(Q997,'[3]Tiempo Objeto'!$B$2:$C$12,2,FALSE),IF(P997="INOXIDABLE",VLOOKUP(Q997,'[3]Tiempo Objeto'!$B$14:$C$22,2,FALSE),IF(P997="ALUMINIO",VLOOKUP(Q997,'[3]Tiempo Objeto'!$B$24:$C$32,2,FALSE))))</f>
        <v>0.24666666666666667</v>
      </c>
      <c r="Y997" s="84">
        <f t="shared" si="118"/>
        <v>1.7266666666666668</v>
      </c>
      <c r="Z997" s="80">
        <f t="shared" si="119"/>
        <v>2.3981481481481484</v>
      </c>
      <c r="AA997" s="100">
        <v>3</v>
      </c>
      <c r="AB997" s="86">
        <f>+AA997*Analisis!$J$6</f>
        <v>75</v>
      </c>
      <c r="AC997" s="100"/>
      <c r="AD997" s="85">
        <f t="shared" si="120"/>
        <v>0</v>
      </c>
      <c r="AE997" s="86">
        <f>+AC997*Analisis!$J$7</f>
        <v>0</v>
      </c>
      <c r="AF997" s="308">
        <f>+H997*0.0254*I997*0.0254*2*(1+[3]Analisis!$G$2)</f>
        <v>3.2731623246299995</v>
      </c>
      <c r="AG997" s="86">
        <f>+AF997*Analisis!$J$8</f>
        <v>348.74765244569647</v>
      </c>
      <c r="AH997" s="309">
        <f t="shared" si="126"/>
        <v>919.99263973006214</v>
      </c>
      <c r="AI997" s="86">
        <f>+AH997/(1-Analisis!G1002)</f>
        <v>919.99263973006214</v>
      </c>
      <c r="AJ997" s="86">
        <f t="shared" si="121"/>
        <v>989.23939755920662</v>
      </c>
      <c r="AK997" s="86">
        <f t="shared" si="127"/>
        <v>0</v>
      </c>
      <c r="AL997" s="310" t="e">
        <f>+VLOOKUP(B997,#REF!,2,FALSE)</f>
        <v>#REF!</v>
      </c>
      <c r="AM997" s="311" t="e">
        <f t="shared" si="124"/>
        <v>#REF!</v>
      </c>
      <c r="AN997" s="312" t="e">
        <f t="shared" si="129"/>
        <v>#REF!</v>
      </c>
    </row>
    <row r="998" spans="1:40" s="73" customFormat="1" x14ac:dyDescent="0.25">
      <c r="A998" s="313"/>
      <c r="B998" s="329" t="s">
        <v>1652</v>
      </c>
      <c r="D998" s="74">
        <f>IFERROR(VLOOKUP(B998,'REQ. PINTADO'!B:C,2,0),0)</f>
        <v>0</v>
      </c>
      <c r="E998" s="305">
        <f t="shared" si="114"/>
        <v>1028.0243560233046</v>
      </c>
      <c r="F998" s="103" t="s">
        <v>166</v>
      </c>
      <c r="G998" s="75" t="s">
        <v>147</v>
      </c>
      <c r="H998" s="90">
        <v>17.489999999999998</v>
      </c>
      <c r="I998" s="90">
        <v>121.03</v>
      </c>
      <c r="J998" s="76">
        <v>0.105</v>
      </c>
      <c r="K998" s="306">
        <v>16.38</v>
      </c>
      <c r="L998" s="78">
        <f t="shared" si="115"/>
        <v>64.438705538736471</v>
      </c>
      <c r="M998" s="58">
        <f>+VLOOKUP(F998,Material!$H$2:$M$17,6,FALSE)*H998*I998*(1+Material!$K$14)</f>
        <v>479.77545305659243</v>
      </c>
      <c r="N998" s="79" t="str">
        <f t="shared" si="132"/>
        <v>T5.0</v>
      </c>
      <c r="O998" s="80">
        <f>+VLOOKUP(N998,[3]Material!$A$3:$B$58,2,FALSE)</f>
        <v>5000</v>
      </c>
      <c r="P998" s="79" t="s">
        <v>42</v>
      </c>
      <c r="Q998" s="79" t="str">
        <f>+VLOOKUP(F998,[3]Material!$C$2:$E$12,2,FALSE)</f>
        <v>Cal 16</v>
      </c>
      <c r="R998" s="81">
        <f>+IF(P998="ACERO A36",VLOOKUP(Q998,'[3]Velocidades Std 1500 w'!$B$2:$F$15,5,FALSE),IF(P998="INOXIDABLE",VLOOKUP(Q998,'[3]Velocidades Std 1500 w'!$B$17:$F$28,5,FALSE),IF(P998="ALUMINIO",VLOOKUP(Q998,'[3]Velocidades Std 1500 w'!$B$30:$F$38,5,FALSE))))</f>
        <v>9.1575091575091579E-7</v>
      </c>
      <c r="S998" s="82">
        <f t="shared" si="116"/>
        <v>4.578754578754579E-3</v>
      </c>
      <c r="T998" s="83">
        <f t="shared" si="117"/>
        <v>25.281401538461541</v>
      </c>
      <c r="U998" s="307">
        <f t="shared" si="130"/>
        <v>7668.6918000000005</v>
      </c>
      <c r="V998" s="80">
        <f t="shared" si="122"/>
        <v>35.113057692307699</v>
      </c>
      <c r="W998" s="98">
        <v>7</v>
      </c>
      <c r="X998" s="84">
        <f>+IF(P998="ACERO A36",VLOOKUP(Q998,'[3]Tiempo Objeto'!$B$2:$C$12,2,FALSE),IF(P998="INOXIDABLE",VLOOKUP(Q998,'[3]Tiempo Objeto'!$B$14:$C$22,2,FALSE),IF(P998="ALUMINIO",VLOOKUP(Q998,'[3]Tiempo Objeto'!$B$24:$C$32,2,FALSE))))</f>
        <v>0.24666666666666667</v>
      </c>
      <c r="Y998" s="84">
        <f t="shared" si="118"/>
        <v>1.7266666666666668</v>
      </c>
      <c r="Z998" s="80">
        <f t="shared" si="119"/>
        <v>2.3981481481481484</v>
      </c>
      <c r="AA998" s="100">
        <v>3</v>
      </c>
      <c r="AB998" s="86">
        <f>+AA998*Analisis!$J$6</f>
        <v>75</v>
      </c>
      <c r="AC998" s="100"/>
      <c r="AD998" s="85">
        <f t="shared" si="120"/>
        <v>0</v>
      </c>
      <c r="AE998" s="86">
        <f>+AC998*Analisis!$J$7</f>
        <v>0</v>
      </c>
      <c r="AF998" s="308">
        <f>+H998*0.0254*I998*0.0254*2*(1+[3]Analisis!$G$2)</f>
        <v>3.4142104296299989</v>
      </c>
      <c r="AG998" s="86">
        <f>+AF998*Analisis!$J$8</f>
        <v>363.77599220462497</v>
      </c>
      <c r="AH998" s="309">
        <f t="shared" si="126"/>
        <v>956.06265110167328</v>
      </c>
      <c r="AI998" s="86">
        <f>+AH998/(1-Analisis!G1003)</f>
        <v>956.06265110167328</v>
      </c>
      <c r="AJ998" s="86">
        <f t="shared" si="121"/>
        <v>1028.0243560233046</v>
      </c>
      <c r="AK998" s="86">
        <f t="shared" si="127"/>
        <v>0</v>
      </c>
      <c r="AL998" s="310" t="e">
        <f>+VLOOKUP(B998,#REF!,2,FALSE)</f>
        <v>#REF!</v>
      </c>
      <c r="AM998" s="311" t="e">
        <f t="shared" si="124"/>
        <v>#REF!</v>
      </c>
      <c r="AN998" s="312" t="e">
        <f t="shared" si="129"/>
        <v>#REF!</v>
      </c>
    </row>
    <row r="999" spans="1:40" s="73" customFormat="1" x14ac:dyDescent="0.25">
      <c r="A999" s="313"/>
      <c r="B999" s="329" t="s">
        <v>1653</v>
      </c>
      <c r="D999" s="74">
        <f>IFERROR(VLOOKUP(B999,'REQ. PINTADO'!B:C,2,0),0)</f>
        <v>0</v>
      </c>
      <c r="E999" s="305">
        <f t="shared" si="114"/>
        <v>1066.8093144874024</v>
      </c>
      <c r="F999" s="103" t="s">
        <v>166</v>
      </c>
      <c r="G999" s="75" t="s">
        <v>147</v>
      </c>
      <c r="H999" s="90">
        <v>17.489999999999998</v>
      </c>
      <c r="I999" s="90">
        <v>126.03</v>
      </c>
      <c r="J999" s="76">
        <v>0.105</v>
      </c>
      <c r="K999" s="306">
        <v>16.38</v>
      </c>
      <c r="L999" s="78">
        <f t="shared" si="115"/>
        <v>67.100801942055341</v>
      </c>
      <c r="M999" s="58">
        <f>+VLOOKUP(F999,Material!$H$2:$M$17,6,FALSE)*H999*I999*(1+Material!$K$14)</f>
        <v>499.59597082312104</v>
      </c>
      <c r="N999" s="79" t="str">
        <f t="shared" si="132"/>
        <v>T5.0</v>
      </c>
      <c r="O999" s="80">
        <f>+VLOOKUP(N999,[3]Material!$A$3:$B$58,2,FALSE)</f>
        <v>5000</v>
      </c>
      <c r="P999" s="79" t="s">
        <v>42</v>
      </c>
      <c r="Q999" s="79" t="str">
        <f>+VLOOKUP(F999,[3]Material!$C$2:$E$12,2,FALSE)</f>
        <v>Cal 16</v>
      </c>
      <c r="R999" s="81">
        <f>+IF(P999="ACERO A36",VLOOKUP(Q999,'[3]Velocidades Std 1500 w'!$B$2:$F$15,5,FALSE),IF(P999="INOXIDABLE",VLOOKUP(Q999,'[3]Velocidades Std 1500 w'!$B$17:$F$28,5,FALSE),IF(P999="ALUMINIO",VLOOKUP(Q999,'[3]Velocidades Std 1500 w'!$B$30:$F$38,5,FALSE))))</f>
        <v>9.1575091575091579E-7</v>
      </c>
      <c r="S999" s="82">
        <f t="shared" si="116"/>
        <v>4.578754578754579E-3</v>
      </c>
      <c r="T999" s="83">
        <f t="shared" si="117"/>
        <v>26.160632307692314</v>
      </c>
      <c r="U999" s="307">
        <f t="shared" si="130"/>
        <v>7935.3918000000012</v>
      </c>
      <c r="V999" s="80">
        <f t="shared" si="122"/>
        <v>36.334211538461545</v>
      </c>
      <c r="W999" s="98">
        <v>7</v>
      </c>
      <c r="X999" s="84">
        <f>+IF(P999="ACERO A36",VLOOKUP(Q999,'[3]Tiempo Objeto'!$B$2:$C$12,2,FALSE),IF(P999="INOXIDABLE",VLOOKUP(Q999,'[3]Tiempo Objeto'!$B$14:$C$22,2,FALSE),IF(P999="ALUMINIO",VLOOKUP(Q999,'[3]Tiempo Objeto'!$B$24:$C$32,2,FALSE))))</f>
        <v>0.24666666666666667</v>
      </c>
      <c r="Y999" s="84">
        <f t="shared" si="118"/>
        <v>1.7266666666666668</v>
      </c>
      <c r="Z999" s="80">
        <f t="shared" si="119"/>
        <v>2.3981481481481484</v>
      </c>
      <c r="AA999" s="100">
        <v>3</v>
      </c>
      <c r="AB999" s="86">
        <f>+AA999*Analisis!$J$6</f>
        <v>75</v>
      </c>
      <c r="AC999" s="100"/>
      <c r="AD999" s="85">
        <f t="shared" si="120"/>
        <v>0</v>
      </c>
      <c r="AE999" s="86">
        <f>+AC999*Analisis!$J$7</f>
        <v>0</v>
      </c>
      <c r="AF999" s="308">
        <f>+H999*0.0254*I999*0.0254*2*(1+[3]Analisis!$G$2)</f>
        <v>3.5552585346299992</v>
      </c>
      <c r="AG999" s="86">
        <f>+AF999*Analisis!$J$8</f>
        <v>378.80433196355358</v>
      </c>
      <c r="AH999" s="309">
        <f t="shared" si="126"/>
        <v>992.1326624732842</v>
      </c>
      <c r="AI999" s="86">
        <f>+AH999/(1-Analisis!G1004)</f>
        <v>992.1326624732842</v>
      </c>
      <c r="AJ999" s="86">
        <f t="shared" si="121"/>
        <v>1066.8093144874024</v>
      </c>
      <c r="AK999" s="86">
        <f t="shared" si="127"/>
        <v>0</v>
      </c>
      <c r="AL999" s="310" t="e">
        <f>+VLOOKUP(B999,#REF!,2,FALSE)</f>
        <v>#REF!</v>
      </c>
      <c r="AM999" s="311" t="e">
        <f t="shared" si="124"/>
        <v>#REF!</v>
      </c>
      <c r="AN999" s="312" t="e">
        <f t="shared" si="129"/>
        <v>#REF!</v>
      </c>
    </row>
    <row r="1000" spans="1:40" s="73" customFormat="1" x14ac:dyDescent="0.25">
      <c r="A1000" s="313"/>
      <c r="B1000" s="329" t="s">
        <v>1654</v>
      </c>
      <c r="D1000" s="74">
        <f>IFERROR(VLOOKUP(B1000,'REQ. PINTADO'!B:C,2,0),0)</f>
        <v>0</v>
      </c>
      <c r="E1000" s="305">
        <f t="shared" si="114"/>
        <v>1105.5942729515004</v>
      </c>
      <c r="F1000" s="103" t="s">
        <v>166</v>
      </c>
      <c r="G1000" s="75" t="s">
        <v>147</v>
      </c>
      <c r="H1000" s="90">
        <v>17.489999999999998</v>
      </c>
      <c r="I1000" s="90">
        <v>131.03</v>
      </c>
      <c r="J1000" s="76">
        <v>0.105</v>
      </c>
      <c r="K1000" s="306">
        <v>16.38</v>
      </c>
      <c r="L1000" s="78">
        <f t="shared" si="115"/>
        <v>69.762898345374197</v>
      </c>
      <c r="M1000" s="58">
        <f>+VLOOKUP(F1000,Material!$H$2:$M$17,6,FALSE)*H1000*I1000*(1+Material!$K$14)</f>
        <v>519.4164885896497</v>
      </c>
      <c r="N1000" s="79" t="str">
        <f t="shared" si="132"/>
        <v>T5.0</v>
      </c>
      <c r="O1000" s="80">
        <f>+VLOOKUP(N1000,[3]Material!$A$3:$B$58,2,FALSE)</f>
        <v>5000</v>
      </c>
      <c r="P1000" s="79" t="s">
        <v>42</v>
      </c>
      <c r="Q1000" s="79" t="str">
        <f>+VLOOKUP(F1000,[3]Material!$C$2:$E$12,2,FALSE)</f>
        <v>Cal 16</v>
      </c>
      <c r="R1000" s="81">
        <f>+IF(P1000="ACERO A36",VLOOKUP(Q1000,'[3]Velocidades Std 1500 w'!$B$2:$F$15,5,FALSE),IF(P1000="INOXIDABLE",VLOOKUP(Q1000,'[3]Velocidades Std 1500 w'!$B$17:$F$28,5,FALSE),IF(P1000="ALUMINIO",VLOOKUP(Q1000,'[3]Velocidades Std 1500 w'!$B$30:$F$38,5,FALSE))))</f>
        <v>9.1575091575091579E-7</v>
      </c>
      <c r="S1000" s="82">
        <f t="shared" si="116"/>
        <v>4.578754578754579E-3</v>
      </c>
      <c r="T1000" s="83">
        <f t="shared" si="117"/>
        <v>27.03986307692308</v>
      </c>
      <c r="U1000" s="307">
        <f t="shared" si="130"/>
        <v>8202.0918000000001</v>
      </c>
      <c r="V1000" s="80">
        <f t="shared" si="122"/>
        <v>37.555365384615385</v>
      </c>
      <c r="W1000" s="98">
        <v>7</v>
      </c>
      <c r="X1000" s="84">
        <f>+IF(P1000="ACERO A36",VLOOKUP(Q1000,'[3]Tiempo Objeto'!$B$2:$C$12,2,FALSE),IF(P1000="INOXIDABLE",VLOOKUP(Q1000,'[3]Tiempo Objeto'!$B$14:$C$22,2,FALSE),IF(P1000="ALUMINIO",VLOOKUP(Q1000,'[3]Tiempo Objeto'!$B$24:$C$32,2,FALSE))))</f>
        <v>0.24666666666666667</v>
      </c>
      <c r="Y1000" s="84">
        <f t="shared" si="118"/>
        <v>1.7266666666666668</v>
      </c>
      <c r="Z1000" s="80">
        <f t="shared" si="119"/>
        <v>2.3981481481481484</v>
      </c>
      <c r="AA1000" s="100">
        <v>3</v>
      </c>
      <c r="AB1000" s="86">
        <f>+AA1000*Analisis!$J$6</f>
        <v>75</v>
      </c>
      <c r="AC1000" s="100"/>
      <c r="AD1000" s="85">
        <f t="shared" si="120"/>
        <v>0</v>
      </c>
      <c r="AE1000" s="86">
        <f>+AC1000*Analisis!$J$7</f>
        <v>0</v>
      </c>
      <c r="AF1000" s="308">
        <f>+H1000*0.0254*I1000*0.0254*2*(1+[3]Analisis!$G$2)</f>
        <v>3.6963066396299995</v>
      </c>
      <c r="AG1000" s="86">
        <f>+AF1000*Analisis!$J$8</f>
        <v>393.83267172248219</v>
      </c>
      <c r="AH1000" s="309">
        <f t="shared" si="126"/>
        <v>1028.2026738448953</v>
      </c>
      <c r="AI1000" s="86">
        <f>+AH1000/(1-Analisis!G1005)</f>
        <v>1028.2026738448953</v>
      </c>
      <c r="AJ1000" s="86">
        <f t="shared" si="121"/>
        <v>1105.5942729515004</v>
      </c>
      <c r="AK1000" s="86">
        <f t="shared" si="127"/>
        <v>0</v>
      </c>
      <c r="AL1000" s="310" t="e">
        <f>+VLOOKUP(B1000,#REF!,2,FALSE)</f>
        <v>#REF!</v>
      </c>
      <c r="AM1000" s="311" t="e">
        <f t="shared" si="124"/>
        <v>#REF!</v>
      </c>
      <c r="AN1000" s="312" t="e">
        <f t="shared" si="129"/>
        <v>#REF!</v>
      </c>
    </row>
    <row r="1001" spans="1:40" s="73" customFormat="1" x14ac:dyDescent="0.25">
      <c r="A1001" s="313"/>
      <c r="B1001" s="329" t="s">
        <v>1655</v>
      </c>
      <c r="D1001" s="74">
        <f>IFERROR(VLOOKUP(B1001,'REQ. PINTADO'!B:C,2,0),0)</f>
        <v>0</v>
      </c>
      <c r="E1001" s="305">
        <f t="shared" si="114"/>
        <v>474.00516575562767</v>
      </c>
      <c r="F1001" s="103" t="s">
        <v>163</v>
      </c>
      <c r="G1001" s="75" t="s">
        <v>147</v>
      </c>
      <c r="H1001" s="90">
        <v>16.079999999999998</v>
      </c>
      <c r="I1001" s="90">
        <v>29.7</v>
      </c>
      <c r="J1001" s="76">
        <v>0.105</v>
      </c>
      <c r="K1001" s="306">
        <v>16.38</v>
      </c>
      <c r="L1001" s="78">
        <f t="shared" si="115"/>
        <v>24.077131204912508</v>
      </c>
      <c r="M1001" s="58">
        <f>+VLOOKUP(F1001,Material!$H$2:$M$17,6,FALSE)*H1001*I1001*(1+Material!$K$14)</f>
        <v>179.2651859711213</v>
      </c>
      <c r="N1001" s="79" t="str">
        <f t="shared" si="132"/>
        <v>T5.0</v>
      </c>
      <c r="O1001" s="80">
        <f>+VLOOKUP(N1001,[3]Material!$A$3:$B$58,2,FALSE)</f>
        <v>5000</v>
      </c>
      <c r="P1001" s="79" t="s">
        <v>42</v>
      </c>
      <c r="Q1001" s="79" t="str">
        <f>+VLOOKUP(F1001,[3]Material!$C$2:$E$12,2,FALSE)</f>
        <v>Cal 12</v>
      </c>
      <c r="R1001" s="81">
        <f>+IF(P1001="ACERO A36",VLOOKUP(Q1001,'[3]Velocidades Std 1500 w'!$B$2:$F$15,5,FALSE),IF(P1001="INOXIDABLE",VLOOKUP(Q1001,'[3]Velocidades Std 1500 w'!$B$17:$F$28,5,FALSE),IF(P1001="ALUMINIO",VLOOKUP(Q1001,'[3]Velocidades Std 1500 w'!$B$30:$F$38,5,FALSE))))</f>
        <v>4.3859649122807014E-6</v>
      </c>
      <c r="S1001" s="82">
        <f t="shared" si="116"/>
        <v>2.1929824561403508E-2</v>
      </c>
      <c r="T1001" s="83">
        <f t="shared" si="117"/>
        <v>48.031266315789473</v>
      </c>
      <c r="U1001" s="307">
        <f t="shared" si="130"/>
        <v>3041.9802</v>
      </c>
      <c r="V1001" s="80">
        <f t="shared" si="122"/>
        <v>66.710092105263158</v>
      </c>
      <c r="W1001" s="98">
        <v>15</v>
      </c>
      <c r="X1001" s="84">
        <f>+IF(P1001="ACERO A36",VLOOKUP(Q1001,'[3]Tiempo Objeto'!$B$2:$C$12,2,FALSE),IF(P1001="INOXIDABLE",VLOOKUP(Q1001,'[3]Tiempo Objeto'!$B$14:$C$22,2,FALSE),IF(P1001="ALUMINIO",VLOOKUP(Q1001,'[3]Tiempo Objeto'!$B$24:$C$32,2,FALSE))))</f>
        <v>0.6133333333333334</v>
      </c>
      <c r="Y1001" s="84">
        <f t="shared" si="118"/>
        <v>9.2000000000000011</v>
      </c>
      <c r="Z1001" s="80">
        <f t="shared" si="119"/>
        <v>12.77777777777778</v>
      </c>
      <c r="AA1001" s="100">
        <v>4</v>
      </c>
      <c r="AB1001" s="86">
        <f>+AA1001*Analisis!$J$6</f>
        <v>100</v>
      </c>
      <c r="AC1001" s="100"/>
      <c r="AD1001" s="85">
        <f t="shared" si="120"/>
        <v>0</v>
      </c>
      <c r="AE1001" s="86">
        <f>+AC1001*Analisis!$J$7</f>
        <v>0</v>
      </c>
      <c r="AF1001" s="308">
        <f>+H1001*0.0254*I1001*0.0254*2*(1+[3]Analisis!$G$2)</f>
        <v>0.77028233039999994</v>
      </c>
      <c r="AG1001" s="86">
        <f>+AF1001*Analisis!$J$8</f>
        <v>82.07174829857145</v>
      </c>
      <c r="AH1001" s="309">
        <f t="shared" si="126"/>
        <v>440.82480415273369</v>
      </c>
      <c r="AI1001" s="86">
        <f>+AH1001/(1-Analisis!G1006)</f>
        <v>440.82480415273369</v>
      </c>
      <c r="AJ1001" s="86">
        <f t="shared" si="121"/>
        <v>474.00516575562767</v>
      </c>
      <c r="AK1001" s="86">
        <f t="shared" si="127"/>
        <v>0</v>
      </c>
      <c r="AL1001" s="310" t="e">
        <f>+VLOOKUP(B1001,#REF!,2,FALSE)</f>
        <v>#REF!</v>
      </c>
      <c r="AM1001" s="311" t="e">
        <f t="shared" si="124"/>
        <v>#REF!</v>
      </c>
      <c r="AN1001" s="312" t="e">
        <f t="shared" si="129"/>
        <v>#REF!</v>
      </c>
    </row>
    <row r="1002" spans="1:40" s="73" customFormat="1" x14ac:dyDescent="0.25">
      <c r="A1002" s="313"/>
      <c r="B1002" s="329" t="s">
        <v>1656</v>
      </c>
      <c r="D1002" s="74">
        <f>IFERROR(VLOOKUP(B1002,'REQ. PINTADO'!B:C,2,0),0)</f>
        <v>0</v>
      </c>
      <c r="E1002" s="305">
        <f t="shared" si="114"/>
        <v>538.32103813104175</v>
      </c>
      <c r="F1002" s="103" t="s">
        <v>163</v>
      </c>
      <c r="G1002" s="75" t="s">
        <v>147</v>
      </c>
      <c r="H1002" s="90">
        <v>16.079999999999998</v>
      </c>
      <c r="I1002" s="90">
        <v>35.700000000000003</v>
      </c>
      <c r="J1002" s="76">
        <v>0.105</v>
      </c>
      <c r="K1002" s="306">
        <v>16.38</v>
      </c>
      <c r="L1002" s="78">
        <f t="shared" si="115"/>
        <v>28.941198114995842</v>
      </c>
      <c r="M1002" s="58">
        <f>+VLOOKUP(F1002,Material!$H$2:$M$17,6,FALSE)*H1002*I1002*(1+Material!$K$14)</f>
        <v>215.48037505619629</v>
      </c>
      <c r="N1002" s="79" t="str">
        <f t="shared" si="132"/>
        <v>T5.0</v>
      </c>
      <c r="O1002" s="80">
        <f>+VLOOKUP(N1002,[3]Material!$A$3:$B$58,2,FALSE)</f>
        <v>5000</v>
      </c>
      <c r="P1002" s="79" t="s">
        <v>42</v>
      </c>
      <c r="Q1002" s="79" t="str">
        <f>+VLOOKUP(F1002,[3]Material!$C$2:$E$12,2,FALSE)</f>
        <v>Cal 12</v>
      </c>
      <c r="R1002" s="81">
        <f>+IF(P1002="ACERO A36",VLOOKUP(Q1002,'[3]Velocidades Std 1500 w'!$B$2:$F$15,5,FALSE),IF(P1002="INOXIDABLE",VLOOKUP(Q1002,'[3]Velocidades Std 1500 w'!$B$17:$F$28,5,FALSE),IF(P1002="ALUMINIO",VLOOKUP(Q1002,'[3]Velocidades Std 1500 w'!$B$30:$F$38,5,FALSE))))</f>
        <v>4.3859649122807014E-6</v>
      </c>
      <c r="S1002" s="82">
        <f t="shared" si="116"/>
        <v>2.1929824561403508E-2</v>
      </c>
      <c r="T1002" s="83">
        <f t="shared" si="117"/>
        <v>53.084529473684206</v>
      </c>
      <c r="U1002" s="307">
        <f t="shared" si="130"/>
        <v>3362.0201999999999</v>
      </c>
      <c r="V1002" s="80">
        <f t="shared" si="122"/>
        <v>73.728513157894724</v>
      </c>
      <c r="W1002" s="98">
        <v>15</v>
      </c>
      <c r="X1002" s="84">
        <f>+IF(P1002="ACERO A36",VLOOKUP(Q1002,'[3]Tiempo Objeto'!$B$2:$C$12,2,FALSE),IF(P1002="INOXIDABLE",VLOOKUP(Q1002,'[3]Tiempo Objeto'!$B$14:$C$22,2,FALSE),IF(P1002="ALUMINIO",VLOOKUP(Q1002,'[3]Tiempo Objeto'!$B$24:$C$32,2,FALSE))))</f>
        <v>0.6133333333333334</v>
      </c>
      <c r="Y1002" s="84">
        <f t="shared" si="118"/>
        <v>9.2000000000000011</v>
      </c>
      <c r="Z1002" s="80">
        <f t="shared" si="119"/>
        <v>12.77777777777778</v>
      </c>
      <c r="AA1002" s="100">
        <v>4</v>
      </c>
      <c r="AB1002" s="86">
        <f>+AA1002*Analisis!$J$6</f>
        <v>100</v>
      </c>
      <c r="AC1002" s="100"/>
      <c r="AD1002" s="85">
        <f t="shared" si="120"/>
        <v>0</v>
      </c>
      <c r="AE1002" s="86">
        <f>+AC1002*Analisis!$J$7</f>
        <v>0</v>
      </c>
      <c r="AF1002" s="308">
        <f>+H1002*0.0254*I1002*0.0254*2*(1+[3]Analisis!$G$2)</f>
        <v>0.92589492240000004</v>
      </c>
      <c r="AG1002" s="86">
        <f>+AF1002*Analisis!$J$8</f>
        <v>98.651899470000032</v>
      </c>
      <c r="AH1002" s="309">
        <f t="shared" si="126"/>
        <v>500.63856546186884</v>
      </c>
      <c r="AI1002" s="86">
        <f>+AH1002/(1-Analisis!G1007)</f>
        <v>500.63856546186884</v>
      </c>
      <c r="AJ1002" s="86">
        <f t="shared" si="121"/>
        <v>538.32103813104175</v>
      </c>
      <c r="AK1002" s="86">
        <f t="shared" si="127"/>
        <v>0</v>
      </c>
      <c r="AL1002" s="310" t="e">
        <f>+VLOOKUP(B1002,#REF!,2,FALSE)</f>
        <v>#REF!</v>
      </c>
      <c r="AM1002" s="311" t="e">
        <f t="shared" si="124"/>
        <v>#REF!</v>
      </c>
      <c r="AN1002" s="312" t="e">
        <f t="shared" si="129"/>
        <v>#REF!</v>
      </c>
    </row>
    <row r="1003" spans="1:40" s="73" customFormat="1" x14ac:dyDescent="0.25">
      <c r="A1003" s="313"/>
      <c r="B1003" s="329" t="s">
        <v>1657</v>
      </c>
      <c r="D1003" s="74">
        <f>IFERROR(VLOOKUP(B1003,'REQ. PINTADO'!B:C,2,0),0)</f>
        <v>0</v>
      </c>
      <c r="E1003" s="305">
        <f t="shared" si="114"/>
        <v>624.075534631594</v>
      </c>
      <c r="F1003" s="103" t="s">
        <v>163</v>
      </c>
      <c r="G1003" s="75" t="s">
        <v>147</v>
      </c>
      <c r="H1003" s="90">
        <v>16.079999999999998</v>
      </c>
      <c r="I1003" s="90">
        <v>43.7</v>
      </c>
      <c r="J1003" s="76">
        <v>0.105</v>
      </c>
      <c r="K1003" s="306">
        <v>16.38</v>
      </c>
      <c r="L1003" s="78">
        <f t="shared" si="115"/>
        <v>35.426620661773619</v>
      </c>
      <c r="M1003" s="58">
        <f>+VLOOKUP(F1003,Material!$H$2:$M$17,6,FALSE)*H1003*I1003*(1+Material!$K$14)</f>
        <v>263.76729383629629</v>
      </c>
      <c r="N1003" s="79" t="str">
        <f t="shared" si="132"/>
        <v>T5.0</v>
      </c>
      <c r="O1003" s="80">
        <f>+VLOOKUP(N1003,[3]Material!$A$3:$B$58,2,FALSE)</f>
        <v>5000</v>
      </c>
      <c r="P1003" s="79" t="s">
        <v>42</v>
      </c>
      <c r="Q1003" s="79" t="str">
        <f>+VLOOKUP(F1003,[3]Material!$C$2:$E$12,2,FALSE)</f>
        <v>Cal 12</v>
      </c>
      <c r="R1003" s="81">
        <f>+IF(P1003="ACERO A36",VLOOKUP(Q1003,'[3]Velocidades Std 1500 w'!$B$2:$F$15,5,FALSE),IF(P1003="INOXIDABLE",VLOOKUP(Q1003,'[3]Velocidades Std 1500 w'!$B$17:$F$28,5,FALSE),IF(P1003="ALUMINIO",VLOOKUP(Q1003,'[3]Velocidades Std 1500 w'!$B$30:$F$38,5,FALSE))))</f>
        <v>4.3859649122807014E-6</v>
      </c>
      <c r="S1003" s="82">
        <f t="shared" si="116"/>
        <v>2.1929824561403508E-2</v>
      </c>
      <c r="T1003" s="83">
        <f t="shared" si="117"/>
        <v>59.822213684210517</v>
      </c>
      <c r="U1003" s="307">
        <f t="shared" si="130"/>
        <v>3788.7402000000002</v>
      </c>
      <c r="V1003" s="80">
        <f t="shared" si="122"/>
        <v>83.086407894736837</v>
      </c>
      <c r="W1003" s="98">
        <v>15</v>
      </c>
      <c r="X1003" s="84">
        <f>+IF(P1003="ACERO A36",VLOOKUP(Q1003,'[3]Tiempo Objeto'!$B$2:$C$12,2,FALSE),IF(P1003="INOXIDABLE",VLOOKUP(Q1003,'[3]Tiempo Objeto'!$B$14:$C$22,2,FALSE),IF(P1003="ALUMINIO",VLOOKUP(Q1003,'[3]Tiempo Objeto'!$B$24:$C$32,2,FALSE))))</f>
        <v>0.6133333333333334</v>
      </c>
      <c r="Y1003" s="84">
        <f t="shared" si="118"/>
        <v>9.2000000000000011</v>
      </c>
      <c r="Z1003" s="80">
        <f t="shared" si="119"/>
        <v>12.77777777777778</v>
      </c>
      <c r="AA1003" s="100">
        <v>4</v>
      </c>
      <c r="AB1003" s="86">
        <f>+AA1003*Analisis!$J$6</f>
        <v>100</v>
      </c>
      <c r="AC1003" s="100"/>
      <c r="AD1003" s="85">
        <f t="shared" si="120"/>
        <v>0</v>
      </c>
      <c r="AE1003" s="86">
        <f>+AC1003*Analisis!$J$7</f>
        <v>0</v>
      </c>
      <c r="AF1003" s="308">
        <f>+H1003*0.0254*I1003*0.0254*2*(1+[3]Analisis!$G$2)</f>
        <v>1.1333783784</v>
      </c>
      <c r="AG1003" s="86">
        <f>+AF1003*Analisis!$J$8</f>
        <v>120.75876769857146</v>
      </c>
      <c r="AH1003" s="309">
        <f t="shared" si="126"/>
        <v>580.39024720738234</v>
      </c>
      <c r="AI1003" s="86">
        <f>+AH1003/(1-Analisis!G1008)</f>
        <v>580.39024720738234</v>
      </c>
      <c r="AJ1003" s="86">
        <f t="shared" si="121"/>
        <v>624.075534631594</v>
      </c>
      <c r="AK1003" s="86">
        <f t="shared" si="127"/>
        <v>0</v>
      </c>
      <c r="AL1003" s="310" t="e">
        <f>+VLOOKUP(B1003,#REF!,2,FALSE)</f>
        <v>#REF!</v>
      </c>
      <c r="AM1003" s="311" t="e">
        <f t="shared" si="124"/>
        <v>#REF!</v>
      </c>
      <c r="AN1003" s="312" t="e">
        <f t="shared" si="129"/>
        <v>#REF!</v>
      </c>
    </row>
    <row r="1004" spans="1:40" s="73" customFormat="1" x14ac:dyDescent="0.25">
      <c r="A1004" s="313"/>
      <c r="B1004" s="329" t="s">
        <v>1658</v>
      </c>
      <c r="D1004" s="74">
        <f>IFERROR(VLOOKUP(B1004,'REQ. PINTADO'!B:C,2,0),0)</f>
        <v>0</v>
      </c>
      <c r="E1004" s="305">
        <f t="shared" si="114"/>
        <v>345.37342100479924</v>
      </c>
      <c r="F1004" s="103" t="s">
        <v>163</v>
      </c>
      <c r="G1004" s="75" t="s">
        <v>147</v>
      </c>
      <c r="H1004" s="90">
        <v>16.079999999999998</v>
      </c>
      <c r="I1004" s="90">
        <v>17.7</v>
      </c>
      <c r="J1004" s="76">
        <v>0.105</v>
      </c>
      <c r="K1004" s="306">
        <v>16.38</v>
      </c>
      <c r="L1004" s="78">
        <f t="shared" si="115"/>
        <v>14.348997384745838</v>
      </c>
      <c r="M1004" s="58">
        <f>+VLOOKUP(F1004,Material!$H$2:$M$17,6,FALSE)*H1004*I1004*(1+Material!$K$14)</f>
        <v>106.83480780097126</v>
      </c>
      <c r="N1004" s="79" t="str">
        <f t="shared" si="132"/>
        <v>T5.0</v>
      </c>
      <c r="O1004" s="80">
        <f>+VLOOKUP(N1004,[3]Material!$A$3:$B$58,2,FALSE)</f>
        <v>5000</v>
      </c>
      <c r="P1004" s="79" t="s">
        <v>42</v>
      </c>
      <c r="Q1004" s="79" t="str">
        <f>+VLOOKUP(F1004,[3]Material!$C$2:$E$12,2,FALSE)</f>
        <v>Cal 12</v>
      </c>
      <c r="R1004" s="81">
        <f>+IF(P1004="ACERO A36",VLOOKUP(Q1004,'[3]Velocidades Std 1500 w'!$B$2:$F$15,5,FALSE),IF(P1004="INOXIDABLE",VLOOKUP(Q1004,'[3]Velocidades Std 1500 w'!$B$17:$F$28,5,FALSE),IF(P1004="ALUMINIO",VLOOKUP(Q1004,'[3]Velocidades Std 1500 w'!$B$30:$F$38,5,FALSE))))</f>
        <v>4.3859649122807014E-6</v>
      </c>
      <c r="S1004" s="82">
        <f t="shared" si="116"/>
        <v>2.1929824561403508E-2</v>
      </c>
      <c r="T1004" s="83">
        <f t="shared" si="117"/>
        <v>37.92474</v>
      </c>
      <c r="U1004" s="307">
        <f t="shared" si="130"/>
        <v>2401.9002</v>
      </c>
      <c r="V1004" s="80">
        <f t="shared" si="122"/>
        <v>52.673249999999996</v>
      </c>
      <c r="W1004" s="98">
        <v>15</v>
      </c>
      <c r="X1004" s="84">
        <f>+IF(P1004="ACERO A36",VLOOKUP(Q1004,'[3]Tiempo Objeto'!$B$2:$C$12,2,FALSE),IF(P1004="INOXIDABLE",VLOOKUP(Q1004,'[3]Tiempo Objeto'!$B$14:$C$22,2,FALSE),IF(P1004="ALUMINIO",VLOOKUP(Q1004,'[3]Tiempo Objeto'!$B$24:$C$32,2,FALSE))))</f>
        <v>0.6133333333333334</v>
      </c>
      <c r="Y1004" s="84">
        <f t="shared" si="118"/>
        <v>9.2000000000000011</v>
      </c>
      <c r="Z1004" s="80">
        <f t="shared" si="119"/>
        <v>12.77777777777778</v>
      </c>
      <c r="AA1004" s="100">
        <v>4</v>
      </c>
      <c r="AB1004" s="86">
        <f>+AA1004*Analisis!$J$6</f>
        <v>100</v>
      </c>
      <c r="AC1004" s="100"/>
      <c r="AD1004" s="85">
        <f t="shared" si="120"/>
        <v>0</v>
      </c>
      <c r="AE1004" s="86">
        <f>+AC1004*Analisis!$J$7</f>
        <v>0</v>
      </c>
      <c r="AF1004" s="308">
        <f>+H1004*0.0254*I1004*0.0254*2*(1+[3]Analisis!$G$2)</f>
        <v>0.45905714639999989</v>
      </c>
      <c r="AG1004" s="86">
        <f>+AF1004*Analisis!$J$8</f>
        <v>48.911445955714292</v>
      </c>
      <c r="AH1004" s="309">
        <f t="shared" si="126"/>
        <v>321.19728153446329</v>
      </c>
      <c r="AI1004" s="86">
        <f>+AH1004/(1-Analisis!G1009)</f>
        <v>321.19728153446329</v>
      </c>
      <c r="AJ1004" s="86">
        <f t="shared" si="121"/>
        <v>345.37342100479924</v>
      </c>
      <c r="AK1004" s="86">
        <f t="shared" si="127"/>
        <v>0</v>
      </c>
      <c r="AL1004" s="310" t="e">
        <f>+VLOOKUP(B1004,#REF!,2,FALSE)</f>
        <v>#REF!</v>
      </c>
      <c r="AM1004" s="311" t="e">
        <f t="shared" si="124"/>
        <v>#REF!</v>
      </c>
      <c r="AN1004" s="312" t="e">
        <f t="shared" si="129"/>
        <v>#REF!</v>
      </c>
    </row>
    <row r="1005" spans="1:40" s="73" customFormat="1" x14ac:dyDescent="0.25">
      <c r="A1005" s="313"/>
      <c r="B1005" s="329" t="s">
        <v>1659</v>
      </c>
      <c r="D1005" s="74">
        <f>IFERROR(VLOOKUP(B1005,'REQ. PINTADO'!B:C,2,0),0)</f>
        <v>0</v>
      </c>
      <c r="E1005" s="305">
        <f t="shared" si="114"/>
        <v>474.00516575562767</v>
      </c>
      <c r="F1005" s="103" t="s">
        <v>163</v>
      </c>
      <c r="G1005" s="75" t="s">
        <v>147</v>
      </c>
      <c r="H1005" s="90">
        <v>16.079999999999998</v>
      </c>
      <c r="I1005" s="90">
        <v>29.7</v>
      </c>
      <c r="J1005" s="76">
        <v>0.105</v>
      </c>
      <c r="K1005" s="306">
        <v>16.38</v>
      </c>
      <c r="L1005" s="78">
        <f t="shared" si="115"/>
        <v>24.077131204912508</v>
      </c>
      <c r="M1005" s="58">
        <f>+VLOOKUP(F1005,Material!$H$2:$M$17,6,FALSE)*H1005*I1005*(1+Material!$K$14)</f>
        <v>179.2651859711213</v>
      </c>
      <c r="N1005" s="79" t="str">
        <f t="shared" si="132"/>
        <v>T5.0</v>
      </c>
      <c r="O1005" s="80">
        <f>+VLOOKUP(N1005,[3]Material!$A$3:$B$58,2,FALSE)</f>
        <v>5000</v>
      </c>
      <c r="P1005" s="79" t="s">
        <v>42</v>
      </c>
      <c r="Q1005" s="79" t="str">
        <f>+VLOOKUP(F1005,[3]Material!$C$2:$E$12,2,FALSE)</f>
        <v>Cal 12</v>
      </c>
      <c r="R1005" s="81">
        <f>+IF(P1005="ACERO A36",VLOOKUP(Q1005,'[3]Velocidades Std 1500 w'!$B$2:$F$15,5,FALSE),IF(P1005="INOXIDABLE",VLOOKUP(Q1005,'[3]Velocidades Std 1500 w'!$B$17:$F$28,5,FALSE),IF(P1005="ALUMINIO",VLOOKUP(Q1005,'[3]Velocidades Std 1500 w'!$B$30:$F$38,5,FALSE))))</f>
        <v>4.3859649122807014E-6</v>
      </c>
      <c r="S1005" s="82">
        <f t="shared" si="116"/>
        <v>2.1929824561403508E-2</v>
      </c>
      <c r="T1005" s="83">
        <f t="shared" si="117"/>
        <v>48.031266315789473</v>
      </c>
      <c r="U1005" s="307">
        <f t="shared" si="130"/>
        <v>3041.9802</v>
      </c>
      <c r="V1005" s="80">
        <f t="shared" si="122"/>
        <v>66.710092105263158</v>
      </c>
      <c r="W1005" s="98">
        <v>15</v>
      </c>
      <c r="X1005" s="84">
        <f>+IF(P1005="ACERO A36",VLOOKUP(Q1005,'[3]Tiempo Objeto'!$B$2:$C$12,2,FALSE),IF(P1005="INOXIDABLE",VLOOKUP(Q1005,'[3]Tiempo Objeto'!$B$14:$C$22,2,FALSE),IF(P1005="ALUMINIO",VLOOKUP(Q1005,'[3]Tiempo Objeto'!$B$24:$C$32,2,FALSE))))</f>
        <v>0.6133333333333334</v>
      </c>
      <c r="Y1005" s="84">
        <f t="shared" si="118"/>
        <v>9.2000000000000011</v>
      </c>
      <c r="Z1005" s="80">
        <f t="shared" si="119"/>
        <v>12.77777777777778</v>
      </c>
      <c r="AA1005" s="100">
        <v>4</v>
      </c>
      <c r="AB1005" s="86">
        <f>+AA1005*Analisis!$J$6</f>
        <v>100</v>
      </c>
      <c r="AC1005" s="100"/>
      <c r="AD1005" s="85">
        <f t="shared" si="120"/>
        <v>0</v>
      </c>
      <c r="AE1005" s="86">
        <f>+AC1005*Analisis!$J$7</f>
        <v>0</v>
      </c>
      <c r="AF1005" s="308">
        <f>+H1005*0.0254*I1005*0.0254*2*(1+[3]Analisis!$G$2)</f>
        <v>0.77028233039999994</v>
      </c>
      <c r="AG1005" s="86">
        <f>+AF1005*Analisis!$J$8</f>
        <v>82.07174829857145</v>
      </c>
      <c r="AH1005" s="309">
        <f t="shared" si="126"/>
        <v>440.82480415273369</v>
      </c>
      <c r="AI1005" s="86">
        <f>+AH1005/(1-Analisis!G1010)</f>
        <v>440.82480415273369</v>
      </c>
      <c r="AJ1005" s="86">
        <f t="shared" si="121"/>
        <v>474.00516575562767</v>
      </c>
      <c r="AK1005" s="86">
        <f t="shared" si="127"/>
        <v>0</v>
      </c>
      <c r="AL1005" s="310" t="e">
        <f>+VLOOKUP(B1005,#REF!,2,FALSE)</f>
        <v>#REF!</v>
      </c>
      <c r="AM1005" s="311" t="e">
        <f t="shared" si="124"/>
        <v>#REF!</v>
      </c>
      <c r="AN1005" s="312" t="e">
        <f t="shared" si="129"/>
        <v>#REF!</v>
      </c>
    </row>
    <row r="1006" spans="1:40" s="73" customFormat="1" x14ac:dyDescent="0.25">
      <c r="A1006" s="313"/>
      <c r="B1006" s="329" t="s">
        <v>1660</v>
      </c>
      <c r="D1006" s="74">
        <f>IFERROR(VLOOKUP(B1006,'REQ. PINTADO'!B:C,2,0),0)</f>
        <v>0</v>
      </c>
      <c r="E1006" s="305">
        <f t="shared" si="114"/>
        <v>538.32103813104175</v>
      </c>
      <c r="F1006" s="103" t="s">
        <v>163</v>
      </c>
      <c r="G1006" s="75" t="s">
        <v>147</v>
      </c>
      <c r="H1006" s="90">
        <v>16.079999999999998</v>
      </c>
      <c r="I1006" s="90">
        <v>35.700000000000003</v>
      </c>
      <c r="J1006" s="76">
        <v>0.105</v>
      </c>
      <c r="K1006" s="306">
        <v>16.38</v>
      </c>
      <c r="L1006" s="78">
        <f t="shared" si="115"/>
        <v>28.941198114995842</v>
      </c>
      <c r="M1006" s="58">
        <f>+VLOOKUP(F1006,Material!$H$2:$M$17,6,FALSE)*H1006*I1006*(1+Material!$K$14)</f>
        <v>215.48037505619629</v>
      </c>
      <c r="N1006" s="79" t="str">
        <f t="shared" si="132"/>
        <v>T5.0</v>
      </c>
      <c r="O1006" s="80">
        <f>+VLOOKUP(N1006,[3]Material!$A$3:$B$58,2,FALSE)</f>
        <v>5000</v>
      </c>
      <c r="P1006" s="79" t="s">
        <v>42</v>
      </c>
      <c r="Q1006" s="79" t="str">
        <f>+VLOOKUP(F1006,[3]Material!$C$2:$E$12,2,FALSE)</f>
        <v>Cal 12</v>
      </c>
      <c r="R1006" s="81">
        <f>+IF(P1006="ACERO A36",VLOOKUP(Q1006,'[3]Velocidades Std 1500 w'!$B$2:$F$15,5,FALSE),IF(P1006="INOXIDABLE",VLOOKUP(Q1006,'[3]Velocidades Std 1500 w'!$B$17:$F$28,5,FALSE),IF(P1006="ALUMINIO",VLOOKUP(Q1006,'[3]Velocidades Std 1500 w'!$B$30:$F$38,5,FALSE))))</f>
        <v>4.3859649122807014E-6</v>
      </c>
      <c r="S1006" s="82">
        <f t="shared" si="116"/>
        <v>2.1929824561403508E-2</v>
      </c>
      <c r="T1006" s="83">
        <f t="shared" si="117"/>
        <v>53.084529473684206</v>
      </c>
      <c r="U1006" s="307">
        <f t="shared" si="130"/>
        <v>3362.0201999999999</v>
      </c>
      <c r="V1006" s="80">
        <f t="shared" si="122"/>
        <v>73.728513157894724</v>
      </c>
      <c r="W1006" s="98">
        <v>15</v>
      </c>
      <c r="X1006" s="84">
        <f>+IF(P1006="ACERO A36",VLOOKUP(Q1006,'[3]Tiempo Objeto'!$B$2:$C$12,2,FALSE),IF(P1006="INOXIDABLE",VLOOKUP(Q1006,'[3]Tiempo Objeto'!$B$14:$C$22,2,FALSE),IF(P1006="ALUMINIO",VLOOKUP(Q1006,'[3]Tiempo Objeto'!$B$24:$C$32,2,FALSE))))</f>
        <v>0.6133333333333334</v>
      </c>
      <c r="Y1006" s="84">
        <f t="shared" si="118"/>
        <v>9.2000000000000011</v>
      </c>
      <c r="Z1006" s="80">
        <f t="shared" si="119"/>
        <v>12.77777777777778</v>
      </c>
      <c r="AA1006" s="100">
        <v>4</v>
      </c>
      <c r="AB1006" s="86">
        <f>+AA1006*Analisis!$J$6</f>
        <v>100</v>
      </c>
      <c r="AC1006" s="100"/>
      <c r="AD1006" s="85">
        <f t="shared" si="120"/>
        <v>0</v>
      </c>
      <c r="AE1006" s="86">
        <f>+AC1006*Analisis!$J$7</f>
        <v>0</v>
      </c>
      <c r="AF1006" s="308">
        <f>+H1006*0.0254*I1006*0.0254*2*(1+[3]Analisis!$G$2)</f>
        <v>0.92589492240000004</v>
      </c>
      <c r="AG1006" s="86">
        <f>+AF1006*Analisis!$J$8</f>
        <v>98.651899470000032</v>
      </c>
      <c r="AH1006" s="309">
        <f t="shared" si="126"/>
        <v>500.63856546186884</v>
      </c>
      <c r="AI1006" s="86">
        <f>+AH1006/(1-Analisis!G1011)</f>
        <v>500.63856546186884</v>
      </c>
      <c r="AJ1006" s="86">
        <f t="shared" si="121"/>
        <v>538.32103813104175</v>
      </c>
      <c r="AK1006" s="86">
        <f t="shared" si="127"/>
        <v>0</v>
      </c>
      <c r="AL1006" s="310" t="e">
        <f>+VLOOKUP(B1006,#REF!,2,FALSE)</f>
        <v>#REF!</v>
      </c>
      <c r="AM1006" s="311" t="e">
        <f t="shared" si="124"/>
        <v>#REF!</v>
      </c>
      <c r="AN1006" s="312" t="e">
        <f t="shared" si="129"/>
        <v>#REF!</v>
      </c>
    </row>
    <row r="1007" spans="1:40" s="73" customFormat="1" x14ac:dyDescent="0.25">
      <c r="A1007" s="313"/>
      <c r="B1007" s="329" t="s">
        <v>1661</v>
      </c>
      <c r="D1007" s="74">
        <f>IFERROR(VLOOKUP(B1007,'REQ. PINTADO'!B:C,2,0),0)</f>
        <v>0</v>
      </c>
      <c r="E1007" s="305">
        <f t="shared" si="114"/>
        <v>624.075534631594</v>
      </c>
      <c r="F1007" s="103" t="s">
        <v>163</v>
      </c>
      <c r="G1007" s="75" t="s">
        <v>147</v>
      </c>
      <c r="H1007" s="90">
        <v>16.079999999999998</v>
      </c>
      <c r="I1007" s="90">
        <v>43.7</v>
      </c>
      <c r="J1007" s="76">
        <v>0.105</v>
      </c>
      <c r="K1007" s="306">
        <v>16.38</v>
      </c>
      <c r="L1007" s="78">
        <f t="shared" si="115"/>
        <v>35.426620661773619</v>
      </c>
      <c r="M1007" s="58">
        <f>+VLOOKUP(F1007,Material!$H$2:$M$17,6,FALSE)*H1007*I1007*(1+Material!$K$14)</f>
        <v>263.76729383629629</v>
      </c>
      <c r="N1007" s="79" t="str">
        <f t="shared" si="132"/>
        <v>T5.0</v>
      </c>
      <c r="O1007" s="80">
        <f>+VLOOKUP(N1007,[3]Material!$A$3:$B$58,2,FALSE)</f>
        <v>5000</v>
      </c>
      <c r="P1007" s="79" t="s">
        <v>42</v>
      </c>
      <c r="Q1007" s="79" t="str">
        <f>+VLOOKUP(F1007,[3]Material!$C$2:$E$12,2,FALSE)</f>
        <v>Cal 12</v>
      </c>
      <c r="R1007" s="81">
        <f>+IF(P1007="ACERO A36",VLOOKUP(Q1007,'[3]Velocidades Std 1500 w'!$B$2:$F$15,5,FALSE),IF(P1007="INOXIDABLE",VLOOKUP(Q1007,'[3]Velocidades Std 1500 w'!$B$17:$F$28,5,FALSE),IF(P1007="ALUMINIO",VLOOKUP(Q1007,'[3]Velocidades Std 1500 w'!$B$30:$F$38,5,FALSE))))</f>
        <v>4.3859649122807014E-6</v>
      </c>
      <c r="S1007" s="82">
        <f t="shared" si="116"/>
        <v>2.1929824561403508E-2</v>
      </c>
      <c r="T1007" s="83">
        <f t="shared" si="117"/>
        <v>59.822213684210517</v>
      </c>
      <c r="U1007" s="307">
        <f t="shared" si="130"/>
        <v>3788.7402000000002</v>
      </c>
      <c r="V1007" s="80">
        <f t="shared" si="122"/>
        <v>83.086407894736837</v>
      </c>
      <c r="W1007" s="98">
        <v>15</v>
      </c>
      <c r="X1007" s="84">
        <f>+IF(P1007="ACERO A36",VLOOKUP(Q1007,'[3]Tiempo Objeto'!$B$2:$C$12,2,FALSE),IF(P1007="INOXIDABLE",VLOOKUP(Q1007,'[3]Tiempo Objeto'!$B$14:$C$22,2,FALSE),IF(P1007="ALUMINIO",VLOOKUP(Q1007,'[3]Tiempo Objeto'!$B$24:$C$32,2,FALSE))))</f>
        <v>0.6133333333333334</v>
      </c>
      <c r="Y1007" s="84">
        <f t="shared" si="118"/>
        <v>9.2000000000000011</v>
      </c>
      <c r="Z1007" s="80">
        <f t="shared" si="119"/>
        <v>12.77777777777778</v>
      </c>
      <c r="AA1007" s="100">
        <v>4</v>
      </c>
      <c r="AB1007" s="86">
        <f>+AA1007*Analisis!$J$6</f>
        <v>100</v>
      </c>
      <c r="AC1007" s="100"/>
      <c r="AD1007" s="85">
        <f t="shared" si="120"/>
        <v>0</v>
      </c>
      <c r="AE1007" s="86">
        <f>+AC1007*Analisis!$J$7</f>
        <v>0</v>
      </c>
      <c r="AF1007" s="308">
        <f>+H1007*0.0254*I1007*0.0254*2*(1+[3]Analisis!$G$2)</f>
        <v>1.1333783784</v>
      </c>
      <c r="AG1007" s="86">
        <f>+AF1007*Analisis!$J$8</f>
        <v>120.75876769857146</v>
      </c>
      <c r="AH1007" s="309">
        <f t="shared" si="126"/>
        <v>580.39024720738234</v>
      </c>
      <c r="AI1007" s="86">
        <f>+AH1007/(1-Analisis!G1012)</f>
        <v>580.39024720738234</v>
      </c>
      <c r="AJ1007" s="86">
        <f t="shared" si="121"/>
        <v>624.075534631594</v>
      </c>
      <c r="AK1007" s="86">
        <f t="shared" si="127"/>
        <v>0</v>
      </c>
      <c r="AL1007" s="310" t="e">
        <f>+VLOOKUP(B1007,#REF!,2,FALSE)</f>
        <v>#REF!</v>
      </c>
      <c r="AM1007" s="311" t="e">
        <f t="shared" si="124"/>
        <v>#REF!</v>
      </c>
      <c r="AN1007" s="312" t="e">
        <f t="shared" si="129"/>
        <v>#REF!</v>
      </c>
    </row>
    <row r="1008" spans="1:40" s="73" customFormat="1" x14ac:dyDescent="0.25">
      <c r="A1008" s="313"/>
      <c r="B1008" s="329" t="s">
        <v>1662</v>
      </c>
      <c r="D1008" s="74">
        <f>IFERROR(VLOOKUP(B1008,'REQ. PINTADO'!B:C,2,0),0)</f>
        <v>0</v>
      </c>
      <c r="E1008" s="305">
        <f t="shared" si="114"/>
        <v>474.00516575562767</v>
      </c>
      <c r="F1008" s="103" t="s">
        <v>163</v>
      </c>
      <c r="G1008" s="75" t="s">
        <v>147</v>
      </c>
      <c r="H1008" s="90">
        <v>16.079999999999998</v>
      </c>
      <c r="I1008" s="90">
        <v>29.7</v>
      </c>
      <c r="J1008" s="76">
        <v>0.105</v>
      </c>
      <c r="K1008" s="306">
        <v>16.38</v>
      </c>
      <c r="L1008" s="78">
        <f t="shared" si="115"/>
        <v>24.077131204912508</v>
      </c>
      <c r="M1008" s="58">
        <f>+VLOOKUP(F1008,Material!$H$2:$M$17,6,FALSE)*H1008*I1008*(1+Material!$K$14)</f>
        <v>179.2651859711213</v>
      </c>
      <c r="N1008" s="79" t="str">
        <f t="shared" si="132"/>
        <v>T5.0</v>
      </c>
      <c r="O1008" s="80">
        <f>+VLOOKUP(N1008,[3]Material!$A$3:$B$58,2,FALSE)</f>
        <v>5000</v>
      </c>
      <c r="P1008" s="79" t="s">
        <v>42</v>
      </c>
      <c r="Q1008" s="79" t="str">
        <f>+VLOOKUP(F1008,[3]Material!$C$2:$E$12,2,FALSE)</f>
        <v>Cal 12</v>
      </c>
      <c r="R1008" s="81">
        <f>+IF(P1008="ACERO A36",VLOOKUP(Q1008,'[3]Velocidades Std 1500 w'!$B$2:$F$15,5,FALSE),IF(P1008="INOXIDABLE",VLOOKUP(Q1008,'[3]Velocidades Std 1500 w'!$B$17:$F$28,5,FALSE),IF(P1008="ALUMINIO",VLOOKUP(Q1008,'[3]Velocidades Std 1500 w'!$B$30:$F$38,5,FALSE))))</f>
        <v>4.3859649122807014E-6</v>
      </c>
      <c r="S1008" s="82">
        <f t="shared" si="116"/>
        <v>2.1929824561403508E-2</v>
      </c>
      <c r="T1008" s="83">
        <f t="shared" si="117"/>
        <v>48.031266315789473</v>
      </c>
      <c r="U1008" s="307">
        <f t="shared" si="130"/>
        <v>3041.9802</v>
      </c>
      <c r="V1008" s="80">
        <f t="shared" si="122"/>
        <v>66.710092105263158</v>
      </c>
      <c r="W1008" s="98">
        <v>15</v>
      </c>
      <c r="X1008" s="84">
        <f>+IF(P1008="ACERO A36",VLOOKUP(Q1008,'[3]Tiempo Objeto'!$B$2:$C$12,2,FALSE),IF(P1008="INOXIDABLE",VLOOKUP(Q1008,'[3]Tiempo Objeto'!$B$14:$C$22,2,FALSE),IF(P1008="ALUMINIO",VLOOKUP(Q1008,'[3]Tiempo Objeto'!$B$24:$C$32,2,FALSE))))</f>
        <v>0.6133333333333334</v>
      </c>
      <c r="Y1008" s="84">
        <f t="shared" si="118"/>
        <v>9.2000000000000011</v>
      </c>
      <c r="Z1008" s="80">
        <f t="shared" si="119"/>
        <v>12.77777777777778</v>
      </c>
      <c r="AA1008" s="100">
        <v>4</v>
      </c>
      <c r="AB1008" s="86">
        <f>+AA1008*Analisis!$J$6</f>
        <v>100</v>
      </c>
      <c r="AC1008" s="100"/>
      <c r="AD1008" s="85">
        <f t="shared" si="120"/>
        <v>0</v>
      </c>
      <c r="AE1008" s="86">
        <f>+AC1008*Analisis!$J$7</f>
        <v>0</v>
      </c>
      <c r="AF1008" s="308">
        <f>+H1008*0.0254*I1008*0.0254*2*(1+[3]Analisis!$G$2)</f>
        <v>0.77028233039999994</v>
      </c>
      <c r="AG1008" s="86">
        <f>+AF1008*Analisis!$J$8</f>
        <v>82.07174829857145</v>
      </c>
      <c r="AH1008" s="309">
        <f t="shared" si="126"/>
        <v>440.82480415273369</v>
      </c>
      <c r="AI1008" s="86">
        <f>+AH1008/(1-Analisis!G1013)</f>
        <v>440.82480415273369</v>
      </c>
      <c r="AJ1008" s="86">
        <f t="shared" si="121"/>
        <v>474.00516575562767</v>
      </c>
      <c r="AK1008" s="86">
        <f t="shared" si="127"/>
        <v>0</v>
      </c>
      <c r="AL1008" s="310" t="e">
        <f>+VLOOKUP(B1008,#REF!,2,FALSE)</f>
        <v>#REF!</v>
      </c>
      <c r="AM1008" s="311" t="e">
        <f t="shared" si="124"/>
        <v>#REF!</v>
      </c>
      <c r="AN1008" s="312" t="e">
        <f t="shared" si="129"/>
        <v>#REF!</v>
      </c>
    </row>
    <row r="1009" spans="1:40" s="73" customFormat="1" x14ac:dyDescent="0.25">
      <c r="A1009" s="313"/>
      <c r="B1009" s="329" t="s">
        <v>1663</v>
      </c>
      <c r="D1009" s="74">
        <f>IFERROR(VLOOKUP(B1009,'REQ. PINTADO'!B:C,2,0),0)</f>
        <v>0</v>
      </c>
      <c r="E1009" s="305">
        <f t="shared" si="114"/>
        <v>538.32103813104175</v>
      </c>
      <c r="F1009" s="103" t="s">
        <v>163</v>
      </c>
      <c r="G1009" s="75" t="s">
        <v>147</v>
      </c>
      <c r="H1009" s="90">
        <v>16.079999999999998</v>
      </c>
      <c r="I1009" s="90">
        <v>35.700000000000003</v>
      </c>
      <c r="J1009" s="76">
        <v>0.105</v>
      </c>
      <c r="K1009" s="306">
        <v>16.38</v>
      </c>
      <c r="L1009" s="78">
        <f t="shared" si="115"/>
        <v>28.941198114995842</v>
      </c>
      <c r="M1009" s="58">
        <f>+VLOOKUP(F1009,Material!$H$2:$M$17,6,FALSE)*H1009*I1009*(1+Material!$K$14)</f>
        <v>215.48037505619629</v>
      </c>
      <c r="N1009" s="79" t="str">
        <f t="shared" si="132"/>
        <v>T5.0</v>
      </c>
      <c r="O1009" s="80">
        <f>+VLOOKUP(N1009,[3]Material!$A$3:$B$58,2,FALSE)</f>
        <v>5000</v>
      </c>
      <c r="P1009" s="79" t="s">
        <v>42</v>
      </c>
      <c r="Q1009" s="79" t="str">
        <f>+VLOOKUP(F1009,[3]Material!$C$2:$E$12,2,FALSE)</f>
        <v>Cal 12</v>
      </c>
      <c r="R1009" s="81">
        <f>+IF(P1009="ACERO A36",VLOOKUP(Q1009,'[3]Velocidades Std 1500 w'!$B$2:$F$15,5,FALSE),IF(P1009="INOXIDABLE",VLOOKUP(Q1009,'[3]Velocidades Std 1500 w'!$B$17:$F$28,5,FALSE),IF(P1009="ALUMINIO",VLOOKUP(Q1009,'[3]Velocidades Std 1500 w'!$B$30:$F$38,5,FALSE))))</f>
        <v>4.3859649122807014E-6</v>
      </c>
      <c r="S1009" s="82">
        <f t="shared" si="116"/>
        <v>2.1929824561403508E-2</v>
      </c>
      <c r="T1009" s="83">
        <f t="shared" si="117"/>
        <v>53.084529473684206</v>
      </c>
      <c r="U1009" s="307">
        <f t="shared" si="130"/>
        <v>3362.0201999999999</v>
      </c>
      <c r="V1009" s="80">
        <f t="shared" si="122"/>
        <v>73.728513157894724</v>
      </c>
      <c r="W1009" s="98">
        <v>15</v>
      </c>
      <c r="X1009" s="84">
        <f>+IF(P1009="ACERO A36",VLOOKUP(Q1009,'[3]Tiempo Objeto'!$B$2:$C$12,2,FALSE),IF(P1009="INOXIDABLE",VLOOKUP(Q1009,'[3]Tiempo Objeto'!$B$14:$C$22,2,FALSE),IF(P1009="ALUMINIO",VLOOKUP(Q1009,'[3]Tiempo Objeto'!$B$24:$C$32,2,FALSE))))</f>
        <v>0.6133333333333334</v>
      </c>
      <c r="Y1009" s="84">
        <f t="shared" si="118"/>
        <v>9.2000000000000011</v>
      </c>
      <c r="Z1009" s="80">
        <f t="shared" si="119"/>
        <v>12.77777777777778</v>
      </c>
      <c r="AA1009" s="100">
        <v>4</v>
      </c>
      <c r="AB1009" s="86">
        <f>+AA1009*Analisis!$J$6</f>
        <v>100</v>
      </c>
      <c r="AC1009" s="100"/>
      <c r="AD1009" s="85">
        <f t="shared" si="120"/>
        <v>0</v>
      </c>
      <c r="AE1009" s="86">
        <f>+AC1009*Analisis!$J$7</f>
        <v>0</v>
      </c>
      <c r="AF1009" s="308">
        <f>+H1009*0.0254*I1009*0.0254*2*(1+[3]Analisis!$G$2)</f>
        <v>0.92589492240000004</v>
      </c>
      <c r="AG1009" s="86">
        <f>+AF1009*Analisis!$J$8</f>
        <v>98.651899470000032</v>
      </c>
      <c r="AH1009" s="309">
        <f t="shared" si="126"/>
        <v>500.63856546186884</v>
      </c>
      <c r="AI1009" s="86">
        <f>+AH1009/(1-Analisis!G1014)</f>
        <v>500.63856546186884</v>
      </c>
      <c r="AJ1009" s="86">
        <f t="shared" si="121"/>
        <v>538.32103813104175</v>
      </c>
      <c r="AK1009" s="86">
        <f t="shared" si="127"/>
        <v>0</v>
      </c>
      <c r="AL1009" s="310" t="e">
        <f>+VLOOKUP(B1009,#REF!,2,FALSE)</f>
        <v>#REF!</v>
      </c>
      <c r="AM1009" s="311" t="e">
        <f t="shared" si="124"/>
        <v>#REF!</v>
      </c>
      <c r="AN1009" s="312" t="e">
        <f t="shared" si="129"/>
        <v>#REF!</v>
      </c>
    </row>
    <row r="1010" spans="1:40" s="73" customFormat="1" x14ac:dyDescent="0.25">
      <c r="A1010" s="313"/>
      <c r="B1010" s="329" t="s">
        <v>1664</v>
      </c>
      <c r="D1010" s="74">
        <f>IFERROR(VLOOKUP(B1010,'REQ. PINTADO'!B:C,2,0),0)</f>
        <v>0</v>
      </c>
      <c r="E1010" s="305">
        <f t="shared" si="114"/>
        <v>624.075534631594</v>
      </c>
      <c r="F1010" s="103" t="s">
        <v>163</v>
      </c>
      <c r="G1010" s="75" t="s">
        <v>147</v>
      </c>
      <c r="H1010" s="90">
        <v>16.079999999999998</v>
      </c>
      <c r="I1010" s="90">
        <v>43.7</v>
      </c>
      <c r="J1010" s="76">
        <v>0.105</v>
      </c>
      <c r="K1010" s="306">
        <v>16.38</v>
      </c>
      <c r="L1010" s="78">
        <f t="shared" si="115"/>
        <v>35.426620661773619</v>
      </c>
      <c r="M1010" s="58">
        <f>+VLOOKUP(F1010,Material!$H$2:$M$17,6,FALSE)*H1010*I1010*(1+Material!$K$14)</f>
        <v>263.76729383629629</v>
      </c>
      <c r="N1010" s="79" t="str">
        <f t="shared" si="132"/>
        <v>T5.0</v>
      </c>
      <c r="O1010" s="80">
        <f>+VLOOKUP(N1010,[3]Material!$A$3:$B$58,2,FALSE)</f>
        <v>5000</v>
      </c>
      <c r="P1010" s="79" t="s">
        <v>42</v>
      </c>
      <c r="Q1010" s="79" t="str">
        <f>+VLOOKUP(F1010,[3]Material!$C$2:$E$12,2,FALSE)</f>
        <v>Cal 12</v>
      </c>
      <c r="R1010" s="81">
        <f>+IF(P1010="ACERO A36",VLOOKUP(Q1010,'[3]Velocidades Std 1500 w'!$B$2:$F$15,5,FALSE),IF(P1010="INOXIDABLE",VLOOKUP(Q1010,'[3]Velocidades Std 1500 w'!$B$17:$F$28,5,FALSE),IF(P1010="ALUMINIO",VLOOKUP(Q1010,'[3]Velocidades Std 1500 w'!$B$30:$F$38,5,FALSE))))</f>
        <v>4.3859649122807014E-6</v>
      </c>
      <c r="S1010" s="82">
        <f t="shared" si="116"/>
        <v>2.1929824561403508E-2</v>
      </c>
      <c r="T1010" s="83">
        <f t="shared" si="117"/>
        <v>59.822213684210517</v>
      </c>
      <c r="U1010" s="307">
        <f t="shared" si="130"/>
        <v>3788.7402000000002</v>
      </c>
      <c r="V1010" s="80">
        <f t="shared" si="122"/>
        <v>83.086407894736837</v>
      </c>
      <c r="W1010" s="98">
        <v>15</v>
      </c>
      <c r="X1010" s="84">
        <f>+IF(P1010="ACERO A36",VLOOKUP(Q1010,'[3]Tiempo Objeto'!$B$2:$C$12,2,FALSE),IF(P1010="INOXIDABLE",VLOOKUP(Q1010,'[3]Tiempo Objeto'!$B$14:$C$22,2,FALSE),IF(P1010="ALUMINIO",VLOOKUP(Q1010,'[3]Tiempo Objeto'!$B$24:$C$32,2,FALSE))))</f>
        <v>0.6133333333333334</v>
      </c>
      <c r="Y1010" s="84">
        <f t="shared" si="118"/>
        <v>9.2000000000000011</v>
      </c>
      <c r="Z1010" s="80">
        <f t="shared" si="119"/>
        <v>12.77777777777778</v>
      </c>
      <c r="AA1010" s="100">
        <v>4</v>
      </c>
      <c r="AB1010" s="86">
        <f>+AA1010*Analisis!$J$6</f>
        <v>100</v>
      </c>
      <c r="AC1010" s="100"/>
      <c r="AD1010" s="85">
        <f t="shared" si="120"/>
        <v>0</v>
      </c>
      <c r="AE1010" s="86">
        <f>+AC1010*Analisis!$J$7</f>
        <v>0</v>
      </c>
      <c r="AF1010" s="308">
        <f>+H1010*0.0254*I1010*0.0254*2*(1+[3]Analisis!$G$2)</f>
        <v>1.1333783784</v>
      </c>
      <c r="AG1010" s="86">
        <f>+AF1010*Analisis!$J$8</f>
        <v>120.75876769857146</v>
      </c>
      <c r="AH1010" s="309">
        <f t="shared" si="126"/>
        <v>580.39024720738234</v>
      </c>
      <c r="AI1010" s="86">
        <f>+AH1010/(1-Analisis!G1015)</f>
        <v>580.39024720738234</v>
      </c>
      <c r="AJ1010" s="86">
        <f t="shared" si="121"/>
        <v>624.075534631594</v>
      </c>
      <c r="AK1010" s="86">
        <f t="shared" si="127"/>
        <v>0</v>
      </c>
      <c r="AL1010" s="310" t="e">
        <f>+VLOOKUP(B1010,#REF!,2,FALSE)</f>
        <v>#REF!</v>
      </c>
      <c r="AM1010" s="311" t="e">
        <f t="shared" si="124"/>
        <v>#REF!</v>
      </c>
      <c r="AN1010" s="312" t="e">
        <f t="shared" si="129"/>
        <v>#REF!</v>
      </c>
    </row>
    <row r="1011" spans="1:40" s="73" customFormat="1" x14ac:dyDescent="0.25">
      <c r="A1011" s="313"/>
      <c r="B1011" s="329" t="s">
        <v>1665</v>
      </c>
      <c r="D1011" s="74">
        <f>IFERROR(VLOOKUP(B1011,'REQ. PINTADO'!B:C,2,0),0)</f>
        <v>0</v>
      </c>
      <c r="E1011" s="305">
        <f t="shared" si="114"/>
        <v>464.70863627481685</v>
      </c>
      <c r="F1011" s="103" t="s">
        <v>163</v>
      </c>
      <c r="G1011" s="75" t="s">
        <v>147</v>
      </c>
      <c r="H1011" s="90">
        <v>29.7</v>
      </c>
      <c r="I1011" s="90">
        <v>16.079999999999998</v>
      </c>
      <c r="J1011" s="76">
        <v>0.105</v>
      </c>
      <c r="K1011" s="306">
        <v>16.38</v>
      </c>
      <c r="L1011" s="78">
        <f t="shared" si="115"/>
        <v>24.077131204912508</v>
      </c>
      <c r="M1011" s="58">
        <f>+VLOOKUP(F1011,Material!$H$2:$M$17,6,FALSE)*H1011*I1011*(1+Material!$K$14)</f>
        <v>179.2651859711213</v>
      </c>
      <c r="N1011" s="79" t="str">
        <f t="shared" si="132"/>
        <v>T5.0</v>
      </c>
      <c r="O1011" s="80">
        <f>+VLOOKUP(N1011,[3]Material!$A$3:$B$58,2,FALSE)</f>
        <v>5000</v>
      </c>
      <c r="P1011" s="79" t="s">
        <v>42</v>
      </c>
      <c r="Q1011" s="79" t="str">
        <f>+VLOOKUP(F1011,[3]Material!$C$2:$E$12,2,FALSE)</f>
        <v>Cal 12</v>
      </c>
      <c r="R1011" s="81">
        <f>+IF(P1011="ACERO A36",VLOOKUP(Q1011,'[3]Velocidades Std 1500 w'!$B$2:$F$15,5,FALSE),IF(P1011="INOXIDABLE",VLOOKUP(Q1011,'[3]Velocidades Std 1500 w'!$B$17:$F$28,5,FALSE),IF(P1011="ALUMINIO",VLOOKUP(Q1011,'[3]Velocidades Std 1500 w'!$B$30:$F$38,5,FALSE))))</f>
        <v>4.3859649122807014E-6</v>
      </c>
      <c r="S1011" s="82">
        <f t="shared" si="116"/>
        <v>2.1929824561403508E-2</v>
      </c>
      <c r="T1011" s="83">
        <f t="shared" si="117"/>
        <v>44.872976842105253</v>
      </c>
      <c r="U1011" s="307">
        <f t="shared" si="130"/>
        <v>2841.9551999999999</v>
      </c>
      <c r="V1011" s="80">
        <f t="shared" si="122"/>
        <v>62.323578947368418</v>
      </c>
      <c r="W1011" s="98">
        <v>10</v>
      </c>
      <c r="X1011" s="84">
        <f>+IF(P1011="ACERO A36",VLOOKUP(Q1011,'[3]Tiempo Objeto'!$B$2:$C$12,2,FALSE),IF(P1011="INOXIDABLE",VLOOKUP(Q1011,'[3]Tiempo Objeto'!$B$14:$C$22,2,FALSE),IF(P1011="ALUMINIO",VLOOKUP(Q1011,'[3]Tiempo Objeto'!$B$24:$C$32,2,FALSE))))</f>
        <v>0.6133333333333334</v>
      </c>
      <c r="Y1011" s="84">
        <f t="shared" si="118"/>
        <v>6.1333333333333337</v>
      </c>
      <c r="Z1011" s="80">
        <f t="shared" si="119"/>
        <v>8.518518518518519</v>
      </c>
      <c r="AA1011" s="100">
        <v>4</v>
      </c>
      <c r="AB1011" s="86">
        <f>+AA1011*Analisis!$J$6</f>
        <v>100</v>
      </c>
      <c r="AC1011" s="100"/>
      <c r="AD1011" s="85">
        <f t="shared" si="120"/>
        <v>0</v>
      </c>
      <c r="AE1011" s="86">
        <f>+AC1011*Analisis!$J$7</f>
        <v>0</v>
      </c>
      <c r="AF1011" s="308">
        <f>+H1011*0.0254*I1011*0.0254*2*(1+[3]Analisis!$G$2)</f>
        <v>0.77028233039999994</v>
      </c>
      <c r="AG1011" s="86">
        <f>+AF1011*Analisis!$J$8</f>
        <v>82.07174829857145</v>
      </c>
      <c r="AH1011" s="309">
        <f t="shared" si="126"/>
        <v>432.17903173557966</v>
      </c>
      <c r="AI1011" s="86">
        <f>+AH1011/(1-Analisis!G1016)</f>
        <v>432.17903173557966</v>
      </c>
      <c r="AJ1011" s="86">
        <f t="shared" si="121"/>
        <v>464.70863627481685</v>
      </c>
      <c r="AK1011" s="86">
        <f t="shared" si="127"/>
        <v>0</v>
      </c>
      <c r="AL1011" s="310" t="e">
        <f>+VLOOKUP(B1011,#REF!,2,FALSE)</f>
        <v>#REF!</v>
      </c>
      <c r="AM1011" s="311" t="e">
        <f t="shared" si="124"/>
        <v>#REF!</v>
      </c>
      <c r="AN1011" s="312" t="e">
        <f t="shared" si="129"/>
        <v>#REF!</v>
      </c>
    </row>
    <row r="1012" spans="1:40" s="73" customFormat="1" x14ac:dyDescent="0.25">
      <c r="A1012" s="313"/>
      <c r="B1012" s="329" t="s">
        <v>1666</v>
      </c>
      <c r="D1012" s="74">
        <f>IFERROR(VLOOKUP(B1012,'REQ. PINTADO'!B:C,2,0),0)</f>
        <v>0</v>
      </c>
      <c r="E1012" s="305">
        <f t="shared" si="114"/>
        <v>529.02450865023093</v>
      </c>
      <c r="F1012" s="103" t="s">
        <v>163</v>
      </c>
      <c r="G1012" s="75" t="s">
        <v>147</v>
      </c>
      <c r="H1012" s="90">
        <v>35.700000000000003</v>
      </c>
      <c r="I1012" s="90">
        <v>16.079999999999998</v>
      </c>
      <c r="J1012" s="76">
        <v>0.105</v>
      </c>
      <c r="K1012" s="306">
        <v>16.38</v>
      </c>
      <c r="L1012" s="78">
        <f t="shared" si="115"/>
        <v>28.941198114995839</v>
      </c>
      <c r="M1012" s="58">
        <f>+VLOOKUP(F1012,Material!$H$2:$M$17,6,FALSE)*H1012*I1012*(1+Material!$K$14)</f>
        <v>215.48037505619627</v>
      </c>
      <c r="N1012" s="79" t="str">
        <f t="shared" si="132"/>
        <v>T5.0</v>
      </c>
      <c r="O1012" s="80">
        <f>+VLOOKUP(N1012,[3]Material!$A$3:$B$58,2,FALSE)</f>
        <v>5000</v>
      </c>
      <c r="P1012" s="79" t="s">
        <v>42</v>
      </c>
      <c r="Q1012" s="79" t="str">
        <f>+VLOOKUP(F1012,[3]Material!$C$2:$E$12,2,FALSE)</f>
        <v>Cal 12</v>
      </c>
      <c r="R1012" s="81">
        <f>+IF(P1012="ACERO A36",VLOOKUP(Q1012,'[3]Velocidades Std 1500 w'!$B$2:$F$15,5,FALSE),IF(P1012="INOXIDABLE",VLOOKUP(Q1012,'[3]Velocidades Std 1500 w'!$B$17:$F$28,5,FALSE),IF(P1012="ALUMINIO",VLOOKUP(Q1012,'[3]Velocidades Std 1500 w'!$B$30:$F$38,5,FALSE))))</f>
        <v>4.3859649122807014E-6</v>
      </c>
      <c r="S1012" s="82">
        <f t="shared" si="116"/>
        <v>2.1929824561403508E-2</v>
      </c>
      <c r="T1012" s="83">
        <f t="shared" si="117"/>
        <v>49.92624</v>
      </c>
      <c r="U1012" s="307">
        <f t="shared" si="130"/>
        <v>3161.9952000000003</v>
      </c>
      <c r="V1012" s="80">
        <f t="shared" si="122"/>
        <v>69.341999999999999</v>
      </c>
      <c r="W1012" s="98">
        <v>10</v>
      </c>
      <c r="X1012" s="84">
        <f>+IF(P1012="ACERO A36",VLOOKUP(Q1012,'[3]Tiempo Objeto'!$B$2:$C$12,2,FALSE),IF(P1012="INOXIDABLE",VLOOKUP(Q1012,'[3]Tiempo Objeto'!$B$14:$C$22,2,FALSE),IF(P1012="ALUMINIO",VLOOKUP(Q1012,'[3]Tiempo Objeto'!$B$24:$C$32,2,FALSE))))</f>
        <v>0.6133333333333334</v>
      </c>
      <c r="Y1012" s="84">
        <f t="shared" si="118"/>
        <v>6.1333333333333337</v>
      </c>
      <c r="Z1012" s="80">
        <f t="shared" si="119"/>
        <v>8.518518518518519</v>
      </c>
      <c r="AA1012" s="100">
        <v>4</v>
      </c>
      <c r="AB1012" s="86">
        <f>+AA1012*Analisis!$J$6</f>
        <v>100</v>
      </c>
      <c r="AC1012" s="100"/>
      <c r="AD1012" s="85">
        <f t="shared" si="120"/>
        <v>0</v>
      </c>
      <c r="AE1012" s="86">
        <f>+AC1012*Analisis!$J$7</f>
        <v>0</v>
      </c>
      <c r="AF1012" s="308">
        <f>+H1012*0.0254*I1012*0.0254*2*(1+[3]Analisis!$G$2)</f>
        <v>0.92589492239999993</v>
      </c>
      <c r="AG1012" s="86">
        <f>+AF1012*Analisis!$J$8</f>
        <v>98.651899470000018</v>
      </c>
      <c r="AH1012" s="309">
        <f t="shared" si="126"/>
        <v>491.99279304471474</v>
      </c>
      <c r="AI1012" s="86">
        <f>+AH1012/(1-Analisis!G1017)</f>
        <v>491.99279304471474</v>
      </c>
      <c r="AJ1012" s="86">
        <f t="shared" si="121"/>
        <v>529.02450865023093</v>
      </c>
      <c r="AK1012" s="86">
        <f t="shared" si="127"/>
        <v>0</v>
      </c>
      <c r="AL1012" s="310" t="e">
        <f>+VLOOKUP(B1012,#REF!,2,FALSE)</f>
        <v>#REF!</v>
      </c>
      <c r="AM1012" s="311" t="e">
        <f t="shared" si="124"/>
        <v>#REF!</v>
      </c>
      <c r="AN1012" s="312" t="e">
        <f t="shared" si="129"/>
        <v>#REF!</v>
      </c>
    </row>
    <row r="1013" spans="1:40" s="73" customFormat="1" x14ac:dyDescent="0.25">
      <c r="A1013" s="313"/>
      <c r="B1013" s="329" t="s">
        <v>1667</v>
      </c>
      <c r="D1013" s="74">
        <f>IFERROR(VLOOKUP(B1013,'REQ. PINTADO'!B:C,2,0),0)</f>
        <v>0</v>
      </c>
      <c r="E1013" s="305">
        <f t="shared" si="114"/>
        <v>614.77900515078318</v>
      </c>
      <c r="F1013" s="103" t="s">
        <v>163</v>
      </c>
      <c r="G1013" s="75" t="s">
        <v>147</v>
      </c>
      <c r="H1013" s="90">
        <v>43.7</v>
      </c>
      <c r="I1013" s="90">
        <v>16.079999999999998</v>
      </c>
      <c r="J1013" s="76">
        <v>0.105</v>
      </c>
      <c r="K1013" s="306">
        <v>16.38</v>
      </c>
      <c r="L1013" s="78">
        <f t="shared" si="115"/>
        <v>35.426620661773612</v>
      </c>
      <c r="M1013" s="58">
        <f>+VLOOKUP(F1013,Material!$H$2:$M$17,6,FALSE)*H1013*I1013*(1+Material!$K$14)</f>
        <v>263.76729383629623</v>
      </c>
      <c r="N1013" s="79" t="str">
        <f t="shared" si="132"/>
        <v>T5.0</v>
      </c>
      <c r="O1013" s="80">
        <f>+VLOOKUP(N1013,[3]Material!$A$3:$B$58,2,FALSE)</f>
        <v>5000</v>
      </c>
      <c r="P1013" s="79" t="s">
        <v>42</v>
      </c>
      <c r="Q1013" s="79" t="str">
        <f>+VLOOKUP(F1013,[3]Material!$C$2:$E$12,2,FALSE)</f>
        <v>Cal 12</v>
      </c>
      <c r="R1013" s="81">
        <f>+IF(P1013="ACERO A36",VLOOKUP(Q1013,'[3]Velocidades Std 1500 w'!$B$2:$F$15,5,FALSE),IF(P1013="INOXIDABLE",VLOOKUP(Q1013,'[3]Velocidades Std 1500 w'!$B$17:$F$28,5,FALSE),IF(P1013="ALUMINIO",VLOOKUP(Q1013,'[3]Velocidades Std 1500 w'!$B$30:$F$38,5,FALSE))))</f>
        <v>4.3859649122807014E-6</v>
      </c>
      <c r="S1013" s="82">
        <f t="shared" si="116"/>
        <v>2.1929824561403508E-2</v>
      </c>
      <c r="T1013" s="83">
        <f t="shared" si="117"/>
        <v>56.663924210526318</v>
      </c>
      <c r="U1013" s="307">
        <f t="shared" si="130"/>
        <v>3588.7152000000001</v>
      </c>
      <c r="V1013" s="80">
        <f t="shared" si="122"/>
        <v>78.699894736842097</v>
      </c>
      <c r="W1013" s="98">
        <v>10</v>
      </c>
      <c r="X1013" s="84">
        <f>+IF(P1013="ACERO A36",VLOOKUP(Q1013,'[3]Tiempo Objeto'!$B$2:$C$12,2,FALSE),IF(P1013="INOXIDABLE",VLOOKUP(Q1013,'[3]Tiempo Objeto'!$B$14:$C$22,2,FALSE),IF(P1013="ALUMINIO",VLOOKUP(Q1013,'[3]Tiempo Objeto'!$B$24:$C$32,2,FALSE))))</f>
        <v>0.6133333333333334</v>
      </c>
      <c r="Y1013" s="84">
        <f t="shared" si="118"/>
        <v>6.1333333333333337</v>
      </c>
      <c r="Z1013" s="80">
        <f t="shared" si="119"/>
        <v>8.518518518518519</v>
      </c>
      <c r="AA1013" s="100">
        <v>4</v>
      </c>
      <c r="AB1013" s="86">
        <f>+AA1013*Analisis!$J$6</f>
        <v>100</v>
      </c>
      <c r="AC1013" s="100"/>
      <c r="AD1013" s="85">
        <f t="shared" si="120"/>
        <v>0</v>
      </c>
      <c r="AE1013" s="86">
        <f>+AC1013*Analisis!$J$7</f>
        <v>0</v>
      </c>
      <c r="AF1013" s="308">
        <f>+H1013*0.0254*I1013*0.0254*2*(1+[3]Analisis!$G$2)</f>
        <v>1.1333783783999998</v>
      </c>
      <c r="AG1013" s="86">
        <f>+AF1013*Analisis!$J$8</f>
        <v>120.75876769857145</v>
      </c>
      <c r="AH1013" s="309">
        <f t="shared" si="126"/>
        <v>571.74447479022831</v>
      </c>
      <c r="AI1013" s="86">
        <f>+AH1013/(1-Analisis!G1018)</f>
        <v>571.74447479022831</v>
      </c>
      <c r="AJ1013" s="86">
        <f t="shared" si="121"/>
        <v>614.77900515078318</v>
      </c>
      <c r="AK1013" s="86">
        <f t="shared" si="127"/>
        <v>0</v>
      </c>
      <c r="AL1013" s="310" t="e">
        <f>+VLOOKUP(B1013,#REF!,2,FALSE)</f>
        <v>#REF!</v>
      </c>
      <c r="AM1013" s="311" t="e">
        <f t="shared" si="124"/>
        <v>#REF!</v>
      </c>
      <c r="AN1013" s="312" t="e">
        <f t="shared" si="129"/>
        <v>#REF!</v>
      </c>
    </row>
    <row r="1014" spans="1:40" s="73" customFormat="1" x14ac:dyDescent="0.25">
      <c r="A1014" s="313"/>
      <c r="B1014" s="329" t="s">
        <v>1668</v>
      </c>
      <c r="D1014" s="74">
        <f>IFERROR(VLOOKUP(B1014,'REQ. PINTADO'!B:C,2,0),0)</f>
        <v>0</v>
      </c>
      <c r="E1014" s="305">
        <f t="shared" si="114"/>
        <v>336.07689152398854</v>
      </c>
      <c r="F1014" s="103" t="s">
        <v>163</v>
      </c>
      <c r="G1014" s="75" t="s">
        <v>147</v>
      </c>
      <c r="H1014" s="90">
        <v>17.7</v>
      </c>
      <c r="I1014" s="90">
        <v>16.079999999999998</v>
      </c>
      <c r="J1014" s="76">
        <v>0.105</v>
      </c>
      <c r="K1014" s="306">
        <v>16.38</v>
      </c>
      <c r="L1014" s="78">
        <f t="shared" si="115"/>
        <v>14.348997384745834</v>
      </c>
      <c r="M1014" s="58">
        <f>+VLOOKUP(F1014,Material!$H$2:$M$17,6,FALSE)*H1014*I1014*(1+Material!$K$14)</f>
        <v>106.83480780097125</v>
      </c>
      <c r="N1014" s="79" t="str">
        <f t="shared" si="132"/>
        <v>T5.0</v>
      </c>
      <c r="O1014" s="80">
        <f>+VLOOKUP(N1014,[3]Material!$A$3:$B$58,2,FALSE)</f>
        <v>5000</v>
      </c>
      <c r="P1014" s="79" t="s">
        <v>42</v>
      </c>
      <c r="Q1014" s="79" t="str">
        <f>+VLOOKUP(F1014,[3]Material!$C$2:$E$12,2,FALSE)</f>
        <v>Cal 12</v>
      </c>
      <c r="R1014" s="81">
        <f>+IF(P1014="ACERO A36",VLOOKUP(Q1014,'[3]Velocidades Std 1500 w'!$B$2:$F$15,5,FALSE),IF(P1014="INOXIDABLE",VLOOKUP(Q1014,'[3]Velocidades Std 1500 w'!$B$17:$F$28,5,FALSE),IF(P1014="ALUMINIO",VLOOKUP(Q1014,'[3]Velocidades Std 1500 w'!$B$30:$F$38,5,FALSE))))</f>
        <v>4.3859649122807014E-6</v>
      </c>
      <c r="S1014" s="82">
        <f t="shared" si="116"/>
        <v>2.1929824561403508E-2</v>
      </c>
      <c r="T1014" s="83">
        <f t="shared" si="117"/>
        <v>34.766450526315786</v>
      </c>
      <c r="U1014" s="307">
        <f t="shared" si="130"/>
        <v>2201.8751999999999</v>
      </c>
      <c r="V1014" s="80">
        <f t="shared" si="122"/>
        <v>48.286736842105256</v>
      </c>
      <c r="W1014" s="98">
        <v>10</v>
      </c>
      <c r="X1014" s="84">
        <f>+IF(P1014="ACERO A36",VLOOKUP(Q1014,'[3]Tiempo Objeto'!$B$2:$C$12,2,FALSE),IF(P1014="INOXIDABLE",VLOOKUP(Q1014,'[3]Tiempo Objeto'!$B$14:$C$22,2,FALSE),IF(P1014="ALUMINIO",VLOOKUP(Q1014,'[3]Tiempo Objeto'!$B$24:$C$32,2,FALSE))))</f>
        <v>0.6133333333333334</v>
      </c>
      <c r="Y1014" s="84">
        <f t="shared" si="118"/>
        <v>6.1333333333333337</v>
      </c>
      <c r="Z1014" s="80">
        <f t="shared" si="119"/>
        <v>8.518518518518519</v>
      </c>
      <c r="AA1014" s="100">
        <v>4</v>
      </c>
      <c r="AB1014" s="86">
        <f>+AA1014*Analisis!$J$6</f>
        <v>100</v>
      </c>
      <c r="AC1014" s="100"/>
      <c r="AD1014" s="85">
        <f t="shared" si="120"/>
        <v>0</v>
      </c>
      <c r="AE1014" s="86">
        <f>+AC1014*Analisis!$J$7</f>
        <v>0</v>
      </c>
      <c r="AF1014" s="308">
        <f>+H1014*0.0254*I1014*0.0254*2*(1+[3]Analisis!$G$2)</f>
        <v>0.45905714639999989</v>
      </c>
      <c r="AG1014" s="86">
        <f>+AF1014*Analisis!$J$8</f>
        <v>48.911445955714292</v>
      </c>
      <c r="AH1014" s="309">
        <f t="shared" si="126"/>
        <v>312.55150911730931</v>
      </c>
      <c r="AI1014" s="86">
        <f>+AH1014/(1-Analisis!G1019)</f>
        <v>312.55150911730931</v>
      </c>
      <c r="AJ1014" s="86">
        <f t="shared" si="121"/>
        <v>336.07689152398854</v>
      </c>
      <c r="AK1014" s="86">
        <f t="shared" si="127"/>
        <v>0</v>
      </c>
      <c r="AL1014" s="310" t="e">
        <f>+VLOOKUP(B1014,#REF!,2,FALSE)</f>
        <v>#REF!</v>
      </c>
      <c r="AM1014" s="311" t="e">
        <f t="shared" si="124"/>
        <v>#REF!</v>
      </c>
      <c r="AN1014" s="312" t="e">
        <f t="shared" si="129"/>
        <v>#REF!</v>
      </c>
    </row>
    <row r="1015" spans="1:40" s="73" customFormat="1" x14ac:dyDescent="0.25">
      <c r="A1015" s="313"/>
      <c r="B1015" s="329" t="s">
        <v>1669</v>
      </c>
      <c r="D1015" s="74">
        <f>IFERROR(VLOOKUP(B1015,'REQ. PINTADO'!B:C,2,0),0)</f>
        <v>0</v>
      </c>
      <c r="E1015" s="305">
        <f t="shared" si="114"/>
        <v>464.70863627481685</v>
      </c>
      <c r="F1015" s="103" t="s">
        <v>163</v>
      </c>
      <c r="G1015" s="75" t="s">
        <v>147</v>
      </c>
      <c r="H1015" s="90">
        <v>29.7</v>
      </c>
      <c r="I1015" s="90">
        <v>16.079999999999998</v>
      </c>
      <c r="J1015" s="76">
        <v>0.105</v>
      </c>
      <c r="K1015" s="306">
        <v>16.38</v>
      </c>
      <c r="L1015" s="78">
        <f t="shared" si="115"/>
        <v>24.077131204912508</v>
      </c>
      <c r="M1015" s="58">
        <f>+VLOOKUP(F1015,Material!$H$2:$M$17,6,FALSE)*H1015*I1015*(1+Material!$K$14)</f>
        <v>179.2651859711213</v>
      </c>
      <c r="N1015" s="79" t="str">
        <f t="shared" si="132"/>
        <v>T5.0</v>
      </c>
      <c r="O1015" s="80">
        <f>+VLOOKUP(N1015,[3]Material!$A$3:$B$58,2,FALSE)</f>
        <v>5000</v>
      </c>
      <c r="P1015" s="79" t="s">
        <v>42</v>
      </c>
      <c r="Q1015" s="79" t="str">
        <f>+VLOOKUP(F1015,[3]Material!$C$2:$E$12,2,FALSE)</f>
        <v>Cal 12</v>
      </c>
      <c r="R1015" s="81">
        <f>+IF(P1015="ACERO A36",VLOOKUP(Q1015,'[3]Velocidades Std 1500 w'!$B$2:$F$15,5,FALSE),IF(P1015="INOXIDABLE",VLOOKUP(Q1015,'[3]Velocidades Std 1500 w'!$B$17:$F$28,5,FALSE),IF(P1015="ALUMINIO",VLOOKUP(Q1015,'[3]Velocidades Std 1500 w'!$B$30:$F$38,5,FALSE))))</f>
        <v>4.3859649122807014E-6</v>
      </c>
      <c r="S1015" s="82">
        <f t="shared" si="116"/>
        <v>2.1929824561403508E-2</v>
      </c>
      <c r="T1015" s="83">
        <f t="shared" si="117"/>
        <v>44.872976842105253</v>
      </c>
      <c r="U1015" s="307">
        <f t="shared" si="130"/>
        <v>2841.9551999999999</v>
      </c>
      <c r="V1015" s="80">
        <f t="shared" si="122"/>
        <v>62.323578947368418</v>
      </c>
      <c r="W1015" s="98">
        <v>10</v>
      </c>
      <c r="X1015" s="84">
        <f>+IF(P1015="ACERO A36",VLOOKUP(Q1015,'[3]Tiempo Objeto'!$B$2:$C$12,2,FALSE),IF(P1015="INOXIDABLE",VLOOKUP(Q1015,'[3]Tiempo Objeto'!$B$14:$C$22,2,FALSE),IF(P1015="ALUMINIO",VLOOKUP(Q1015,'[3]Tiempo Objeto'!$B$24:$C$32,2,FALSE))))</f>
        <v>0.6133333333333334</v>
      </c>
      <c r="Y1015" s="84">
        <f t="shared" si="118"/>
        <v>6.1333333333333337</v>
      </c>
      <c r="Z1015" s="80">
        <f t="shared" si="119"/>
        <v>8.518518518518519</v>
      </c>
      <c r="AA1015" s="100">
        <v>4</v>
      </c>
      <c r="AB1015" s="86">
        <f>+AA1015*Analisis!$J$6</f>
        <v>100</v>
      </c>
      <c r="AC1015" s="100"/>
      <c r="AD1015" s="85">
        <f t="shared" si="120"/>
        <v>0</v>
      </c>
      <c r="AE1015" s="86">
        <f>+AC1015*Analisis!$J$7</f>
        <v>0</v>
      </c>
      <c r="AF1015" s="308">
        <f>+H1015*0.0254*I1015*0.0254*2*(1+[3]Analisis!$G$2)</f>
        <v>0.77028233039999994</v>
      </c>
      <c r="AG1015" s="86">
        <f>+AF1015*Analisis!$J$8</f>
        <v>82.07174829857145</v>
      </c>
      <c r="AH1015" s="309">
        <f t="shared" si="126"/>
        <v>432.17903173557966</v>
      </c>
      <c r="AI1015" s="86">
        <f>+AH1015/(1-Analisis!G1020)</f>
        <v>432.17903173557966</v>
      </c>
      <c r="AJ1015" s="86">
        <f t="shared" si="121"/>
        <v>464.70863627481685</v>
      </c>
      <c r="AK1015" s="86">
        <f t="shared" si="127"/>
        <v>0</v>
      </c>
      <c r="AL1015" s="310" t="e">
        <f>+VLOOKUP(B1015,#REF!,2,FALSE)</f>
        <v>#REF!</v>
      </c>
      <c r="AM1015" s="311" t="e">
        <f t="shared" si="124"/>
        <v>#REF!</v>
      </c>
      <c r="AN1015" s="312" t="e">
        <f t="shared" si="129"/>
        <v>#REF!</v>
      </c>
    </row>
    <row r="1016" spans="1:40" s="73" customFormat="1" x14ac:dyDescent="0.25">
      <c r="A1016" s="313"/>
      <c r="B1016" s="329" t="s">
        <v>1670</v>
      </c>
      <c r="D1016" s="74">
        <f>IFERROR(VLOOKUP(B1016,'REQ. PINTADO'!B:C,2,0),0)</f>
        <v>0</v>
      </c>
      <c r="E1016" s="305">
        <f t="shared" si="114"/>
        <v>529.02450865023093</v>
      </c>
      <c r="F1016" s="103" t="s">
        <v>163</v>
      </c>
      <c r="G1016" s="75" t="s">
        <v>147</v>
      </c>
      <c r="H1016" s="90">
        <v>35.700000000000003</v>
      </c>
      <c r="I1016" s="90">
        <v>16.079999999999998</v>
      </c>
      <c r="J1016" s="76">
        <v>0.105</v>
      </c>
      <c r="K1016" s="306">
        <v>16.38</v>
      </c>
      <c r="L1016" s="78">
        <f t="shared" si="115"/>
        <v>28.941198114995839</v>
      </c>
      <c r="M1016" s="58">
        <f>+VLOOKUP(F1016,Material!$H$2:$M$17,6,FALSE)*H1016*I1016*(1+Material!$K$14)</f>
        <v>215.48037505619627</v>
      </c>
      <c r="N1016" s="79" t="str">
        <f t="shared" si="132"/>
        <v>T5.0</v>
      </c>
      <c r="O1016" s="80">
        <f>+VLOOKUP(N1016,[3]Material!$A$3:$B$58,2,FALSE)</f>
        <v>5000</v>
      </c>
      <c r="P1016" s="79" t="s">
        <v>42</v>
      </c>
      <c r="Q1016" s="79" t="str">
        <f>+VLOOKUP(F1016,[3]Material!$C$2:$E$12,2,FALSE)</f>
        <v>Cal 12</v>
      </c>
      <c r="R1016" s="81">
        <f>+IF(P1016="ACERO A36",VLOOKUP(Q1016,'[3]Velocidades Std 1500 w'!$B$2:$F$15,5,FALSE),IF(P1016="INOXIDABLE",VLOOKUP(Q1016,'[3]Velocidades Std 1500 w'!$B$17:$F$28,5,FALSE),IF(P1016="ALUMINIO",VLOOKUP(Q1016,'[3]Velocidades Std 1500 w'!$B$30:$F$38,5,FALSE))))</f>
        <v>4.3859649122807014E-6</v>
      </c>
      <c r="S1016" s="82">
        <f t="shared" si="116"/>
        <v>2.1929824561403508E-2</v>
      </c>
      <c r="T1016" s="83">
        <f t="shared" si="117"/>
        <v>49.92624</v>
      </c>
      <c r="U1016" s="307">
        <f t="shared" si="130"/>
        <v>3161.9952000000003</v>
      </c>
      <c r="V1016" s="80">
        <f t="shared" si="122"/>
        <v>69.341999999999999</v>
      </c>
      <c r="W1016" s="98">
        <v>10</v>
      </c>
      <c r="X1016" s="84">
        <f>+IF(P1016="ACERO A36",VLOOKUP(Q1016,'[3]Tiempo Objeto'!$B$2:$C$12,2,FALSE),IF(P1016="INOXIDABLE",VLOOKUP(Q1016,'[3]Tiempo Objeto'!$B$14:$C$22,2,FALSE),IF(P1016="ALUMINIO",VLOOKUP(Q1016,'[3]Tiempo Objeto'!$B$24:$C$32,2,FALSE))))</f>
        <v>0.6133333333333334</v>
      </c>
      <c r="Y1016" s="84">
        <f t="shared" si="118"/>
        <v>6.1333333333333337</v>
      </c>
      <c r="Z1016" s="80">
        <f t="shared" si="119"/>
        <v>8.518518518518519</v>
      </c>
      <c r="AA1016" s="100">
        <v>4</v>
      </c>
      <c r="AB1016" s="86">
        <f>+AA1016*Analisis!$J$6</f>
        <v>100</v>
      </c>
      <c r="AC1016" s="100"/>
      <c r="AD1016" s="85">
        <f t="shared" si="120"/>
        <v>0</v>
      </c>
      <c r="AE1016" s="86">
        <f>+AC1016*Analisis!$J$7</f>
        <v>0</v>
      </c>
      <c r="AF1016" s="308">
        <f>+H1016*0.0254*I1016*0.0254*2*(1+[3]Analisis!$G$2)</f>
        <v>0.92589492239999993</v>
      </c>
      <c r="AG1016" s="86">
        <f>+AF1016*Analisis!$J$8</f>
        <v>98.651899470000018</v>
      </c>
      <c r="AH1016" s="309">
        <f t="shared" si="126"/>
        <v>491.99279304471474</v>
      </c>
      <c r="AI1016" s="86">
        <f>+AH1016/(1-Analisis!G1021)</f>
        <v>491.99279304471474</v>
      </c>
      <c r="AJ1016" s="86">
        <f t="shared" si="121"/>
        <v>529.02450865023093</v>
      </c>
      <c r="AK1016" s="86">
        <f t="shared" si="127"/>
        <v>0</v>
      </c>
      <c r="AL1016" s="310" t="e">
        <f>+VLOOKUP(B1016,#REF!,2,FALSE)</f>
        <v>#REF!</v>
      </c>
      <c r="AM1016" s="311" t="e">
        <f t="shared" si="124"/>
        <v>#REF!</v>
      </c>
      <c r="AN1016" s="312" t="e">
        <f t="shared" si="129"/>
        <v>#REF!</v>
      </c>
    </row>
    <row r="1017" spans="1:40" s="73" customFormat="1" x14ac:dyDescent="0.25">
      <c r="A1017" s="313"/>
      <c r="B1017" s="329" t="s">
        <v>1671</v>
      </c>
      <c r="D1017" s="74">
        <f>IFERROR(VLOOKUP(B1017,'REQ. PINTADO'!B:C,2,0),0)</f>
        <v>0</v>
      </c>
      <c r="E1017" s="305">
        <f t="shared" si="114"/>
        <v>614.77900515078318</v>
      </c>
      <c r="F1017" s="103" t="s">
        <v>163</v>
      </c>
      <c r="G1017" s="75" t="s">
        <v>147</v>
      </c>
      <c r="H1017" s="90">
        <v>43.7</v>
      </c>
      <c r="I1017" s="90">
        <v>16.079999999999998</v>
      </c>
      <c r="J1017" s="76">
        <v>0.105</v>
      </c>
      <c r="K1017" s="306">
        <v>16.38</v>
      </c>
      <c r="L1017" s="78">
        <f t="shared" si="115"/>
        <v>35.426620661773612</v>
      </c>
      <c r="M1017" s="58">
        <f>+VLOOKUP(F1017,Material!$H$2:$M$17,6,FALSE)*H1017*I1017*(1+Material!$K$14)</f>
        <v>263.76729383629623</v>
      </c>
      <c r="N1017" s="79" t="str">
        <f t="shared" si="132"/>
        <v>T5.0</v>
      </c>
      <c r="O1017" s="80">
        <f>+VLOOKUP(N1017,[3]Material!$A$3:$B$58,2,FALSE)</f>
        <v>5000</v>
      </c>
      <c r="P1017" s="79" t="s">
        <v>42</v>
      </c>
      <c r="Q1017" s="79" t="str">
        <f>+VLOOKUP(F1017,[3]Material!$C$2:$E$12,2,FALSE)</f>
        <v>Cal 12</v>
      </c>
      <c r="R1017" s="81">
        <f>+IF(P1017="ACERO A36",VLOOKUP(Q1017,'[3]Velocidades Std 1500 w'!$B$2:$F$15,5,FALSE),IF(P1017="INOXIDABLE",VLOOKUP(Q1017,'[3]Velocidades Std 1500 w'!$B$17:$F$28,5,FALSE),IF(P1017="ALUMINIO",VLOOKUP(Q1017,'[3]Velocidades Std 1500 w'!$B$30:$F$38,5,FALSE))))</f>
        <v>4.3859649122807014E-6</v>
      </c>
      <c r="S1017" s="82">
        <f t="shared" si="116"/>
        <v>2.1929824561403508E-2</v>
      </c>
      <c r="T1017" s="83">
        <f t="shared" si="117"/>
        <v>56.663924210526318</v>
      </c>
      <c r="U1017" s="307">
        <f t="shared" si="130"/>
        <v>3588.7152000000001</v>
      </c>
      <c r="V1017" s="80">
        <f t="shared" si="122"/>
        <v>78.699894736842097</v>
      </c>
      <c r="W1017" s="98">
        <v>10</v>
      </c>
      <c r="X1017" s="84">
        <f>+IF(P1017="ACERO A36",VLOOKUP(Q1017,'[3]Tiempo Objeto'!$B$2:$C$12,2,FALSE),IF(P1017="INOXIDABLE",VLOOKUP(Q1017,'[3]Tiempo Objeto'!$B$14:$C$22,2,FALSE),IF(P1017="ALUMINIO",VLOOKUP(Q1017,'[3]Tiempo Objeto'!$B$24:$C$32,2,FALSE))))</f>
        <v>0.6133333333333334</v>
      </c>
      <c r="Y1017" s="84">
        <f t="shared" si="118"/>
        <v>6.1333333333333337</v>
      </c>
      <c r="Z1017" s="80">
        <f t="shared" si="119"/>
        <v>8.518518518518519</v>
      </c>
      <c r="AA1017" s="100">
        <v>4</v>
      </c>
      <c r="AB1017" s="86">
        <f>+AA1017*Analisis!$J$6</f>
        <v>100</v>
      </c>
      <c r="AC1017" s="100"/>
      <c r="AD1017" s="85">
        <f t="shared" si="120"/>
        <v>0</v>
      </c>
      <c r="AE1017" s="86">
        <f>+AC1017*Analisis!$J$7</f>
        <v>0</v>
      </c>
      <c r="AF1017" s="308">
        <f>+H1017*0.0254*I1017*0.0254*2*(1+[3]Analisis!$G$2)</f>
        <v>1.1333783783999998</v>
      </c>
      <c r="AG1017" s="86">
        <f>+AF1017*Analisis!$J$8</f>
        <v>120.75876769857145</v>
      </c>
      <c r="AH1017" s="309">
        <f t="shared" si="126"/>
        <v>571.74447479022831</v>
      </c>
      <c r="AI1017" s="86">
        <f>+AH1017/(1-Analisis!G1022)</f>
        <v>571.74447479022831</v>
      </c>
      <c r="AJ1017" s="86">
        <f t="shared" si="121"/>
        <v>614.77900515078318</v>
      </c>
      <c r="AK1017" s="86">
        <f t="shared" si="127"/>
        <v>0</v>
      </c>
      <c r="AL1017" s="310" t="e">
        <f>+VLOOKUP(B1017,#REF!,2,FALSE)</f>
        <v>#REF!</v>
      </c>
      <c r="AM1017" s="311" t="e">
        <f t="shared" si="124"/>
        <v>#REF!</v>
      </c>
      <c r="AN1017" s="312" t="e">
        <f t="shared" si="129"/>
        <v>#REF!</v>
      </c>
    </row>
    <row r="1018" spans="1:40" s="73" customFormat="1" x14ac:dyDescent="0.25">
      <c r="A1018" s="313"/>
      <c r="B1018" s="329" t="s">
        <v>1672</v>
      </c>
      <c r="D1018" s="74">
        <f>IFERROR(VLOOKUP(B1018,'REQ. PINTADO'!B:C,2,0),0)</f>
        <v>0</v>
      </c>
      <c r="E1018" s="305">
        <f t="shared" si="114"/>
        <v>464.70863627481685</v>
      </c>
      <c r="F1018" s="103" t="s">
        <v>163</v>
      </c>
      <c r="G1018" s="75" t="s">
        <v>147</v>
      </c>
      <c r="H1018" s="90">
        <v>29.7</v>
      </c>
      <c r="I1018" s="90">
        <v>16.079999999999998</v>
      </c>
      <c r="J1018" s="76">
        <v>0.105</v>
      </c>
      <c r="K1018" s="306">
        <v>16.38</v>
      </c>
      <c r="L1018" s="78">
        <f t="shared" si="115"/>
        <v>24.077131204912508</v>
      </c>
      <c r="M1018" s="58">
        <f>+VLOOKUP(F1018,Material!$H$2:$M$17,6,FALSE)*H1018*I1018*(1+Material!$K$14)</f>
        <v>179.2651859711213</v>
      </c>
      <c r="N1018" s="79" t="str">
        <f t="shared" si="132"/>
        <v>T5.0</v>
      </c>
      <c r="O1018" s="80">
        <f>+VLOOKUP(N1018,[3]Material!$A$3:$B$58,2,FALSE)</f>
        <v>5000</v>
      </c>
      <c r="P1018" s="79" t="s">
        <v>42</v>
      </c>
      <c r="Q1018" s="79" t="str">
        <f>+VLOOKUP(F1018,[3]Material!$C$2:$E$12,2,FALSE)</f>
        <v>Cal 12</v>
      </c>
      <c r="R1018" s="81">
        <f>+IF(P1018="ACERO A36",VLOOKUP(Q1018,'[3]Velocidades Std 1500 w'!$B$2:$F$15,5,FALSE),IF(P1018="INOXIDABLE",VLOOKUP(Q1018,'[3]Velocidades Std 1500 w'!$B$17:$F$28,5,FALSE),IF(P1018="ALUMINIO",VLOOKUP(Q1018,'[3]Velocidades Std 1500 w'!$B$30:$F$38,5,FALSE))))</f>
        <v>4.3859649122807014E-6</v>
      </c>
      <c r="S1018" s="82">
        <f t="shared" si="116"/>
        <v>2.1929824561403508E-2</v>
      </c>
      <c r="T1018" s="83">
        <f t="shared" si="117"/>
        <v>44.872976842105253</v>
      </c>
      <c r="U1018" s="307">
        <f t="shared" si="130"/>
        <v>2841.9551999999999</v>
      </c>
      <c r="V1018" s="80">
        <f t="shared" si="122"/>
        <v>62.323578947368418</v>
      </c>
      <c r="W1018" s="98">
        <v>10</v>
      </c>
      <c r="X1018" s="84">
        <f>+IF(P1018="ACERO A36",VLOOKUP(Q1018,'[3]Tiempo Objeto'!$B$2:$C$12,2,FALSE),IF(P1018="INOXIDABLE",VLOOKUP(Q1018,'[3]Tiempo Objeto'!$B$14:$C$22,2,FALSE),IF(P1018="ALUMINIO",VLOOKUP(Q1018,'[3]Tiempo Objeto'!$B$24:$C$32,2,FALSE))))</f>
        <v>0.6133333333333334</v>
      </c>
      <c r="Y1018" s="84">
        <f t="shared" si="118"/>
        <v>6.1333333333333337</v>
      </c>
      <c r="Z1018" s="80">
        <f t="shared" si="119"/>
        <v>8.518518518518519</v>
      </c>
      <c r="AA1018" s="100">
        <v>4</v>
      </c>
      <c r="AB1018" s="86">
        <f>+AA1018*Analisis!$J$6</f>
        <v>100</v>
      </c>
      <c r="AC1018" s="100"/>
      <c r="AD1018" s="85">
        <f t="shared" si="120"/>
        <v>0</v>
      </c>
      <c r="AE1018" s="86">
        <f>+AC1018*Analisis!$J$7</f>
        <v>0</v>
      </c>
      <c r="AF1018" s="308">
        <f>+H1018*0.0254*I1018*0.0254*2*(1+[3]Analisis!$G$2)</f>
        <v>0.77028233039999994</v>
      </c>
      <c r="AG1018" s="86">
        <f>+AF1018*Analisis!$J$8</f>
        <v>82.07174829857145</v>
      </c>
      <c r="AH1018" s="309">
        <f t="shared" si="126"/>
        <v>432.17903173557966</v>
      </c>
      <c r="AI1018" s="86">
        <f>+AH1018/(1-Analisis!G1023)</f>
        <v>432.17903173557966</v>
      </c>
      <c r="AJ1018" s="86">
        <f t="shared" si="121"/>
        <v>464.70863627481685</v>
      </c>
      <c r="AK1018" s="86">
        <f t="shared" si="127"/>
        <v>0</v>
      </c>
      <c r="AL1018" s="310" t="e">
        <f>+VLOOKUP(B1018,#REF!,2,FALSE)</f>
        <v>#REF!</v>
      </c>
      <c r="AM1018" s="311" t="e">
        <f t="shared" si="124"/>
        <v>#REF!</v>
      </c>
      <c r="AN1018" s="312" t="e">
        <f t="shared" si="129"/>
        <v>#REF!</v>
      </c>
    </row>
    <row r="1019" spans="1:40" s="73" customFormat="1" x14ac:dyDescent="0.25">
      <c r="A1019" s="313"/>
      <c r="B1019" s="329" t="s">
        <v>1673</v>
      </c>
      <c r="D1019" s="74">
        <f>IFERROR(VLOOKUP(B1019,'REQ. PINTADO'!B:C,2,0),0)</f>
        <v>0</v>
      </c>
      <c r="E1019" s="305">
        <f t="shared" si="114"/>
        <v>529.02450865023093</v>
      </c>
      <c r="F1019" s="103" t="s">
        <v>163</v>
      </c>
      <c r="G1019" s="75" t="s">
        <v>147</v>
      </c>
      <c r="H1019" s="90">
        <v>35.700000000000003</v>
      </c>
      <c r="I1019" s="90">
        <v>16.079999999999998</v>
      </c>
      <c r="J1019" s="76">
        <v>0.105</v>
      </c>
      <c r="K1019" s="306">
        <v>16.38</v>
      </c>
      <c r="L1019" s="78">
        <f t="shared" si="115"/>
        <v>28.941198114995839</v>
      </c>
      <c r="M1019" s="58">
        <f>+VLOOKUP(F1019,Material!$H$2:$M$17,6,FALSE)*H1019*I1019*(1+Material!$K$14)</f>
        <v>215.48037505619627</v>
      </c>
      <c r="N1019" s="79" t="str">
        <f t="shared" si="132"/>
        <v>T5.0</v>
      </c>
      <c r="O1019" s="80">
        <f>+VLOOKUP(N1019,[3]Material!$A$3:$B$58,2,FALSE)</f>
        <v>5000</v>
      </c>
      <c r="P1019" s="79" t="s">
        <v>42</v>
      </c>
      <c r="Q1019" s="79" t="str">
        <f>+VLOOKUP(F1019,[3]Material!$C$2:$E$12,2,FALSE)</f>
        <v>Cal 12</v>
      </c>
      <c r="R1019" s="81">
        <f>+IF(P1019="ACERO A36",VLOOKUP(Q1019,'[3]Velocidades Std 1500 w'!$B$2:$F$15,5,FALSE),IF(P1019="INOXIDABLE",VLOOKUP(Q1019,'[3]Velocidades Std 1500 w'!$B$17:$F$28,5,FALSE),IF(P1019="ALUMINIO",VLOOKUP(Q1019,'[3]Velocidades Std 1500 w'!$B$30:$F$38,5,FALSE))))</f>
        <v>4.3859649122807014E-6</v>
      </c>
      <c r="S1019" s="82">
        <f t="shared" si="116"/>
        <v>2.1929824561403508E-2</v>
      </c>
      <c r="T1019" s="83">
        <f t="shared" si="117"/>
        <v>49.92624</v>
      </c>
      <c r="U1019" s="307">
        <f t="shared" si="130"/>
        <v>3161.9952000000003</v>
      </c>
      <c r="V1019" s="80">
        <f t="shared" si="122"/>
        <v>69.341999999999999</v>
      </c>
      <c r="W1019" s="98">
        <v>10</v>
      </c>
      <c r="X1019" s="84">
        <f>+IF(P1019="ACERO A36",VLOOKUP(Q1019,'[3]Tiempo Objeto'!$B$2:$C$12,2,FALSE),IF(P1019="INOXIDABLE",VLOOKUP(Q1019,'[3]Tiempo Objeto'!$B$14:$C$22,2,FALSE),IF(P1019="ALUMINIO",VLOOKUP(Q1019,'[3]Tiempo Objeto'!$B$24:$C$32,2,FALSE))))</f>
        <v>0.6133333333333334</v>
      </c>
      <c r="Y1019" s="84">
        <f t="shared" si="118"/>
        <v>6.1333333333333337</v>
      </c>
      <c r="Z1019" s="80">
        <f t="shared" si="119"/>
        <v>8.518518518518519</v>
      </c>
      <c r="AA1019" s="100">
        <v>4</v>
      </c>
      <c r="AB1019" s="86">
        <f>+AA1019*Analisis!$J$6</f>
        <v>100</v>
      </c>
      <c r="AC1019" s="100"/>
      <c r="AD1019" s="85">
        <f t="shared" si="120"/>
        <v>0</v>
      </c>
      <c r="AE1019" s="86">
        <f>+AC1019*Analisis!$J$7</f>
        <v>0</v>
      </c>
      <c r="AF1019" s="308">
        <f>+H1019*0.0254*I1019*0.0254*2*(1+[3]Analisis!$G$2)</f>
        <v>0.92589492239999993</v>
      </c>
      <c r="AG1019" s="86">
        <f>+AF1019*Analisis!$J$8</f>
        <v>98.651899470000018</v>
      </c>
      <c r="AH1019" s="309">
        <f t="shared" si="126"/>
        <v>491.99279304471474</v>
      </c>
      <c r="AI1019" s="86">
        <f>+AH1019/(1-Analisis!G1024)</f>
        <v>491.99279304471474</v>
      </c>
      <c r="AJ1019" s="86">
        <f t="shared" si="121"/>
        <v>529.02450865023093</v>
      </c>
      <c r="AK1019" s="86">
        <f t="shared" si="127"/>
        <v>0</v>
      </c>
      <c r="AL1019" s="310" t="e">
        <f>+VLOOKUP(B1019,#REF!,2,FALSE)</f>
        <v>#REF!</v>
      </c>
      <c r="AM1019" s="311" t="e">
        <f t="shared" si="124"/>
        <v>#REF!</v>
      </c>
      <c r="AN1019" s="312" t="e">
        <f t="shared" si="129"/>
        <v>#REF!</v>
      </c>
    </row>
    <row r="1020" spans="1:40" s="73" customFormat="1" x14ac:dyDescent="0.25">
      <c r="A1020" s="313"/>
      <c r="B1020" s="329" t="s">
        <v>1674</v>
      </c>
      <c r="D1020" s="74">
        <f>IFERROR(VLOOKUP(B1020,'REQ. PINTADO'!B:C,2,0),0)</f>
        <v>0</v>
      </c>
      <c r="E1020" s="305">
        <f t="shared" si="114"/>
        <v>614.77900515078318</v>
      </c>
      <c r="F1020" s="103" t="s">
        <v>163</v>
      </c>
      <c r="G1020" s="75" t="s">
        <v>147</v>
      </c>
      <c r="H1020" s="90">
        <v>43.7</v>
      </c>
      <c r="I1020" s="90">
        <v>16.079999999999998</v>
      </c>
      <c r="J1020" s="76">
        <v>0.105</v>
      </c>
      <c r="K1020" s="306">
        <v>16.38</v>
      </c>
      <c r="L1020" s="78">
        <f t="shared" si="115"/>
        <v>35.426620661773612</v>
      </c>
      <c r="M1020" s="58">
        <f>+VLOOKUP(F1020,Material!$H$2:$M$17,6,FALSE)*H1020*I1020*(1+Material!$K$14)</f>
        <v>263.76729383629623</v>
      </c>
      <c r="N1020" s="79" t="str">
        <f t="shared" si="132"/>
        <v>T5.0</v>
      </c>
      <c r="O1020" s="80">
        <f>+VLOOKUP(N1020,[3]Material!$A$3:$B$58,2,FALSE)</f>
        <v>5000</v>
      </c>
      <c r="P1020" s="79" t="s">
        <v>42</v>
      </c>
      <c r="Q1020" s="79" t="str">
        <f>+VLOOKUP(F1020,[3]Material!$C$2:$E$12,2,FALSE)</f>
        <v>Cal 12</v>
      </c>
      <c r="R1020" s="81">
        <f>+IF(P1020="ACERO A36",VLOOKUP(Q1020,'[3]Velocidades Std 1500 w'!$B$2:$F$15,5,FALSE),IF(P1020="INOXIDABLE",VLOOKUP(Q1020,'[3]Velocidades Std 1500 w'!$B$17:$F$28,5,FALSE),IF(P1020="ALUMINIO",VLOOKUP(Q1020,'[3]Velocidades Std 1500 w'!$B$30:$F$38,5,FALSE))))</f>
        <v>4.3859649122807014E-6</v>
      </c>
      <c r="S1020" s="82">
        <f t="shared" si="116"/>
        <v>2.1929824561403508E-2</v>
      </c>
      <c r="T1020" s="83">
        <f t="shared" si="117"/>
        <v>56.663924210526318</v>
      </c>
      <c r="U1020" s="307">
        <f t="shared" si="130"/>
        <v>3588.7152000000001</v>
      </c>
      <c r="V1020" s="80">
        <f t="shared" si="122"/>
        <v>78.699894736842097</v>
      </c>
      <c r="W1020" s="98">
        <v>10</v>
      </c>
      <c r="X1020" s="84">
        <f>+IF(P1020="ACERO A36",VLOOKUP(Q1020,'[3]Tiempo Objeto'!$B$2:$C$12,2,FALSE),IF(P1020="INOXIDABLE",VLOOKUP(Q1020,'[3]Tiempo Objeto'!$B$14:$C$22,2,FALSE),IF(P1020="ALUMINIO",VLOOKUP(Q1020,'[3]Tiempo Objeto'!$B$24:$C$32,2,FALSE))))</f>
        <v>0.6133333333333334</v>
      </c>
      <c r="Y1020" s="84">
        <f t="shared" si="118"/>
        <v>6.1333333333333337</v>
      </c>
      <c r="Z1020" s="80">
        <f t="shared" si="119"/>
        <v>8.518518518518519</v>
      </c>
      <c r="AA1020" s="100">
        <v>4</v>
      </c>
      <c r="AB1020" s="86">
        <f>+AA1020*Analisis!$J$6</f>
        <v>100</v>
      </c>
      <c r="AC1020" s="100"/>
      <c r="AD1020" s="85">
        <f t="shared" si="120"/>
        <v>0</v>
      </c>
      <c r="AE1020" s="86">
        <f>+AC1020*Analisis!$J$7</f>
        <v>0</v>
      </c>
      <c r="AF1020" s="308">
        <f>+H1020*0.0254*I1020*0.0254*2*(1+[3]Analisis!$G$2)</f>
        <v>1.1333783783999998</v>
      </c>
      <c r="AG1020" s="86">
        <f>+AF1020*Analisis!$J$8</f>
        <v>120.75876769857145</v>
      </c>
      <c r="AH1020" s="309">
        <f t="shared" si="126"/>
        <v>571.74447479022831</v>
      </c>
      <c r="AI1020" s="86">
        <f>+AH1020/(1-Analisis!G1025)</f>
        <v>571.74447479022831</v>
      </c>
      <c r="AJ1020" s="86">
        <f t="shared" si="121"/>
        <v>614.77900515078318</v>
      </c>
      <c r="AK1020" s="86">
        <f t="shared" si="127"/>
        <v>0</v>
      </c>
      <c r="AL1020" s="310" t="e">
        <f>+VLOOKUP(B1020,#REF!,2,FALSE)</f>
        <v>#REF!</v>
      </c>
      <c r="AM1020" s="311" t="e">
        <f t="shared" si="124"/>
        <v>#REF!</v>
      </c>
      <c r="AN1020" s="312" t="e">
        <f t="shared" si="129"/>
        <v>#REF!</v>
      </c>
    </row>
    <row r="1021" spans="1:40" s="73" customFormat="1" x14ac:dyDescent="0.25">
      <c r="A1021" s="313"/>
      <c r="B1021" s="329" t="s">
        <v>467</v>
      </c>
      <c r="D1021" s="74">
        <f>IFERROR(VLOOKUP(B1021,'REQ. PINTADO'!B:C,2,0),0)</f>
        <v>0</v>
      </c>
      <c r="E1021" s="305">
        <f t="shared" ref="E1021:E1265" si="133">+AJ1021</f>
        <v>118.80998524512181</v>
      </c>
      <c r="F1021" s="103" t="s">
        <v>163</v>
      </c>
      <c r="G1021" s="75" t="s">
        <v>147</v>
      </c>
      <c r="H1021" s="90">
        <v>3.42</v>
      </c>
      <c r="I1021" s="90">
        <v>12.89</v>
      </c>
      <c r="J1021" s="76">
        <v>0.105</v>
      </c>
      <c r="K1021" s="306">
        <v>16.38</v>
      </c>
      <c r="L1021" s="78">
        <f t="shared" ref="L1021:L1265" si="134">+M1021*2.2/K1021</f>
        <v>2.2224974383367719</v>
      </c>
      <c r="M1021" s="58">
        <f>+VLOOKUP(F1021,Material!$H$2:$M$17,6,FALSE)*H1021*I1021*(1+Material!$K$14)</f>
        <v>16.547503654525599</v>
      </c>
      <c r="N1021" s="79" t="str">
        <f t="shared" si="132"/>
        <v>T5.0</v>
      </c>
      <c r="O1021" s="80">
        <f>+VLOOKUP(N1021,[3]Material!$A$3:$B$58,2,FALSE)</f>
        <v>5000</v>
      </c>
      <c r="P1021" s="79" t="s">
        <v>42</v>
      </c>
      <c r="Q1021" s="79" t="str">
        <f>+VLOOKUP(F1021,[3]Material!$C$2:$E$12,2,FALSE)</f>
        <v>Cal 12</v>
      </c>
      <c r="R1021" s="81">
        <f>+IF(P1021="ACERO A36",VLOOKUP(Q1021,'[3]Velocidades Std 1500 w'!$B$2:$F$15,5,FALSE),IF(P1021="INOXIDABLE",VLOOKUP(Q1021,'[3]Velocidades Std 1500 w'!$B$17:$F$28,5,FALSE),IF(P1021="ALUMINIO",VLOOKUP(Q1021,'[3]Velocidades Std 1500 w'!$B$30:$F$38,5,FALSE))))</f>
        <v>4.3859649122807014E-6</v>
      </c>
      <c r="S1021" s="82">
        <f t="shared" ref="S1021:S1265" si="135">+R1021*O1021</f>
        <v>2.1929824561403508E-2</v>
      </c>
      <c r="T1021" s="83">
        <f t="shared" ref="T1021:T1265" si="136">+R1021*U1021*3600</f>
        <v>20.053032631578947</v>
      </c>
      <c r="U1021" s="307">
        <f t="shared" si="130"/>
        <v>1270.0254</v>
      </c>
      <c r="V1021" s="80">
        <f t="shared" si="122"/>
        <v>27.851434210526314</v>
      </c>
      <c r="W1021" s="98">
        <v>10</v>
      </c>
      <c r="X1021" s="84">
        <f>+IF(P1021="ACERO A36",VLOOKUP(Q1021,'[3]Tiempo Objeto'!$B$2:$C$12,2,FALSE),IF(P1021="INOXIDABLE",VLOOKUP(Q1021,'[3]Tiempo Objeto'!$B$14:$C$22,2,FALSE),IF(P1021="ALUMINIO",VLOOKUP(Q1021,'[3]Tiempo Objeto'!$B$24:$C$32,2,FALSE))))</f>
        <v>0.6133333333333334</v>
      </c>
      <c r="Y1021" s="84">
        <f t="shared" ref="Y1021:Y1265" si="137">+X1021*W1021</f>
        <v>6.1333333333333337</v>
      </c>
      <c r="Z1021" s="80">
        <f t="shared" ref="Z1021:Z1265" si="138">+Y1021*O1021/3600</f>
        <v>8.518518518518519</v>
      </c>
      <c r="AA1021" s="100">
        <v>2</v>
      </c>
      <c r="AB1021" s="86">
        <f>+AA1021*Analisis!$J$6</f>
        <v>50</v>
      </c>
      <c r="AC1021" s="100"/>
      <c r="AD1021" s="85">
        <f t="shared" ref="AD1021:AD1265" si="139">30*AC1021+AC1021*$D1021*1.5</f>
        <v>0</v>
      </c>
      <c r="AE1021" s="86">
        <f>+AC1021*Analisis!$J$7</f>
        <v>0</v>
      </c>
      <c r="AF1021" s="308">
        <f>+H1021*0.0254*I1021*0.0254*2*(1+[3]Analisis!$G$2)</f>
        <v>7.1102761020000002E-2</v>
      </c>
      <c r="AG1021" s="86">
        <f>+AF1021*Analisis!$J$8</f>
        <v>7.5758298943928599</v>
      </c>
      <c r="AH1021" s="309">
        <f t="shared" si="126"/>
        <v>110.49328627796328</v>
      </c>
      <c r="AI1021" s="86">
        <f>+AH1021/(1-Analisis!G1026)</f>
        <v>110.49328627796328</v>
      </c>
      <c r="AJ1021" s="86">
        <f t="shared" ref="AJ1021:AJ1265" si="140">+AI1021/(1-0.07)</f>
        <v>118.80998524512181</v>
      </c>
      <c r="AK1021" s="86">
        <f t="shared" si="127"/>
        <v>0</v>
      </c>
      <c r="AL1021" s="310" t="e">
        <f>+VLOOKUP(B1021,#REF!,2,FALSE)</f>
        <v>#REF!</v>
      </c>
      <c r="AM1021" s="311" t="e">
        <f t="shared" si="124"/>
        <v>#REF!</v>
      </c>
      <c r="AN1021" s="312" t="e">
        <f t="shared" si="129"/>
        <v>#REF!</v>
      </c>
    </row>
    <row r="1022" spans="1:40" s="73" customFormat="1" x14ac:dyDescent="0.25">
      <c r="A1022" s="313"/>
      <c r="B1022" s="329" t="s">
        <v>468</v>
      </c>
      <c r="D1022" s="74">
        <f>IFERROR(VLOOKUP(B1022,'REQ. PINTADO'!B:C,2,0),0)</f>
        <v>0</v>
      </c>
      <c r="E1022" s="305">
        <f t="shared" si="133"/>
        <v>131.89047322652118</v>
      </c>
      <c r="F1022" s="103" t="s">
        <v>163</v>
      </c>
      <c r="G1022" s="75" t="s">
        <v>147</v>
      </c>
      <c r="H1022" s="90">
        <v>3.42</v>
      </c>
      <c r="I1022" s="90">
        <v>16.89</v>
      </c>
      <c r="J1022" s="76">
        <v>0.105</v>
      </c>
      <c r="K1022" s="306">
        <v>16.38</v>
      </c>
      <c r="L1022" s="78">
        <f t="shared" si="134"/>
        <v>2.9121785673784384</v>
      </c>
      <c r="M1022" s="58">
        <f>+VLOOKUP(F1022,Material!$H$2:$M$17,6,FALSE)*H1022*I1022*(1+Material!$K$14)</f>
        <v>21.682493151663099</v>
      </c>
      <c r="N1022" s="79" t="str">
        <f t="shared" si="132"/>
        <v>T5.0</v>
      </c>
      <c r="O1022" s="80">
        <f>+VLOOKUP(N1022,[3]Material!$A$3:$B$58,2,FALSE)</f>
        <v>5000</v>
      </c>
      <c r="P1022" s="79" t="s">
        <v>42</v>
      </c>
      <c r="Q1022" s="79" t="str">
        <f>+VLOOKUP(F1022,[3]Material!$C$2:$E$12,2,FALSE)</f>
        <v>Cal 12</v>
      </c>
      <c r="R1022" s="81">
        <f>+IF(P1022="ACERO A36",VLOOKUP(Q1022,'[3]Velocidades Std 1500 w'!$B$2:$F$15,5,FALSE),IF(P1022="INOXIDABLE",VLOOKUP(Q1022,'[3]Velocidades Std 1500 w'!$B$17:$F$28,5,FALSE),IF(P1022="ALUMINIO",VLOOKUP(Q1022,'[3]Velocidades Std 1500 w'!$B$30:$F$38,5,FALSE))))</f>
        <v>4.3859649122807014E-6</v>
      </c>
      <c r="S1022" s="82">
        <f t="shared" si="135"/>
        <v>2.1929824561403508E-2</v>
      </c>
      <c r="T1022" s="83">
        <f t="shared" si="136"/>
        <v>23.421874736842106</v>
      </c>
      <c r="U1022" s="307">
        <f t="shared" si="130"/>
        <v>1483.3854000000001</v>
      </c>
      <c r="V1022" s="80">
        <f t="shared" si="122"/>
        <v>32.53038157894737</v>
      </c>
      <c r="W1022" s="98">
        <v>10</v>
      </c>
      <c r="X1022" s="84">
        <f>+IF(P1022="ACERO A36",VLOOKUP(Q1022,'[3]Tiempo Objeto'!$B$2:$C$12,2,FALSE),IF(P1022="INOXIDABLE",VLOOKUP(Q1022,'[3]Tiempo Objeto'!$B$14:$C$22,2,FALSE),IF(P1022="ALUMINIO",VLOOKUP(Q1022,'[3]Tiempo Objeto'!$B$24:$C$32,2,FALSE))))</f>
        <v>0.6133333333333334</v>
      </c>
      <c r="Y1022" s="84">
        <f t="shared" si="137"/>
        <v>6.1333333333333337</v>
      </c>
      <c r="Z1022" s="80">
        <f t="shared" si="138"/>
        <v>8.518518518518519</v>
      </c>
      <c r="AA1022" s="100">
        <v>2</v>
      </c>
      <c r="AB1022" s="86">
        <f>+AA1022*Analisis!$J$6</f>
        <v>50</v>
      </c>
      <c r="AC1022" s="100"/>
      <c r="AD1022" s="85">
        <f t="shared" si="139"/>
        <v>0</v>
      </c>
      <c r="AE1022" s="86">
        <f>+AC1022*Analisis!$J$7</f>
        <v>0</v>
      </c>
      <c r="AF1022" s="308">
        <f>+H1022*0.0254*I1022*0.0254*2*(1+[3]Analisis!$G$2)</f>
        <v>9.3167233020000004E-2</v>
      </c>
      <c r="AG1022" s="86">
        <f>+AF1022*Analisis!$J$8</f>
        <v>9.926746851535718</v>
      </c>
      <c r="AH1022" s="309">
        <f t="shared" si="126"/>
        <v>122.6581401006647</v>
      </c>
      <c r="AI1022" s="86">
        <f>+AH1022/(1-Analisis!G1027)</f>
        <v>122.6581401006647</v>
      </c>
      <c r="AJ1022" s="86">
        <f t="shared" si="140"/>
        <v>131.89047322652118</v>
      </c>
      <c r="AK1022" s="86">
        <f t="shared" si="127"/>
        <v>0</v>
      </c>
      <c r="AL1022" s="310" t="e">
        <f>+VLOOKUP(B1022,#REF!,2,FALSE)</f>
        <v>#REF!</v>
      </c>
      <c r="AM1022" s="311" t="e">
        <f t="shared" si="124"/>
        <v>#REF!</v>
      </c>
      <c r="AN1022" s="312" t="e">
        <f t="shared" si="129"/>
        <v>#REF!</v>
      </c>
    </row>
    <row r="1023" spans="1:40" s="73" customFormat="1" x14ac:dyDescent="0.25">
      <c r="A1023" s="313"/>
      <c r="B1023" s="329" t="s">
        <v>469</v>
      </c>
      <c r="D1023" s="74">
        <f>IFERROR(VLOOKUP(B1023,'REQ. PINTADO'!B:C,2,0),0)</f>
        <v>0</v>
      </c>
      <c r="E1023" s="305">
        <f t="shared" si="133"/>
        <v>138.43071721722089</v>
      </c>
      <c r="F1023" s="103" t="s">
        <v>163</v>
      </c>
      <c r="G1023" s="75" t="s">
        <v>147</v>
      </c>
      <c r="H1023" s="90">
        <v>3.42</v>
      </c>
      <c r="I1023" s="90">
        <v>18.89</v>
      </c>
      <c r="J1023" s="76">
        <v>0.105</v>
      </c>
      <c r="K1023" s="306">
        <v>16.38</v>
      </c>
      <c r="L1023" s="78">
        <f t="shared" si="134"/>
        <v>3.2570191318992725</v>
      </c>
      <c r="M1023" s="58">
        <f>+VLOOKUP(F1023,Material!$H$2:$M$17,6,FALSE)*H1023*I1023*(1+Material!$K$14)</f>
        <v>24.249987900231851</v>
      </c>
      <c r="N1023" s="79" t="str">
        <f t="shared" si="132"/>
        <v>T5.0</v>
      </c>
      <c r="O1023" s="80">
        <f>+VLOOKUP(N1023,[3]Material!$A$3:$B$58,2,FALSE)</f>
        <v>5000</v>
      </c>
      <c r="P1023" s="79" t="s">
        <v>42</v>
      </c>
      <c r="Q1023" s="79" t="str">
        <f>+VLOOKUP(F1023,[3]Material!$C$2:$E$12,2,FALSE)</f>
        <v>Cal 12</v>
      </c>
      <c r="R1023" s="81">
        <f>+IF(P1023="ACERO A36",VLOOKUP(Q1023,'[3]Velocidades Std 1500 w'!$B$2:$F$15,5,FALSE),IF(P1023="INOXIDABLE",VLOOKUP(Q1023,'[3]Velocidades Std 1500 w'!$B$17:$F$28,5,FALSE),IF(P1023="ALUMINIO",VLOOKUP(Q1023,'[3]Velocidades Std 1500 w'!$B$30:$F$38,5,FALSE))))</f>
        <v>4.3859649122807014E-6</v>
      </c>
      <c r="S1023" s="82">
        <f t="shared" si="135"/>
        <v>2.1929824561403508E-2</v>
      </c>
      <c r="T1023" s="83">
        <f t="shared" si="136"/>
        <v>25.106295789473684</v>
      </c>
      <c r="U1023" s="307">
        <f t="shared" si="130"/>
        <v>1590.0654</v>
      </c>
      <c r="V1023" s="80">
        <f t="shared" si="122"/>
        <v>34.869855263157895</v>
      </c>
      <c r="W1023" s="98">
        <v>10</v>
      </c>
      <c r="X1023" s="84">
        <f>+IF(P1023="ACERO A36",VLOOKUP(Q1023,'[3]Tiempo Objeto'!$B$2:$C$12,2,FALSE),IF(P1023="INOXIDABLE",VLOOKUP(Q1023,'[3]Tiempo Objeto'!$B$14:$C$22,2,FALSE),IF(P1023="ALUMINIO",VLOOKUP(Q1023,'[3]Tiempo Objeto'!$B$24:$C$32,2,FALSE))))</f>
        <v>0.6133333333333334</v>
      </c>
      <c r="Y1023" s="84">
        <f t="shared" si="137"/>
        <v>6.1333333333333337</v>
      </c>
      <c r="Z1023" s="80">
        <f t="shared" si="138"/>
        <v>8.518518518518519</v>
      </c>
      <c r="AA1023" s="100">
        <v>2</v>
      </c>
      <c r="AB1023" s="86">
        <f>+AA1023*Analisis!$J$6</f>
        <v>50</v>
      </c>
      <c r="AC1023" s="100"/>
      <c r="AD1023" s="85">
        <f t="shared" si="139"/>
        <v>0</v>
      </c>
      <c r="AE1023" s="86">
        <f>+AC1023*Analisis!$J$7</f>
        <v>0</v>
      </c>
      <c r="AF1023" s="308">
        <f>+H1023*0.0254*I1023*0.0254*2*(1+[3]Analisis!$G$2)</f>
        <v>0.10419946902</v>
      </c>
      <c r="AG1023" s="86">
        <f>+AF1023*Analisis!$J$8</f>
        <v>11.102205330107147</v>
      </c>
      <c r="AH1023" s="309">
        <f t="shared" si="126"/>
        <v>128.74056701201542</v>
      </c>
      <c r="AI1023" s="86">
        <f>+AH1023/(1-Analisis!G1028)</f>
        <v>128.74056701201542</v>
      </c>
      <c r="AJ1023" s="86">
        <f t="shared" si="140"/>
        <v>138.43071721722089</v>
      </c>
      <c r="AK1023" s="86">
        <f t="shared" si="127"/>
        <v>0</v>
      </c>
      <c r="AL1023" s="310" t="e">
        <f>+VLOOKUP(B1023,#REF!,2,FALSE)</f>
        <v>#REF!</v>
      </c>
      <c r="AM1023" s="311" t="e">
        <f t="shared" si="124"/>
        <v>#REF!</v>
      </c>
      <c r="AN1023" s="312" t="e">
        <f t="shared" si="129"/>
        <v>#REF!</v>
      </c>
    </row>
    <row r="1024" spans="1:40" s="73" customFormat="1" x14ac:dyDescent="0.25">
      <c r="A1024" s="313"/>
      <c r="B1024" s="329" t="s">
        <v>470</v>
      </c>
      <c r="D1024" s="74">
        <f>IFERROR(VLOOKUP(B1024,'REQ. PINTADO'!B:C,2,0),0)</f>
        <v>0</v>
      </c>
      <c r="E1024" s="305">
        <f t="shared" si="133"/>
        <v>158.0514491893199</v>
      </c>
      <c r="F1024" s="103" t="s">
        <v>163</v>
      </c>
      <c r="G1024" s="75" t="s">
        <v>147</v>
      </c>
      <c r="H1024" s="90">
        <v>3.42</v>
      </c>
      <c r="I1024" s="90">
        <v>24.89</v>
      </c>
      <c r="J1024" s="76">
        <v>0.105</v>
      </c>
      <c r="K1024" s="306">
        <v>16.38</v>
      </c>
      <c r="L1024" s="78">
        <f t="shared" si="134"/>
        <v>4.2915408254617722</v>
      </c>
      <c r="M1024" s="58">
        <f>+VLOOKUP(F1024,Material!$H$2:$M$17,6,FALSE)*H1024*I1024*(1+Material!$K$14)</f>
        <v>31.952472145938099</v>
      </c>
      <c r="N1024" s="79" t="str">
        <f t="shared" si="132"/>
        <v>T5.0</v>
      </c>
      <c r="O1024" s="80">
        <f>+VLOOKUP(N1024,[3]Material!$A$3:$B$58,2,FALSE)</f>
        <v>5000</v>
      </c>
      <c r="P1024" s="79" t="s">
        <v>42</v>
      </c>
      <c r="Q1024" s="79" t="str">
        <f>+VLOOKUP(F1024,[3]Material!$C$2:$E$12,2,FALSE)</f>
        <v>Cal 12</v>
      </c>
      <c r="R1024" s="81">
        <f>+IF(P1024="ACERO A36",VLOOKUP(Q1024,'[3]Velocidades Std 1500 w'!$B$2:$F$15,5,FALSE),IF(P1024="INOXIDABLE",VLOOKUP(Q1024,'[3]Velocidades Std 1500 w'!$B$17:$F$28,5,FALSE),IF(P1024="ALUMINIO",VLOOKUP(Q1024,'[3]Velocidades Std 1500 w'!$B$30:$F$38,5,FALSE))))</f>
        <v>4.3859649122807014E-6</v>
      </c>
      <c r="S1024" s="82">
        <f t="shared" si="135"/>
        <v>2.1929824561403508E-2</v>
      </c>
      <c r="T1024" s="83">
        <f t="shared" si="136"/>
        <v>30.159558947368421</v>
      </c>
      <c r="U1024" s="307">
        <f t="shared" si="130"/>
        <v>1910.1053999999999</v>
      </c>
      <c r="V1024" s="80">
        <f t="shared" ref="V1024:V1087" si="141">+U1024*S1024</f>
        <v>41.888276315789469</v>
      </c>
      <c r="W1024" s="98">
        <v>10</v>
      </c>
      <c r="X1024" s="84">
        <f>+IF(P1024="ACERO A36",VLOOKUP(Q1024,'[3]Tiempo Objeto'!$B$2:$C$12,2,FALSE),IF(P1024="INOXIDABLE",VLOOKUP(Q1024,'[3]Tiempo Objeto'!$B$14:$C$22,2,FALSE),IF(P1024="ALUMINIO",VLOOKUP(Q1024,'[3]Tiempo Objeto'!$B$24:$C$32,2,FALSE))))</f>
        <v>0.6133333333333334</v>
      </c>
      <c r="Y1024" s="84">
        <f t="shared" si="137"/>
        <v>6.1333333333333337</v>
      </c>
      <c r="Z1024" s="80">
        <f t="shared" si="138"/>
        <v>8.518518518518519</v>
      </c>
      <c r="AA1024" s="100">
        <v>2</v>
      </c>
      <c r="AB1024" s="86">
        <f>+AA1024*Analisis!$J$6</f>
        <v>50</v>
      </c>
      <c r="AC1024" s="100"/>
      <c r="AD1024" s="85">
        <f t="shared" si="139"/>
        <v>0</v>
      </c>
      <c r="AE1024" s="86">
        <f>+AC1024*Analisis!$J$7</f>
        <v>0</v>
      </c>
      <c r="AF1024" s="308">
        <f>+H1024*0.0254*I1024*0.0254*2*(1+[3]Analisis!$G$2)</f>
        <v>0.13729617701999999</v>
      </c>
      <c r="AG1024" s="86">
        <f>+AF1024*Analisis!$J$8</f>
        <v>14.628580765821432</v>
      </c>
      <c r="AH1024" s="309">
        <f t="shared" si="126"/>
        <v>146.9878477460675</v>
      </c>
      <c r="AI1024" s="86">
        <f>+AH1024/(1-Analisis!G1029)</f>
        <v>146.9878477460675</v>
      </c>
      <c r="AJ1024" s="86">
        <f t="shared" si="140"/>
        <v>158.0514491893199</v>
      </c>
      <c r="AK1024" s="86">
        <f t="shared" si="127"/>
        <v>0</v>
      </c>
      <c r="AL1024" s="310" t="e">
        <f>+VLOOKUP(B1024,#REF!,2,FALSE)</f>
        <v>#REF!</v>
      </c>
      <c r="AM1024" s="311" t="e">
        <f t="shared" si="124"/>
        <v>#REF!</v>
      </c>
      <c r="AN1024" s="312" t="e">
        <f t="shared" si="129"/>
        <v>#REF!</v>
      </c>
    </row>
    <row r="1025" spans="1:40" s="73" customFormat="1" x14ac:dyDescent="0.25">
      <c r="A1025" s="313"/>
      <c r="B1025" s="329" t="s">
        <v>471</v>
      </c>
      <c r="D1025" s="74">
        <f>IFERROR(VLOOKUP(B1025,'REQ. PINTADO'!B:C,2,0),0)</f>
        <v>0</v>
      </c>
      <c r="E1025" s="305">
        <f t="shared" si="133"/>
        <v>164.5916931800196</v>
      </c>
      <c r="F1025" s="103" t="s">
        <v>163</v>
      </c>
      <c r="G1025" s="75" t="s">
        <v>147</v>
      </c>
      <c r="H1025" s="90">
        <v>3.42</v>
      </c>
      <c r="I1025" s="90">
        <v>26.89</v>
      </c>
      <c r="J1025" s="76">
        <v>0.105</v>
      </c>
      <c r="K1025" s="306">
        <v>16.38</v>
      </c>
      <c r="L1025" s="78">
        <f t="shared" si="134"/>
        <v>4.6363813899826054</v>
      </c>
      <c r="M1025" s="58">
        <f>+VLOOKUP(F1025,Material!$H$2:$M$17,6,FALSE)*H1025*I1025*(1+Material!$K$14)</f>
        <v>34.519966894506851</v>
      </c>
      <c r="N1025" s="79" t="str">
        <f t="shared" si="132"/>
        <v>T5.0</v>
      </c>
      <c r="O1025" s="80">
        <f>+VLOOKUP(N1025,[3]Material!$A$3:$B$58,2,FALSE)</f>
        <v>5000</v>
      </c>
      <c r="P1025" s="79" t="s">
        <v>42</v>
      </c>
      <c r="Q1025" s="79" t="str">
        <f>+VLOOKUP(F1025,[3]Material!$C$2:$E$12,2,FALSE)</f>
        <v>Cal 12</v>
      </c>
      <c r="R1025" s="81">
        <f>+IF(P1025="ACERO A36",VLOOKUP(Q1025,'[3]Velocidades Std 1500 w'!$B$2:$F$15,5,FALSE),IF(P1025="INOXIDABLE",VLOOKUP(Q1025,'[3]Velocidades Std 1500 w'!$B$17:$F$28,5,FALSE),IF(P1025="ALUMINIO",VLOOKUP(Q1025,'[3]Velocidades Std 1500 w'!$B$30:$F$38,5,FALSE))))</f>
        <v>4.3859649122807014E-6</v>
      </c>
      <c r="S1025" s="82">
        <f t="shared" si="135"/>
        <v>2.1929824561403508E-2</v>
      </c>
      <c r="T1025" s="83">
        <f t="shared" si="136"/>
        <v>31.843980000000002</v>
      </c>
      <c r="U1025" s="307">
        <f t="shared" si="130"/>
        <v>2016.7854000000002</v>
      </c>
      <c r="V1025" s="80">
        <f t="shared" si="141"/>
        <v>44.22775</v>
      </c>
      <c r="W1025" s="98">
        <v>10</v>
      </c>
      <c r="X1025" s="84">
        <f>+IF(P1025="ACERO A36",VLOOKUP(Q1025,'[3]Tiempo Objeto'!$B$2:$C$12,2,FALSE),IF(P1025="INOXIDABLE",VLOOKUP(Q1025,'[3]Tiempo Objeto'!$B$14:$C$22,2,FALSE),IF(P1025="ALUMINIO",VLOOKUP(Q1025,'[3]Tiempo Objeto'!$B$24:$C$32,2,FALSE))))</f>
        <v>0.6133333333333334</v>
      </c>
      <c r="Y1025" s="84">
        <f t="shared" si="137"/>
        <v>6.1333333333333337</v>
      </c>
      <c r="Z1025" s="80">
        <f t="shared" si="138"/>
        <v>8.518518518518519</v>
      </c>
      <c r="AA1025" s="100">
        <v>2</v>
      </c>
      <c r="AB1025" s="86">
        <f>+AA1025*Analisis!$J$6</f>
        <v>50</v>
      </c>
      <c r="AC1025" s="100"/>
      <c r="AD1025" s="85">
        <f t="shared" si="139"/>
        <v>0</v>
      </c>
      <c r="AE1025" s="86">
        <f>+AC1025*Analisis!$J$7</f>
        <v>0</v>
      </c>
      <c r="AF1025" s="308">
        <f>+H1025*0.0254*I1025*0.0254*2*(1+[3]Analisis!$G$2)</f>
        <v>0.14832841301999999</v>
      </c>
      <c r="AG1025" s="86">
        <f>+AF1025*Analisis!$J$8</f>
        <v>15.804039244392861</v>
      </c>
      <c r="AH1025" s="309">
        <f t="shared" si="126"/>
        <v>153.07027465741822</v>
      </c>
      <c r="AI1025" s="86">
        <f>+AH1025/(1-Analisis!G1030)</f>
        <v>153.07027465741822</v>
      </c>
      <c r="AJ1025" s="86">
        <f t="shared" si="140"/>
        <v>164.5916931800196</v>
      </c>
      <c r="AK1025" s="86">
        <f t="shared" si="127"/>
        <v>0</v>
      </c>
      <c r="AL1025" s="310" t="e">
        <f>+VLOOKUP(B1025,#REF!,2,FALSE)</f>
        <v>#REF!</v>
      </c>
      <c r="AM1025" s="311" t="e">
        <f t="shared" si="124"/>
        <v>#REF!</v>
      </c>
      <c r="AN1025" s="312" t="e">
        <f t="shared" si="129"/>
        <v>#REF!</v>
      </c>
    </row>
    <row r="1026" spans="1:40" s="73" customFormat="1" x14ac:dyDescent="0.25">
      <c r="A1026" s="313"/>
      <c r="B1026" s="329" t="s">
        <v>472</v>
      </c>
      <c r="D1026" s="74">
        <f>IFERROR(VLOOKUP(B1026,'REQ. PINTADO'!B:C,2,0),0)</f>
        <v>0</v>
      </c>
      <c r="E1026" s="305">
        <f t="shared" si="133"/>
        <v>177.67218116141899</v>
      </c>
      <c r="F1026" s="103" t="s">
        <v>163</v>
      </c>
      <c r="G1026" s="75" t="s">
        <v>147</v>
      </c>
      <c r="H1026" s="90">
        <v>3.42</v>
      </c>
      <c r="I1026" s="90">
        <v>30.89</v>
      </c>
      <c r="J1026" s="76">
        <v>0.105</v>
      </c>
      <c r="K1026" s="306">
        <v>16.38</v>
      </c>
      <c r="L1026" s="78">
        <f t="shared" si="134"/>
        <v>5.3260625190242719</v>
      </c>
      <c r="M1026" s="58">
        <f>+VLOOKUP(F1026,Material!$H$2:$M$17,6,FALSE)*H1026*I1026*(1+Material!$K$14)</f>
        <v>39.654956391644347</v>
      </c>
      <c r="N1026" s="79" t="str">
        <f t="shared" si="132"/>
        <v>T5.0</v>
      </c>
      <c r="O1026" s="80">
        <f>+VLOOKUP(N1026,[3]Material!$A$3:$B$58,2,FALSE)</f>
        <v>5000</v>
      </c>
      <c r="P1026" s="79" t="s">
        <v>42</v>
      </c>
      <c r="Q1026" s="79" t="str">
        <f>+VLOOKUP(F1026,[3]Material!$C$2:$E$12,2,FALSE)</f>
        <v>Cal 12</v>
      </c>
      <c r="R1026" s="81">
        <f>+IF(P1026="ACERO A36",VLOOKUP(Q1026,'[3]Velocidades Std 1500 w'!$B$2:$F$15,5,FALSE),IF(P1026="INOXIDABLE",VLOOKUP(Q1026,'[3]Velocidades Std 1500 w'!$B$17:$F$28,5,FALSE),IF(P1026="ALUMINIO",VLOOKUP(Q1026,'[3]Velocidades Std 1500 w'!$B$30:$F$38,5,FALSE))))</f>
        <v>4.3859649122807014E-6</v>
      </c>
      <c r="S1026" s="82">
        <f t="shared" si="135"/>
        <v>2.1929824561403508E-2</v>
      </c>
      <c r="T1026" s="83">
        <f t="shared" si="136"/>
        <v>35.212822105263157</v>
      </c>
      <c r="U1026" s="307">
        <f t="shared" si="130"/>
        <v>2230.1453999999999</v>
      </c>
      <c r="V1026" s="80">
        <f t="shared" si="141"/>
        <v>48.90669736842105</v>
      </c>
      <c r="W1026" s="98">
        <v>10</v>
      </c>
      <c r="X1026" s="84">
        <f>+IF(P1026="ACERO A36",VLOOKUP(Q1026,'[3]Tiempo Objeto'!$B$2:$C$12,2,FALSE),IF(P1026="INOXIDABLE",VLOOKUP(Q1026,'[3]Tiempo Objeto'!$B$14:$C$22,2,FALSE),IF(P1026="ALUMINIO",VLOOKUP(Q1026,'[3]Tiempo Objeto'!$B$24:$C$32,2,FALSE))))</f>
        <v>0.6133333333333334</v>
      </c>
      <c r="Y1026" s="84">
        <f t="shared" si="137"/>
        <v>6.1333333333333337</v>
      </c>
      <c r="Z1026" s="80">
        <f t="shared" si="138"/>
        <v>8.518518518518519</v>
      </c>
      <c r="AA1026" s="100">
        <v>2</v>
      </c>
      <c r="AB1026" s="86">
        <f>+AA1026*Analisis!$J$6</f>
        <v>50</v>
      </c>
      <c r="AC1026" s="100"/>
      <c r="AD1026" s="85">
        <f t="shared" si="139"/>
        <v>0</v>
      </c>
      <c r="AE1026" s="86">
        <f>+AC1026*Analisis!$J$7</f>
        <v>0</v>
      </c>
      <c r="AF1026" s="308">
        <f>+H1026*0.0254*I1026*0.0254*2*(1+[3]Analisis!$G$2)</f>
        <v>0.17039288502</v>
      </c>
      <c r="AG1026" s="86">
        <f>+AF1026*Analisis!$J$8</f>
        <v>18.154956201535718</v>
      </c>
      <c r="AH1026" s="309">
        <f t="shared" si="126"/>
        <v>165.23512848011964</v>
      </c>
      <c r="AI1026" s="86">
        <f>+AH1026/(1-Analisis!G1031)</f>
        <v>165.23512848011964</v>
      </c>
      <c r="AJ1026" s="86">
        <f t="shared" si="140"/>
        <v>177.67218116141899</v>
      </c>
      <c r="AK1026" s="86">
        <f t="shared" si="127"/>
        <v>0</v>
      </c>
      <c r="AL1026" s="310" t="e">
        <f>+VLOOKUP(B1026,#REF!,2,FALSE)</f>
        <v>#REF!</v>
      </c>
      <c r="AM1026" s="311" t="e">
        <f t="shared" si="124"/>
        <v>#REF!</v>
      </c>
      <c r="AN1026" s="312" t="e">
        <f t="shared" si="129"/>
        <v>#REF!</v>
      </c>
    </row>
    <row r="1027" spans="1:40" s="73" customFormat="1" x14ac:dyDescent="0.25">
      <c r="A1027" s="313"/>
      <c r="B1027" s="329" t="s">
        <v>473</v>
      </c>
      <c r="D1027" s="74">
        <f>IFERROR(VLOOKUP(B1027,'REQ. PINTADO'!B:C,2,0),0)</f>
        <v>0</v>
      </c>
      <c r="E1027" s="305">
        <f t="shared" si="133"/>
        <v>187.48254714746849</v>
      </c>
      <c r="F1027" s="103" t="s">
        <v>163</v>
      </c>
      <c r="G1027" s="75" t="s">
        <v>147</v>
      </c>
      <c r="H1027" s="90">
        <v>3.42</v>
      </c>
      <c r="I1027" s="90">
        <v>33.89</v>
      </c>
      <c r="J1027" s="76">
        <v>0.105</v>
      </c>
      <c r="K1027" s="306">
        <v>16.38</v>
      </c>
      <c r="L1027" s="78">
        <f t="shared" si="134"/>
        <v>5.8433233658055217</v>
      </c>
      <c r="M1027" s="58">
        <f>+VLOOKUP(F1027,Material!$H$2:$M$17,6,FALSE)*H1027*I1027*(1+Material!$K$14)</f>
        <v>43.50619851449747</v>
      </c>
      <c r="N1027" s="79" t="str">
        <f t="shared" si="132"/>
        <v>T5.0</v>
      </c>
      <c r="O1027" s="80">
        <f>+VLOOKUP(N1027,[3]Material!$A$3:$B$58,2,FALSE)</f>
        <v>5000</v>
      </c>
      <c r="P1027" s="79" t="s">
        <v>42</v>
      </c>
      <c r="Q1027" s="79" t="str">
        <f>+VLOOKUP(F1027,[3]Material!$C$2:$E$12,2,FALSE)</f>
        <v>Cal 12</v>
      </c>
      <c r="R1027" s="81">
        <f>+IF(P1027="ACERO A36",VLOOKUP(Q1027,'[3]Velocidades Std 1500 w'!$B$2:$F$15,5,FALSE),IF(P1027="INOXIDABLE",VLOOKUP(Q1027,'[3]Velocidades Std 1500 w'!$B$17:$F$28,5,FALSE),IF(P1027="ALUMINIO",VLOOKUP(Q1027,'[3]Velocidades Std 1500 w'!$B$30:$F$38,5,FALSE))))</f>
        <v>4.3859649122807014E-6</v>
      </c>
      <c r="S1027" s="82">
        <f t="shared" si="135"/>
        <v>2.1929824561403508E-2</v>
      </c>
      <c r="T1027" s="83">
        <f t="shared" si="136"/>
        <v>37.739453684210524</v>
      </c>
      <c r="U1027" s="307">
        <f t="shared" si="130"/>
        <v>2390.1653999999999</v>
      </c>
      <c r="V1027" s="80">
        <f t="shared" si="141"/>
        <v>52.415907894736833</v>
      </c>
      <c r="W1027" s="98">
        <v>10</v>
      </c>
      <c r="X1027" s="84">
        <f>+IF(P1027="ACERO A36",VLOOKUP(Q1027,'[3]Tiempo Objeto'!$B$2:$C$12,2,FALSE),IF(P1027="INOXIDABLE",VLOOKUP(Q1027,'[3]Tiempo Objeto'!$B$14:$C$22,2,FALSE),IF(P1027="ALUMINIO",VLOOKUP(Q1027,'[3]Tiempo Objeto'!$B$24:$C$32,2,FALSE))))</f>
        <v>0.6133333333333334</v>
      </c>
      <c r="Y1027" s="84">
        <f t="shared" si="137"/>
        <v>6.1333333333333337</v>
      </c>
      <c r="Z1027" s="80">
        <f t="shared" si="138"/>
        <v>8.518518518518519</v>
      </c>
      <c r="AA1027" s="100">
        <v>2</v>
      </c>
      <c r="AB1027" s="86">
        <f>+AA1027*Analisis!$J$6</f>
        <v>50</v>
      </c>
      <c r="AC1027" s="100"/>
      <c r="AD1027" s="85">
        <f t="shared" si="139"/>
        <v>0</v>
      </c>
      <c r="AE1027" s="86">
        <f>+AC1027*Analisis!$J$7</f>
        <v>0</v>
      </c>
      <c r="AF1027" s="308">
        <f>+H1027*0.0254*I1027*0.0254*2*(1+[3]Analisis!$G$2)</f>
        <v>0.18694123901999998</v>
      </c>
      <c r="AG1027" s="86">
        <f>+AF1027*Analisis!$J$8</f>
        <v>19.918143919392861</v>
      </c>
      <c r="AH1027" s="309">
        <f t="shared" si="126"/>
        <v>174.35876884714568</v>
      </c>
      <c r="AI1027" s="86">
        <f>+AH1027/(1-Analisis!G1032)</f>
        <v>174.35876884714568</v>
      </c>
      <c r="AJ1027" s="86">
        <f t="shared" si="140"/>
        <v>187.48254714746849</v>
      </c>
      <c r="AK1027" s="86">
        <f t="shared" si="127"/>
        <v>0</v>
      </c>
      <c r="AL1027" s="310" t="e">
        <f>+VLOOKUP(B1027,#REF!,2,FALSE)</f>
        <v>#REF!</v>
      </c>
      <c r="AM1027" s="311" t="e">
        <f t="shared" si="124"/>
        <v>#REF!</v>
      </c>
      <c r="AN1027" s="312" t="e">
        <f t="shared" si="129"/>
        <v>#REF!</v>
      </c>
    </row>
    <row r="1028" spans="1:40" s="73" customFormat="1" x14ac:dyDescent="0.25">
      <c r="A1028" s="313"/>
      <c r="B1028" s="329" t="s">
        <v>362</v>
      </c>
      <c r="D1028" s="74">
        <f>IFERROR(VLOOKUP(B1028,'REQ. PINTADO'!B:C,2,0),0)</f>
        <v>0</v>
      </c>
      <c r="E1028" s="305">
        <f t="shared" si="133"/>
        <v>197.29291313351803</v>
      </c>
      <c r="F1028" s="103" t="s">
        <v>163</v>
      </c>
      <c r="G1028" s="75" t="s">
        <v>147</v>
      </c>
      <c r="H1028" s="90">
        <v>3.42</v>
      </c>
      <c r="I1028" s="90">
        <v>36.89</v>
      </c>
      <c r="J1028" s="76">
        <v>0.105</v>
      </c>
      <c r="K1028" s="306">
        <v>16.38</v>
      </c>
      <c r="L1028" s="78">
        <f t="shared" si="134"/>
        <v>6.3605842125867733</v>
      </c>
      <c r="M1028" s="58">
        <f>+VLOOKUP(F1028,Material!$H$2:$M$17,6,FALSE)*H1028*I1028*(1+Material!$K$14)</f>
        <v>47.357440637350606</v>
      </c>
      <c r="N1028" s="79" t="str">
        <f t="shared" ref="N1028:N1091" si="142">+N1027</f>
        <v>T5.0</v>
      </c>
      <c r="O1028" s="80">
        <f>+VLOOKUP(N1028,[3]Material!$A$3:$B$58,2,FALSE)</f>
        <v>5000</v>
      </c>
      <c r="P1028" s="79" t="s">
        <v>42</v>
      </c>
      <c r="Q1028" s="79" t="str">
        <f>+VLOOKUP(F1028,[3]Material!$C$2:$E$12,2,FALSE)</f>
        <v>Cal 12</v>
      </c>
      <c r="R1028" s="81">
        <f>+IF(P1028="ACERO A36",VLOOKUP(Q1028,'[3]Velocidades Std 1500 w'!$B$2:$F$15,5,FALSE),IF(P1028="INOXIDABLE",VLOOKUP(Q1028,'[3]Velocidades Std 1500 w'!$B$17:$F$28,5,FALSE),IF(P1028="ALUMINIO",VLOOKUP(Q1028,'[3]Velocidades Std 1500 w'!$B$30:$F$38,5,FALSE))))</f>
        <v>4.3859649122807014E-6</v>
      </c>
      <c r="S1028" s="82">
        <f t="shared" si="135"/>
        <v>2.1929824561403508E-2</v>
      </c>
      <c r="T1028" s="83">
        <f t="shared" si="136"/>
        <v>40.266085263157898</v>
      </c>
      <c r="U1028" s="307">
        <f t="shared" si="130"/>
        <v>2550.1854000000003</v>
      </c>
      <c r="V1028" s="80">
        <f t="shared" si="141"/>
        <v>55.925118421052638</v>
      </c>
      <c r="W1028" s="98">
        <v>10</v>
      </c>
      <c r="X1028" s="84">
        <f>+IF(P1028="ACERO A36",VLOOKUP(Q1028,'[3]Tiempo Objeto'!$B$2:$C$12,2,FALSE),IF(P1028="INOXIDABLE",VLOOKUP(Q1028,'[3]Tiempo Objeto'!$B$14:$C$22,2,FALSE),IF(P1028="ALUMINIO",VLOOKUP(Q1028,'[3]Tiempo Objeto'!$B$24:$C$32,2,FALSE))))</f>
        <v>0.6133333333333334</v>
      </c>
      <c r="Y1028" s="84">
        <f t="shared" si="137"/>
        <v>6.1333333333333337</v>
      </c>
      <c r="Z1028" s="80">
        <f t="shared" si="138"/>
        <v>8.518518518518519</v>
      </c>
      <c r="AA1028" s="100">
        <v>2</v>
      </c>
      <c r="AB1028" s="86">
        <f>+AA1028*Analisis!$J$6</f>
        <v>50</v>
      </c>
      <c r="AC1028" s="100"/>
      <c r="AD1028" s="85">
        <f t="shared" si="139"/>
        <v>0</v>
      </c>
      <c r="AE1028" s="86">
        <f>+AC1028*Analisis!$J$7</f>
        <v>0</v>
      </c>
      <c r="AF1028" s="308">
        <f>+H1028*0.0254*I1028*0.0254*2*(1+[3]Analisis!$G$2)</f>
        <v>0.20348959302000003</v>
      </c>
      <c r="AG1028" s="86">
        <f>+AF1028*Analisis!$J$8</f>
        <v>21.681331637250008</v>
      </c>
      <c r="AH1028" s="309">
        <f t="shared" si="126"/>
        <v>183.48240921417175</v>
      </c>
      <c r="AI1028" s="86">
        <f>+AH1028/(1-Analisis!G1033)</f>
        <v>183.48240921417175</v>
      </c>
      <c r="AJ1028" s="86">
        <f t="shared" si="140"/>
        <v>197.29291313351803</v>
      </c>
      <c r="AK1028" s="86">
        <f t="shared" si="127"/>
        <v>0</v>
      </c>
      <c r="AL1028" s="310" t="e">
        <f>+VLOOKUP(B1028,#REF!,2,FALSE)</f>
        <v>#REF!</v>
      </c>
      <c r="AM1028" s="311" t="e">
        <f t="shared" si="124"/>
        <v>#REF!</v>
      </c>
      <c r="AN1028" s="312" t="e">
        <f t="shared" si="129"/>
        <v>#REF!</v>
      </c>
    </row>
    <row r="1029" spans="1:40" s="73" customFormat="1" x14ac:dyDescent="0.25">
      <c r="A1029" s="313"/>
      <c r="B1029" s="329" t="s">
        <v>474</v>
      </c>
      <c r="D1029" s="74">
        <f>IFERROR(VLOOKUP(B1029,'REQ. PINTADO'!B:C,2,0),0)</f>
        <v>0</v>
      </c>
      <c r="E1029" s="305">
        <f t="shared" si="133"/>
        <v>223.45388909631674</v>
      </c>
      <c r="F1029" s="103" t="s">
        <v>163</v>
      </c>
      <c r="G1029" s="75" t="s">
        <v>147</v>
      </c>
      <c r="H1029" s="90">
        <v>3.42</v>
      </c>
      <c r="I1029" s="90">
        <v>44.89</v>
      </c>
      <c r="J1029" s="76">
        <v>0.105</v>
      </c>
      <c r="K1029" s="306">
        <v>16.38</v>
      </c>
      <c r="L1029" s="78">
        <f t="shared" si="134"/>
        <v>7.7399464706701062</v>
      </c>
      <c r="M1029" s="58">
        <f>+VLOOKUP(F1029,Material!$H$2:$M$17,6,FALSE)*H1029*I1029*(1+Material!$K$14)</f>
        <v>57.6274196316256</v>
      </c>
      <c r="N1029" s="79" t="str">
        <f t="shared" si="142"/>
        <v>T5.0</v>
      </c>
      <c r="O1029" s="80">
        <f>+VLOOKUP(N1029,[3]Material!$A$3:$B$58,2,FALSE)</f>
        <v>5000</v>
      </c>
      <c r="P1029" s="79" t="s">
        <v>42</v>
      </c>
      <c r="Q1029" s="79" t="str">
        <f>+VLOOKUP(F1029,[3]Material!$C$2:$E$12,2,FALSE)</f>
        <v>Cal 12</v>
      </c>
      <c r="R1029" s="81">
        <f>+IF(P1029="ACERO A36",VLOOKUP(Q1029,'[3]Velocidades Std 1500 w'!$B$2:$F$15,5,FALSE),IF(P1029="INOXIDABLE",VLOOKUP(Q1029,'[3]Velocidades Std 1500 w'!$B$17:$F$28,5,FALSE),IF(P1029="ALUMINIO",VLOOKUP(Q1029,'[3]Velocidades Std 1500 w'!$B$30:$F$38,5,FALSE))))</f>
        <v>4.3859649122807014E-6</v>
      </c>
      <c r="S1029" s="82">
        <f t="shared" si="135"/>
        <v>2.1929824561403508E-2</v>
      </c>
      <c r="T1029" s="83">
        <f t="shared" si="136"/>
        <v>47.003769473684208</v>
      </c>
      <c r="U1029" s="307">
        <f t="shared" si="130"/>
        <v>2976.9054000000001</v>
      </c>
      <c r="V1029" s="80">
        <f t="shared" si="141"/>
        <v>65.283013157894729</v>
      </c>
      <c r="W1029" s="98">
        <v>10</v>
      </c>
      <c r="X1029" s="84">
        <f>+IF(P1029="ACERO A36",VLOOKUP(Q1029,'[3]Tiempo Objeto'!$B$2:$C$12,2,FALSE),IF(P1029="INOXIDABLE",VLOOKUP(Q1029,'[3]Tiempo Objeto'!$B$14:$C$22,2,FALSE),IF(P1029="ALUMINIO",VLOOKUP(Q1029,'[3]Tiempo Objeto'!$B$24:$C$32,2,FALSE))))</f>
        <v>0.6133333333333334</v>
      </c>
      <c r="Y1029" s="84">
        <f t="shared" si="137"/>
        <v>6.1333333333333337</v>
      </c>
      <c r="Z1029" s="80">
        <f t="shared" si="138"/>
        <v>8.518518518518519</v>
      </c>
      <c r="AA1029" s="100">
        <v>2</v>
      </c>
      <c r="AB1029" s="86">
        <f>+AA1029*Analisis!$J$6</f>
        <v>50</v>
      </c>
      <c r="AC1029" s="100"/>
      <c r="AD1029" s="85">
        <f t="shared" si="139"/>
        <v>0</v>
      </c>
      <c r="AE1029" s="86">
        <f>+AC1029*Analisis!$J$7</f>
        <v>0</v>
      </c>
      <c r="AF1029" s="308">
        <f>+H1029*0.0254*I1029*0.0254*2*(1+[3]Analisis!$G$2)</f>
        <v>0.24761853702</v>
      </c>
      <c r="AG1029" s="86">
        <f>+AF1029*Analisis!$J$8</f>
        <v>26.383165551535722</v>
      </c>
      <c r="AH1029" s="309">
        <f t="shared" si="126"/>
        <v>207.81211685957456</v>
      </c>
      <c r="AI1029" s="86">
        <f>+AH1029/(1-Analisis!G1034)</f>
        <v>207.81211685957456</v>
      </c>
      <c r="AJ1029" s="86">
        <f t="shared" si="140"/>
        <v>223.45388909631674</v>
      </c>
      <c r="AK1029" s="86">
        <f t="shared" si="127"/>
        <v>0</v>
      </c>
      <c r="AL1029" s="310" t="e">
        <f>+VLOOKUP(B1029,#REF!,2,FALSE)</f>
        <v>#REF!</v>
      </c>
      <c r="AM1029" s="311" t="e">
        <f t="shared" si="124"/>
        <v>#REF!</v>
      </c>
      <c r="AN1029" s="312" t="e">
        <f t="shared" si="129"/>
        <v>#REF!</v>
      </c>
    </row>
    <row r="1030" spans="1:40" s="73" customFormat="1" x14ac:dyDescent="0.25">
      <c r="A1030" s="313"/>
      <c r="B1030" s="329" t="s">
        <v>475</v>
      </c>
      <c r="D1030" s="74">
        <f>IFERROR(VLOOKUP(B1030,'REQ. PINTADO'!B:C,2,0),0)</f>
        <v>0</v>
      </c>
      <c r="E1030" s="305">
        <f t="shared" si="133"/>
        <v>243.07462106841578</v>
      </c>
      <c r="F1030" s="103" t="s">
        <v>163</v>
      </c>
      <c r="G1030" s="75" t="s">
        <v>147</v>
      </c>
      <c r="H1030" s="90">
        <v>3.42</v>
      </c>
      <c r="I1030" s="90">
        <v>50.89</v>
      </c>
      <c r="J1030" s="76">
        <v>0.105</v>
      </c>
      <c r="K1030" s="306">
        <v>16.38</v>
      </c>
      <c r="L1030" s="78">
        <f t="shared" si="134"/>
        <v>8.7744681642326068</v>
      </c>
      <c r="M1030" s="58">
        <f>+VLOOKUP(F1030,Material!$H$2:$M$17,6,FALSE)*H1030*I1030*(1+Material!$K$14)</f>
        <v>65.329903877331859</v>
      </c>
      <c r="N1030" s="79" t="str">
        <f t="shared" si="142"/>
        <v>T5.0</v>
      </c>
      <c r="O1030" s="80">
        <f>+VLOOKUP(N1030,[3]Material!$A$3:$B$58,2,FALSE)</f>
        <v>5000</v>
      </c>
      <c r="P1030" s="79" t="s">
        <v>42</v>
      </c>
      <c r="Q1030" s="79" t="str">
        <f>+VLOOKUP(F1030,[3]Material!$C$2:$E$12,2,FALSE)</f>
        <v>Cal 12</v>
      </c>
      <c r="R1030" s="81">
        <f>+IF(P1030="ACERO A36",VLOOKUP(Q1030,'[3]Velocidades Std 1500 w'!$B$2:$F$15,5,FALSE),IF(P1030="INOXIDABLE",VLOOKUP(Q1030,'[3]Velocidades Std 1500 w'!$B$17:$F$28,5,FALSE),IF(P1030="ALUMINIO",VLOOKUP(Q1030,'[3]Velocidades Std 1500 w'!$B$30:$F$38,5,FALSE))))</f>
        <v>4.3859649122807014E-6</v>
      </c>
      <c r="S1030" s="82">
        <f t="shared" si="135"/>
        <v>2.1929824561403508E-2</v>
      </c>
      <c r="T1030" s="83">
        <f t="shared" si="136"/>
        <v>52.057032631578942</v>
      </c>
      <c r="U1030" s="307">
        <f t="shared" si="130"/>
        <v>3296.9454000000001</v>
      </c>
      <c r="V1030" s="80">
        <f t="shared" si="141"/>
        <v>72.30143421052631</v>
      </c>
      <c r="W1030" s="98">
        <v>10</v>
      </c>
      <c r="X1030" s="84">
        <f>+IF(P1030="ACERO A36",VLOOKUP(Q1030,'[3]Tiempo Objeto'!$B$2:$C$12,2,FALSE),IF(P1030="INOXIDABLE",VLOOKUP(Q1030,'[3]Tiempo Objeto'!$B$14:$C$22,2,FALSE),IF(P1030="ALUMINIO",VLOOKUP(Q1030,'[3]Tiempo Objeto'!$B$24:$C$32,2,FALSE))))</f>
        <v>0.6133333333333334</v>
      </c>
      <c r="Y1030" s="84">
        <f t="shared" si="137"/>
        <v>6.1333333333333337</v>
      </c>
      <c r="Z1030" s="80">
        <f t="shared" si="138"/>
        <v>8.518518518518519</v>
      </c>
      <c r="AA1030" s="100">
        <v>2</v>
      </c>
      <c r="AB1030" s="86">
        <f>+AA1030*Analisis!$J$6</f>
        <v>50</v>
      </c>
      <c r="AC1030" s="100"/>
      <c r="AD1030" s="85">
        <f t="shared" si="139"/>
        <v>0</v>
      </c>
      <c r="AE1030" s="86">
        <f>+AC1030*Analisis!$J$7</f>
        <v>0</v>
      </c>
      <c r="AF1030" s="308">
        <f>+H1030*0.0254*I1030*0.0254*2*(1+[3]Analisis!$G$2)</f>
        <v>0.28071524502</v>
      </c>
      <c r="AG1030" s="86">
        <f>+AF1030*Analisis!$J$8</f>
        <v>29.909540987250008</v>
      </c>
      <c r="AH1030" s="309">
        <f t="shared" si="126"/>
        <v>226.05939759362667</v>
      </c>
      <c r="AI1030" s="86">
        <f>+AH1030/(1-Analisis!G1035)</f>
        <v>226.05939759362667</v>
      </c>
      <c r="AJ1030" s="86">
        <f t="shared" si="140"/>
        <v>243.07462106841578</v>
      </c>
      <c r="AK1030" s="86">
        <f t="shared" si="127"/>
        <v>0</v>
      </c>
      <c r="AL1030" s="310" t="e">
        <f>+VLOOKUP(B1030,#REF!,2,FALSE)</f>
        <v>#REF!</v>
      </c>
      <c r="AM1030" s="311" t="e">
        <f t="shared" si="124"/>
        <v>#REF!</v>
      </c>
      <c r="AN1030" s="312" t="e">
        <f t="shared" si="129"/>
        <v>#REF!</v>
      </c>
    </row>
    <row r="1031" spans="1:40" s="73" customFormat="1" x14ac:dyDescent="0.25">
      <c r="A1031" s="313"/>
      <c r="B1031" s="329" t="s">
        <v>476</v>
      </c>
      <c r="D1031" s="74">
        <f>IFERROR(VLOOKUP(B1031,'REQ. PINTADO'!B:C,2,0),0)</f>
        <v>0</v>
      </c>
      <c r="E1031" s="305">
        <f t="shared" si="133"/>
        <v>262.69535304051487</v>
      </c>
      <c r="F1031" s="103" t="s">
        <v>163</v>
      </c>
      <c r="G1031" s="75" t="s">
        <v>147</v>
      </c>
      <c r="H1031" s="90">
        <v>3.42</v>
      </c>
      <c r="I1031" s="90">
        <v>56.89</v>
      </c>
      <c r="J1031" s="76">
        <v>0.105</v>
      </c>
      <c r="K1031" s="306">
        <v>16.38</v>
      </c>
      <c r="L1031" s="78">
        <f t="shared" si="134"/>
        <v>9.8089898577951065</v>
      </c>
      <c r="M1031" s="58">
        <f>+VLOOKUP(F1031,Material!$H$2:$M$17,6,FALSE)*H1031*I1031*(1+Material!$K$14)</f>
        <v>73.032388123038103</v>
      </c>
      <c r="N1031" s="79" t="str">
        <f t="shared" si="142"/>
        <v>T5.0</v>
      </c>
      <c r="O1031" s="80">
        <f>+VLOOKUP(N1031,[3]Material!$A$3:$B$58,2,FALSE)</f>
        <v>5000</v>
      </c>
      <c r="P1031" s="79" t="s">
        <v>42</v>
      </c>
      <c r="Q1031" s="79" t="str">
        <f>+VLOOKUP(F1031,[3]Material!$C$2:$E$12,2,FALSE)</f>
        <v>Cal 12</v>
      </c>
      <c r="R1031" s="81">
        <f>+IF(P1031="ACERO A36",VLOOKUP(Q1031,'[3]Velocidades Std 1500 w'!$B$2:$F$15,5,FALSE),IF(P1031="INOXIDABLE",VLOOKUP(Q1031,'[3]Velocidades Std 1500 w'!$B$17:$F$28,5,FALSE),IF(P1031="ALUMINIO",VLOOKUP(Q1031,'[3]Velocidades Std 1500 w'!$B$30:$F$38,5,FALSE))))</f>
        <v>4.3859649122807014E-6</v>
      </c>
      <c r="S1031" s="82">
        <f t="shared" si="135"/>
        <v>2.1929824561403508E-2</v>
      </c>
      <c r="T1031" s="83">
        <f t="shared" si="136"/>
        <v>57.110295789473675</v>
      </c>
      <c r="U1031" s="307">
        <f t="shared" si="130"/>
        <v>3616.9854</v>
      </c>
      <c r="V1031" s="80">
        <f t="shared" si="141"/>
        <v>79.319855263157891</v>
      </c>
      <c r="W1031" s="98">
        <v>10</v>
      </c>
      <c r="X1031" s="84">
        <f>+IF(P1031="ACERO A36",VLOOKUP(Q1031,'[3]Tiempo Objeto'!$B$2:$C$12,2,FALSE),IF(P1031="INOXIDABLE",VLOOKUP(Q1031,'[3]Tiempo Objeto'!$B$14:$C$22,2,FALSE),IF(P1031="ALUMINIO",VLOOKUP(Q1031,'[3]Tiempo Objeto'!$B$24:$C$32,2,FALSE))))</f>
        <v>0.6133333333333334</v>
      </c>
      <c r="Y1031" s="84">
        <f t="shared" si="137"/>
        <v>6.1333333333333337</v>
      </c>
      <c r="Z1031" s="80">
        <f t="shared" si="138"/>
        <v>8.518518518518519</v>
      </c>
      <c r="AA1031" s="100">
        <v>2</v>
      </c>
      <c r="AB1031" s="86">
        <f>+AA1031*Analisis!$J$6</f>
        <v>50</v>
      </c>
      <c r="AC1031" s="100"/>
      <c r="AD1031" s="85">
        <f t="shared" si="139"/>
        <v>0</v>
      </c>
      <c r="AE1031" s="86">
        <f>+AC1031*Analisis!$J$7</f>
        <v>0</v>
      </c>
      <c r="AF1031" s="308">
        <f>+H1031*0.0254*I1031*0.0254*2*(1+[3]Analisis!$G$2)</f>
        <v>0.31381195302000003</v>
      </c>
      <c r="AG1031" s="86">
        <f>+AF1031*Analisis!$J$8</f>
        <v>33.435916422964297</v>
      </c>
      <c r="AH1031" s="309">
        <f t="shared" si="126"/>
        <v>244.30667832767881</v>
      </c>
      <c r="AI1031" s="86">
        <f>+AH1031/(1-Analisis!G1036)</f>
        <v>244.30667832767881</v>
      </c>
      <c r="AJ1031" s="86">
        <f t="shared" si="140"/>
        <v>262.69535304051487</v>
      </c>
      <c r="AK1031" s="86">
        <f t="shared" si="127"/>
        <v>0</v>
      </c>
      <c r="AL1031" s="310" t="e">
        <f>+VLOOKUP(B1031,#REF!,2,FALSE)</f>
        <v>#REF!</v>
      </c>
      <c r="AM1031" s="311" t="e">
        <f t="shared" si="124"/>
        <v>#REF!</v>
      </c>
      <c r="AN1031" s="312" t="e">
        <f t="shared" si="129"/>
        <v>#REF!</v>
      </c>
    </row>
    <row r="1032" spans="1:40" s="73" customFormat="1" x14ac:dyDescent="0.25">
      <c r="A1032" s="313"/>
      <c r="B1032" s="329" t="s">
        <v>477</v>
      </c>
      <c r="D1032" s="74">
        <f>IFERROR(VLOOKUP(B1032,'REQ. PINTADO'!B:C,2,0),0)</f>
        <v>0</v>
      </c>
      <c r="E1032" s="305">
        <f t="shared" si="133"/>
        <v>229.99413308701648</v>
      </c>
      <c r="F1032" s="103" t="s">
        <v>163</v>
      </c>
      <c r="G1032" s="75" t="s">
        <v>147</v>
      </c>
      <c r="H1032" s="90">
        <v>3.42</v>
      </c>
      <c r="I1032" s="90">
        <v>46.89</v>
      </c>
      <c r="J1032" s="76">
        <v>0.105</v>
      </c>
      <c r="K1032" s="306">
        <v>16.38</v>
      </c>
      <c r="L1032" s="78">
        <f t="shared" si="134"/>
        <v>8.0847870351909403</v>
      </c>
      <c r="M1032" s="58">
        <f>+VLOOKUP(F1032,Material!$H$2:$M$17,6,FALSE)*H1032*I1032*(1+Material!$K$14)</f>
        <v>60.194914380194355</v>
      </c>
      <c r="N1032" s="79" t="str">
        <f t="shared" si="142"/>
        <v>T5.0</v>
      </c>
      <c r="O1032" s="80">
        <f>+VLOOKUP(N1032,[3]Material!$A$3:$B$58,2,FALSE)</f>
        <v>5000</v>
      </c>
      <c r="P1032" s="79" t="s">
        <v>42</v>
      </c>
      <c r="Q1032" s="79" t="str">
        <f>+VLOOKUP(F1032,[3]Material!$C$2:$E$12,2,FALSE)</f>
        <v>Cal 12</v>
      </c>
      <c r="R1032" s="81">
        <f>+IF(P1032="ACERO A36",VLOOKUP(Q1032,'[3]Velocidades Std 1500 w'!$B$2:$F$15,5,FALSE),IF(P1032="INOXIDABLE",VLOOKUP(Q1032,'[3]Velocidades Std 1500 w'!$B$17:$F$28,5,FALSE),IF(P1032="ALUMINIO",VLOOKUP(Q1032,'[3]Velocidades Std 1500 w'!$B$30:$F$38,5,FALSE))))</f>
        <v>4.3859649122807014E-6</v>
      </c>
      <c r="S1032" s="82">
        <f t="shared" si="135"/>
        <v>2.1929824561403508E-2</v>
      </c>
      <c r="T1032" s="83">
        <f t="shared" si="136"/>
        <v>48.688190526315793</v>
      </c>
      <c r="U1032" s="307">
        <f t="shared" si="130"/>
        <v>3083.5854000000004</v>
      </c>
      <c r="V1032" s="80">
        <f t="shared" si="141"/>
        <v>67.622486842105275</v>
      </c>
      <c r="W1032" s="98">
        <v>10</v>
      </c>
      <c r="X1032" s="84">
        <f>+IF(P1032="ACERO A36",VLOOKUP(Q1032,'[3]Tiempo Objeto'!$B$2:$C$12,2,FALSE),IF(P1032="INOXIDABLE",VLOOKUP(Q1032,'[3]Tiempo Objeto'!$B$14:$C$22,2,FALSE),IF(P1032="ALUMINIO",VLOOKUP(Q1032,'[3]Tiempo Objeto'!$B$24:$C$32,2,FALSE))))</f>
        <v>0.6133333333333334</v>
      </c>
      <c r="Y1032" s="84">
        <f t="shared" si="137"/>
        <v>6.1333333333333337</v>
      </c>
      <c r="Z1032" s="80">
        <f t="shared" si="138"/>
        <v>8.518518518518519</v>
      </c>
      <c r="AA1032" s="100">
        <v>2</v>
      </c>
      <c r="AB1032" s="86">
        <f>+AA1032*Analisis!$J$6</f>
        <v>50</v>
      </c>
      <c r="AC1032" s="100"/>
      <c r="AD1032" s="85">
        <f t="shared" si="139"/>
        <v>0</v>
      </c>
      <c r="AE1032" s="86">
        <f>+AC1032*Analisis!$J$7</f>
        <v>0</v>
      </c>
      <c r="AF1032" s="308">
        <f>+H1032*0.0254*I1032*0.0254*2*(1+[3]Analisis!$G$2)</f>
        <v>0.25865077302</v>
      </c>
      <c r="AG1032" s="86">
        <f>+AF1032*Analisis!$J$8</f>
        <v>27.558624030107151</v>
      </c>
      <c r="AH1032" s="309">
        <f t="shared" si="126"/>
        <v>213.89454377092531</v>
      </c>
      <c r="AI1032" s="86">
        <f>+AH1032/(1-Analisis!G1037)</f>
        <v>213.89454377092531</v>
      </c>
      <c r="AJ1032" s="86">
        <f t="shared" si="140"/>
        <v>229.99413308701648</v>
      </c>
      <c r="AK1032" s="86">
        <f t="shared" si="127"/>
        <v>0</v>
      </c>
      <c r="AL1032" s="310" t="e">
        <f>+VLOOKUP(B1032,#REF!,2,FALSE)</f>
        <v>#REF!</v>
      </c>
      <c r="AM1032" s="311" t="e">
        <f t="shared" si="124"/>
        <v>#REF!</v>
      </c>
      <c r="AN1032" s="312" t="e">
        <f t="shared" si="129"/>
        <v>#REF!</v>
      </c>
    </row>
    <row r="1033" spans="1:40" s="73" customFormat="1" x14ac:dyDescent="0.25">
      <c r="A1033" s="313"/>
      <c r="B1033" s="329" t="s">
        <v>478</v>
      </c>
      <c r="D1033" s="74">
        <f>IFERROR(VLOOKUP(B1033,'REQ. PINTADO'!B:C,2,0),0)</f>
        <v>0</v>
      </c>
      <c r="E1033" s="305">
        <f t="shared" si="133"/>
        <v>203.83315712421773</v>
      </c>
      <c r="F1033" s="103" t="s">
        <v>163</v>
      </c>
      <c r="G1033" s="75" t="s">
        <v>147</v>
      </c>
      <c r="H1033" s="90">
        <v>3.42</v>
      </c>
      <c r="I1033" s="90">
        <v>38.89</v>
      </c>
      <c r="J1033" s="76">
        <v>0.105</v>
      </c>
      <c r="K1033" s="306">
        <v>16.38</v>
      </c>
      <c r="L1033" s="78">
        <f t="shared" si="134"/>
        <v>6.7054247771076065</v>
      </c>
      <c r="M1033" s="58">
        <f>+VLOOKUP(F1033,Material!$H$2:$M$17,6,FALSE)*H1033*I1033*(1+Material!$K$14)</f>
        <v>49.924935385919355</v>
      </c>
      <c r="N1033" s="79" t="str">
        <f t="shared" si="142"/>
        <v>T5.0</v>
      </c>
      <c r="O1033" s="80">
        <f>+VLOOKUP(N1033,[3]Material!$A$3:$B$58,2,FALSE)</f>
        <v>5000</v>
      </c>
      <c r="P1033" s="79" t="s">
        <v>42</v>
      </c>
      <c r="Q1033" s="79" t="str">
        <f>+VLOOKUP(F1033,[3]Material!$C$2:$E$12,2,FALSE)</f>
        <v>Cal 12</v>
      </c>
      <c r="R1033" s="81">
        <f>+IF(P1033="ACERO A36",VLOOKUP(Q1033,'[3]Velocidades Std 1500 w'!$B$2:$F$15,5,FALSE),IF(P1033="INOXIDABLE",VLOOKUP(Q1033,'[3]Velocidades Std 1500 w'!$B$17:$F$28,5,FALSE),IF(P1033="ALUMINIO",VLOOKUP(Q1033,'[3]Velocidades Std 1500 w'!$B$30:$F$38,5,FALSE))))</f>
        <v>4.3859649122807014E-6</v>
      </c>
      <c r="S1033" s="82">
        <f t="shared" si="135"/>
        <v>2.1929824561403508E-2</v>
      </c>
      <c r="T1033" s="83">
        <f t="shared" si="136"/>
        <v>41.950506315789475</v>
      </c>
      <c r="U1033" s="307">
        <f t="shared" si="130"/>
        <v>2656.8654000000001</v>
      </c>
      <c r="V1033" s="80">
        <f t="shared" si="141"/>
        <v>58.264592105263155</v>
      </c>
      <c r="W1033" s="98">
        <v>10</v>
      </c>
      <c r="X1033" s="84">
        <f>+IF(P1033="ACERO A36",VLOOKUP(Q1033,'[3]Tiempo Objeto'!$B$2:$C$12,2,FALSE),IF(P1033="INOXIDABLE",VLOOKUP(Q1033,'[3]Tiempo Objeto'!$B$14:$C$22,2,FALSE),IF(P1033="ALUMINIO",VLOOKUP(Q1033,'[3]Tiempo Objeto'!$B$24:$C$32,2,FALSE))))</f>
        <v>0.6133333333333334</v>
      </c>
      <c r="Y1033" s="84">
        <f t="shared" si="137"/>
        <v>6.1333333333333337</v>
      </c>
      <c r="Z1033" s="80">
        <f t="shared" si="138"/>
        <v>8.518518518518519</v>
      </c>
      <c r="AA1033" s="100">
        <v>2</v>
      </c>
      <c r="AB1033" s="86">
        <f>+AA1033*Analisis!$J$6</f>
        <v>50</v>
      </c>
      <c r="AC1033" s="100"/>
      <c r="AD1033" s="85">
        <f t="shared" si="139"/>
        <v>0</v>
      </c>
      <c r="AE1033" s="86">
        <f>+AC1033*Analisis!$J$7</f>
        <v>0</v>
      </c>
      <c r="AF1033" s="308">
        <f>+H1033*0.0254*I1033*0.0254*2*(1+[3]Analisis!$G$2)</f>
        <v>0.21452182902</v>
      </c>
      <c r="AG1033" s="86">
        <f>+AF1033*Analisis!$J$8</f>
        <v>22.856790115821436</v>
      </c>
      <c r="AH1033" s="309">
        <f t="shared" si="126"/>
        <v>189.56483612552248</v>
      </c>
      <c r="AI1033" s="86">
        <f>+AH1033/(1-Analisis!G1038)</f>
        <v>189.56483612552248</v>
      </c>
      <c r="AJ1033" s="86">
        <f t="shared" si="140"/>
        <v>203.83315712421773</v>
      </c>
      <c r="AK1033" s="86">
        <f t="shared" si="127"/>
        <v>0</v>
      </c>
      <c r="AL1033" s="310" t="e">
        <f>+VLOOKUP(B1033,#REF!,2,FALSE)</f>
        <v>#REF!</v>
      </c>
      <c r="AM1033" s="311" t="e">
        <f t="shared" si="124"/>
        <v>#REF!</v>
      </c>
      <c r="AN1033" s="312" t="e">
        <f t="shared" si="129"/>
        <v>#REF!</v>
      </c>
    </row>
    <row r="1034" spans="1:40" s="73" customFormat="1" x14ac:dyDescent="0.25">
      <c r="A1034" s="313"/>
      <c r="B1034" s="329" t="s">
        <v>479</v>
      </c>
      <c r="D1034" s="74">
        <f>IFERROR(VLOOKUP(B1034,'REQ. PINTADO'!B:C,2,0),0)</f>
        <v>0</v>
      </c>
      <c r="E1034" s="305">
        <f t="shared" si="133"/>
        <v>154.7813271939701</v>
      </c>
      <c r="F1034" s="103" t="s">
        <v>163</v>
      </c>
      <c r="G1034" s="75" t="s">
        <v>147</v>
      </c>
      <c r="H1034" s="90">
        <v>3.42</v>
      </c>
      <c r="I1034" s="90">
        <v>23.89</v>
      </c>
      <c r="J1034" s="76">
        <v>0.105</v>
      </c>
      <c r="K1034" s="306">
        <v>16.38</v>
      </c>
      <c r="L1034" s="78">
        <f t="shared" si="134"/>
        <v>4.1191205432013556</v>
      </c>
      <c r="M1034" s="58">
        <f>+VLOOKUP(F1034,Material!$H$2:$M$17,6,FALSE)*H1034*I1034*(1+Material!$K$14)</f>
        <v>30.668724771653725</v>
      </c>
      <c r="N1034" s="79" t="str">
        <f t="shared" si="142"/>
        <v>T5.0</v>
      </c>
      <c r="O1034" s="80">
        <f>+VLOOKUP(N1034,[3]Material!$A$3:$B$58,2,FALSE)</f>
        <v>5000</v>
      </c>
      <c r="P1034" s="79" t="s">
        <v>42</v>
      </c>
      <c r="Q1034" s="79" t="str">
        <f>+VLOOKUP(F1034,[3]Material!$C$2:$E$12,2,FALSE)</f>
        <v>Cal 12</v>
      </c>
      <c r="R1034" s="81">
        <f>+IF(P1034="ACERO A36",VLOOKUP(Q1034,'[3]Velocidades Std 1500 w'!$B$2:$F$15,5,FALSE),IF(P1034="INOXIDABLE",VLOOKUP(Q1034,'[3]Velocidades Std 1500 w'!$B$17:$F$28,5,FALSE),IF(P1034="ALUMINIO",VLOOKUP(Q1034,'[3]Velocidades Std 1500 w'!$B$30:$F$38,5,FALSE))))</f>
        <v>4.3859649122807014E-6</v>
      </c>
      <c r="S1034" s="82">
        <f t="shared" si="135"/>
        <v>2.1929824561403508E-2</v>
      </c>
      <c r="T1034" s="83">
        <f t="shared" si="136"/>
        <v>29.317348421052632</v>
      </c>
      <c r="U1034" s="307">
        <f t="shared" si="130"/>
        <v>1856.7654</v>
      </c>
      <c r="V1034" s="80">
        <f t="shared" si="141"/>
        <v>40.71853947368421</v>
      </c>
      <c r="W1034" s="98">
        <v>10</v>
      </c>
      <c r="X1034" s="84">
        <f>+IF(P1034="ACERO A36",VLOOKUP(Q1034,'[3]Tiempo Objeto'!$B$2:$C$12,2,FALSE),IF(P1034="INOXIDABLE",VLOOKUP(Q1034,'[3]Tiempo Objeto'!$B$14:$C$22,2,FALSE),IF(P1034="ALUMINIO",VLOOKUP(Q1034,'[3]Tiempo Objeto'!$B$24:$C$32,2,FALSE))))</f>
        <v>0.6133333333333334</v>
      </c>
      <c r="Y1034" s="84">
        <f t="shared" si="137"/>
        <v>6.1333333333333337</v>
      </c>
      <c r="Z1034" s="80">
        <f t="shared" si="138"/>
        <v>8.518518518518519</v>
      </c>
      <c r="AA1034" s="100">
        <v>2</v>
      </c>
      <c r="AB1034" s="86">
        <f>+AA1034*Analisis!$J$6</f>
        <v>50</v>
      </c>
      <c r="AC1034" s="100"/>
      <c r="AD1034" s="85">
        <f t="shared" si="139"/>
        <v>0</v>
      </c>
      <c r="AE1034" s="86">
        <f>+AC1034*Analisis!$J$7</f>
        <v>0</v>
      </c>
      <c r="AF1034" s="308">
        <f>+H1034*0.0254*I1034*0.0254*2*(1+[3]Analisis!$G$2)</f>
        <v>0.13178005902000001</v>
      </c>
      <c r="AG1034" s="86">
        <f>+AF1034*Analisis!$J$8</f>
        <v>14.04085152653572</v>
      </c>
      <c r="AH1034" s="309">
        <f t="shared" si="126"/>
        <v>143.94663429039218</v>
      </c>
      <c r="AI1034" s="86">
        <f>+AH1034/(1-Analisis!G1039)</f>
        <v>143.94663429039218</v>
      </c>
      <c r="AJ1034" s="86">
        <f t="shared" si="140"/>
        <v>154.7813271939701</v>
      </c>
      <c r="AK1034" s="86">
        <f t="shared" si="127"/>
        <v>0</v>
      </c>
      <c r="AL1034" s="310" t="e">
        <f>+VLOOKUP(B1034,#REF!,2,FALSE)</f>
        <v>#REF!</v>
      </c>
      <c r="AM1034" s="311" t="e">
        <f t="shared" si="124"/>
        <v>#REF!</v>
      </c>
      <c r="AN1034" s="312" t="e">
        <f t="shared" si="129"/>
        <v>#REF!</v>
      </c>
    </row>
    <row r="1035" spans="1:40" s="73" customFormat="1" x14ac:dyDescent="0.25">
      <c r="A1035" s="313"/>
      <c r="B1035" s="329" t="s">
        <v>1675</v>
      </c>
      <c r="D1035" s="74">
        <f>IFERROR(VLOOKUP(B1035,'REQ. PINTADO'!B:C,2,0),0)</f>
        <v>0</v>
      </c>
      <c r="E1035" s="305">
        <f t="shared" si="133"/>
        <v>443.52777676577927</v>
      </c>
      <c r="F1035" s="103" t="s">
        <v>163</v>
      </c>
      <c r="G1035" s="75" t="s">
        <v>147</v>
      </c>
      <c r="H1035" s="90">
        <v>3.37</v>
      </c>
      <c r="I1035" s="90">
        <v>45</v>
      </c>
      <c r="J1035" s="76">
        <v>0.105</v>
      </c>
      <c r="K1035" s="306">
        <v>16.38</v>
      </c>
      <c r="L1035" s="78">
        <f t="shared" si="134"/>
        <v>7.6454783054947937</v>
      </c>
      <c r="M1035" s="58">
        <f>+VLOOKUP(F1035,Material!$H$2:$M$17,6,FALSE)*H1035*I1035*(1+Material!$K$14)</f>
        <v>56.924061201820322</v>
      </c>
      <c r="N1035" s="79" t="str">
        <f t="shared" si="142"/>
        <v>T5.0</v>
      </c>
      <c r="O1035" s="80">
        <f>+VLOOKUP(N1035,[3]Material!$A$3:$B$58,2,FALSE)</f>
        <v>5000</v>
      </c>
      <c r="P1035" s="79" t="s">
        <v>42</v>
      </c>
      <c r="Q1035" s="79" t="str">
        <f>+VLOOKUP(F1035,[3]Material!$C$2:$E$12,2,FALSE)</f>
        <v>Cal 12</v>
      </c>
      <c r="R1035" s="81">
        <f>+IF(P1035="ACERO A36",VLOOKUP(Q1035,'[3]Velocidades Std 1500 w'!$B$2:$F$15,5,FALSE),IF(P1035="INOXIDABLE",VLOOKUP(Q1035,'[3]Velocidades Std 1500 w'!$B$17:$F$28,5,FALSE),IF(P1035="ALUMINIO",VLOOKUP(Q1035,'[3]Velocidades Std 1500 w'!$B$30:$F$38,5,FALSE))))</f>
        <v>4.3859649122807014E-6</v>
      </c>
      <c r="S1035" s="82">
        <f t="shared" si="135"/>
        <v>2.1929824561403508E-2</v>
      </c>
      <c r="T1035" s="83">
        <f t="shared" si="136"/>
        <v>103.90351263157895</v>
      </c>
      <c r="U1035" s="307">
        <f t="shared" si="130"/>
        <v>6580.5558000000001</v>
      </c>
      <c r="V1035" s="80">
        <f t="shared" si="141"/>
        <v>144.3104342105263</v>
      </c>
      <c r="W1035" s="98">
        <v>100</v>
      </c>
      <c r="X1035" s="84">
        <f>+IF(P1035="ACERO A36",VLOOKUP(Q1035,'[3]Tiempo Objeto'!$B$2:$C$12,2,FALSE),IF(P1035="INOXIDABLE",VLOOKUP(Q1035,'[3]Tiempo Objeto'!$B$14:$C$22,2,FALSE),IF(P1035="ALUMINIO",VLOOKUP(Q1035,'[3]Tiempo Objeto'!$B$24:$C$32,2,FALSE))))</f>
        <v>0.6133333333333334</v>
      </c>
      <c r="Y1035" s="84">
        <f t="shared" si="137"/>
        <v>61.333333333333343</v>
      </c>
      <c r="Z1035" s="80">
        <f t="shared" si="138"/>
        <v>85.18518518518519</v>
      </c>
      <c r="AA1035" s="100">
        <v>4</v>
      </c>
      <c r="AB1035" s="86">
        <f>+AA1035*Analisis!$J$6</f>
        <v>100</v>
      </c>
      <c r="AC1035" s="100"/>
      <c r="AD1035" s="85">
        <f t="shared" si="139"/>
        <v>0</v>
      </c>
      <c r="AE1035" s="86">
        <f>+AC1035*Analisis!$J$7</f>
        <v>0</v>
      </c>
      <c r="AF1035" s="308">
        <f>+H1035*0.0254*I1035*0.0254*2*(1+[3]Analisis!$G$2)</f>
        <v>0.24459628499999997</v>
      </c>
      <c r="AG1035" s="86">
        <f>+AF1035*Analisis!$J$8</f>
        <v>26.061151794642861</v>
      </c>
      <c r="AH1035" s="309">
        <f t="shared" si="126"/>
        <v>412.4808323921747</v>
      </c>
      <c r="AI1035" s="86">
        <f>+AH1035/(1-Analisis!G1040)</f>
        <v>412.4808323921747</v>
      </c>
      <c r="AJ1035" s="86">
        <f t="shared" si="140"/>
        <v>443.52777676577927</v>
      </c>
      <c r="AK1035" s="86">
        <f t="shared" si="127"/>
        <v>0</v>
      </c>
      <c r="AL1035" s="310" t="e">
        <f>+VLOOKUP(B1035,#REF!,2,FALSE)</f>
        <v>#REF!</v>
      </c>
      <c r="AM1035" s="311" t="e">
        <f t="shared" si="124"/>
        <v>#REF!</v>
      </c>
      <c r="AN1035" s="312" t="e">
        <f t="shared" si="129"/>
        <v>#REF!</v>
      </c>
    </row>
    <row r="1036" spans="1:40" s="73" customFormat="1" x14ac:dyDescent="0.25">
      <c r="A1036" s="313"/>
      <c r="B1036" s="329" t="s">
        <v>1676</v>
      </c>
      <c r="D1036" s="74">
        <f>IFERROR(VLOOKUP(B1036,'REQ. PINTADO'!B:C,2,0),0)</f>
        <v>0</v>
      </c>
      <c r="E1036" s="305">
        <f t="shared" si="133"/>
        <v>475.9347948998772</v>
      </c>
      <c r="F1036" s="103" t="s">
        <v>163</v>
      </c>
      <c r="G1036" s="75" t="s">
        <v>147</v>
      </c>
      <c r="H1036" s="90">
        <v>3.37</v>
      </c>
      <c r="I1036" s="90">
        <v>55</v>
      </c>
      <c r="J1036" s="76">
        <v>0.105</v>
      </c>
      <c r="K1036" s="306">
        <v>16.38</v>
      </c>
      <c r="L1036" s="78">
        <f t="shared" si="134"/>
        <v>9.344473484493637</v>
      </c>
      <c r="M1036" s="58">
        <f>+VLOOKUP(F1036,Material!$H$2:$M$17,6,FALSE)*H1036*I1036*(1+Material!$K$14)</f>
        <v>69.573852580002608</v>
      </c>
      <c r="N1036" s="79" t="str">
        <f t="shared" si="142"/>
        <v>T5.0</v>
      </c>
      <c r="O1036" s="80">
        <f>+VLOOKUP(N1036,[3]Material!$A$3:$B$58,2,FALSE)</f>
        <v>5000</v>
      </c>
      <c r="P1036" s="79" t="s">
        <v>42</v>
      </c>
      <c r="Q1036" s="79" t="str">
        <f>+VLOOKUP(F1036,[3]Material!$C$2:$E$12,2,FALSE)</f>
        <v>Cal 12</v>
      </c>
      <c r="R1036" s="81">
        <f>+IF(P1036="ACERO A36",VLOOKUP(Q1036,'[3]Velocidades Std 1500 w'!$B$2:$F$15,5,FALSE),IF(P1036="INOXIDABLE",VLOOKUP(Q1036,'[3]Velocidades Std 1500 w'!$B$17:$F$28,5,FALSE),IF(P1036="ALUMINIO",VLOOKUP(Q1036,'[3]Velocidades Std 1500 w'!$B$30:$F$38,5,FALSE))))</f>
        <v>4.3859649122807014E-6</v>
      </c>
      <c r="S1036" s="82">
        <f t="shared" si="135"/>
        <v>2.1929824561403508E-2</v>
      </c>
      <c r="T1036" s="83">
        <f t="shared" si="136"/>
        <v>112.32561789473684</v>
      </c>
      <c r="U1036" s="307">
        <f t="shared" si="130"/>
        <v>7113.9558000000006</v>
      </c>
      <c r="V1036" s="80">
        <f t="shared" si="141"/>
        <v>156.00780263157895</v>
      </c>
      <c r="W1036" s="98">
        <v>100</v>
      </c>
      <c r="X1036" s="84">
        <f>+IF(P1036="ACERO A36",VLOOKUP(Q1036,'[3]Tiempo Objeto'!$B$2:$C$12,2,FALSE),IF(P1036="INOXIDABLE",VLOOKUP(Q1036,'[3]Tiempo Objeto'!$B$14:$C$22,2,FALSE),IF(P1036="ALUMINIO",VLOOKUP(Q1036,'[3]Tiempo Objeto'!$B$24:$C$32,2,FALSE))))</f>
        <v>0.6133333333333334</v>
      </c>
      <c r="Y1036" s="84">
        <f t="shared" si="137"/>
        <v>61.333333333333343</v>
      </c>
      <c r="Z1036" s="80">
        <f t="shared" si="138"/>
        <v>85.18518518518519</v>
      </c>
      <c r="AA1036" s="100">
        <v>4</v>
      </c>
      <c r="AB1036" s="86">
        <f>+AA1036*Analisis!$J$6</f>
        <v>100</v>
      </c>
      <c r="AC1036" s="100"/>
      <c r="AD1036" s="85">
        <f t="shared" si="139"/>
        <v>0</v>
      </c>
      <c r="AE1036" s="86">
        <f>+AC1036*Analisis!$J$7</f>
        <v>0</v>
      </c>
      <c r="AF1036" s="308">
        <f>+H1036*0.0254*I1036*0.0254*2*(1+[3]Analisis!$G$2)</f>
        <v>0.29895101499999999</v>
      </c>
      <c r="AG1036" s="86">
        <f>+AF1036*Analisis!$J$8</f>
        <v>31.852518860119055</v>
      </c>
      <c r="AH1036" s="309">
        <f t="shared" si="126"/>
        <v>442.61935925688579</v>
      </c>
      <c r="AI1036" s="86">
        <f>+AH1036/(1-Analisis!G1041)</f>
        <v>442.61935925688579</v>
      </c>
      <c r="AJ1036" s="86">
        <f t="shared" si="140"/>
        <v>475.9347948998772</v>
      </c>
      <c r="AK1036" s="86">
        <f t="shared" si="127"/>
        <v>0</v>
      </c>
      <c r="AL1036" s="310" t="e">
        <f>+VLOOKUP(B1036,#REF!,2,FALSE)</f>
        <v>#REF!</v>
      </c>
      <c r="AM1036" s="311" t="e">
        <f t="shared" si="124"/>
        <v>#REF!</v>
      </c>
      <c r="AN1036" s="312" t="e">
        <f t="shared" si="129"/>
        <v>#REF!</v>
      </c>
    </row>
    <row r="1037" spans="1:40" s="73" customFormat="1" x14ac:dyDescent="0.25">
      <c r="A1037" s="313"/>
      <c r="B1037" s="329" t="s">
        <v>1677</v>
      </c>
      <c r="D1037" s="74">
        <f>IFERROR(VLOOKUP(B1037,'REQ. PINTADO'!B:C,2,0),0)</f>
        <v>0</v>
      </c>
      <c r="E1037" s="305">
        <f t="shared" si="133"/>
        <v>492.13830396692623</v>
      </c>
      <c r="F1037" s="103" t="s">
        <v>163</v>
      </c>
      <c r="G1037" s="75" t="s">
        <v>147</v>
      </c>
      <c r="H1037" s="90">
        <v>3.37</v>
      </c>
      <c r="I1037" s="90">
        <v>60</v>
      </c>
      <c r="J1037" s="76">
        <v>0.105</v>
      </c>
      <c r="K1037" s="306">
        <v>16.38</v>
      </c>
      <c r="L1037" s="78">
        <f t="shared" si="134"/>
        <v>10.193971073993058</v>
      </c>
      <c r="M1037" s="58">
        <f>+VLOOKUP(F1037,Material!$H$2:$M$17,6,FALSE)*H1037*I1037*(1+Material!$K$14)</f>
        <v>75.898748269093758</v>
      </c>
      <c r="N1037" s="79" t="str">
        <f t="shared" si="142"/>
        <v>T5.0</v>
      </c>
      <c r="O1037" s="80">
        <f>+VLOOKUP(N1037,[3]Material!$A$3:$B$58,2,FALSE)</f>
        <v>5000</v>
      </c>
      <c r="P1037" s="79" t="s">
        <v>42</v>
      </c>
      <c r="Q1037" s="79" t="str">
        <f>+VLOOKUP(F1037,[3]Material!$C$2:$E$12,2,FALSE)</f>
        <v>Cal 12</v>
      </c>
      <c r="R1037" s="81">
        <f>+IF(P1037="ACERO A36",VLOOKUP(Q1037,'[3]Velocidades Std 1500 w'!$B$2:$F$15,5,FALSE),IF(P1037="INOXIDABLE",VLOOKUP(Q1037,'[3]Velocidades Std 1500 w'!$B$17:$F$28,5,FALSE),IF(P1037="ALUMINIO",VLOOKUP(Q1037,'[3]Velocidades Std 1500 w'!$B$30:$F$38,5,FALSE))))</f>
        <v>4.3859649122807014E-6</v>
      </c>
      <c r="S1037" s="82">
        <f t="shared" si="135"/>
        <v>2.1929824561403508E-2</v>
      </c>
      <c r="T1037" s="83">
        <f t="shared" si="136"/>
        <v>116.53667052631579</v>
      </c>
      <c r="U1037" s="307">
        <f t="shared" si="130"/>
        <v>7380.6558000000005</v>
      </c>
      <c r="V1037" s="80">
        <f t="shared" si="141"/>
        <v>161.85648684210526</v>
      </c>
      <c r="W1037" s="98">
        <v>100</v>
      </c>
      <c r="X1037" s="84">
        <f>+IF(P1037="ACERO A36",VLOOKUP(Q1037,'[3]Tiempo Objeto'!$B$2:$C$12,2,FALSE),IF(P1037="INOXIDABLE",VLOOKUP(Q1037,'[3]Tiempo Objeto'!$B$14:$C$22,2,FALSE),IF(P1037="ALUMINIO",VLOOKUP(Q1037,'[3]Tiempo Objeto'!$B$24:$C$32,2,FALSE))))</f>
        <v>0.6133333333333334</v>
      </c>
      <c r="Y1037" s="84">
        <f t="shared" si="137"/>
        <v>61.333333333333343</v>
      </c>
      <c r="Z1037" s="80">
        <f t="shared" si="138"/>
        <v>85.18518518518519</v>
      </c>
      <c r="AA1037" s="100">
        <v>4</v>
      </c>
      <c r="AB1037" s="86">
        <f>+AA1037*Analisis!$J$6</f>
        <v>100</v>
      </c>
      <c r="AC1037" s="100"/>
      <c r="AD1037" s="85">
        <f t="shared" si="139"/>
        <v>0</v>
      </c>
      <c r="AE1037" s="86">
        <f>+AC1037*Analisis!$J$7</f>
        <v>0</v>
      </c>
      <c r="AF1037" s="308">
        <f>+H1037*0.0254*I1037*0.0254*2*(1+[3]Analisis!$G$2)</f>
        <v>0.32612837999999988</v>
      </c>
      <c r="AG1037" s="86">
        <f>+AF1037*Analisis!$J$8</f>
        <v>34.748202392857138</v>
      </c>
      <c r="AH1037" s="309">
        <f t="shared" si="126"/>
        <v>457.68862268924136</v>
      </c>
      <c r="AI1037" s="86">
        <f>+AH1037/(1-Analisis!G1042)</f>
        <v>457.68862268924136</v>
      </c>
      <c r="AJ1037" s="86">
        <f t="shared" si="140"/>
        <v>492.13830396692623</v>
      </c>
      <c r="AK1037" s="86">
        <f t="shared" si="127"/>
        <v>0</v>
      </c>
      <c r="AL1037" s="310" t="e">
        <f>+VLOOKUP(B1037,#REF!,2,FALSE)</f>
        <v>#REF!</v>
      </c>
      <c r="AM1037" s="311" t="e">
        <f t="shared" si="124"/>
        <v>#REF!</v>
      </c>
      <c r="AN1037" s="312" t="e">
        <f t="shared" si="129"/>
        <v>#REF!</v>
      </c>
    </row>
    <row r="1038" spans="1:40" s="73" customFormat="1" x14ac:dyDescent="0.25">
      <c r="A1038" s="313"/>
      <c r="B1038" s="329" t="s">
        <v>1678</v>
      </c>
      <c r="D1038" s="74">
        <f>IFERROR(VLOOKUP(B1038,'REQ. PINTADO'!B:C,2,0),0)</f>
        <v>0</v>
      </c>
      <c r="E1038" s="305">
        <f t="shared" si="133"/>
        <v>524.54532210102423</v>
      </c>
      <c r="F1038" s="103" t="s">
        <v>163</v>
      </c>
      <c r="G1038" s="75" t="s">
        <v>147</v>
      </c>
      <c r="H1038" s="90">
        <v>3.37</v>
      </c>
      <c r="I1038" s="90">
        <v>70</v>
      </c>
      <c r="J1038" s="76">
        <v>0.105</v>
      </c>
      <c r="K1038" s="306">
        <v>16.38</v>
      </c>
      <c r="L1038" s="78">
        <f t="shared" si="134"/>
        <v>11.892966252991902</v>
      </c>
      <c r="M1038" s="58">
        <f>+VLOOKUP(F1038,Material!$H$2:$M$17,6,FALSE)*H1038*I1038*(1+Material!$K$14)</f>
        <v>88.548539647276058</v>
      </c>
      <c r="N1038" s="79" t="str">
        <f t="shared" si="142"/>
        <v>T5.0</v>
      </c>
      <c r="O1038" s="80">
        <f>+VLOOKUP(N1038,[3]Material!$A$3:$B$58,2,FALSE)</f>
        <v>5000</v>
      </c>
      <c r="P1038" s="79" t="s">
        <v>42</v>
      </c>
      <c r="Q1038" s="79" t="str">
        <f>+VLOOKUP(F1038,[3]Material!$C$2:$E$12,2,FALSE)</f>
        <v>Cal 12</v>
      </c>
      <c r="R1038" s="81">
        <f>+IF(P1038="ACERO A36",VLOOKUP(Q1038,'[3]Velocidades Std 1500 w'!$B$2:$F$15,5,FALSE),IF(P1038="INOXIDABLE",VLOOKUP(Q1038,'[3]Velocidades Std 1500 w'!$B$17:$F$28,5,FALSE),IF(P1038="ALUMINIO",VLOOKUP(Q1038,'[3]Velocidades Std 1500 w'!$B$30:$F$38,5,FALSE))))</f>
        <v>4.3859649122807014E-6</v>
      </c>
      <c r="S1038" s="82">
        <f t="shared" si="135"/>
        <v>2.1929824561403508E-2</v>
      </c>
      <c r="T1038" s="83">
        <f t="shared" si="136"/>
        <v>124.95877578947366</v>
      </c>
      <c r="U1038" s="307">
        <f t="shared" si="130"/>
        <v>7914.0558000000001</v>
      </c>
      <c r="V1038" s="80">
        <f t="shared" si="141"/>
        <v>173.55385526315789</v>
      </c>
      <c r="W1038" s="98">
        <v>100</v>
      </c>
      <c r="X1038" s="84">
        <f>+IF(P1038="ACERO A36",VLOOKUP(Q1038,'[3]Tiempo Objeto'!$B$2:$C$12,2,FALSE),IF(P1038="INOXIDABLE",VLOOKUP(Q1038,'[3]Tiempo Objeto'!$B$14:$C$22,2,FALSE),IF(P1038="ALUMINIO",VLOOKUP(Q1038,'[3]Tiempo Objeto'!$B$24:$C$32,2,FALSE))))</f>
        <v>0.6133333333333334</v>
      </c>
      <c r="Y1038" s="84">
        <f t="shared" si="137"/>
        <v>61.333333333333343</v>
      </c>
      <c r="Z1038" s="80">
        <f t="shared" si="138"/>
        <v>85.18518518518519</v>
      </c>
      <c r="AA1038" s="100">
        <v>4</v>
      </c>
      <c r="AB1038" s="86">
        <f>+AA1038*Analisis!$J$6</f>
        <v>100</v>
      </c>
      <c r="AC1038" s="100"/>
      <c r="AD1038" s="85">
        <f t="shared" si="139"/>
        <v>0</v>
      </c>
      <c r="AE1038" s="86">
        <f>+AC1038*Analisis!$J$7</f>
        <v>0</v>
      </c>
      <c r="AF1038" s="308">
        <f>+H1038*0.0254*I1038*0.0254*2*(1+[3]Analisis!$G$2)</f>
        <v>0.38048311000000001</v>
      </c>
      <c r="AG1038" s="86">
        <f>+AF1038*Analisis!$J$8</f>
        <v>40.539569458333347</v>
      </c>
      <c r="AH1038" s="309">
        <f t="shared" si="126"/>
        <v>487.82714955395249</v>
      </c>
      <c r="AI1038" s="86">
        <f>+AH1038/(1-Analisis!G1043)</f>
        <v>487.82714955395249</v>
      </c>
      <c r="AJ1038" s="86">
        <f t="shared" si="140"/>
        <v>524.54532210102423</v>
      </c>
      <c r="AK1038" s="86">
        <f t="shared" si="127"/>
        <v>0</v>
      </c>
      <c r="AL1038" s="310" t="e">
        <f>+VLOOKUP(B1038,#REF!,2,FALSE)</f>
        <v>#REF!</v>
      </c>
      <c r="AM1038" s="311" t="e">
        <f t="shared" si="124"/>
        <v>#REF!</v>
      </c>
      <c r="AN1038" s="312" t="e">
        <f t="shared" si="129"/>
        <v>#REF!</v>
      </c>
    </row>
    <row r="1039" spans="1:40" s="73" customFormat="1" x14ac:dyDescent="0.25">
      <c r="A1039" s="313"/>
      <c r="B1039" s="329" t="s">
        <v>1679</v>
      </c>
      <c r="D1039" s="74">
        <f>IFERROR(VLOOKUP(B1039,'REQ. PINTADO'!B:C,2,0),0)</f>
        <v>0</v>
      </c>
      <c r="E1039" s="305">
        <f t="shared" si="133"/>
        <v>540.74883116807314</v>
      </c>
      <c r="F1039" s="103" t="s">
        <v>163</v>
      </c>
      <c r="G1039" s="75" t="s">
        <v>147</v>
      </c>
      <c r="H1039" s="90">
        <v>3.37</v>
      </c>
      <c r="I1039" s="90">
        <v>75</v>
      </c>
      <c r="J1039" s="76">
        <v>0.105</v>
      </c>
      <c r="K1039" s="306">
        <v>16.38</v>
      </c>
      <c r="L1039" s="78">
        <f t="shared" si="134"/>
        <v>12.742463842491324</v>
      </c>
      <c r="M1039" s="58">
        <f>+VLOOKUP(F1039,Material!$H$2:$M$17,6,FALSE)*H1039*I1039*(1+Material!$K$14)</f>
        <v>94.873435336367208</v>
      </c>
      <c r="N1039" s="79" t="str">
        <f t="shared" si="142"/>
        <v>T5.0</v>
      </c>
      <c r="O1039" s="80">
        <f>+VLOOKUP(N1039,[3]Material!$A$3:$B$58,2,FALSE)</f>
        <v>5000</v>
      </c>
      <c r="P1039" s="79" t="s">
        <v>42</v>
      </c>
      <c r="Q1039" s="79" t="str">
        <f>+VLOOKUP(F1039,[3]Material!$C$2:$E$12,2,FALSE)</f>
        <v>Cal 12</v>
      </c>
      <c r="R1039" s="81">
        <f>+IF(P1039="ACERO A36",VLOOKUP(Q1039,'[3]Velocidades Std 1500 w'!$B$2:$F$15,5,FALSE),IF(P1039="INOXIDABLE",VLOOKUP(Q1039,'[3]Velocidades Std 1500 w'!$B$17:$F$28,5,FALSE),IF(P1039="ALUMINIO",VLOOKUP(Q1039,'[3]Velocidades Std 1500 w'!$B$30:$F$38,5,FALSE))))</f>
        <v>4.3859649122807014E-6</v>
      </c>
      <c r="S1039" s="82">
        <f t="shared" si="135"/>
        <v>2.1929824561403508E-2</v>
      </c>
      <c r="T1039" s="83">
        <f t="shared" si="136"/>
        <v>129.16982842105261</v>
      </c>
      <c r="U1039" s="307">
        <f t="shared" si="130"/>
        <v>8180.7557999999999</v>
      </c>
      <c r="V1039" s="80">
        <f t="shared" si="141"/>
        <v>179.40253947368419</v>
      </c>
      <c r="W1039" s="98">
        <v>100</v>
      </c>
      <c r="X1039" s="84">
        <f>+IF(P1039="ACERO A36",VLOOKUP(Q1039,'[3]Tiempo Objeto'!$B$2:$C$12,2,FALSE),IF(P1039="INOXIDABLE",VLOOKUP(Q1039,'[3]Tiempo Objeto'!$B$14:$C$22,2,FALSE),IF(P1039="ALUMINIO",VLOOKUP(Q1039,'[3]Tiempo Objeto'!$B$24:$C$32,2,FALSE))))</f>
        <v>0.6133333333333334</v>
      </c>
      <c r="Y1039" s="84">
        <f t="shared" si="137"/>
        <v>61.333333333333343</v>
      </c>
      <c r="Z1039" s="80">
        <f t="shared" si="138"/>
        <v>85.18518518518519</v>
      </c>
      <c r="AA1039" s="100">
        <v>4</v>
      </c>
      <c r="AB1039" s="86">
        <f>+AA1039*Analisis!$J$6</f>
        <v>100</v>
      </c>
      <c r="AC1039" s="100"/>
      <c r="AD1039" s="85">
        <f t="shared" si="139"/>
        <v>0</v>
      </c>
      <c r="AE1039" s="86">
        <f>+AC1039*Analisis!$J$7</f>
        <v>0</v>
      </c>
      <c r="AF1039" s="308">
        <f>+H1039*0.0254*I1039*0.0254*2*(1+[3]Analisis!$G$2)</f>
        <v>0.40766047499999991</v>
      </c>
      <c r="AG1039" s="86">
        <f>+AF1039*Analisis!$J$8</f>
        <v>43.43525299107143</v>
      </c>
      <c r="AH1039" s="309">
        <f t="shared" si="126"/>
        <v>502.89641298630801</v>
      </c>
      <c r="AI1039" s="86">
        <f>+AH1039/(1-Analisis!G1044)</f>
        <v>502.89641298630801</v>
      </c>
      <c r="AJ1039" s="86">
        <f t="shared" si="140"/>
        <v>540.74883116807314</v>
      </c>
      <c r="AK1039" s="86">
        <f t="shared" si="127"/>
        <v>0</v>
      </c>
      <c r="AL1039" s="310" t="e">
        <f>+VLOOKUP(B1039,#REF!,2,FALSE)</f>
        <v>#REF!</v>
      </c>
      <c r="AM1039" s="311" t="e">
        <f t="shared" si="124"/>
        <v>#REF!</v>
      </c>
      <c r="AN1039" s="312" t="e">
        <f t="shared" si="129"/>
        <v>#REF!</v>
      </c>
    </row>
    <row r="1040" spans="1:40" s="73" customFormat="1" x14ac:dyDescent="0.25">
      <c r="A1040" s="313"/>
      <c r="B1040" s="329" t="s">
        <v>1680</v>
      </c>
      <c r="D1040" s="74">
        <f>IFERROR(VLOOKUP(B1040,'REQ. PINTADO'!B:C,2,0),0)</f>
        <v>0</v>
      </c>
      <c r="E1040" s="305">
        <f t="shared" si="133"/>
        <v>427.3242676987303</v>
      </c>
      <c r="F1040" s="103" t="s">
        <v>163</v>
      </c>
      <c r="G1040" s="75" t="s">
        <v>147</v>
      </c>
      <c r="H1040" s="90">
        <v>3.37</v>
      </c>
      <c r="I1040" s="90">
        <v>40</v>
      </c>
      <c r="J1040" s="76">
        <v>0.105</v>
      </c>
      <c r="K1040" s="306">
        <v>16.38</v>
      </c>
      <c r="L1040" s="78">
        <f t="shared" si="134"/>
        <v>6.7959807159953716</v>
      </c>
      <c r="M1040" s="58">
        <f>+VLOOKUP(F1040,Material!$H$2:$M$17,6,FALSE)*H1040*I1040*(1+Material!$K$14)</f>
        <v>50.599165512729172</v>
      </c>
      <c r="N1040" s="79" t="str">
        <f t="shared" si="142"/>
        <v>T5.0</v>
      </c>
      <c r="O1040" s="80">
        <f>+VLOOKUP(N1040,[3]Material!$A$3:$B$58,2,FALSE)</f>
        <v>5000</v>
      </c>
      <c r="P1040" s="79" t="s">
        <v>42</v>
      </c>
      <c r="Q1040" s="79" t="str">
        <f>+VLOOKUP(F1040,[3]Material!$C$2:$E$12,2,FALSE)</f>
        <v>Cal 12</v>
      </c>
      <c r="R1040" s="81">
        <f>+IF(P1040="ACERO A36",VLOOKUP(Q1040,'[3]Velocidades Std 1500 w'!$B$2:$F$15,5,FALSE),IF(P1040="INOXIDABLE",VLOOKUP(Q1040,'[3]Velocidades Std 1500 w'!$B$17:$F$28,5,FALSE),IF(P1040="ALUMINIO",VLOOKUP(Q1040,'[3]Velocidades Std 1500 w'!$B$30:$F$38,5,FALSE))))</f>
        <v>4.3859649122807014E-6</v>
      </c>
      <c r="S1040" s="82">
        <f t="shared" si="135"/>
        <v>2.1929824561403508E-2</v>
      </c>
      <c r="T1040" s="83">
        <f t="shared" si="136"/>
        <v>99.692459999999997</v>
      </c>
      <c r="U1040" s="307">
        <f t="shared" si="130"/>
        <v>6313.8558000000003</v>
      </c>
      <c r="V1040" s="80">
        <f t="shared" si="141"/>
        <v>138.46174999999999</v>
      </c>
      <c r="W1040" s="98">
        <v>100</v>
      </c>
      <c r="X1040" s="84">
        <f>+IF(P1040="ACERO A36",VLOOKUP(Q1040,'[3]Tiempo Objeto'!$B$2:$C$12,2,FALSE),IF(P1040="INOXIDABLE",VLOOKUP(Q1040,'[3]Tiempo Objeto'!$B$14:$C$22,2,FALSE),IF(P1040="ALUMINIO",VLOOKUP(Q1040,'[3]Tiempo Objeto'!$B$24:$C$32,2,FALSE))))</f>
        <v>0.6133333333333334</v>
      </c>
      <c r="Y1040" s="84">
        <f t="shared" si="137"/>
        <v>61.333333333333343</v>
      </c>
      <c r="Z1040" s="80">
        <f t="shared" si="138"/>
        <v>85.18518518518519</v>
      </c>
      <c r="AA1040" s="100">
        <v>4</v>
      </c>
      <c r="AB1040" s="86">
        <f>+AA1040*Analisis!$J$6</f>
        <v>100</v>
      </c>
      <c r="AC1040" s="100"/>
      <c r="AD1040" s="85">
        <f t="shared" si="139"/>
        <v>0</v>
      </c>
      <c r="AE1040" s="86">
        <f>+AC1040*Analisis!$J$7</f>
        <v>0</v>
      </c>
      <c r="AF1040" s="308">
        <f>+H1040*0.0254*I1040*0.0254*2*(1+[3]Analisis!$G$2)</f>
        <v>0.21741891999999999</v>
      </c>
      <c r="AG1040" s="86">
        <f>+AF1040*Analisis!$J$8</f>
        <v>23.165468261904767</v>
      </c>
      <c r="AH1040" s="309">
        <f t="shared" si="126"/>
        <v>397.41156895981914</v>
      </c>
      <c r="AI1040" s="86">
        <f>+AH1040/(1-Analisis!G1045)</f>
        <v>397.41156895981914</v>
      </c>
      <c r="AJ1040" s="86">
        <f t="shared" si="140"/>
        <v>427.3242676987303</v>
      </c>
      <c r="AK1040" s="86">
        <f t="shared" si="127"/>
        <v>0</v>
      </c>
      <c r="AL1040" s="310" t="e">
        <f>+VLOOKUP(B1040,#REF!,2,FALSE)</f>
        <v>#REF!</v>
      </c>
      <c r="AM1040" s="311" t="e">
        <f t="shared" ref="AM1040:AM1103" si="143">+AL1040-E1040</f>
        <v>#REF!</v>
      </c>
      <c r="AN1040" s="312" t="e">
        <f t="shared" si="129"/>
        <v>#REF!</v>
      </c>
    </row>
    <row r="1041" spans="1:40" s="73" customFormat="1" x14ac:dyDescent="0.25">
      <c r="A1041" s="313"/>
      <c r="B1041" s="329" t="s">
        <v>1681</v>
      </c>
      <c r="D1041" s="74">
        <f>IFERROR(VLOOKUP(B1041,'REQ. PINTADO'!B:C,2,0),0)</f>
        <v>0</v>
      </c>
      <c r="E1041" s="305">
        <f t="shared" si="133"/>
        <v>420.93340794920186</v>
      </c>
      <c r="F1041" s="103" t="s">
        <v>166</v>
      </c>
      <c r="G1041" s="75" t="s">
        <v>147</v>
      </c>
      <c r="H1041" s="90">
        <v>9.51</v>
      </c>
      <c r="I1041" s="90">
        <v>75.92</v>
      </c>
      <c r="J1041" s="76">
        <v>0.105</v>
      </c>
      <c r="K1041" s="306">
        <v>16.38</v>
      </c>
      <c r="L1041" s="78">
        <f t="shared" si="134"/>
        <v>21.978633202048016</v>
      </c>
      <c r="M1041" s="58">
        <f>+VLOOKUP(F1041,Material!$H$2:$M$17,6,FALSE)*H1041*I1041*(1+Material!$K$14)</f>
        <v>163.64091447706656</v>
      </c>
      <c r="N1041" s="79" t="str">
        <f t="shared" si="142"/>
        <v>T5.0</v>
      </c>
      <c r="O1041" s="80">
        <f>+VLOOKUP(N1041,[3]Material!$A$3:$B$58,2,FALSE)</f>
        <v>5000</v>
      </c>
      <c r="P1041" s="79" t="s">
        <v>42</v>
      </c>
      <c r="Q1041" s="79" t="str">
        <f>+VLOOKUP(F1041,[3]Material!$C$2:$E$12,2,FALSE)</f>
        <v>Cal 16</v>
      </c>
      <c r="R1041" s="81">
        <f>+IF(P1041="ACERO A36",VLOOKUP(Q1041,'[3]Velocidades Std 1500 w'!$B$2:$F$15,5,FALSE),IF(P1041="INOXIDABLE",VLOOKUP(Q1041,'[3]Velocidades Std 1500 w'!$B$17:$F$28,5,FALSE),IF(P1041="ALUMINIO",VLOOKUP(Q1041,'[3]Velocidades Std 1500 w'!$B$30:$F$38,5,FALSE))))</f>
        <v>9.1575091575091579E-7</v>
      </c>
      <c r="S1041" s="82">
        <f t="shared" si="135"/>
        <v>4.578754578754579E-3</v>
      </c>
      <c r="T1041" s="83">
        <f t="shared" si="136"/>
        <v>17.000806153846156</v>
      </c>
      <c r="U1041" s="307">
        <f t="shared" si="130"/>
        <v>5156.9112000000005</v>
      </c>
      <c r="V1041" s="80">
        <f t="shared" si="141"/>
        <v>23.612230769230774</v>
      </c>
      <c r="W1041" s="98">
        <v>15</v>
      </c>
      <c r="X1041" s="84">
        <f>+IF(P1041="ACERO A36",VLOOKUP(Q1041,'[3]Tiempo Objeto'!$B$2:$C$12,2,FALSE),IF(P1041="INOXIDABLE",VLOOKUP(Q1041,'[3]Tiempo Objeto'!$B$14:$C$22,2,FALSE),IF(P1041="ALUMINIO",VLOOKUP(Q1041,'[3]Tiempo Objeto'!$B$24:$C$32,2,FALSE))))</f>
        <v>0.24666666666666667</v>
      </c>
      <c r="Y1041" s="84">
        <f t="shared" si="137"/>
        <v>3.7</v>
      </c>
      <c r="Z1041" s="80">
        <f t="shared" si="138"/>
        <v>5.1388888888888893</v>
      </c>
      <c r="AA1041" s="100">
        <v>3</v>
      </c>
      <c r="AB1041" s="86">
        <f>+AA1041*Analisis!$J$6</f>
        <v>75</v>
      </c>
      <c r="AC1041" s="100"/>
      <c r="AD1041" s="85">
        <f t="shared" si="139"/>
        <v>0</v>
      </c>
      <c r="AE1041" s="86">
        <f>+AC1041*Analisis!$J$7</f>
        <v>0</v>
      </c>
      <c r="AF1041" s="308">
        <f>+H1041*0.0254*I1041*0.0254*2*(1+[3]Analisis!$G$2)</f>
        <v>1.1645125096799998</v>
      </c>
      <c r="AG1041" s="86">
        <f>+AF1041*Analisis!$J$8</f>
        <v>124.07603525757143</v>
      </c>
      <c r="AH1041" s="309">
        <f t="shared" si="126"/>
        <v>391.46806939275768</v>
      </c>
      <c r="AI1041" s="86">
        <f>+AH1041/(1-Analisis!G1046)</f>
        <v>391.46806939275768</v>
      </c>
      <c r="AJ1041" s="86">
        <f t="shared" si="140"/>
        <v>420.93340794920186</v>
      </c>
      <c r="AK1041" s="86">
        <f t="shared" si="127"/>
        <v>0</v>
      </c>
      <c r="AL1041" s="310" t="e">
        <f>+VLOOKUP(B1041,#REF!,2,FALSE)</f>
        <v>#REF!</v>
      </c>
      <c r="AM1041" s="311" t="e">
        <f t="shared" si="143"/>
        <v>#REF!</v>
      </c>
      <c r="AN1041" s="312" t="e">
        <f t="shared" si="129"/>
        <v>#REF!</v>
      </c>
    </row>
    <row r="1042" spans="1:40" s="73" customFormat="1" x14ac:dyDescent="0.25">
      <c r="A1042" s="313"/>
      <c r="B1042" s="329" t="s">
        <v>1682</v>
      </c>
      <c r="D1042" s="74">
        <f>IFERROR(VLOOKUP(B1042,'REQ. PINTADO'!B:C,2,0),0)</f>
        <v>0</v>
      </c>
      <c r="E1042" s="305">
        <f t="shared" si="133"/>
        <v>334.18137985663185</v>
      </c>
      <c r="F1042" s="103" t="s">
        <v>166</v>
      </c>
      <c r="G1042" s="75" t="s">
        <v>147</v>
      </c>
      <c r="H1042" s="90">
        <v>9.51</v>
      </c>
      <c r="I1042" s="90">
        <v>55.92</v>
      </c>
      <c r="J1042" s="76">
        <v>0.105</v>
      </c>
      <c r="K1042" s="306">
        <v>16.38</v>
      </c>
      <c r="L1042" s="78">
        <f t="shared" si="134"/>
        <v>16.188687679906806</v>
      </c>
      <c r="M1042" s="58">
        <f>+VLOOKUP(F1042,Material!$H$2:$M$17,6,FALSE)*H1042*I1042*(1+Material!$K$14)</f>
        <v>120.53213827130612</v>
      </c>
      <c r="N1042" s="79" t="str">
        <f t="shared" si="142"/>
        <v>T5.0</v>
      </c>
      <c r="O1042" s="80">
        <f>+VLOOKUP(N1042,[3]Material!$A$3:$B$58,2,FALSE)</f>
        <v>5000</v>
      </c>
      <c r="P1042" s="79" t="s">
        <v>42</v>
      </c>
      <c r="Q1042" s="79" t="str">
        <f>+VLOOKUP(F1042,[3]Material!$C$2:$E$12,2,FALSE)</f>
        <v>Cal 16</v>
      </c>
      <c r="R1042" s="81">
        <f>+IF(P1042="ACERO A36",VLOOKUP(Q1042,'[3]Velocidades Std 1500 w'!$B$2:$F$15,5,FALSE),IF(P1042="INOXIDABLE",VLOOKUP(Q1042,'[3]Velocidades Std 1500 w'!$B$17:$F$28,5,FALSE),IF(P1042="ALUMINIO",VLOOKUP(Q1042,'[3]Velocidades Std 1500 w'!$B$30:$F$38,5,FALSE))))</f>
        <v>9.1575091575091579E-7</v>
      </c>
      <c r="S1042" s="82">
        <f t="shared" si="135"/>
        <v>4.578754578754579E-3</v>
      </c>
      <c r="T1042" s="83">
        <f t="shared" si="136"/>
        <v>13.483883076923078</v>
      </c>
      <c r="U1042" s="307">
        <f t="shared" si="130"/>
        <v>4090.1112000000003</v>
      </c>
      <c r="V1042" s="80">
        <f t="shared" si="141"/>
        <v>18.727615384615387</v>
      </c>
      <c r="W1042" s="98">
        <v>15</v>
      </c>
      <c r="X1042" s="84">
        <f>+IF(P1042="ACERO A36",VLOOKUP(Q1042,'[3]Tiempo Objeto'!$B$2:$C$12,2,FALSE),IF(P1042="INOXIDABLE",VLOOKUP(Q1042,'[3]Tiempo Objeto'!$B$14:$C$22,2,FALSE),IF(P1042="ALUMINIO",VLOOKUP(Q1042,'[3]Tiempo Objeto'!$B$24:$C$32,2,FALSE))))</f>
        <v>0.24666666666666667</v>
      </c>
      <c r="Y1042" s="84">
        <f t="shared" si="137"/>
        <v>3.7</v>
      </c>
      <c r="Z1042" s="80">
        <f t="shared" si="138"/>
        <v>5.1388888888888893</v>
      </c>
      <c r="AA1042" s="100">
        <v>3</v>
      </c>
      <c r="AB1042" s="86">
        <f>+AA1042*Analisis!$J$6</f>
        <v>75</v>
      </c>
      <c r="AC1042" s="100"/>
      <c r="AD1042" s="85">
        <f t="shared" si="139"/>
        <v>0</v>
      </c>
      <c r="AE1042" s="86">
        <f>+AC1042*Analisis!$J$7</f>
        <v>0</v>
      </c>
      <c r="AF1042" s="308">
        <f>+H1042*0.0254*I1042*0.0254*2*(1+[3]Analisis!$G$2)</f>
        <v>0.85773892967999987</v>
      </c>
      <c r="AG1042" s="86">
        <f>+AF1042*Analisis!$J$8</f>
        <v>91.390040721857162</v>
      </c>
      <c r="AH1042" s="309">
        <f t="shared" si="126"/>
        <v>310.78868326666759</v>
      </c>
      <c r="AI1042" s="86">
        <f>+AH1042/(1-Analisis!G1047)</f>
        <v>310.78868326666759</v>
      </c>
      <c r="AJ1042" s="86">
        <f t="shared" si="140"/>
        <v>334.18137985663185</v>
      </c>
      <c r="AK1042" s="86">
        <f t="shared" si="127"/>
        <v>0</v>
      </c>
      <c r="AL1042" s="310" t="e">
        <f>+VLOOKUP(B1042,#REF!,2,FALSE)</f>
        <v>#REF!</v>
      </c>
      <c r="AM1042" s="311" t="e">
        <f t="shared" si="143"/>
        <v>#REF!</v>
      </c>
      <c r="AN1042" s="312" t="e">
        <f t="shared" si="129"/>
        <v>#REF!</v>
      </c>
    </row>
    <row r="1043" spans="1:40" s="73" customFormat="1" x14ac:dyDescent="0.25">
      <c r="A1043" s="313"/>
      <c r="B1043" s="329" t="s">
        <v>1683</v>
      </c>
      <c r="D1043" s="74">
        <f>IFERROR(VLOOKUP(B1043,'REQ. PINTADO'!B:C,2,0),0)</f>
        <v>0</v>
      </c>
      <c r="E1043" s="305">
        <f t="shared" si="133"/>
        <v>269.1173587872043</v>
      </c>
      <c r="F1043" s="103" t="s">
        <v>166</v>
      </c>
      <c r="G1043" s="75" t="s">
        <v>147</v>
      </c>
      <c r="H1043" s="90">
        <v>9.51</v>
      </c>
      <c r="I1043" s="90">
        <v>40.92</v>
      </c>
      <c r="J1043" s="76">
        <v>0.105</v>
      </c>
      <c r="K1043" s="306">
        <v>16.38</v>
      </c>
      <c r="L1043" s="78">
        <f t="shared" si="134"/>
        <v>11.846228538300906</v>
      </c>
      <c r="M1043" s="58">
        <f>+VLOOKUP(F1043,Material!$H$2:$M$17,6,FALSE)*H1043*I1043*(1+Material!$K$14)</f>
        <v>88.200556116985823</v>
      </c>
      <c r="N1043" s="79" t="str">
        <f t="shared" si="142"/>
        <v>T5.0</v>
      </c>
      <c r="O1043" s="80">
        <f>+VLOOKUP(N1043,[3]Material!$A$3:$B$58,2,FALSE)</f>
        <v>5000</v>
      </c>
      <c r="P1043" s="79" t="s">
        <v>42</v>
      </c>
      <c r="Q1043" s="79" t="str">
        <f>+VLOOKUP(F1043,[3]Material!$C$2:$E$12,2,FALSE)</f>
        <v>Cal 16</v>
      </c>
      <c r="R1043" s="81">
        <f>+IF(P1043="ACERO A36",VLOOKUP(Q1043,'[3]Velocidades Std 1500 w'!$B$2:$F$15,5,FALSE),IF(P1043="INOXIDABLE",VLOOKUP(Q1043,'[3]Velocidades Std 1500 w'!$B$17:$F$28,5,FALSE),IF(P1043="ALUMINIO",VLOOKUP(Q1043,'[3]Velocidades Std 1500 w'!$B$30:$F$38,5,FALSE))))</f>
        <v>9.1575091575091579E-7</v>
      </c>
      <c r="S1043" s="82">
        <f t="shared" si="135"/>
        <v>4.578754578754579E-3</v>
      </c>
      <c r="T1043" s="83">
        <f t="shared" si="136"/>
        <v>10.846190769230768</v>
      </c>
      <c r="U1043" s="307">
        <f t="shared" si="130"/>
        <v>3290.0111999999999</v>
      </c>
      <c r="V1043" s="80">
        <f t="shared" si="141"/>
        <v>15.064153846153847</v>
      </c>
      <c r="W1043" s="98">
        <v>15</v>
      </c>
      <c r="X1043" s="84">
        <f>+IF(P1043="ACERO A36",VLOOKUP(Q1043,'[3]Tiempo Objeto'!$B$2:$C$12,2,FALSE),IF(P1043="INOXIDABLE",VLOOKUP(Q1043,'[3]Tiempo Objeto'!$B$14:$C$22,2,FALSE),IF(P1043="ALUMINIO",VLOOKUP(Q1043,'[3]Tiempo Objeto'!$B$24:$C$32,2,FALSE))))</f>
        <v>0.24666666666666667</v>
      </c>
      <c r="Y1043" s="84">
        <f t="shared" si="137"/>
        <v>3.7</v>
      </c>
      <c r="Z1043" s="80">
        <f t="shared" si="138"/>
        <v>5.1388888888888893</v>
      </c>
      <c r="AA1043" s="100">
        <v>3</v>
      </c>
      <c r="AB1043" s="86">
        <f>+AA1043*Analisis!$J$6</f>
        <v>75</v>
      </c>
      <c r="AC1043" s="100"/>
      <c r="AD1043" s="85">
        <f t="shared" si="139"/>
        <v>0</v>
      </c>
      <c r="AE1043" s="86">
        <f>+AC1043*Analisis!$J$7</f>
        <v>0</v>
      </c>
      <c r="AF1043" s="308">
        <f>+H1043*0.0254*I1043*0.0254*2*(1+[3]Analisis!$G$2)</f>
        <v>0.62765874467999994</v>
      </c>
      <c r="AG1043" s="86">
        <f>+AF1043*Analisis!$J$8</f>
        <v>66.87554482007144</v>
      </c>
      <c r="AH1043" s="309">
        <f t="shared" si="126"/>
        <v>250.27914367209999</v>
      </c>
      <c r="AI1043" s="86">
        <f>+AH1043/(1-Analisis!G1048)</f>
        <v>250.27914367209999</v>
      </c>
      <c r="AJ1043" s="86">
        <f t="shared" si="140"/>
        <v>269.1173587872043</v>
      </c>
      <c r="AK1043" s="86">
        <f t="shared" si="127"/>
        <v>0</v>
      </c>
      <c r="AL1043" s="310" t="e">
        <f>+VLOOKUP(B1043,#REF!,2,FALSE)</f>
        <v>#REF!</v>
      </c>
      <c r="AM1043" s="311" t="e">
        <f t="shared" si="143"/>
        <v>#REF!</v>
      </c>
      <c r="AN1043" s="312" t="e">
        <f t="shared" si="129"/>
        <v>#REF!</v>
      </c>
    </row>
    <row r="1044" spans="1:40" s="73" customFormat="1" x14ac:dyDescent="0.25">
      <c r="A1044" s="313"/>
      <c r="B1044" s="329" t="s">
        <v>1684</v>
      </c>
      <c r="D1044" s="74">
        <f>IFERROR(VLOOKUP(B1044,'REQ. PINTADO'!B:C,2,0),0)</f>
        <v>0</v>
      </c>
      <c r="E1044" s="305">
        <f t="shared" si="133"/>
        <v>355.86938687977425</v>
      </c>
      <c r="F1044" s="103" t="s">
        <v>166</v>
      </c>
      <c r="G1044" s="75" t="s">
        <v>147</v>
      </c>
      <c r="H1044" s="90">
        <v>9.51</v>
      </c>
      <c r="I1044" s="90">
        <v>60.92</v>
      </c>
      <c r="J1044" s="76">
        <v>0.105</v>
      </c>
      <c r="K1044" s="306">
        <v>16.38</v>
      </c>
      <c r="L1044" s="78">
        <f t="shared" si="134"/>
        <v>17.636174060442109</v>
      </c>
      <c r="M1044" s="58">
        <f>+VLOOKUP(F1044,Material!$H$2:$M$17,6,FALSE)*H1044*I1044*(1+Material!$K$14)</f>
        <v>131.30933232274623</v>
      </c>
      <c r="N1044" s="79" t="str">
        <f t="shared" si="142"/>
        <v>T5.0</v>
      </c>
      <c r="O1044" s="80">
        <f>+VLOOKUP(N1044,[3]Material!$A$3:$B$58,2,FALSE)</f>
        <v>5000</v>
      </c>
      <c r="P1044" s="79" t="s">
        <v>42</v>
      </c>
      <c r="Q1044" s="79" t="str">
        <f>+VLOOKUP(F1044,[3]Material!$C$2:$E$12,2,FALSE)</f>
        <v>Cal 16</v>
      </c>
      <c r="R1044" s="81">
        <f>+IF(P1044="ACERO A36",VLOOKUP(Q1044,'[3]Velocidades Std 1500 w'!$B$2:$F$15,5,FALSE),IF(P1044="INOXIDABLE",VLOOKUP(Q1044,'[3]Velocidades Std 1500 w'!$B$17:$F$28,5,FALSE),IF(P1044="ALUMINIO",VLOOKUP(Q1044,'[3]Velocidades Std 1500 w'!$B$30:$F$38,5,FALSE))))</f>
        <v>9.1575091575091579E-7</v>
      </c>
      <c r="S1044" s="82">
        <f t="shared" si="135"/>
        <v>4.578754578754579E-3</v>
      </c>
      <c r="T1044" s="83">
        <f t="shared" si="136"/>
        <v>14.363113846153846</v>
      </c>
      <c r="U1044" s="307">
        <f t="shared" si="130"/>
        <v>4356.8112000000001</v>
      </c>
      <c r="V1044" s="80">
        <f t="shared" si="141"/>
        <v>19.948769230769233</v>
      </c>
      <c r="W1044" s="98">
        <v>15</v>
      </c>
      <c r="X1044" s="84">
        <f>+IF(P1044="ACERO A36",VLOOKUP(Q1044,'[3]Tiempo Objeto'!$B$2:$C$12,2,FALSE),IF(P1044="INOXIDABLE",VLOOKUP(Q1044,'[3]Tiempo Objeto'!$B$14:$C$22,2,FALSE),IF(P1044="ALUMINIO",VLOOKUP(Q1044,'[3]Tiempo Objeto'!$B$24:$C$32,2,FALSE))))</f>
        <v>0.24666666666666667</v>
      </c>
      <c r="Y1044" s="84">
        <f t="shared" si="137"/>
        <v>3.7</v>
      </c>
      <c r="Z1044" s="80">
        <f t="shared" si="138"/>
        <v>5.1388888888888893</v>
      </c>
      <c r="AA1044" s="100">
        <v>3</v>
      </c>
      <c r="AB1044" s="86">
        <f>+AA1044*Analisis!$J$6</f>
        <v>75</v>
      </c>
      <c r="AC1044" s="100"/>
      <c r="AD1044" s="85">
        <f t="shared" si="139"/>
        <v>0</v>
      </c>
      <c r="AE1044" s="86">
        <f>+AC1044*Analisis!$J$7</f>
        <v>0</v>
      </c>
      <c r="AF1044" s="308">
        <f>+H1044*0.0254*I1044*0.0254*2*(1+[3]Analisis!$G$2)</f>
        <v>0.93443232468000004</v>
      </c>
      <c r="AG1044" s="86">
        <f>+AF1044*Analisis!$J$8</f>
        <v>99.561539355785754</v>
      </c>
      <c r="AH1044" s="309">
        <f t="shared" si="126"/>
        <v>330.95852979819006</v>
      </c>
      <c r="AI1044" s="86">
        <f>+AH1044/(1-Analisis!G1049)</f>
        <v>330.95852979819006</v>
      </c>
      <c r="AJ1044" s="86">
        <f t="shared" si="140"/>
        <v>355.86938687977425</v>
      </c>
      <c r="AK1044" s="86">
        <f t="shared" si="127"/>
        <v>0</v>
      </c>
      <c r="AL1044" s="310" t="e">
        <f>+VLOOKUP(B1044,#REF!,2,FALSE)</f>
        <v>#REF!</v>
      </c>
      <c r="AM1044" s="311" t="e">
        <f t="shared" si="143"/>
        <v>#REF!</v>
      </c>
      <c r="AN1044" s="312" t="e">
        <f t="shared" si="129"/>
        <v>#REF!</v>
      </c>
    </row>
    <row r="1045" spans="1:40" s="73" customFormat="1" x14ac:dyDescent="0.25">
      <c r="A1045" s="313"/>
      <c r="B1045" s="329" t="s">
        <v>1685</v>
      </c>
      <c r="D1045" s="74">
        <f>IFERROR(VLOOKUP(B1045,'REQ. PINTADO'!B:C,2,0),0)</f>
        <v>0</v>
      </c>
      <c r="E1045" s="305">
        <f t="shared" si="133"/>
        <v>146.25409748642764</v>
      </c>
      <c r="F1045" s="397" t="s">
        <v>166</v>
      </c>
      <c r="G1045" s="75" t="s">
        <v>147</v>
      </c>
      <c r="H1045" s="90">
        <v>12.09</v>
      </c>
      <c r="I1045" s="90">
        <v>6.22</v>
      </c>
      <c r="J1045" s="76">
        <v>0.105</v>
      </c>
      <c r="K1045" s="306">
        <v>16.38</v>
      </c>
      <c r="L1045" s="78">
        <f t="shared" si="134"/>
        <v>2.2891837291057522</v>
      </c>
      <c r="M1045" s="58">
        <f>+VLOOKUP(F1045,Material!$H$2:$M$17,6,FALSE)*H1045*I1045*(1+Material!$K$14)</f>
        <v>17.044013401251007</v>
      </c>
      <c r="N1045" s="79" t="str">
        <f t="shared" si="142"/>
        <v>T5.0</v>
      </c>
      <c r="O1045" s="80">
        <f>+VLOOKUP(N1045,[3]Material!$A$3:$B$58,2,FALSE)</f>
        <v>5000</v>
      </c>
      <c r="P1045" s="79" t="s">
        <v>42</v>
      </c>
      <c r="Q1045" s="79" t="str">
        <f>+VLOOKUP(F1045,[3]Material!$C$2:$E$12,2,FALSE)</f>
        <v>Cal 16</v>
      </c>
      <c r="R1045" s="81">
        <f>+IF(P1045="ACERO A36",VLOOKUP(Q1045,'[3]Velocidades Std 1500 w'!$B$2:$F$15,5,FALSE),IF(P1045="INOXIDABLE",VLOOKUP(Q1045,'[3]Velocidades Std 1500 w'!$B$17:$F$28,5,FALSE),IF(P1045="ALUMINIO",VLOOKUP(Q1045,'[3]Velocidades Std 1500 w'!$B$30:$F$38,5,FALSE))))</f>
        <v>9.1575091575091579E-7</v>
      </c>
      <c r="S1045" s="82">
        <f t="shared" si="135"/>
        <v>4.578754578754579E-3</v>
      </c>
      <c r="T1045" s="83">
        <f t="shared" si="136"/>
        <v>3.6153969230769234</v>
      </c>
      <c r="U1045" s="307">
        <f t="shared" si="130"/>
        <v>1096.6704</v>
      </c>
      <c r="V1045" s="80">
        <f t="shared" si="141"/>
        <v>5.0213846153846156</v>
      </c>
      <c r="W1045" s="98">
        <v>3</v>
      </c>
      <c r="X1045" s="84">
        <f>+IF(P1045="ACERO A36",VLOOKUP(Q1045,'[3]Tiempo Objeto'!$B$2:$C$12,2,FALSE),IF(P1045="INOXIDABLE",VLOOKUP(Q1045,'[3]Tiempo Objeto'!$B$14:$C$22,2,FALSE),IF(P1045="ALUMINIO",VLOOKUP(Q1045,'[3]Tiempo Objeto'!$B$24:$C$32,2,FALSE))))</f>
        <v>0.24666666666666667</v>
      </c>
      <c r="Y1045" s="84">
        <f t="shared" si="137"/>
        <v>0.74</v>
      </c>
      <c r="Z1045" s="80">
        <f t="shared" si="138"/>
        <v>1.0277777777777777</v>
      </c>
      <c r="AA1045" s="100">
        <v>4</v>
      </c>
      <c r="AB1045" s="86">
        <f>+AA1045*Analisis!$J$6</f>
        <v>100</v>
      </c>
      <c r="AC1045" s="100"/>
      <c r="AD1045" s="85">
        <f t="shared" si="139"/>
        <v>0</v>
      </c>
      <c r="AE1045" s="86">
        <f>+AC1045*Analisis!$J$7</f>
        <v>0</v>
      </c>
      <c r="AF1045" s="308">
        <f>+H1045*0.0254*I1045*0.0254*2*(1+[3]Analisis!$G$2)</f>
        <v>0.12128975741999998</v>
      </c>
      <c r="AG1045" s="86">
        <f>+AF1045*Analisis!$J$8</f>
        <v>12.923134867964286</v>
      </c>
      <c r="AH1045" s="309">
        <f t="shared" si="126"/>
        <v>136.01631066237769</v>
      </c>
      <c r="AI1045" s="86">
        <f>+AH1045/(1-Analisis!G1050)</f>
        <v>136.01631066237769</v>
      </c>
      <c r="AJ1045" s="86">
        <f t="shared" si="140"/>
        <v>146.25409748642764</v>
      </c>
      <c r="AK1045" s="86">
        <f t="shared" si="127"/>
        <v>0</v>
      </c>
      <c r="AL1045" s="310" t="e">
        <f>+VLOOKUP(B1045,#REF!,2,FALSE)</f>
        <v>#REF!</v>
      </c>
      <c r="AM1045" s="311" t="e">
        <f t="shared" si="143"/>
        <v>#REF!</v>
      </c>
      <c r="AN1045" s="312" t="e">
        <f t="shared" si="129"/>
        <v>#REF!</v>
      </c>
    </row>
    <row r="1046" spans="1:40" s="73" customFormat="1" x14ac:dyDescent="0.25">
      <c r="A1046" s="313"/>
      <c r="B1046" s="329" t="s">
        <v>1686</v>
      </c>
      <c r="D1046" s="74">
        <f>IFERROR(VLOOKUP(B1046,'REQ. PINTADO'!B:C,2,0),0)</f>
        <v>0</v>
      </c>
      <c r="E1046" s="305">
        <f t="shared" si="133"/>
        <v>157.96550859459143</v>
      </c>
      <c r="F1046" s="397" t="s">
        <v>166</v>
      </c>
      <c r="G1046" s="75" t="s">
        <v>147</v>
      </c>
      <c r="H1046" s="90">
        <v>16.09</v>
      </c>
      <c r="I1046" s="90">
        <v>6.22</v>
      </c>
      <c r="J1046" s="76">
        <v>0.105</v>
      </c>
      <c r="K1046" s="306">
        <v>16.38</v>
      </c>
      <c r="L1046" s="78">
        <f t="shared" si="134"/>
        <v>3.0465646154930979</v>
      </c>
      <c r="M1046" s="58">
        <f>+VLOOKUP(F1046,Material!$H$2:$M$17,6,FALSE)*H1046*I1046*(1+Material!$K$14)</f>
        <v>22.683058364444062</v>
      </c>
      <c r="N1046" s="79" t="str">
        <f t="shared" si="142"/>
        <v>T5.0</v>
      </c>
      <c r="O1046" s="80">
        <f>+VLOOKUP(N1046,[3]Material!$A$3:$B$58,2,FALSE)</f>
        <v>5000</v>
      </c>
      <c r="P1046" s="79" t="s">
        <v>42</v>
      </c>
      <c r="Q1046" s="79" t="str">
        <f>+VLOOKUP(F1046,[3]Material!$C$2:$E$12,2,FALSE)</f>
        <v>Cal 16</v>
      </c>
      <c r="R1046" s="81">
        <f>+IF(P1046="ACERO A36",VLOOKUP(Q1046,'[3]Velocidades Std 1500 w'!$B$2:$F$15,5,FALSE),IF(P1046="INOXIDABLE",VLOOKUP(Q1046,'[3]Velocidades Std 1500 w'!$B$17:$F$28,5,FALSE),IF(P1046="ALUMINIO",VLOOKUP(Q1046,'[3]Velocidades Std 1500 w'!$B$30:$F$38,5,FALSE))))</f>
        <v>9.1575091575091579E-7</v>
      </c>
      <c r="S1046" s="82">
        <f t="shared" si="135"/>
        <v>4.578754578754579E-3</v>
      </c>
      <c r="T1046" s="83">
        <f t="shared" si="136"/>
        <v>4.3187815384615389</v>
      </c>
      <c r="U1046" s="307">
        <f t="shared" si="130"/>
        <v>1310.0303999999999</v>
      </c>
      <c r="V1046" s="80">
        <f t="shared" si="141"/>
        <v>5.9983076923076917</v>
      </c>
      <c r="W1046" s="98">
        <v>3</v>
      </c>
      <c r="X1046" s="84">
        <f>+IF(P1046="ACERO A36",VLOOKUP(Q1046,'[3]Tiempo Objeto'!$B$2:$C$12,2,FALSE),IF(P1046="INOXIDABLE",VLOOKUP(Q1046,'[3]Tiempo Objeto'!$B$14:$C$22,2,FALSE),IF(P1046="ALUMINIO",VLOOKUP(Q1046,'[3]Tiempo Objeto'!$B$24:$C$32,2,FALSE))))</f>
        <v>0.24666666666666667</v>
      </c>
      <c r="Y1046" s="84">
        <f t="shared" si="137"/>
        <v>0.74</v>
      </c>
      <c r="Z1046" s="80">
        <f t="shared" si="138"/>
        <v>1.0277777777777777</v>
      </c>
      <c r="AA1046" s="100">
        <v>4</v>
      </c>
      <c r="AB1046" s="86">
        <f>+AA1046*Analisis!$J$6</f>
        <v>100</v>
      </c>
      <c r="AC1046" s="100"/>
      <c r="AD1046" s="85">
        <f t="shared" si="139"/>
        <v>0</v>
      </c>
      <c r="AE1046" s="86">
        <f>+AC1046*Analisis!$J$7</f>
        <v>0</v>
      </c>
      <c r="AF1046" s="308">
        <f>+H1046*0.0254*I1046*0.0254*2*(1+[3]Analisis!$G$2)</f>
        <v>0.16141870942000003</v>
      </c>
      <c r="AG1046" s="86">
        <f>+AF1046*Analisis!$J$8</f>
        <v>17.198779158440484</v>
      </c>
      <c r="AH1046" s="309">
        <f t="shared" si="126"/>
        <v>146.90792299297001</v>
      </c>
      <c r="AI1046" s="86">
        <f>+AH1046/(1-Analisis!G1051)</f>
        <v>146.90792299297001</v>
      </c>
      <c r="AJ1046" s="86">
        <f t="shared" si="140"/>
        <v>157.96550859459143</v>
      </c>
      <c r="AK1046" s="86">
        <f t="shared" si="127"/>
        <v>0</v>
      </c>
      <c r="AL1046" s="310" t="e">
        <f>+VLOOKUP(B1046,#REF!,2,FALSE)</f>
        <v>#REF!</v>
      </c>
      <c r="AM1046" s="311" t="e">
        <f t="shared" si="143"/>
        <v>#REF!</v>
      </c>
      <c r="AN1046" s="312" t="e">
        <f t="shared" si="129"/>
        <v>#REF!</v>
      </c>
    </row>
    <row r="1047" spans="1:40" s="73" customFormat="1" x14ac:dyDescent="0.25">
      <c r="A1047" s="313"/>
      <c r="B1047" s="329" t="s">
        <v>1687</v>
      </c>
      <c r="D1047" s="74">
        <f>IFERROR(VLOOKUP(B1047,'REQ. PINTADO'!B:C,2,0),0)</f>
        <v>0</v>
      </c>
      <c r="E1047" s="305">
        <f t="shared" si="133"/>
        <v>163.82121414867331</v>
      </c>
      <c r="F1047" s="397" t="s">
        <v>166</v>
      </c>
      <c r="G1047" s="75" t="s">
        <v>147</v>
      </c>
      <c r="H1047" s="90">
        <v>18.09</v>
      </c>
      <c r="I1047" s="90">
        <v>6.22</v>
      </c>
      <c r="J1047" s="76">
        <v>0.105</v>
      </c>
      <c r="K1047" s="306">
        <v>16.38</v>
      </c>
      <c r="L1047" s="78">
        <f t="shared" si="134"/>
        <v>3.4252550586867714</v>
      </c>
      <c r="M1047" s="58">
        <f>+VLOOKUP(F1047,Material!$H$2:$M$17,6,FALSE)*H1047*I1047*(1+Material!$K$14)</f>
        <v>25.502580846040594</v>
      </c>
      <c r="N1047" s="79" t="str">
        <f t="shared" si="142"/>
        <v>T5.0</v>
      </c>
      <c r="O1047" s="80">
        <f>+VLOOKUP(N1047,[3]Material!$A$3:$B$58,2,FALSE)</f>
        <v>5000</v>
      </c>
      <c r="P1047" s="79" t="s">
        <v>42</v>
      </c>
      <c r="Q1047" s="79" t="str">
        <f>+VLOOKUP(F1047,[3]Material!$C$2:$E$12,2,FALSE)</f>
        <v>Cal 16</v>
      </c>
      <c r="R1047" s="81">
        <f>+IF(P1047="ACERO A36",VLOOKUP(Q1047,'[3]Velocidades Std 1500 w'!$B$2:$F$15,5,FALSE),IF(P1047="INOXIDABLE",VLOOKUP(Q1047,'[3]Velocidades Std 1500 w'!$B$17:$F$28,5,FALSE),IF(P1047="ALUMINIO",VLOOKUP(Q1047,'[3]Velocidades Std 1500 w'!$B$30:$F$38,5,FALSE))))</f>
        <v>9.1575091575091579E-7</v>
      </c>
      <c r="S1047" s="82">
        <f t="shared" si="135"/>
        <v>4.578754578754579E-3</v>
      </c>
      <c r="T1047" s="83">
        <f t="shared" si="136"/>
        <v>4.670473846153846</v>
      </c>
      <c r="U1047" s="307">
        <f t="shared" si="130"/>
        <v>1416.7103999999999</v>
      </c>
      <c r="V1047" s="80">
        <f t="shared" si="141"/>
        <v>6.4867692307692311</v>
      </c>
      <c r="W1047" s="98">
        <v>3</v>
      </c>
      <c r="X1047" s="84">
        <f>+IF(P1047="ACERO A36",VLOOKUP(Q1047,'[3]Tiempo Objeto'!$B$2:$C$12,2,FALSE),IF(P1047="INOXIDABLE",VLOOKUP(Q1047,'[3]Tiempo Objeto'!$B$14:$C$22,2,FALSE),IF(P1047="ALUMINIO",VLOOKUP(Q1047,'[3]Tiempo Objeto'!$B$24:$C$32,2,FALSE))))</f>
        <v>0.24666666666666667</v>
      </c>
      <c r="Y1047" s="84">
        <f t="shared" si="137"/>
        <v>0.74</v>
      </c>
      <c r="Z1047" s="80">
        <f t="shared" si="138"/>
        <v>1.0277777777777777</v>
      </c>
      <c r="AA1047" s="100">
        <v>4</v>
      </c>
      <c r="AB1047" s="86">
        <f>+AA1047*Analisis!$J$6</f>
        <v>100</v>
      </c>
      <c r="AC1047" s="100"/>
      <c r="AD1047" s="85">
        <f t="shared" si="139"/>
        <v>0</v>
      </c>
      <c r="AE1047" s="86">
        <f>+AC1047*Analisis!$J$7</f>
        <v>0</v>
      </c>
      <c r="AF1047" s="308">
        <f>+H1047*0.0254*I1047*0.0254*2*(1+[3]Analisis!$G$2)</f>
        <v>0.18148318541999997</v>
      </c>
      <c r="AG1047" s="86">
        <f>+AF1047*Analisis!$J$8</f>
        <v>19.336601303678574</v>
      </c>
      <c r="AH1047" s="309">
        <f t="shared" si="126"/>
        <v>152.35372915826616</v>
      </c>
      <c r="AI1047" s="86">
        <f>+AH1047/(1-Analisis!G1052)</f>
        <v>152.35372915826616</v>
      </c>
      <c r="AJ1047" s="86">
        <f t="shared" si="140"/>
        <v>163.82121414867331</v>
      </c>
      <c r="AK1047" s="86">
        <f t="shared" si="127"/>
        <v>0</v>
      </c>
      <c r="AL1047" s="310" t="e">
        <f>+VLOOKUP(B1047,#REF!,2,FALSE)</f>
        <v>#REF!</v>
      </c>
      <c r="AM1047" s="311" t="e">
        <f t="shared" si="143"/>
        <v>#REF!</v>
      </c>
      <c r="AN1047" s="312" t="e">
        <f t="shared" si="129"/>
        <v>#REF!</v>
      </c>
    </row>
    <row r="1048" spans="1:40" s="73" customFormat="1" x14ac:dyDescent="0.25">
      <c r="A1048" s="313"/>
      <c r="B1048" s="329" t="s">
        <v>1688</v>
      </c>
      <c r="D1048" s="74">
        <f>IFERROR(VLOOKUP(B1048,'REQ. PINTADO'!B:C,2,0),0)</f>
        <v>0</v>
      </c>
      <c r="E1048" s="305">
        <f t="shared" si="133"/>
        <v>181.38833081091897</v>
      </c>
      <c r="F1048" s="397" t="s">
        <v>166</v>
      </c>
      <c r="G1048" s="75" t="s">
        <v>147</v>
      </c>
      <c r="H1048" s="90">
        <v>24.09</v>
      </c>
      <c r="I1048" s="90">
        <v>6.22</v>
      </c>
      <c r="J1048" s="76">
        <v>0.105</v>
      </c>
      <c r="K1048" s="306">
        <v>16.38</v>
      </c>
      <c r="L1048" s="78">
        <f t="shared" si="134"/>
        <v>4.5613263882677897</v>
      </c>
      <c r="M1048" s="58">
        <f>+VLOOKUP(F1048,Material!$H$2:$M$17,6,FALSE)*H1048*I1048*(1+Material!$K$14)</f>
        <v>33.961148290830174</v>
      </c>
      <c r="N1048" s="79" t="str">
        <f t="shared" si="142"/>
        <v>T5.0</v>
      </c>
      <c r="O1048" s="80">
        <f>+VLOOKUP(N1048,[3]Material!$A$3:$B$58,2,FALSE)</f>
        <v>5000</v>
      </c>
      <c r="P1048" s="79" t="s">
        <v>42</v>
      </c>
      <c r="Q1048" s="79" t="str">
        <f>+VLOOKUP(F1048,[3]Material!$C$2:$E$12,2,FALSE)</f>
        <v>Cal 16</v>
      </c>
      <c r="R1048" s="81">
        <f>+IF(P1048="ACERO A36",VLOOKUP(Q1048,'[3]Velocidades Std 1500 w'!$B$2:$F$15,5,FALSE),IF(P1048="INOXIDABLE",VLOOKUP(Q1048,'[3]Velocidades Std 1500 w'!$B$17:$F$28,5,FALSE),IF(P1048="ALUMINIO",VLOOKUP(Q1048,'[3]Velocidades Std 1500 w'!$B$30:$F$38,5,FALSE))))</f>
        <v>9.1575091575091579E-7</v>
      </c>
      <c r="S1048" s="82">
        <f t="shared" si="135"/>
        <v>4.578754578754579E-3</v>
      </c>
      <c r="T1048" s="83">
        <f t="shared" si="136"/>
        <v>5.7255507692307699</v>
      </c>
      <c r="U1048" s="307">
        <f t="shared" si="130"/>
        <v>1736.7504000000001</v>
      </c>
      <c r="V1048" s="80">
        <f t="shared" si="141"/>
        <v>7.9521538461538475</v>
      </c>
      <c r="W1048" s="98">
        <v>3</v>
      </c>
      <c r="X1048" s="84">
        <f>+IF(P1048="ACERO A36",VLOOKUP(Q1048,'[3]Tiempo Objeto'!$B$2:$C$12,2,FALSE),IF(P1048="INOXIDABLE",VLOOKUP(Q1048,'[3]Tiempo Objeto'!$B$14:$C$22,2,FALSE),IF(P1048="ALUMINIO",VLOOKUP(Q1048,'[3]Tiempo Objeto'!$B$24:$C$32,2,FALSE))))</f>
        <v>0.24666666666666667</v>
      </c>
      <c r="Y1048" s="84">
        <f t="shared" si="137"/>
        <v>0.74</v>
      </c>
      <c r="Z1048" s="80">
        <f t="shared" si="138"/>
        <v>1.0277777777777777</v>
      </c>
      <c r="AA1048" s="100">
        <v>4</v>
      </c>
      <c r="AB1048" s="86">
        <f>+AA1048*Analisis!$J$6</f>
        <v>100</v>
      </c>
      <c r="AC1048" s="100"/>
      <c r="AD1048" s="85">
        <f t="shared" si="139"/>
        <v>0</v>
      </c>
      <c r="AE1048" s="86">
        <f>+AC1048*Analisis!$J$7</f>
        <v>0</v>
      </c>
      <c r="AF1048" s="308">
        <f>+H1048*0.0254*I1048*0.0254*2*(1+[3]Analisis!$G$2)</f>
        <v>0.24167661341999994</v>
      </c>
      <c r="AG1048" s="86">
        <f>+AF1048*Analisis!$J$8</f>
        <v>25.750067739392858</v>
      </c>
      <c r="AH1048" s="309">
        <f t="shared" si="126"/>
        <v>168.69114765415463</v>
      </c>
      <c r="AI1048" s="86">
        <f>+AH1048/(1-Analisis!G1053)</f>
        <v>168.69114765415463</v>
      </c>
      <c r="AJ1048" s="86">
        <f t="shared" si="140"/>
        <v>181.38833081091897</v>
      </c>
      <c r="AK1048" s="86">
        <f t="shared" si="127"/>
        <v>0</v>
      </c>
      <c r="AL1048" s="310" t="e">
        <f>+VLOOKUP(B1048,#REF!,2,FALSE)</f>
        <v>#REF!</v>
      </c>
      <c r="AM1048" s="311" t="e">
        <f t="shared" si="143"/>
        <v>#REF!</v>
      </c>
      <c r="AN1048" s="312" t="e">
        <f t="shared" si="129"/>
        <v>#REF!</v>
      </c>
    </row>
    <row r="1049" spans="1:40" s="73" customFormat="1" x14ac:dyDescent="0.25">
      <c r="A1049" s="313"/>
      <c r="B1049" s="329" t="s">
        <v>1689</v>
      </c>
      <c r="D1049" s="74">
        <f>IFERROR(VLOOKUP(B1049,'REQ. PINTADO'!B:C,2,0),0)</f>
        <v>0</v>
      </c>
      <c r="E1049" s="305">
        <f t="shared" si="133"/>
        <v>198.95544747316467</v>
      </c>
      <c r="F1049" s="397" t="s">
        <v>166</v>
      </c>
      <c r="G1049" s="75" t="s">
        <v>147</v>
      </c>
      <c r="H1049" s="90">
        <v>30.09</v>
      </c>
      <c r="I1049" s="90">
        <v>6.22</v>
      </c>
      <c r="J1049" s="76">
        <v>0.105</v>
      </c>
      <c r="K1049" s="306">
        <v>16.38</v>
      </c>
      <c r="L1049" s="78">
        <f t="shared" si="134"/>
        <v>5.6973977178488093</v>
      </c>
      <c r="M1049" s="58">
        <f>+VLOOKUP(F1049,Material!$H$2:$M$17,6,FALSE)*H1049*I1049*(1+Material!$K$14)</f>
        <v>42.419715735619761</v>
      </c>
      <c r="N1049" s="79" t="str">
        <f t="shared" si="142"/>
        <v>T5.0</v>
      </c>
      <c r="O1049" s="80">
        <f>+VLOOKUP(N1049,[3]Material!$A$3:$B$58,2,FALSE)</f>
        <v>5000</v>
      </c>
      <c r="P1049" s="79" t="s">
        <v>42</v>
      </c>
      <c r="Q1049" s="79" t="str">
        <f>+VLOOKUP(F1049,[3]Material!$C$2:$E$12,2,FALSE)</f>
        <v>Cal 16</v>
      </c>
      <c r="R1049" s="81">
        <f>+IF(P1049="ACERO A36",VLOOKUP(Q1049,'[3]Velocidades Std 1500 w'!$B$2:$F$15,5,FALSE),IF(P1049="INOXIDABLE",VLOOKUP(Q1049,'[3]Velocidades Std 1500 w'!$B$17:$F$28,5,FALSE),IF(P1049="ALUMINIO",VLOOKUP(Q1049,'[3]Velocidades Std 1500 w'!$B$30:$F$38,5,FALSE))))</f>
        <v>9.1575091575091579E-7</v>
      </c>
      <c r="S1049" s="82">
        <f t="shared" si="135"/>
        <v>4.578754578754579E-3</v>
      </c>
      <c r="T1049" s="83">
        <f t="shared" si="136"/>
        <v>6.780627692307692</v>
      </c>
      <c r="U1049" s="307">
        <f t="shared" si="130"/>
        <v>2056.7903999999999</v>
      </c>
      <c r="V1049" s="80">
        <f t="shared" si="141"/>
        <v>9.4175384615384612</v>
      </c>
      <c r="W1049" s="98">
        <v>3</v>
      </c>
      <c r="X1049" s="84">
        <f>+IF(P1049="ACERO A36",VLOOKUP(Q1049,'[3]Tiempo Objeto'!$B$2:$C$12,2,FALSE),IF(P1049="INOXIDABLE",VLOOKUP(Q1049,'[3]Tiempo Objeto'!$B$14:$C$22,2,FALSE),IF(P1049="ALUMINIO",VLOOKUP(Q1049,'[3]Tiempo Objeto'!$B$24:$C$32,2,FALSE))))</f>
        <v>0.24666666666666667</v>
      </c>
      <c r="Y1049" s="84">
        <f t="shared" si="137"/>
        <v>0.74</v>
      </c>
      <c r="Z1049" s="80">
        <f t="shared" si="138"/>
        <v>1.0277777777777777</v>
      </c>
      <c r="AA1049" s="100">
        <v>4</v>
      </c>
      <c r="AB1049" s="86">
        <f>+AA1049*Analisis!$J$6</f>
        <v>100</v>
      </c>
      <c r="AC1049" s="100"/>
      <c r="AD1049" s="85">
        <f t="shared" si="139"/>
        <v>0</v>
      </c>
      <c r="AE1049" s="86">
        <f>+AC1049*Analisis!$J$7</f>
        <v>0</v>
      </c>
      <c r="AF1049" s="308">
        <f>+H1049*0.0254*I1049*0.0254*2*(1+[3]Analisis!$G$2)</f>
        <v>0.3018700414199999</v>
      </c>
      <c r="AG1049" s="86">
        <f>+AF1049*Analisis!$J$8</f>
        <v>32.163534175107145</v>
      </c>
      <c r="AH1049" s="309">
        <f t="shared" si="126"/>
        <v>185.02856615004313</v>
      </c>
      <c r="AI1049" s="86">
        <f>+AH1049/(1-Analisis!G1054)</f>
        <v>185.02856615004313</v>
      </c>
      <c r="AJ1049" s="86">
        <f t="shared" si="140"/>
        <v>198.95544747316467</v>
      </c>
      <c r="AK1049" s="86">
        <f t="shared" si="127"/>
        <v>0</v>
      </c>
      <c r="AL1049" s="310" t="e">
        <f>+VLOOKUP(B1049,#REF!,2,FALSE)</f>
        <v>#REF!</v>
      </c>
      <c r="AM1049" s="311" t="e">
        <f t="shared" si="143"/>
        <v>#REF!</v>
      </c>
      <c r="AN1049" s="312" t="e">
        <f t="shared" si="129"/>
        <v>#REF!</v>
      </c>
    </row>
    <row r="1050" spans="1:40" s="73" customFormat="1" x14ac:dyDescent="0.25">
      <c r="A1050" s="313"/>
      <c r="B1050" s="329" t="s">
        <v>1690</v>
      </c>
      <c r="D1050" s="74">
        <f>IFERROR(VLOOKUP(B1050,'REQ. PINTADO'!B:C,2,0),0)</f>
        <v>0</v>
      </c>
      <c r="E1050" s="305">
        <f t="shared" si="133"/>
        <v>216.52256413541036</v>
      </c>
      <c r="F1050" s="397" t="s">
        <v>166</v>
      </c>
      <c r="G1050" s="75" t="s">
        <v>147</v>
      </c>
      <c r="H1050" s="90">
        <v>36.090000000000003</v>
      </c>
      <c r="I1050" s="90">
        <v>6.22</v>
      </c>
      <c r="J1050" s="76">
        <v>0.105</v>
      </c>
      <c r="K1050" s="306">
        <v>16.38</v>
      </c>
      <c r="L1050" s="78">
        <f t="shared" si="134"/>
        <v>6.8334690474298272</v>
      </c>
      <c r="M1050" s="58">
        <f>+VLOOKUP(F1050,Material!$H$2:$M$17,6,FALSE)*H1050*I1050*(1+Material!$K$14)</f>
        <v>50.878283180409341</v>
      </c>
      <c r="N1050" s="79" t="str">
        <f t="shared" si="142"/>
        <v>T5.0</v>
      </c>
      <c r="O1050" s="80">
        <f>+VLOOKUP(N1050,[3]Material!$A$3:$B$58,2,FALSE)</f>
        <v>5000</v>
      </c>
      <c r="P1050" s="79" t="s">
        <v>42</v>
      </c>
      <c r="Q1050" s="79" t="str">
        <f>+VLOOKUP(F1050,[3]Material!$C$2:$E$12,2,FALSE)</f>
        <v>Cal 16</v>
      </c>
      <c r="R1050" s="81">
        <f>+IF(P1050="ACERO A36",VLOOKUP(Q1050,'[3]Velocidades Std 1500 w'!$B$2:$F$15,5,FALSE),IF(P1050="INOXIDABLE",VLOOKUP(Q1050,'[3]Velocidades Std 1500 w'!$B$17:$F$28,5,FALSE),IF(P1050="ALUMINIO",VLOOKUP(Q1050,'[3]Velocidades Std 1500 w'!$B$30:$F$38,5,FALSE))))</f>
        <v>9.1575091575091579E-7</v>
      </c>
      <c r="S1050" s="82">
        <f t="shared" si="135"/>
        <v>4.578754578754579E-3</v>
      </c>
      <c r="T1050" s="83">
        <f t="shared" si="136"/>
        <v>7.8357046153846168</v>
      </c>
      <c r="U1050" s="307">
        <f t="shared" si="130"/>
        <v>2376.8304000000003</v>
      </c>
      <c r="V1050" s="80">
        <f t="shared" si="141"/>
        <v>10.882923076923079</v>
      </c>
      <c r="W1050" s="98">
        <v>3</v>
      </c>
      <c r="X1050" s="84">
        <f>+IF(P1050="ACERO A36",VLOOKUP(Q1050,'[3]Tiempo Objeto'!$B$2:$C$12,2,FALSE),IF(P1050="INOXIDABLE",VLOOKUP(Q1050,'[3]Tiempo Objeto'!$B$14:$C$22,2,FALSE),IF(P1050="ALUMINIO",VLOOKUP(Q1050,'[3]Tiempo Objeto'!$B$24:$C$32,2,FALSE))))</f>
        <v>0.24666666666666667</v>
      </c>
      <c r="Y1050" s="84">
        <f t="shared" si="137"/>
        <v>0.74</v>
      </c>
      <c r="Z1050" s="80">
        <f t="shared" si="138"/>
        <v>1.0277777777777777</v>
      </c>
      <c r="AA1050" s="100">
        <v>4</v>
      </c>
      <c r="AB1050" s="86">
        <f>+AA1050*Analisis!$J$6</f>
        <v>100</v>
      </c>
      <c r="AC1050" s="100"/>
      <c r="AD1050" s="85">
        <f t="shared" si="139"/>
        <v>0</v>
      </c>
      <c r="AE1050" s="86">
        <f>+AC1050*Analisis!$J$7</f>
        <v>0</v>
      </c>
      <c r="AF1050" s="308">
        <f>+H1050*0.0254*I1050*0.0254*2*(1+[3]Analisis!$G$2)</f>
        <v>0.36206346942000001</v>
      </c>
      <c r="AG1050" s="86">
        <f>+AF1050*Analisis!$J$8</f>
        <v>38.577000610821443</v>
      </c>
      <c r="AH1050" s="309">
        <f t="shared" si="126"/>
        <v>201.36598464593163</v>
      </c>
      <c r="AI1050" s="86">
        <f>+AH1050/(1-Analisis!G1055)</f>
        <v>201.36598464593163</v>
      </c>
      <c r="AJ1050" s="86">
        <f t="shared" si="140"/>
        <v>216.52256413541036</v>
      </c>
      <c r="AK1050" s="86">
        <f t="shared" si="127"/>
        <v>0</v>
      </c>
      <c r="AL1050" s="310" t="e">
        <f>+VLOOKUP(B1050,#REF!,2,FALSE)</f>
        <v>#REF!</v>
      </c>
      <c r="AM1050" s="311" t="e">
        <f t="shared" si="143"/>
        <v>#REF!</v>
      </c>
      <c r="AN1050" s="312" t="e">
        <f t="shared" si="129"/>
        <v>#REF!</v>
      </c>
    </row>
    <row r="1051" spans="1:40" s="73" customFormat="1" x14ac:dyDescent="0.25">
      <c r="A1051" s="313"/>
      <c r="B1051" s="329" t="s">
        <v>1691</v>
      </c>
      <c r="D1051" s="74">
        <f>IFERROR(VLOOKUP(B1051,'REQ. PINTADO'!B:C,2,0),0)</f>
        <v>0</v>
      </c>
      <c r="E1051" s="305">
        <f t="shared" si="133"/>
        <v>239.94538635173794</v>
      </c>
      <c r="F1051" s="397" t="s">
        <v>166</v>
      </c>
      <c r="G1051" s="75" t="s">
        <v>147</v>
      </c>
      <c r="H1051" s="90">
        <v>44.09</v>
      </c>
      <c r="I1051" s="90">
        <v>6.22</v>
      </c>
      <c r="J1051" s="76">
        <v>0.105</v>
      </c>
      <c r="K1051" s="306">
        <v>16.38</v>
      </c>
      <c r="L1051" s="78">
        <f t="shared" si="134"/>
        <v>8.3482308202045203</v>
      </c>
      <c r="M1051" s="58">
        <f>+VLOOKUP(F1051,Material!$H$2:$M$17,6,FALSE)*H1051*I1051*(1+Material!$K$14)</f>
        <v>62.156373106795463</v>
      </c>
      <c r="N1051" s="79" t="str">
        <f t="shared" si="142"/>
        <v>T5.0</v>
      </c>
      <c r="O1051" s="80">
        <f>+VLOOKUP(N1051,[3]Material!$A$3:$B$58,2,FALSE)</f>
        <v>5000</v>
      </c>
      <c r="P1051" s="79" t="s">
        <v>42</v>
      </c>
      <c r="Q1051" s="79" t="str">
        <f>+VLOOKUP(F1051,[3]Material!$C$2:$E$12,2,FALSE)</f>
        <v>Cal 16</v>
      </c>
      <c r="R1051" s="81">
        <f>+IF(P1051="ACERO A36",VLOOKUP(Q1051,'[3]Velocidades Std 1500 w'!$B$2:$F$15,5,FALSE),IF(P1051="INOXIDABLE",VLOOKUP(Q1051,'[3]Velocidades Std 1500 w'!$B$17:$F$28,5,FALSE),IF(P1051="ALUMINIO",VLOOKUP(Q1051,'[3]Velocidades Std 1500 w'!$B$30:$F$38,5,FALSE))))</f>
        <v>9.1575091575091579E-7</v>
      </c>
      <c r="S1051" s="82">
        <f t="shared" si="135"/>
        <v>4.578754578754579E-3</v>
      </c>
      <c r="T1051" s="83">
        <f t="shared" si="136"/>
        <v>9.242473846153846</v>
      </c>
      <c r="U1051" s="307">
        <f t="shared" si="130"/>
        <v>2803.5504000000001</v>
      </c>
      <c r="V1051" s="80">
        <f t="shared" si="141"/>
        <v>12.836769230769232</v>
      </c>
      <c r="W1051" s="98">
        <v>3</v>
      </c>
      <c r="X1051" s="84">
        <f>+IF(P1051="ACERO A36",VLOOKUP(Q1051,'[3]Tiempo Objeto'!$B$2:$C$12,2,FALSE),IF(P1051="INOXIDABLE",VLOOKUP(Q1051,'[3]Tiempo Objeto'!$B$14:$C$22,2,FALSE),IF(P1051="ALUMINIO",VLOOKUP(Q1051,'[3]Tiempo Objeto'!$B$24:$C$32,2,FALSE))))</f>
        <v>0.24666666666666667</v>
      </c>
      <c r="Y1051" s="84">
        <f t="shared" si="137"/>
        <v>0.74</v>
      </c>
      <c r="Z1051" s="80">
        <f t="shared" si="138"/>
        <v>1.0277777777777777</v>
      </c>
      <c r="AA1051" s="100">
        <v>4</v>
      </c>
      <c r="AB1051" s="86">
        <f>+AA1051*Analisis!$J$6</f>
        <v>100</v>
      </c>
      <c r="AC1051" s="100"/>
      <c r="AD1051" s="85">
        <f t="shared" si="139"/>
        <v>0</v>
      </c>
      <c r="AE1051" s="86">
        <f>+AC1051*Analisis!$J$7</f>
        <v>0</v>
      </c>
      <c r="AF1051" s="308">
        <f>+H1051*0.0254*I1051*0.0254*2*(1+[3]Analisis!$G$2)</f>
        <v>0.44232137341999994</v>
      </c>
      <c r="AG1051" s="86">
        <f>+AF1051*Analisis!$J$8</f>
        <v>47.128289191773817</v>
      </c>
      <c r="AH1051" s="309">
        <f t="shared" si="126"/>
        <v>223.14920930711628</v>
      </c>
      <c r="AI1051" s="86">
        <f>+AH1051/(1-Analisis!G1056)</f>
        <v>223.14920930711628</v>
      </c>
      <c r="AJ1051" s="86">
        <f t="shared" si="140"/>
        <v>239.94538635173794</v>
      </c>
      <c r="AK1051" s="86">
        <f t="shared" si="127"/>
        <v>0</v>
      </c>
      <c r="AL1051" s="310" t="e">
        <f>+VLOOKUP(B1051,#REF!,2,FALSE)</f>
        <v>#REF!</v>
      </c>
      <c r="AM1051" s="311" t="e">
        <f t="shared" si="143"/>
        <v>#REF!</v>
      </c>
      <c r="AN1051" s="312" t="e">
        <f t="shared" si="129"/>
        <v>#REF!</v>
      </c>
    </row>
    <row r="1052" spans="1:40" s="73" customFormat="1" x14ac:dyDescent="0.25">
      <c r="A1052" s="313"/>
      <c r="B1052" s="329" t="s">
        <v>1692</v>
      </c>
      <c r="D1052" s="74">
        <f>IFERROR(VLOOKUP(B1052,'REQ. PINTADO'!B:C,2,0),0)</f>
        <v>0</v>
      </c>
      <c r="E1052" s="305">
        <f t="shared" si="133"/>
        <v>257.51250301398363</v>
      </c>
      <c r="F1052" s="397" t="s">
        <v>166</v>
      </c>
      <c r="G1052" s="75" t="s">
        <v>147</v>
      </c>
      <c r="H1052" s="90">
        <v>50.09</v>
      </c>
      <c r="I1052" s="90">
        <v>6.22</v>
      </c>
      <c r="J1052" s="76">
        <v>0.105</v>
      </c>
      <c r="K1052" s="306">
        <v>16.38</v>
      </c>
      <c r="L1052" s="78">
        <f t="shared" si="134"/>
        <v>9.4843021497855382</v>
      </c>
      <c r="M1052" s="58">
        <f>+VLOOKUP(F1052,Material!$H$2:$M$17,6,FALSE)*H1052*I1052*(1+Material!$K$14)</f>
        <v>70.61494055158505</v>
      </c>
      <c r="N1052" s="79" t="str">
        <f t="shared" si="142"/>
        <v>T5.0</v>
      </c>
      <c r="O1052" s="80">
        <f>+VLOOKUP(N1052,[3]Material!$A$3:$B$58,2,FALSE)</f>
        <v>5000</v>
      </c>
      <c r="P1052" s="79" t="s">
        <v>42</v>
      </c>
      <c r="Q1052" s="79" t="str">
        <f>+VLOOKUP(F1052,[3]Material!$C$2:$E$12,2,FALSE)</f>
        <v>Cal 16</v>
      </c>
      <c r="R1052" s="81">
        <f>+IF(P1052="ACERO A36",VLOOKUP(Q1052,'[3]Velocidades Std 1500 w'!$B$2:$F$15,5,FALSE),IF(P1052="INOXIDABLE",VLOOKUP(Q1052,'[3]Velocidades Std 1500 w'!$B$17:$F$28,5,FALSE),IF(P1052="ALUMINIO",VLOOKUP(Q1052,'[3]Velocidades Std 1500 w'!$B$30:$F$38,5,FALSE))))</f>
        <v>9.1575091575091579E-7</v>
      </c>
      <c r="S1052" s="82">
        <f t="shared" si="135"/>
        <v>4.578754578754579E-3</v>
      </c>
      <c r="T1052" s="83">
        <f t="shared" si="136"/>
        <v>10.297550769230771</v>
      </c>
      <c r="U1052" s="307">
        <f t="shared" si="130"/>
        <v>3123.5904</v>
      </c>
      <c r="V1052" s="80">
        <f t="shared" si="141"/>
        <v>14.302153846153846</v>
      </c>
      <c r="W1052" s="98">
        <v>3</v>
      </c>
      <c r="X1052" s="84">
        <f>+IF(P1052="ACERO A36",VLOOKUP(Q1052,'[3]Tiempo Objeto'!$B$2:$C$12,2,FALSE),IF(P1052="INOXIDABLE",VLOOKUP(Q1052,'[3]Tiempo Objeto'!$B$14:$C$22,2,FALSE),IF(P1052="ALUMINIO",VLOOKUP(Q1052,'[3]Tiempo Objeto'!$B$24:$C$32,2,FALSE))))</f>
        <v>0.24666666666666667</v>
      </c>
      <c r="Y1052" s="84">
        <f t="shared" si="137"/>
        <v>0.74</v>
      </c>
      <c r="Z1052" s="80">
        <f t="shared" si="138"/>
        <v>1.0277777777777777</v>
      </c>
      <c r="AA1052" s="100">
        <v>4</v>
      </c>
      <c r="AB1052" s="86">
        <f>+AA1052*Analisis!$J$6</f>
        <v>100</v>
      </c>
      <c r="AC1052" s="100"/>
      <c r="AD1052" s="85">
        <f t="shared" si="139"/>
        <v>0</v>
      </c>
      <c r="AE1052" s="86">
        <f>+AC1052*Analisis!$J$7</f>
        <v>0</v>
      </c>
      <c r="AF1052" s="308">
        <f>+H1052*0.0254*I1052*0.0254*2*(1+[3]Analisis!$G$2)</f>
        <v>0.50251480141999993</v>
      </c>
      <c r="AG1052" s="86">
        <f>+AF1052*Analisis!$J$8</f>
        <v>53.541755627488101</v>
      </c>
      <c r="AH1052" s="309">
        <f t="shared" si="126"/>
        <v>239.48662780300475</v>
      </c>
      <c r="AI1052" s="86">
        <f>+AH1052/(1-Analisis!G1057)</f>
        <v>239.48662780300475</v>
      </c>
      <c r="AJ1052" s="86">
        <f t="shared" si="140"/>
        <v>257.51250301398363</v>
      </c>
      <c r="AK1052" s="86">
        <f t="shared" si="127"/>
        <v>0</v>
      </c>
      <c r="AL1052" s="310" t="e">
        <f>+VLOOKUP(B1052,#REF!,2,FALSE)</f>
        <v>#REF!</v>
      </c>
      <c r="AM1052" s="311" t="e">
        <f t="shared" si="143"/>
        <v>#REF!</v>
      </c>
      <c r="AN1052" s="312" t="e">
        <f t="shared" si="129"/>
        <v>#REF!</v>
      </c>
    </row>
    <row r="1053" spans="1:40" s="73" customFormat="1" x14ac:dyDescent="0.25">
      <c r="A1053" s="313"/>
      <c r="B1053" s="329" t="s">
        <v>1693</v>
      </c>
      <c r="D1053" s="74">
        <f>IFERROR(VLOOKUP(B1053,'REQ. PINTADO'!B:C,2,0),0)</f>
        <v>0</v>
      </c>
      <c r="E1053" s="305">
        <f t="shared" si="133"/>
        <v>275.0796196762293</v>
      </c>
      <c r="F1053" s="397" t="s">
        <v>166</v>
      </c>
      <c r="G1053" s="75" t="s">
        <v>147</v>
      </c>
      <c r="H1053" s="90">
        <v>56.09</v>
      </c>
      <c r="I1053" s="90">
        <v>6.22</v>
      </c>
      <c r="J1053" s="76">
        <v>0.105</v>
      </c>
      <c r="K1053" s="306">
        <v>16.38</v>
      </c>
      <c r="L1053" s="78">
        <f t="shared" si="134"/>
        <v>10.620373479366558</v>
      </c>
      <c r="M1053" s="58">
        <f>+VLOOKUP(F1053,Material!$H$2:$M$17,6,FALSE)*H1053*I1053*(1+Material!$K$14)</f>
        <v>79.07350799637463</v>
      </c>
      <c r="N1053" s="79" t="str">
        <f t="shared" si="142"/>
        <v>T5.0</v>
      </c>
      <c r="O1053" s="80">
        <f>+VLOOKUP(N1053,[3]Material!$A$3:$B$58,2,FALSE)</f>
        <v>5000</v>
      </c>
      <c r="P1053" s="79" t="s">
        <v>42</v>
      </c>
      <c r="Q1053" s="79" t="str">
        <f>+VLOOKUP(F1053,[3]Material!$C$2:$E$12,2,FALSE)</f>
        <v>Cal 16</v>
      </c>
      <c r="R1053" s="81">
        <f>+IF(P1053="ACERO A36",VLOOKUP(Q1053,'[3]Velocidades Std 1500 w'!$B$2:$F$15,5,FALSE),IF(P1053="INOXIDABLE",VLOOKUP(Q1053,'[3]Velocidades Std 1500 w'!$B$17:$F$28,5,FALSE),IF(P1053="ALUMINIO",VLOOKUP(Q1053,'[3]Velocidades Std 1500 w'!$B$30:$F$38,5,FALSE))))</f>
        <v>9.1575091575091579E-7</v>
      </c>
      <c r="S1053" s="82">
        <f t="shared" si="135"/>
        <v>4.578754578754579E-3</v>
      </c>
      <c r="T1053" s="83">
        <f t="shared" si="136"/>
        <v>11.352627692307694</v>
      </c>
      <c r="U1053" s="307">
        <f t="shared" si="130"/>
        <v>3443.6304000000005</v>
      </c>
      <c r="V1053" s="80">
        <f t="shared" si="141"/>
        <v>15.767538461538464</v>
      </c>
      <c r="W1053" s="98">
        <v>3</v>
      </c>
      <c r="X1053" s="84">
        <f>+IF(P1053="ACERO A36",VLOOKUP(Q1053,'[3]Tiempo Objeto'!$B$2:$C$12,2,FALSE),IF(P1053="INOXIDABLE",VLOOKUP(Q1053,'[3]Tiempo Objeto'!$B$14:$C$22,2,FALSE),IF(P1053="ALUMINIO",VLOOKUP(Q1053,'[3]Tiempo Objeto'!$B$24:$C$32,2,FALSE))))</f>
        <v>0.24666666666666667</v>
      </c>
      <c r="Y1053" s="84">
        <f t="shared" si="137"/>
        <v>0.74</v>
      </c>
      <c r="Z1053" s="80">
        <f t="shared" si="138"/>
        <v>1.0277777777777777</v>
      </c>
      <c r="AA1053" s="100">
        <v>4</v>
      </c>
      <c r="AB1053" s="86">
        <f>+AA1053*Analisis!$J$6</f>
        <v>100</v>
      </c>
      <c r="AC1053" s="100"/>
      <c r="AD1053" s="85">
        <f t="shared" si="139"/>
        <v>0</v>
      </c>
      <c r="AE1053" s="86">
        <f>+AC1053*Analisis!$J$7</f>
        <v>0</v>
      </c>
      <c r="AF1053" s="308">
        <f>+H1053*0.0254*I1053*0.0254*2*(1+[3]Analisis!$G$2)</f>
        <v>0.56270822941999998</v>
      </c>
      <c r="AG1053" s="86">
        <f>+AF1053*Analisis!$J$8</f>
        <v>59.955222063202399</v>
      </c>
      <c r="AH1053" s="309">
        <f t="shared" si="126"/>
        <v>255.82404629889325</v>
      </c>
      <c r="AI1053" s="86">
        <f>+AH1053/(1-Analisis!G1058)</f>
        <v>255.82404629889325</v>
      </c>
      <c r="AJ1053" s="86">
        <f t="shared" si="140"/>
        <v>275.0796196762293</v>
      </c>
      <c r="AK1053" s="86">
        <f t="shared" si="127"/>
        <v>0</v>
      </c>
      <c r="AL1053" s="310" t="e">
        <f>+VLOOKUP(B1053,#REF!,2,FALSE)</f>
        <v>#REF!</v>
      </c>
      <c r="AM1053" s="311" t="e">
        <f t="shared" si="143"/>
        <v>#REF!</v>
      </c>
      <c r="AN1053" s="312" t="e">
        <f t="shared" si="129"/>
        <v>#REF!</v>
      </c>
    </row>
    <row r="1054" spans="1:40" s="73" customFormat="1" x14ac:dyDescent="0.25">
      <c r="A1054" s="313"/>
      <c r="B1054" s="329" t="s">
        <v>1694</v>
      </c>
      <c r="D1054" s="74">
        <f>IFERROR(VLOOKUP(B1054,'REQ. PINTADO'!B:C,2,0),0)</f>
        <v>0</v>
      </c>
      <c r="E1054" s="305">
        <f t="shared" si="133"/>
        <v>222.37826968949224</v>
      </c>
      <c r="F1054" s="103" t="s">
        <v>166</v>
      </c>
      <c r="G1054" s="75" t="s">
        <v>147</v>
      </c>
      <c r="H1054" s="90">
        <v>38.090000000000003</v>
      </c>
      <c r="I1054" s="90">
        <v>6.22</v>
      </c>
      <c r="J1054" s="76">
        <v>0.105</v>
      </c>
      <c r="K1054" s="306">
        <v>16.38</v>
      </c>
      <c r="L1054" s="78">
        <f t="shared" si="134"/>
        <v>7.2121594906235007</v>
      </c>
      <c r="M1054" s="58">
        <f>+VLOOKUP(F1054,Material!$H$2:$M$17,6,FALSE)*H1054*I1054*(1+Material!$K$14)</f>
        <v>53.697805662005877</v>
      </c>
      <c r="N1054" s="79" t="str">
        <f t="shared" si="142"/>
        <v>T5.0</v>
      </c>
      <c r="O1054" s="80">
        <f>+VLOOKUP(N1054,[3]Material!$A$3:$B$58,2,FALSE)</f>
        <v>5000</v>
      </c>
      <c r="P1054" s="79" t="s">
        <v>42</v>
      </c>
      <c r="Q1054" s="79" t="str">
        <f>+VLOOKUP(F1054,[3]Material!$C$2:$E$12,2,FALSE)</f>
        <v>Cal 16</v>
      </c>
      <c r="R1054" s="81">
        <f>+IF(P1054="ACERO A36",VLOOKUP(Q1054,'[3]Velocidades Std 1500 w'!$B$2:$F$15,5,FALSE),IF(P1054="INOXIDABLE",VLOOKUP(Q1054,'[3]Velocidades Std 1500 w'!$B$17:$F$28,5,FALSE),IF(P1054="ALUMINIO",VLOOKUP(Q1054,'[3]Velocidades Std 1500 w'!$B$30:$F$38,5,FALSE))))</f>
        <v>9.1575091575091579E-7</v>
      </c>
      <c r="S1054" s="82">
        <f t="shared" si="135"/>
        <v>4.578754578754579E-3</v>
      </c>
      <c r="T1054" s="83">
        <f t="shared" si="136"/>
        <v>8.1873969230769248</v>
      </c>
      <c r="U1054" s="307">
        <f t="shared" si="130"/>
        <v>2483.5104000000001</v>
      </c>
      <c r="V1054" s="80">
        <f t="shared" si="141"/>
        <v>11.371384615384617</v>
      </c>
      <c r="W1054" s="98">
        <v>3</v>
      </c>
      <c r="X1054" s="84">
        <f>+IF(P1054="ACERO A36",VLOOKUP(Q1054,'[3]Tiempo Objeto'!$B$2:$C$12,2,FALSE),IF(P1054="INOXIDABLE",VLOOKUP(Q1054,'[3]Tiempo Objeto'!$B$14:$C$22,2,FALSE),IF(P1054="ALUMINIO",VLOOKUP(Q1054,'[3]Tiempo Objeto'!$B$24:$C$32,2,FALSE))))</f>
        <v>0.24666666666666667</v>
      </c>
      <c r="Y1054" s="84">
        <f t="shared" si="137"/>
        <v>0.74</v>
      </c>
      <c r="Z1054" s="80">
        <f t="shared" si="138"/>
        <v>1.0277777777777777</v>
      </c>
      <c r="AA1054" s="100">
        <v>4</v>
      </c>
      <c r="AB1054" s="86">
        <f>+AA1054*Analisis!$J$6</f>
        <v>100</v>
      </c>
      <c r="AC1054" s="100"/>
      <c r="AD1054" s="85">
        <f t="shared" si="139"/>
        <v>0</v>
      </c>
      <c r="AE1054" s="86">
        <f>+AC1054*Analisis!$J$7</f>
        <v>0</v>
      </c>
      <c r="AF1054" s="308">
        <f>+H1054*0.0254*I1054*0.0254*2*(1+[3]Analisis!$G$2)</f>
        <v>0.38212794542</v>
      </c>
      <c r="AG1054" s="86">
        <f>+AF1054*Analisis!$J$8</f>
        <v>40.714822756059533</v>
      </c>
      <c r="AH1054" s="309">
        <f t="shared" si="126"/>
        <v>206.81179081122778</v>
      </c>
      <c r="AI1054" s="86">
        <f>+AH1054/(1-Analisis!G1059)</f>
        <v>206.81179081122778</v>
      </c>
      <c r="AJ1054" s="86">
        <f t="shared" si="140"/>
        <v>222.37826968949224</v>
      </c>
      <c r="AK1054" s="86">
        <f t="shared" si="127"/>
        <v>0</v>
      </c>
      <c r="AL1054" s="310" t="e">
        <f>+VLOOKUP(B1054,#REF!,2,FALSE)</f>
        <v>#REF!</v>
      </c>
      <c r="AM1054" s="311" t="e">
        <f t="shared" si="143"/>
        <v>#REF!</v>
      </c>
      <c r="AN1054" s="312" t="e">
        <f t="shared" si="129"/>
        <v>#REF!</v>
      </c>
    </row>
    <row r="1055" spans="1:40" s="73" customFormat="1" x14ac:dyDescent="0.25">
      <c r="A1055" s="313"/>
      <c r="B1055" s="329" t="s">
        <v>1695</v>
      </c>
      <c r="D1055" s="74">
        <f>IFERROR(VLOOKUP(B1055,'REQ. PINTADO'!B:C,2,0),0)</f>
        <v>0</v>
      </c>
      <c r="E1055" s="305">
        <f t="shared" si="133"/>
        <v>178.46047803387805</v>
      </c>
      <c r="F1055" s="103" t="s">
        <v>166</v>
      </c>
      <c r="G1055" s="75" t="s">
        <v>147</v>
      </c>
      <c r="H1055" s="90">
        <v>23.09</v>
      </c>
      <c r="I1055" s="90">
        <v>6.22</v>
      </c>
      <c r="J1055" s="76">
        <v>0.105</v>
      </c>
      <c r="K1055" s="306">
        <v>16.38</v>
      </c>
      <c r="L1055" s="78">
        <f t="shared" si="134"/>
        <v>4.3719811666709543</v>
      </c>
      <c r="M1055" s="58">
        <f>+VLOOKUP(F1055,Material!$H$2:$M$17,6,FALSE)*H1055*I1055*(1+Material!$K$14)</f>
        <v>32.551387050031913</v>
      </c>
      <c r="N1055" s="79" t="str">
        <f t="shared" si="142"/>
        <v>T5.0</v>
      </c>
      <c r="O1055" s="80">
        <f>+VLOOKUP(N1055,[3]Material!$A$3:$B$58,2,FALSE)</f>
        <v>5000</v>
      </c>
      <c r="P1055" s="79" t="s">
        <v>42</v>
      </c>
      <c r="Q1055" s="79" t="str">
        <f>+VLOOKUP(F1055,[3]Material!$C$2:$E$12,2,FALSE)</f>
        <v>Cal 16</v>
      </c>
      <c r="R1055" s="81">
        <f>+IF(P1055="ACERO A36",VLOOKUP(Q1055,'[3]Velocidades Std 1500 w'!$B$2:$F$15,5,FALSE),IF(P1055="INOXIDABLE",VLOOKUP(Q1055,'[3]Velocidades Std 1500 w'!$B$17:$F$28,5,FALSE),IF(P1055="ALUMINIO",VLOOKUP(Q1055,'[3]Velocidades Std 1500 w'!$B$30:$F$38,5,FALSE))))</f>
        <v>9.1575091575091579E-7</v>
      </c>
      <c r="S1055" s="82">
        <f t="shared" si="135"/>
        <v>4.578754578754579E-3</v>
      </c>
      <c r="T1055" s="83">
        <f t="shared" si="136"/>
        <v>5.5497046153846155</v>
      </c>
      <c r="U1055" s="307">
        <f t="shared" si="130"/>
        <v>1683.4104</v>
      </c>
      <c r="V1055" s="80">
        <f t="shared" si="141"/>
        <v>7.7079230769230769</v>
      </c>
      <c r="W1055" s="98">
        <v>3</v>
      </c>
      <c r="X1055" s="84">
        <f>+IF(P1055="ACERO A36",VLOOKUP(Q1055,'[3]Tiempo Objeto'!$B$2:$C$12,2,FALSE),IF(P1055="INOXIDABLE",VLOOKUP(Q1055,'[3]Tiempo Objeto'!$B$14:$C$22,2,FALSE),IF(P1055="ALUMINIO",VLOOKUP(Q1055,'[3]Tiempo Objeto'!$B$24:$C$32,2,FALSE))))</f>
        <v>0.24666666666666667</v>
      </c>
      <c r="Y1055" s="84">
        <f t="shared" si="137"/>
        <v>0.74</v>
      </c>
      <c r="Z1055" s="80">
        <f t="shared" si="138"/>
        <v>1.0277777777777777</v>
      </c>
      <c r="AA1055" s="100">
        <v>4</v>
      </c>
      <c r="AB1055" s="86">
        <f>+AA1055*Analisis!$J$6</f>
        <v>100</v>
      </c>
      <c r="AC1055" s="100"/>
      <c r="AD1055" s="85">
        <f t="shared" si="139"/>
        <v>0</v>
      </c>
      <c r="AE1055" s="86">
        <f>+AC1055*Analisis!$J$7</f>
        <v>0</v>
      </c>
      <c r="AF1055" s="308">
        <f>+H1055*0.0254*I1055*0.0254*2*(1+[3]Analisis!$G$2)</f>
        <v>0.23164437541999996</v>
      </c>
      <c r="AG1055" s="86">
        <f>+AF1055*Analisis!$J$8</f>
        <v>24.681156666773813</v>
      </c>
      <c r="AH1055" s="309">
        <f t="shared" si="126"/>
        <v>165.96824457150657</v>
      </c>
      <c r="AI1055" s="86">
        <f>+AH1055/(1-Analisis!G1060)</f>
        <v>165.96824457150657</v>
      </c>
      <c r="AJ1055" s="86">
        <f t="shared" si="140"/>
        <v>178.46047803387805</v>
      </c>
      <c r="AK1055" s="86">
        <f t="shared" si="127"/>
        <v>0</v>
      </c>
      <c r="AL1055" s="310" t="e">
        <f>+VLOOKUP(B1055,#REF!,2,FALSE)</f>
        <v>#REF!</v>
      </c>
      <c r="AM1055" s="311" t="e">
        <f t="shared" si="143"/>
        <v>#REF!</v>
      </c>
      <c r="AN1055" s="312" t="e">
        <f t="shared" si="129"/>
        <v>#REF!</v>
      </c>
    </row>
    <row r="1056" spans="1:40" s="73" customFormat="1" x14ac:dyDescent="0.25">
      <c r="A1056" s="313"/>
      <c r="B1056" s="329" t="s">
        <v>1516</v>
      </c>
      <c r="D1056" s="74">
        <f>IFERROR(VLOOKUP(B1056,'REQ. PINTADO'!B:C,2,0),0)</f>
        <v>0</v>
      </c>
      <c r="E1056" s="305">
        <f t="shared" si="133"/>
        <v>283.46274048240696</v>
      </c>
      <c r="F1056" s="397" t="s">
        <v>166</v>
      </c>
      <c r="G1056" s="75" t="s">
        <v>147</v>
      </c>
      <c r="H1056" s="90">
        <v>12.09</v>
      </c>
      <c r="I1056" s="90">
        <v>31.22</v>
      </c>
      <c r="J1056" s="76">
        <v>0.105</v>
      </c>
      <c r="K1056" s="306">
        <v>16.38</v>
      </c>
      <c r="L1056" s="78">
        <f t="shared" si="134"/>
        <v>11.490082961845916</v>
      </c>
      <c r="M1056" s="58">
        <f>+VLOOKUP(F1056,Material!$H$2:$M$17,6,FALSE)*H1056*I1056*(1+Material!$K$14)</f>
        <v>85.548890415925484</v>
      </c>
      <c r="N1056" s="79" t="str">
        <f t="shared" si="142"/>
        <v>T5.0</v>
      </c>
      <c r="O1056" s="80">
        <f>+VLOOKUP(N1056,[3]Material!$A$3:$B$58,2,FALSE)</f>
        <v>5000</v>
      </c>
      <c r="P1056" s="79" t="s">
        <v>42</v>
      </c>
      <c r="Q1056" s="79" t="str">
        <f>+VLOOKUP(F1056,[3]Material!$C$2:$E$12,2,FALSE)</f>
        <v>Cal 16</v>
      </c>
      <c r="R1056" s="81">
        <f>+IF(P1056="ACERO A36",VLOOKUP(Q1056,'[3]Velocidades Std 1500 w'!$B$2:$F$15,5,FALSE),IF(P1056="INOXIDABLE",VLOOKUP(Q1056,'[3]Velocidades Std 1500 w'!$B$17:$F$28,5,FALSE),IF(P1056="ALUMINIO",VLOOKUP(Q1056,'[3]Velocidades Std 1500 w'!$B$30:$F$38,5,FALSE))))</f>
        <v>9.1575091575091579E-7</v>
      </c>
      <c r="S1056" s="82">
        <f t="shared" si="135"/>
        <v>4.578754578754579E-3</v>
      </c>
      <c r="T1056" s="83">
        <f t="shared" si="136"/>
        <v>8.2753200000000007</v>
      </c>
      <c r="U1056" s="307">
        <f t="shared" si="130"/>
        <v>2510.1804000000002</v>
      </c>
      <c r="V1056" s="80">
        <f t="shared" si="141"/>
        <v>11.493500000000001</v>
      </c>
      <c r="W1056" s="98">
        <v>5</v>
      </c>
      <c r="X1056" s="84">
        <f>+IF(P1056="ACERO A36",VLOOKUP(Q1056,'[3]Tiempo Objeto'!$B$2:$C$12,2,FALSE),IF(P1056="INOXIDABLE",VLOOKUP(Q1056,'[3]Tiempo Objeto'!$B$14:$C$22,2,FALSE),IF(P1056="ALUMINIO",VLOOKUP(Q1056,'[3]Tiempo Objeto'!$B$24:$C$32,2,FALSE))))</f>
        <v>0.24666666666666667</v>
      </c>
      <c r="Y1056" s="84">
        <f t="shared" si="137"/>
        <v>1.2333333333333334</v>
      </c>
      <c r="Z1056" s="80">
        <f t="shared" si="138"/>
        <v>1.712962962962963</v>
      </c>
      <c r="AA1056" s="100">
        <v>4</v>
      </c>
      <c r="AB1056" s="86">
        <f>+AA1056*Analisis!$J$6</f>
        <v>100</v>
      </c>
      <c r="AC1056" s="100"/>
      <c r="AD1056" s="85">
        <f t="shared" si="139"/>
        <v>0</v>
      </c>
      <c r="AE1056" s="86">
        <f>+AC1056*Analisis!$J$7</f>
        <v>0</v>
      </c>
      <c r="AF1056" s="308">
        <f>+H1056*0.0254*I1056*0.0254*2*(1+[3]Analisis!$G$2)</f>
        <v>0.6087887824199999</v>
      </c>
      <c r="AG1056" s="86">
        <f>+AF1056*Analisis!$J$8</f>
        <v>64.864995269750011</v>
      </c>
      <c r="AH1056" s="309">
        <f t="shared" si="126"/>
        <v>263.62034864863847</v>
      </c>
      <c r="AI1056" s="86">
        <f>+AH1056/(1-Analisis!G1061)</f>
        <v>263.62034864863847</v>
      </c>
      <c r="AJ1056" s="86">
        <f t="shared" si="140"/>
        <v>283.46274048240696</v>
      </c>
      <c r="AK1056" s="86">
        <f t="shared" si="127"/>
        <v>0</v>
      </c>
      <c r="AL1056" s="310" t="e">
        <f>+VLOOKUP(B1056,#REF!,2,FALSE)</f>
        <v>#REF!</v>
      </c>
      <c r="AM1056" s="311" t="e">
        <f t="shared" si="143"/>
        <v>#REF!</v>
      </c>
      <c r="AN1056" s="312" t="e">
        <f t="shared" si="129"/>
        <v>#REF!</v>
      </c>
    </row>
    <row r="1057" spans="1:40" s="73" customFormat="1" x14ac:dyDescent="0.25">
      <c r="A1057" s="313"/>
      <c r="B1057" s="329" t="s">
        <v>1517</v>
      </c>
      <c r="D1057" s="74">
        <f>IFERROR(VLOOKUP(B1057,'REQ. PINTADO'!B:C,2,0),0)</f>
        <v>0</v>
      </c>
      <c r="E1057" s="305">
        <f t="shared" si="133"/>
        <v>338.02365394885504</v>
      </c>
      <c r="F1057" s="397" t="s">
        <v>166</v>
      </c>
      <c r="G1057" s="75" t="s">
        <v>147</v>
      </c>
      <c r="H1057" s="90">
        <v>16.09</v>
      </c>
      <c r="I1057" s="90">
        <v>31.22</v>
      </c>
      <c r="J1057" s="76">
        <v>0.105</v>
      </c>
      <c r="K1057" s="306">
        <v>16.38</v>
      </c>
      <c r="L1057" s="78">
        <f t="shared" si="134"/>
        <v>15.291599243680793</v>
      </c>
      <c r="M1057" s="58">
        <f>+VLOOKUP(F1057,Material!$H$2:$M$17,6,FALSE)*H1057*I1057*(1+Material!$K$14)</f>
        <v>113.85290709613243</v>
      </c>
      <c r="N1057" s="79" t="str">
        <f t="shared" si="142"/>
        <v>T5.0</v>
      </c>
      <c r="O1057" s="80">
        <f>+VLOOKUP(N1057,[3]Material!$A$3:$B$58,2,FALSE)</f>
        <v>5000</v>
      </c>
      <c r="P1057" s="79" t="s">
        <v>42</v>
      </c>
      <c r="Q1057" s="79" t="str">
        <f>+VLOOKUP(F1057,[3]Material!$C$2:$E$12,2,FALSE)</f>
        <v>Cal 16</v>
      </c>
      <c r="R1057" s="81">
        <f>+IF(P1057="ACERO A36",VLOOKUP(Q1057,'[3]Velocidades Std 1500 w'!$B$2:$F$15,5,FALSE),IF(P1057="INOXIDABLE",VLOOKUP(Q1057,'[3]Velocidades Std 1500 w'!$B$17:$F$28,5,FALSE),IF(P1057="ALUMINIO",VLOOKUP(Q1057,'[3]Velocidades Std 1500 w'!$B$30:$F$38,5,FALSE))))</f>
        <v>9.1575091575091579E-7</v>
      </c>
      <c r="S1057" s="82">
        <f t="shared" si="135"/>
        <v>4.578754578754579E-3</v>
      </c>
      <c r="T1057" s="83">
        <f t="shared" si="136"/>
        <v>8.9787046153846148</v>
      </c>
      <c r="U1057" s="307">
        <f t="shared" si="130"/>
        <v>2723.5403999999999</v>
      </c>
      <c r="V1057" s="80">
        <f t="shared" si="141"/>
        <v>12.470423076923076</v>
      </c>
      <c r="W1057" s="98">
        <v>5</v>
      </c>
      <c r="X1057" s="84">
        <f>+IF(P1057="ACERO A36",VLOOKUP(Q1057,'[3]Tiempo Objeto'!$B$2:$C$12,2,FALSE),IF(P1057="INOXIDABLE",VLOOKUP(Q1057,'[3]Tiempo Objeto'!$B$14:$C$22,2,FALSE),IF(P1057="ALUMINIO",VLOOKUP(Q1057,'[3]Tiempo Objeto'!$B$24:$C$32,2,FALSE))))</f>
        <v>0.24666666666666667</v>
      </c>
      <c r="Y1057" s="84">
        <f t="shared" si="137"/>
        <v>1.2333333333333334</v>
      </c>
      <c r="Z1057" s="80">
        <f t="shared" si="138"/>
        <v>1.712962962962963</v>
      </c>
      <c r="AA1057" s="100">
        <v>4</v>
      </c>
      <c r="AB1057" s="86">
        <f>+AA1057*Analisis!$J$6</f>
        <v>100</v>
      </c>
      <c r="AC1057" s="100"/>
      <c r="AD1057" s="85">
        <f t="shared" si="139"/>
        <v>0</v>
      </c>
      <c r="AE1057" s="86">
        <f>+AC1057*Analisis!$J$7</f>
        <v>0</v>
      </c>
      <c r="AF1057" s="308">
        <f>+H1057*0.0254*I1057*0.0254*2*(1+[3]Analisis!$G$2)</f>
        <v>0.81020773441999994</v>
      </c>
      <c r="AG1057" s="86">
        <f>+AF1057*Analisis!$J$8</f>
        <v>86.325705036416679</v>
      </c>
      <c r="AH1057" s="309">
        <f t="shared" si="126"/>
        <v>314.36199817243516</v>
      </c>
      <c r="AI1057" s="86">
        <f>+AH1057/(1-Analisis!G1062)</f>
        <v>314.36199817243516</v>
      </c>
      <c r="AJ1057" s="86">
        <f t="shared" si="140"/>
        <v>338.02365394885504</v>
      </c>
      <c r="AK1057" s="86">
        <f t="shared" si="127"/>
        <v>0</v>
      </c>
      <c r="AL1057" s="310" t="e">
        <f>+VLOOKUP(B1057,#REF!,2,FALSE)</f>
        <v>#REF!</v>
      </c>
      <c r="AM1057" s="311" t="e">
        <f t="shared" si="143"/>
        <v>#REF!</v>
      </c>
      <c r="AN1057" s="312" t="e">
        <f t="shared" si="129"/>
        <v>#REF!</v>
      </c>
    </row>
    <row r="1058" spans="1:40" s="73" customFormat="1" x14ac:dyDescent="0.25">
      <c r="A1058" s="313"/>
      <c r="B1058" s="329" t="s">
        <v>1518</v>
      </c>
      <c r="D1058" s="74">
        <f>IFERROR(VLOOKUP(B1058,'REQ. PINTADO'!B:C,2,0),0)</f>
        <v>0</v>
      </c>
      <c r="E1058" s="305">
        <f t="shared" si="133"/>
        <v>365.30411068207906</v>
      </c>
      <c r="F1058" s="397" t="s">
        <v>166</v>
      </c>
      <c r="G1058" s="75" t="s">
        <v>147</v>
      </c>
      <c r="H1058" s="90">
        <v>18.09</v>
      </c>
      <c r="I1058" s="90">
        <v>31.22</v>
      </c>
      <c r="J1058" s="76">
        <v>0.105</v>
      </c>
      <c r="K1058" s="306">
        <v>16.38</v>
      </c>
      <c r="L1058" s="78">
        <f t="shared" si="134"/>
        <v>17.192357384598232</v>
      </c>
      <c r="M1058" s="58">
        <f>+VLOOKUP(F1058,Material!$H$2:$M$17,6,FALSE)*H1058*I1058*(1+Material!$K$14)</f>
        <v>128.0049154362359</v>
      </c>
      <c r="N1058" s="79" t="str">
        <f t="shared" si="142"/>
        <v>T5.0</v>
      </c>
      <c r="O1058" s="80">
        <f>+VLOOKUP(N1058,[3]Material!$A$3:$B$58,2,FALSE)</f>
        <v>5000</v>
      </c>
      <c r="P1058" s="79" t="s">
        <v>42</v>
      </c>
      <c r="Q1058" s="79" t="str">
        <f>+VLOOKUP(F1058,[3]Material!$C$2:$E$12,2,FALSE)</f>
        <v>Cal 16</v>
      </c>
      <c r="R1058" s="81">
        <f>+IF(P1058="ACERO A36",VLOOKUP(Q1058,'[3]Velocidades Std 1500 w'!$B$2:$F$15,5,FALSE),IF(P1058="INOXIDABLE",VLOOKUP(Q1058,'[3]Velocidades Std 1500 w'!$B$17:$F$28,5,FALSE),IF(P1058="ALUMINIO",VLOOKUP(Q1058,'[3]Velocidades Std 1500 w'!$B$30:$F$38,5,FALSE))))</f>
        <v>9.1575091575091579E-7</v>
      </c>
      <c r="S1058" s="82">
        <f t="shared" si="135"/>
        <v>4.578754578754579E-3</v>
      </c>
      <c r="T1058" s="83">
        <f t="shared" si="136"/>
        <v>9.3303969230769237</v>
      </c>
      <c r="U1058" s="307">
        <f t="shared" si="130"/>
        <v>2830.2204000000002</v>
      </c>
      <c r="V1058" s="80">
        <f t="shared" si="141"/>
        <v>12.958884615384617</v>
      </c>
      <c r="W1058" s="98">
        <v>5</v>
      </c>
      <c r="X1058" s="84">
        <f>+IF(P1058="ACERO A36",VLOOKUP(Q1058,'[3]Tiempo Objeto'!$B$2:$C$12,2,FALSE),IF(P1058="INOXIDABLE",VLOOKUP(Q1058,'[3]Tiempo Objeto'!$B$14:$C$22,2,FALSE),IF(P1058="ALUMINIO",VLOOKUP(Q1058,'[3]Tiempo Objeto'!$B$24:$C$32,2,FALSE))))</f>
        <v>0.24666666666666667</v>
      </c>
      <c r="Y1058" s="84">
        <f t="shared" si="137"/>
        <v>1.2333333333333334</v>
      </c>
      <c r="Z1058" s="80">
        <f t="shared" si="138"/>
        <v>1.712962962962963</v>
      </c>
      <c r="AA1058" s="100">
        <v>4</v>
      </c>
      <c r="AB1058" s="86">
        <f>+AA1058*Analisis!$J$6</f>
        <v>100</v>
      </c>
      <c r="AC1058" s="100"/>
      <c r="AD1058" s="85">
        <f t="shared" si="139"/>
        <v>0</v>
      </c>
      <c r="AE1058" s="86">
        <f>+AC1058*Analisis!$J$7</f>
        <v>0</v>
      </c>
      <c r="AF1058" s="308">
        <f>+H1058*0.0254*I1058*0.0254*2*(1+[3]Analisis!$G$2)</f>
        <v>0.91091721041999985</v>
      </c>
      <c r="AG1058" s="86">
        <f>+AF1058*Analisis!$J$8</f>
        <v>97.056059919750012</v>
      </c>
      <c r="AH1058" s="309">
        <f t="shared" si="126"/>
        <v>339.73282293433351</v>
      </c>
      <c r="AI1058" s="86">
        <f>+AH1058/(1-Analisis!G1063)</f>
        <v>339.73282293433351</v>
      </c>
      <c r="AJ1058" s="86">
        <f t="shared" si="140"/>
        <v>365.30411068207906</v>
      </c>
      <c r="AK1058" s="86">
        <f t="shared" si="127"/>
        <v>0</v>
      </c>
      <c r="AL1058" s="310" t="e">
        <f>+VLOOKUP(B1058,#REF!,2,FALSE)</f>
        <v>#REF!</v>
      </c>
      <c r="AM1058" s="311" t="e">
        <f t="shared" si="143"/>
        <v>#REF!</v>
      </c>
      <c r="AN1058" s="312" t="e">
        <f t="shared" si="129"/>
        <v>#REF!</v>
      </c>
    </row>
    <row r="1059" spans="1:40" s="73" customFormat="1" x14ac:dyDescent="0.25">
      <c r="A1059" s="313"/>
      <c r="B1059" s="329" t="s">
        <v>1519</v>
      </c>
      <c r="D1059" s="74">
        <f>IFERROR(VLOOKUP(B1059,'REQ. PINTADO'!B:C,2,0),0)</f>
        <v>0</v>
      </c>
      <c r="E1059" s="305">
        <f t="shared" si="133"/>
        <v>433.50525251513909</v>
      </c>
      <c r="F1059" s="397" t="s">
        <v>166</v>
      </c>
      <c r="G1059" s="75" t="s">
        <v>147</v>
      </c>
      <c r="H1059" s="90">
        <v>23.09</v>
      </c>
      <c r="I1059" s="90">
        <v>31.22</v>
      </c>
      <c r="J1059" s="76">
        <v>0.105</v>
      </c>
      <c r="K1059" s="306">
        <v>16.38</v>
      </c>
      <c r="L1059" s="78">
        <f t="shared" si="134"/>
        <v>21.944252736891826</v>
      </c>
      <c r="M1059" s="58">
        <f>+VLOOKUP(F1059,Material!$H$2:$M$17,6,FALSE)*H1059*I1059*(1+Material!$K$14)</f>
        <v>163.38493628649456</v>
      </c>
      <c r="N1059" s="79" t="str">
        <f t="shared" si="142"/>
        <v>T5.0</v>
      </c>
      <c r="O1059" s="80">
        <f>+VLOOKUP(N1059,[3]Material!$A$3:$B$58,2,FALSE)</f>
        <v>5000</v>
      </c>
      <c r="P1059" s="79" t="s">
        <v>42</v>
      </c>
      <c r="Q1059" s="79" t="str">
        <f>+VLOOKUP(F1059,[3]Material!$C$2:$E$12,2,FALSE)</f>
        <v>Cal 16</v>
      </c>
      <c r="R1059" s="81">
        <f>+IF(P1059="ACERO A36",VLOOKUP(Q1059,'[3]Velocidades Std 1500 w'!$B$2:$F$15,5,FALSE),IF(P1059="INOXIDABLE",VLOOKUP(Q1059,'[3]Velocidades Std 1500 w'!$B$17:$F$28,5,FALSE),IF(P1059="ALUMINIO",VLOOKUP(Q1059,'[3]Velocidades Std 1500 w'!$B$30:$F$38,5,FALSE))))</f>
        <v>9.1575091575091579E-7</v>
      </c>
      <c r="S1059" s="82">
        <f t="shared" si="135"/>
        <v>4.578754578754579E-3</v>
      </c>
      <c r="T1059" s="83">
        <f t="shared" si="136"/>
        <v>10.209627692307691</v>
      </c>
      <c r="U1059" s="307">
        <f t="shared" si="130"/>
        <v>3096.9204</v>
      </c>
      <c r="V1059" s="80">
        <f t="shared" si="141"/>
        <v>14.180038461538462</v>
      </c>
      <c r="W1059" s="98">
        <v>5</v>
      </c>
      <c r="X1059" s="84">
        <f>+IF(P1059="ACERO A36",VLOOKUP(Q1059,'[3]Tiempo Objeto'!$B$2:$C$12,2,FALSE),IF(P1059="INOXIDABLE",VLOOKUP(Q1059,'[3]Tiempo Objeto'!$B$14:$C$22,2,FALSE),IF(P1059="ALUMINIO",VLOOKUP(Q1059,'[3]Tiempo Objeto'!$B$24:$C$32,2,FALSE))))</f>
        <v>0.24666666666666667</v>
      </c>
      <c r="Y1059" s="84">
        <f t="shared" si="137"/>
        <v>1.2333333333333334</v>
      </c>
      <c r="Z1059" s="80">
        <f t="shared" si="138"/>
        <v>1.712962962962963</v>
      </c>
      <c r="AA1059" s="100">
        <v>4</v>
      </c>
      <c r="AB1059" s="86">
        <f>+AA1059*Analisis!$J$6</f>
        <v>100</v>
      </c>
      <c r="AC1059" s="100"/>
      <c r="AD1059" s="85">
        <f t="shared" si="139"/>
        <v>0</v>
      </c>
      <c r="AE1059" s="86">
        <f>+AC1059*Analisis!$J$7</f>
        <v>0</v>
      </c>
      <c r="AF1059" s="308">
        <f>+H1059*0.0254*I1059*0.0254*2*(1+[3]Analisis!$G$2)</f>
        <v>1.1626909004199999</v>
      </c>
      <c r="AG1059" s="86">
        <f>+AF1059*Analisis!$J$8</f>
        <v>123.88194712808335</v>
      </c>
      <c r="AH1059" s="309">
        <f t="shared" si="126"/>
        <v>403.15988483907933</v>
      </c>
      <c r="AI1059" s="86">
        <f>+AH1059/(1-Analisis!G1064)</f>
        <v>403.15988483907933</v>
      </c>
      <c r="AJ1059" s="86">
        <f t="shared" si="140"/>
        <v>433.50525251513909</v>
      </c>
      <c r="AK1059" s="86">
        <f t="shared" si="127"/>
        <v>0</v>
      </c>
      <c r="AL1059" s="310" t="e">
        <f>+VLOOKUP(B1059,#REF!,2,FALSE)</f>
        <v>#REF!</v>
      </c>
      <c r="AM1059" s="311" t="e">
        <f t="shared" si="143"/>
        <v>#REF!</v>
      </c>
      <c r="AN1059" s="312" t="e">
        <f t="shared" si="129"/>
        <v>#REF!</v>
      </c>
    </row>
    <row r="1060" spans="1:40" s="73" customFormat="1" x14ac:dyDescent="0.25">
      <c r="A1060" s="313"/>
      <c r="B1060" s="329" t="s">
        <v>1520</v>
      </c>
      <c r="D1060" s="74">
        <f>IFERROR(VLOOKUP(B1060,'REQ. PINTADO'!B:C,2,0),0)</f>
        <v>0</v>
      </c>
      <c r="E1060" s="305">
        <f t="shared" si="133"/>
        <v>447.14548088175104</v>
      </c>
      <c r="F1060" s="397" t="s">
        <v>166</v>
      </c>
      <c r="G1060" s="75" t="s">
        <v>147</v>
      </c>
      <c r="H1060" s="90">
        <v>24.09</v>
      </c>
      <c r="I1060" s="90">
        <v>31.22</v>
      </c>
      <c r="J1060" s="76">
        <v>0.105</v>
      </c>
      <c r="K1060" s="306">
        <v>16.38</v>
      </c>
      <c r="L1060" s="78">
        <f t="shared" si="134"/>
        <v>22.894631807350546</v>
      </c>
      <c r="M1060" s="58">
        <f>+VLOOKUP(F1060,Material!$H$2:$M$17,6,FALSE)*H1060*I1060*(1+Material!$K$14)</f>
        <v>170.4609404565463</v>
      </c>
      <c r="N1060" s="79" t="str">
        <f t="shared" si="142"/>
        <v>T5.0</v>
      </c>
      <c r="O1060" s="80">
        <f>+VLOOKUP(N1060,[3]Material!$A$3:$B$58,2,FALSE)</f>
        <v>5000</v>
      </c>
      <c r="P1060" s="79" t="s">
        <v>42</v>
      </c>
      <c r="Q1060" s="79" t="str">
        <f>+VLOOKUP(F1060,[3]Material!$C$2:$E$12,2,FALSE)</f>
        <v>Cal 16</v>
      </c>
      <c r="R1060" s="81">
        <f>+IF(P1060="ACERO A36",VLOOKUP(Q1060,'[3]Velocidades Std 1500 w'!$B$2:$F$15,5,FALSE),IF(P1060="INOXIDABLE",VLOOKUP(Q1060,'[3]Velocidades Std 1500 w'!$B$17:$F$28,5,FALSE),IF(P1060="ALUMINIO",VLOOKUP(Q1060,'[3]Velocidades Std 1500 w'!$B$30:$F$38,5,FALSE))))</f>
        <v>9.1575091575091579E-7</v>
      </c>
      <c r="S1060" s="82">
        <f t="shared" si="135"/>
        <v>4.578754578754579E-3</v>
      </c>
      <c r="T1060" s="83">
        <f t="shared" si="136"/>
        <v>10.385473846153847</v>
      </c>
      <c r="U1060" s="307">
        <f t="shared" si="130"/>
        <v>3150.2604000000001</v>
      </c>
      <c r="V1060" s="80">
        <f t="shared" si="141"/>
        <v>14.424269230769232</v>
      </c>
      <c r="W1060" s="98">
        <v>5</v>
      </c>
      <c r="X1060" s="84">
        <f>+IF(P1060="ACERO A36",VLOOKUP(Q1060,'[3]Tiempo Objeto'!$B$2:$C$12,2,FALSE),IF(P1060="INOXIDABLE",VLOOKUP(Q1060,'[3]Tiempo Objeto'!$B$14:$C$22,2,FALSE),IF(P1060="ALUMINIO",VLOOKUP(Q1060,'[3]Tiempo Objeto'!$B$24:$C$32,2,FALSE))))</f>
        <v>0.24666666666666667</v>
      </c>
      <c r="Y1060" s="84">
        <f t="shared" si="137"/>
        <v>1.2333333333333334</v>
      </c>
      <c r="Z1060" s="80">
        <f t="shared" si="138"/>
        <v>1.712962962962963</v>
      </c>
      <c r="AA1060" s="100">
        <v>4</v>
      </c>
      <c r="AB1060" s="86">
        <f>+AA1060*Analisis!$J$6</f>
        <v>100</v>
      </c>
      <c r="AC1060" s="100"/>
      <c r="AD1060" s="85">
        <f t="shared" si="139"/>
        <v>0</v>
      </c>
      <c r="AE1060" s="86">
        <f>+AC1060*Analisis!$J$7</f>
        <v>0</v>
      </c>
      <c r="AF1060" s="308">
        <f>+H1060*0.0254*I1060*0.0254*2*(1+[3]Analisis!$G$2)</f>
        <v>1.2130456384199997</v>
      </c>
      <c r="AG1060" s="86">
        <f>+AF1060*Analisis!$J$8</f>
        <v>129.24712456975001</v>
      </c>
      <c r="AH1060" s="309">
        <f t="shared" si="126"/>
        <v>415.84529722002844</v>
      </c>
      <c r="AI1060" s="86">
        <f>+AH1060/(1-Analisis!G1065)</f>
        <v>415.84529722002844</v>
      </c>
      <c r="AJ1060" s="86">
        <f t="shared" si="140"/>
        <v>447.14548088175104</v>
      </c>
      <c r="AK1060" s="86">
        <f t="shared" si="127"/>
        <v>0</v>
      </c>
      <c r="AL1060" s="310" t="e">
        <f>+VLOOKUP(B1060,#REF!,2,FALSE)</f>
        <v>#REF!</v>
      </c>
      <c r="AM1060" s="311" t="e">
        <f t="shared" si="143"/>
        <v>#REF!</v>
      </c>
      <c r="AN1060" s="312" t="e">
        <f t="shared" si="129"/>
        <v>#REF!</v>
      </c>
    </row>
    <row r="1061" spans="1:40" s="73" customFormat="1" x14ac:dyDescent="0.25">
      <c r="A1061" s="313"/>
      <c r="B1061" s="329" t="s">
        <v>1521</v>
      </c>
      <c r="D1061" s="74">
        <f>IFERROR(VLOOKUP(B1061,'REQ. PINTADO'!B:C,2,0),0)</f>
        <v>0</v>
      </c>
      <c r="E1061" s="305">
        <f t="shared" si="133"/>
        <v>528.9868510814232</v>
      </c>
      <c r="F1061" s="397" t="s">
        <v>166</v>
      </c>
      <c r="G1061" s="75" t="s">
        <v>147</v>
      </c>
      <c r="H1061" s="90">
        <v>30.09</v>
      </c>
      <c r="I1061" s="90">
        <v>31.22</v>
      </c>
      <c r="J1061" s="76">
        <v>0.105</v>
      </c>
      <c r="K1061" s="306">
        <v>16.38</v>
      </c>
      <c r="L1061" s="78">
        <f t="shared" si="134"/>
        <v>28.59690623010286</v>
      </c>
      <c r="M1061" s="58">
        <f>+VLOOKUP(F1061,Material!$H$2:$M$17,6,FALSE)*H1061*I1061*(1+Material!$K$14)</f>
        <v>212.91696547685672</v>
      </c>
      <c r="N1061" s="79" t="str">
        <f t="shared" si="142"/>
        <v>T5.0</v>
      </c>
      <c r="O1061" s="80">
        <f>+VLOOKUP(N1061,[3]Material!$A$3:$B$58,2,FALSE)</f>
        <v>5000</v>
      </c>
      <c r="P1061" s="79" t="s">
        <v>42</v>
      </c>
      <c r="Q1061" s="79" t="str">
        <f>+VLOOKUP(F1061,[3]Material!$C$2:$E$12,2,FALSE)</f>
        <v>Cal 16</v>
      </c>
      <c r="R1061" s="81">
        <f>+IF(P1061="ACERO A36",VLOOKUP(Q1061,'[3]Velocidades Std 1500 w'!$B$2:$F$15,5,FALSE),IF(P1061="INOXIDABLE",VLOOKUP(Q1061,'[3]Velocidades Std 1500 w'!$B$17:$F$28,5,FALSE),IF(P1061="ALUMINIO",VLOOKUP(Q1061,'[3]Velocidades Std 1500 w'!$B$30:$F$38,5,FALSE))))</f>
        <v>9.1575091575091579E-7</v>
      </c>
      <c r="S1061" s="82">
        <f t="shared" si="135"/>
        <v>4.578754578754579E-3</v>
      </c>
      <c r="T1061" s="83">
        <f t="shared" si="136"/>
        <v>11.44055076923077</v>
      </c>
      <c r="U1061" s="307">
        <f t="shared" si="130"/>
        <v>3470.3004000000001</v>
      </c>
      <c r="V1061" s="80">
        <f t="shared" si="141"/>
        <v>15.889653846153847</v>
      </c>
      <c r="W1061" s="98">
        <v>5</v>
      </c>
      <c r="X1061" s="84">
        <f>+IF(P1061="ACERO A36",VLOOKUP(Q1061,'[3]Tiempo Objeto'!$B$2:$C$12,2,FALSE),IF(P1061="INOXIDABLE",VLOOKUP(Q1061,'[3]Tiempo Objeto'!$B$14:$C$22,2,FALSE),IF(P1061="ALUMINIO",VLOOKUP(Q1061,'[3]Tiempo Objeto'!$B$24:$C$32,2,FALSE))))</f>
        <v>0.24666666666666667</v>
      </c>
      <c r="Y1061" s="84">
        <f t="shared" si="137"/>
        <v>1.2333333333333334</v>
      </c>
      <c r="Z1061" s="80">
        <f t="shared" si="138"/>
        <v>1.712962962962963</v>
      </c>
      <c r="AA1061" s="100">
        <v>4</v>
      </c>
      <c r="AB1061" s="86">
        <f>+AA1061*Analisis!$J$6</f>
        <v>100</v>
      </c>
      <c r="AC1061" s="100"/>
      <c r="AD1061" s="85">
        <f t="shared" si="139"/>
        <v>0</v>
      </c>
      <c r="AE1061" s="86">
        <f>+AC1061*Analisis!$J$7</f>
        <v>0</v>
      </c>
      <c r="AF1061" s="308">
        <f>+H1061*0.0254*I1061*0.0254*2*(1+[3]Analisis!$G$2)</f>
        <v>1.5151740664199997</v>
      </c>
      <c r="AG1061" s="86">
        <f>+AF1061*Analisis!$J$8</f>
        <v>161.43818921975003</v>
      </c>
      <c r="AH1061" s="309">
        <f t="shared" si="126"/>
        <v>491.95777150572354</v>
      </c>
      <c r="AI1061" s="86">
        <f>+AH1061/(1-Analisis!G1066)</f>
        <v>491.95777150572354</v>
      </c>
      <c r="AJ1061" s="86">
        <f t="shared" si="140"/>
        <v>528.9868510814232</v>
      </c>
      <c r="AK1061" s="86">
        <f t="shared" si="127"/>
        <v>0</v>
      </c>
      <c r="AL1061" s="310" t="e">
        <f>+VLOOKUP(B1061,#REF!,2,FALSE)</f>
        <v>#REF!</v>
      </c>
      <c r="AM1061" s="311" t="e">
        <f t="shared" si="143"/>
        <v>#REF!</v>
      </c>
      <c r="AN1061" s="312" t="e">
        <f t="shared" si="129"/>
        <v>#REF!</v>
      </c>
    </row>
    <row r="1062" spans="1:40" s="73" customFormat="1" x14ac:dyDescent="0.25">
      <c r="A1062" s="313"/>
      <c r="B1062" s="329" t="s">
        <v>1522</v>
      </c>
      <c r="D1062" s="74">
        <f>IFERROR(VLOOKUP(B1062,'REQ. PINTADO'!B:C,2,0),0)</f>
        <v>0</v>
      </c>
      <c r="E1062" s="305">
        <f t="shared" si="133"/>
        <v>569.90753618125927</v>
      </c>
      <c r="F1062" s="397" t="s">
        <v>166</v>
      </c>
      <c r="G1062" s="75" t="s">
        <v>147</v>
      </c>
      <c r="H1062" s="90">
        <v>33.090000000000003</v>
      </c>
      <c r="I1062" s="90">
        <v>31.22</v>
      </c>
      <c r="J1062" s="76">
        <v>0.105</v>
      </c>
      <c r="K1062" s="306">
        <v>16.38</v>
      </c>
      <c r="L1062" s="78">
        <f t="shared" si="134"/>
        <v>31.448043441479022</v>
      </c>
      <c r="M1062" s="58">
        <f>+VLOOKUP(F1062,Material!$H$2:$M$17,6,FALSE)*H1062*I1062*(1+Material!$K$14)</f>
        <v>234.14497798701197</v>
      </c>
      <c r="N1062" s="79" t="str">
        <f t="shared" si="142"/>
        <v>T5.0</v>
      </c>
      <c r="O1062" s="80">
        <f>+VLOOKUP(N1062,[3]Material!$A$3:$B$58,2,FALSE)</f>
        <v>5000</v>
      </c>
      <c r="P1062" s="79" t="s">
        <v>42</v>
      </c>
      <c r="Q1062" s="79" t="str">
        <f>+VLOOKUP(F1062,[3]Material!$C$2:$E$12,2,FALSE)</f>
        <v>Cal 16</v>
      </c>
      <c r="R1062" s="81">
        <f>+IF(P1062="ACERO A36",VLOOKUP(Q1062,'[3]Velocidades Std 1500 w'!$B$2:$F$15,5,FALSE),IF(P1062="INOXIDABLE",VLOOKUP(Q1062,'[3]Velocidades Std 1500 w'!$B$17:$F$28,5,FALSE),IF(P1062="ALUMINIO",VLOOKUP(Q1062,'[3]Velocidades Std 1500 w'!$B$30:$F$38,5,FALSE))))</f>
        <v>9.1575091575091579E-7</v>
      </c>
      <c r="S1062" s="82">
        <f t="shared" si="135"/>
        <v>4.578754578754579E-3</v>
      </c>
      <c r="T1062" s="83">
        <f t="shared" si="136"/>
        <v>11.968089230769232</v>
      </c>
      <c r="U1062" s="307">
        <f t="shared" si="130"/>
        <v>3630.3204000000001</v>
      </c>
      <c r="V1062" s="80">
        <f t="shared" si="141"/>
        <v>16.622346153846156</v>
      </c>
      <c r="W1062" s="98">
        <v>5</v>
      </c>
      <c r="X1062" s="84">
        <f>+IF(P1062="ACERO A36",VLOOKUP(Q1062,'[3]Tiempo Objeto'!$B$2:$C$12,2,FALSE),IF(P1062="INOXIDABLE",VLOOKUP(Q1062,'[3]Tiempo Objeto'!$B$14:$C$22,2,FALSE),IF(P1062="ALUMINIO",VLOOKUP(Q1062,'[3]Tiempo Objeto'!$B$24:$C$32,2,FALSE))))</f>
        <v>0.24666666666666667</v>
      </c>
      <c r="Y1062" s="84">
        <f t="shared" si="137"/>
        <v>1.2333333333333334</v>
      </c>
      <c r="Z1062" s="80">
        <f t="shared" si="138"/>
        <v>1.712962962962963</v>
      </c>
      <c r="AA1062" s="100">
        <v>4</v>
      </c>
      <c r="AB1062" s="86">
        <f>+AA1062*Analisis!$J$6</f>
        <v>100</v>
      </c>
      <c r="AC1062" s="100"/>
      <c r="AD1062" s="85">
        <f t="shared" si="139"/>
        <v>0</v>
      </c>
      <c r="AE1062" s="86">
        <f>+AC1062*Analisis!$J$7</f>
        <v>0</v>
      </c>
      <c r="AF1062" s="308">
        <f>+H1062*0.0254*I1062*0.0254*2*(1+[3]Analisis!$G$2)</f>
        <v>1.66623828042</v>
      </c>
      <c r="AG1062" s="86">
        <f>+AF1062*Analisis!$J$8</f>
        <v>177.53372154475005</v>
      </c>
      <c r="AH1062" s="309">
        <f t="shared" si="126"/>
        <v>530.01400864857112</v>
      </c>
      <c r="AI1062" s="86">
        <f>+AH1062/(1-Analisis!G1067)</f>
        <v>530.01400864857112</v>
      </c>
      <c r="AJ1062" s="86">
        <f t="shared" si="140"/>
        <v>569.90753618125927</v>
      </c>
      <c r="AK1062" s="86">
        <f t="shared" si="127"/>
        <v>0</v>
      </c>
      <c r="AL1062" s="310" t="e">
        <f>+VLOOKUP(B1062,#REF!,2,FALSE)</f>
        <v>#REF!</v>
      </c>
      <c r="AM1062" s="311" t="e">
        <f t="shared" si="143"/>
        <v>#REF!</v>
      </c>
      <c r="AN1062" s="312" t="e">
        <f t="shared" si="129"/>
        <v>#REF!</v>
      </c>
    </row>
    <row r="1063" spans="1:40" s="73" customFormat="1" x14ac:dyDescent="0.25">
      <c r="A1063" s="313"/>
      <c r="B1063" s="329" t="s">
        <v>1523</v>
      </c>
      <c r="D1063" s="74">
        <f>IFERROR(VLOOKUP(B1063,'REQ. PINTADO'!B:C,2,0),0)</f>
        <v>0</v>
      </c>
      <c r="E1063" s="305">
        <f t="shared" si="133"/>
        <v>610.82822128109535</v>
      </c>
      <c r="F1063" s="397" t="s">
        <v>166</v>
      </c>
      <c r="G1063" s="75" t="s">
        <v>147</v>
      </c>
      <c r="H1063" s="90">
        <v>36.090000000000003</v>
      </c>
      <c r="I1063" s="90">
        <v>31.22</v>
      </c>
      <c r="J1063" s="76">
        <v>0.105</v>
      </c>
      <c r="K1063" s="306">
        <v>16.38</v>
      </c>
      <c r="L1063" s="78">
        <f t="shared" si="134"/>
        <v>34.299180652855178</v>
      </c>
      <c r="M1063" s="58">
        <f>+VLOOKUP(F1063,Material!$H$2:$M$17,6,FALSE)*H1063*I1063*(1+Material!$K$14)</f>
        <v>255.37299049716717</v>
      </c>
      <c r="N1063" s="79" t="str">
        <f t="shared" si="142"/>
        <v>T5.0</v>
      </c>
      <c r="O1063" s="80">
        <f>+VLOOKUP(N1063,[3]Material!$A$3:$B$58,2,FALSE)</f>
        <v>5000</v>
      </c>
      <c r="P1063" s="79" t="s">
        <v>42</v>
      </c>
      <c r="Q1063" s="79" t="str">
        <f>+VLOOKUP(F1063,[3]Material!$C$2:$E$12,2,FALSE)</f>
        <v>Cal 16</v>
      </c>
      <c r="R1063" s="81">
        <f>+IF(P1063="ACERO A36",VLOOKUP(Q1063,'[3]Velocidades Std 1500 w'!$B$2:$F$15,5,FALSE),IF(P1063="INOXIDABLE",VLOOKUP(Q1063,'[3]Velocidades Std 1500 w'!$B$17:$F$28,5,FALSE),IF(P1063="ALUMINIO",VLOOKUP(Q1063,'[3]Velocidades Std 1500 w'!$B$30:$F$38,5,FALSE))))</f>
        <v>9.1575091575091579E-7</v>
      </c>
      <c r="S1063" s="82">
        <f t="shared" si="135"/>
        <v>4.578754578754579E-3</v>
      </c>
      <c r="T1063" s="83">
        <f t="shared" si="136"/>
        <v>12.495627692307693</v>
      </c>
      <c r="U1063" s="307">
        <f t="shared" si="130"/>
        <v>3790.3404</v>
      </c>
      <c r="V1063" s="80">
        <f t="shared" si="141"/>
        <v>17.355038461538463</v>
      </c>
      <c r="W1063" s="98">
        <v>5</v>
      </c>
      <c r="X1063" s="84">
        <f>+IF(P1063="ACERO A36",VLOOKUP(Q1063,'[3]Tiempo Objeto'!$B$2:$C$12,2,FALSE),IF(P1063="INOXIDABLE",VLOOKUP(Q1063,'[3]Tiempo Objeto'!$B$14:$C$22,2,FALSE),IF(P1063="ALUMINIO",VLOOKUP(Q1063,'[3]Tiempo Objeto'!$B$24:$C$32,2,FALSE))))</f>
        <v>0.24666666666666667</v>
      </c>
      <c r="Y1063" s="84">
        <f t="shared" si="137"/>
        <v>1.2333333333333334</v>
      </c>
      <c r="Z1063" s="80">
        <f t="shared" si="138"/>
        <v>1.712962962962963</v>
      </c>
      <c r="AA1063" s="100">
        <v>4</v>
      </c>
      <c r="AB1063" s="86">
        <f>+AA1063*Analisis!$J$6</f>
        <v>100</v>
      </c>
      <c r="AC1063" s="100"/>
      <c r="AD1063" s="85">
        <f t="shared" si="139"/>
        <v>0</v>
      </c>
      <c r="AE1063" s="86">
        <f>+AC1063*Analisis!$J$7</f>
        <v>0</v>
      </c>
      <c r="AF1063" s="308">
        <f>+H1063*0.0254*I1063*0.0254*2*(1+[3]Analisis!$G$2)</f>
        <v>1.81730249442</v>
      </c>
      <c r="AG1063" s="86">
        <f>+AF1063*Analisis!$J$8</f>
        <v>193.62925386975007</v>
      </c>
      <c r="AH1063" s="309">
        <f t="shared" si="126"/>
        <v>568.07024579141864</v>
      </c>
      <c r="AI1063" s="86">
        <f>+AH1063/(1-Analisis!G1068)</f>
        <v>568.07024579141864</v>
      </c>
      <c r="AJ1063" s="86">
        <f t="shared" si="140"/>
        <v>610.82822128109535</v>
      </c>
      <c r="AK1063" s="86">
        <f t="shared" si="127"/>
        <v>0</v>
      </c>
      <c r="AL1063" s="310" t="e">
        <f>+VLOOKUP(B1063,#REF!,2,FALSE)</f>
        <v>#REF!</v>
      </c>
      <c r="AM1063" s="311" t="e">
        <f t="shared" si="143"/>
        <v>#REF!</v>
      </c>
      <c r="AN1063" s="312" t="e">
        <f t="shared" si="129"/>
        <v>#REF!</v>
      </c>
    </row>
    <row r="1064" spans="1:40" s="73" customFormat="1" x14ac:dyDescent="0.25">
      <c r="A1064" s="313"/>
      <c r="B1064" s="329" t="s">
        <v>1524</v>
      </c>
      <c r="D1064" s="74">
        <f>IFERROR(VLOOKUP(B1064,'REQ. PINTADO'!B:C,2,0),0)</f>
        <v>0</v>
      </c>
      <c r="E1064" s="305">
        <f t="shared" si="133"/>
        <v>638.10867801431925</v>
      </c>
      <c r="F1064" s="397" t="s">
        <v>166</v>
      </c>
      <c r="G1064" s="75" t="s">
        <v>147</v>
      </c>
      <c r="H1064" s="90">
        <v>38.090000000000003</v>
      </c>
      <c r="I1064" s="90">
        <v>31.22</v>
      </c>
      <c r="J1064" s="76">
        <v>0.105</v>
      </c>
      <c r="K1064" s="306">
        <v>16.38</v>
      </c>
      <c r="L1064" s="78">
        <f t="shared" si="134"/>
        <v>36.199938793772624</v>
      </c>
      <c r="M1064" s="58">
        <f>+VLOOKUP(F1064,Material!$H$2:$M$17,6,FALSE)*H1064*I1064*(1+Material!$K$14)</f>
        <v>269.52499883727063</v>
      </c>
      <c r="N1064" s="79" t="str">
        <f t="shared" si="142"/>
        <v>T5.0</v>
      </c>
      <c r="O1064" s="80">
        <f>+VLOOKUP(N1064,[3]Material!$A$3:$B$58,2,FALSE)</f>
        <v>5000</v>
      </c>
      <c r="P1064" s="79" t="s">
        <v>42</v>
      </c>
      <c r="Q1064" s="79" t="str">
        <f>+VLOOKUP(F1064,[3]Material!$C$2:$E$12,2,FALSE)</f>
        <v>Cal 16</v>
      </c>
      <c r="R1064" s="81">
        <f>+IF(P1064="ACERO A36",VLOOKUP(Q1064,'[3]Velocidades Std 1500 w'!$B$2:$F$15,5,FALSE),IF(P1064="INOXIDABLE",VLOOKUP(Q1064,'[3]Velocidades Std 1500 w'!$B$17:$F$28,5,FALSE),IF(P1064="ALUMINIO",VLOOKUP(Q1064,'[3]Velocidades Std 1500 w'!$B$30:$F$38,5,FALSE))))</f>
        <v>9.1575091575091579E-7</v>
      </c>
      <c r="S1064" s="82">
        <f t="shared" si="135"/>
        <v>4.578754578754579E-3</v>
      </c>
      <c r="T1064" s="83">
        <f t="shared" si="136"/>
        <v>12.84732</v>
      </c>
      <c r="U1064" s="307">
        <f t="shared" si="130"/>
        <v>3897.0203999999999</v>
      </c>
      <c r="V1064" s="80">
        <f t="shared" si="141"/>
        <v>17.843499999999999</v>
      </c>
      <c r="W1064" s="98">
        <v>5</v>
      </c>
      <c r="X1064" s="84">
        <f>+IF(P1064="ACERO A36",VLOOKUP(Q1064,'[3]Tiempo Objeto'!$B$2:$C$12,2,FALSE),IF(P1064="INOXIDABLE",VLOOKUP(Q1064,'[3]Tiempo Objeto'!$B$14:$C$22,2,FALSE),IF(P1064="ALUMINIO",VLOOKUP(Q1064,'[3]Tiempo Objeto'!$B$24:$C$32,2,FALSE))))</f>
        <v>0.24666666666666667</v>
      </c>
      <c r="Y1064" s="84">
        <f t="shared" si="137"/>
        <v>1.2333333333333334</v>
      </c>
      <c r="Z1064" s="80">
        <f t="shared" si="138"/>
        <v>1.712962962962963</v>
      </c>
      <c r="AA1064" s="100">
        <v>4</v>
      </c>
      <c r="AB1064" s="86">
        <f>+AA1064*Analisis!$J$6</f>
        <v>100</v>
      </c>
      <c r="AC1064" s="100"/>
      <c r="AD1064" s="85">
        <f t="shared" si="139"/>
        <v>0</v>
      </c>
      <c r="AE1064" s="86">
        <f>+AC1064*Analisis!$J$7</f>
        <v>0</v>
      </c>
      <c r="AF1064" s="308">
        <f>+H1064*0.0254*I1064*0.0254*2*(1+[3]Analisis!$G$2)</f>
        <v>1.9180119704199998</v>
      </c>
      <c r="AG1064" s="86">
        <f>+AF1064*Analisis!$J$8</f>
        <v>204.35960875308336</v>
      </c>
      <c r="AH1064" s="309">
        <f t="shared" si="126"/>
        <v>593.44107055331688</v>
      </c>
      <c r="AI1064" s="86">
        <f>+AH1064/(1-Analisis!G1069)</f>
        <v>593.44107055331688</v>
      </c>
      <c r="AJ1064" s="86">
        <f t="shared" si="140"/>
        <v>638.10867801431925</v>
      </c>
      <c r="AK1064" s="86">
        <f t="shared" si="127"/>
        <v>0</v>
      </c>
      <c r="AL1064" s="310" t="e">
        <f>+VLOOKUP(B1064,#REF!,2,FALSE)</f>
        <v>#REF!</v>
      </c>
      <c r="AM1064" s="311" t="e">
        <f t="shared" si="143"/>
        <v>#REF!</v>
      </c>
      <c r="AN1064" s="312" t="e">
        <f t="shared" si="129"/>
        <v>#REF!</v>
      </c>
    </row>
    <row r="1065" spans="1:40" s="73" customFormat="1" x14ac:dyDescent="0.25">
      <c r="A1065" s="313"/>
      <c r="B1065" s="329" t="s">
        <v>1696</v>
      </c>
      <c r="D1065" s="74">
        <f>IFERROR(VLOOKUP(B1065,'REQ. PINTADO'!B:C,2,0),0)</f>
        <v>0</v>
      </c>
      <c r="E1065" s="305">
        <f t="shared" si="133"/>
        <v>424.68607267473084</v>
      </c>
      <c r="F1065" s="397" t="s">
        <v>166</v>
      </c>
      <c r="G1065" s="75" t="s">
        <v>147</v>
      </c>
      <c r="H1065" s="90">
        <v>12.08</v>
      </c>
      <c r="I1065" s="90">
        <v>11.21</v>
      </c>
      <c r="J1065" s="76">
        <v>0.105</v>
      </c>
      <c r="K1065" s="306">
        <v>16.38</v>
      </c>
      <c r="L1065" s="78">
        <f t="shared" si="134"/>
        <v>4.1222707401823939</v>
      </c>
      <c r="M1065" s="58">
        <f>+VLOOKUP(F1065,Material!$H$2:$M$17,6,FALSE)*H1065*I1065*(1+Material!$K$14)</f>
        <v>30.692179420085271</v>
      </c>
      <c r="N1065" s="79" t="str">
        <f t="shared" si="142"/>
        <v>T5.0</v>
      </c>
      <c r="O1065" s="80">
        <f>+VLOOKUP(N1065,[3]Material!$A$3:$B$58,2,FALSE)</f>
        <v>5000</v>
      </c>
      <c r="P1065" s="79" t="s">
        <v>42</v>
      </c>
      <c r="Q1065" s="79" t="str">
        <f>+VLOOKUP(F1065,[3]Material!$C$2:$E$12,2,FALSE)</f>
        <v>Cal 16</v>
      </c>
      <c r="R1065" s="81">
        <f>+IF(P1065="ACERO A36",VLOOKUP(Q1065,'[3]Velocidades Std 1500 w'!$B$2:$F$15,5,FALSE),IF(P1065="INOXIDABLE",VLOOKUP(Q1065,'[3]Velocidades Std 1500 w'!$B$17:$F$28,5,FALSE),IF(P1065="ALUMINIO",VLOOKUP(Q1065,'[3]Velocidades Std 1500 w'!$B$30:$F$38,5,FALSE))))</f>
        <v>9.1575091575091579E-7</v>
      </c>
      <c r="S1065" s="82">
        <f t="shared" si="135"/>
        <v>4.578754578754579E-3</v>
      </c>
      <c r="T1065" s="83">
        <f t="shared" si="136"/>
        <v>56.849303076923086</v>
      </c>
      <c r="U1065" s="307">
        <f t="shared" si="130"/>
        <v>17244.288600000003</v>
      </c>
      <c r="V1065" s="80">
        <f t="shared" si="141"/>
        <v>78.9573653846154</v>
      </c>
      <c r="W1065" s="98">
        <v>400</v>
      </c>
      <c r="X1065" s="84">
        <f>+IF(P1065="ACERO A36",VLOOKUP(Q1065,'[3]Tiempo Objeto'!$B$2:$C$12,2,FALSE),IF(P1065="INOXIDABLE",VLOOKUP(Q1065,'[3]Tiempo Objeto'!$B$14:$C$22,2,FALSE),IF(P1065="ALUMINIO",VLOOKUP(Q1065,'[3]Tiempo Objeto'!$B$24:$C$32,2,FALSE))))</f>
        <v>0.24666666666666667</v>
      </c>
      <c r="Y1065" s="84">
        <f t="shared" si="137"/>
        <v>98.666666666666671</v>
      </c>
      <c r="Z1065" s="80">
        <f t="shared" si="138"/>
        <v>137.03703703703704</v>
      </c>
      <c r="AA1065" s="100">
        <v>5</v>
      </c>
      <c r="AB1065" s="86">
        <f>+AA1065*Analisis!$J$6</f>
        <v>125</v>
      </c>
      <c r="AC1065" s="100"/>
      <c r="AD1065" s="85">
        <f t="shared" si="139"/>
        <v>0</v>
      </c>
      <c r="AE1065" s="86">
        <f>+AC1065*Analisis!$J$7</f>
        <v>0</v>
      </c>
      <c r="AF1065" s="308">
        <f>+H1065*0.0254*I1065*0.0254*2*(1+[3]Analisis!$G$2)</f>
        <v>0.21841375672000002</v>
      </c>
      <c r="AG1065" s="86">
        <f>+AF1065*Analisis!$J$8</f>
        <v>23.271465745761915</v>
      </c>
      <c r="AH1065" s="309">
        <f t="shared" si="126"/>
        <v>394.95804758749966</v>
      </c>
      <c r="AI1065" s="86">
        <f>+AH1065/(1-Analisis!G1070)</f>
        <v>394.95804758749966</v>
      </c>
      <c r="AJ1065" s="86">
        <f t="shared" si="140"/>
        <v>424.68607267473084</v>
      </c>
      <c r="AK1065" s="86">
        <f t="shared" si="127"/>
        <v>0</v>
      </c>
      <c r="AL1065" s="310" t="e">
        <f>+VLOOKUP(B1065,#REF!,2,FALSE)</f>
        <v>#REF!</v>
      </c>
      <c r="AM1065" s="311" t="e">
        <f t="shared" si="143"/>
        <v>#REF!</v>
      </c>
      <c r="AN1065" s="312" t="e">
        <f t="shared" si="129"/>
        <v>#REF!</v>
      </c>
    </row>
    <row r="1066" spans="1:40" s="73" customFormat="1" x14ac:dyDescent="0.25">
      <c r="A1066" s="313"/>
      <c r="B1066" s="329" t="s">
        <v>1697</v>
      </c>
      <c r="D1066" s="74">
        <f>IFERROR(VLOOKUP(B1066,'REQ. PINTADO'!B:C,2,0),0)</f>
        <v>0</v>
      </c>
      <c r="E1066" s="305">
        <f t="shared" si="133"/>
        <v>444.95024445360809</v>
      </c>
      <c r="F1066" s="397" t="s">
        <v>166</v>
      </c>
      <c r="G1066" s="75" t="s">
        <v>147</v>
      </c>
      <c r="H1066" s="90">
        <v>16.079999999999998</v>
      </c>
      <c r="I1066" s="90">
        <v>11.21</v>
      </c>
      <c r="J1066" s="76">
        <v>0.105</v>
      </c>
      <c r="K1066" s="306">
        <v>16.38</v>
      </c>
      <c r="L1066" s="78">
        <f t="shared" si="134"/>
        <v>5.4872610515010649</v>
      </c>
      <c r="M1066" s="58">
        <f>+VLOOKUP(F1066,Material!$H$2:$M$17,6,FALSE)*H1066*I1066*(1+Material!$K$14)</f>
        <v>40.855152737994288</v>
      </c>
      <c r="N1066" s="79" t="str">
        <f t="shared" si="142"/>
        <v>T5.0</v>
      </c>
      <c r="O1066" s="80">
        <f>+VLOOKUP(N1066,[3]Material!$A$3:$B$58,2,FALSE)</f>
        <v>5000</v>
      </c>
      <c r="P1066" s="79" t="s">
        <v>42</v>
      </c>
      <c r="Q1066" s="79" t="str">
        <f>+VLOOKUP(F1066,[3]Material!$C$2:$E$12,2,FALSE)</f>
        <v>Cal 16</v>
      </c>
      <c r="R1066" s="81">
        <f>+IF(P1066="ACERO A36",VLOOKUP(Q1066,'[3]Velocidades Std 1500 w'!$B$2:$F$15,5,FALSE),IF(P1066="INOXIDABLE",VLOOKUP(Q1066,'[3]Velocidades Std 1500 w'!$B$17:$F$28,5,FALSE),IF(P1066="ALUMINIO",VLOOKUP(Q1066,'[3]Velocidades Std 1500 w'!$B$30:$F$38,5,FALSE))))</f>
        <v>9.1575091575091579E-7</v>
      </c>
      <c r="S1066" s="82">
        <f t="shared" si="135"/>
        <v>4.578754578754579E-3</v>
      </c>
      <c r="T1066" s="83">
        <f t="shared" si="136"/>
        <v>57.5526876923077</v>
      </c>
      <c r="U1066" s="307">
        <f t="shared" si="130"/>
        <v>17457.6486</v>
      </c>
      <c r="V1066" s="80">
        <f t="shared" si="141"/>
        <v>79.934288461538472</v>
      </c>
      <c r="W1066" s="98">
        <v>400</v>
      </c>
      <c r="X1066" s="84">
        <f>+IF(P1066="ACERO A36",VLOOKUP(Q1066,'[3]Tiempo Objeto'!$B$2:$C$12,2,FALSE),IF(P1066="INOXIDABLE",VLOOKUP(Q1066,'[3]Tiempo Objeto'!$B$14:$C$22,2,FALSE),IF(P1066="ALUMINIO",VLOOKUP(Q1066,'[3]Tiempo Objeto'!$B$24:$C$32,2,FALSE))))</f>
        <v>0.24666666666666667</v>
      </c>
      <c r="Y1066" s="84">
        <f t="shared" si="137"/>
        <v>98.666666666666671</v>
      </c>
      <c r="Z1066" s="80">
        <f t="shared" si="138"/>
        <v>137.03703703703704</v>
      </c>
      <c r="AA1066" s="100">
        <v>5</v>
      </c>
      <c r="AB1066" s="86">
        <f>+AA1066*Analisis!$J$6</f>
        <v>125</v>
      </c>
      <c r="AC1066" s="100"/>
      <c r="AD1066" s="85">
        <f t="shared" si="139"/>
        <v>0</v>
      </c>
      <c r="AE1066" s="86">
        <f>+AC1066*Analisis!$J$7</f>
        <v>0</v>
      </c>
      <c r="AF1066" s="308">
        <f>+H1066*0.0254*I1066*0.0254*2*(1+[3]Analisis!$G$2)</f>
        <v>0.29073619271999995</v>
      </c>
      <c r="AG1066" s="86">
        <f>+AF1066*Analisis!$J$8</f>
        <v>30.977249105285718</v>
      </c>
      <c r="AH1066" s="309">
        <f t="shared" si="126"/>
        <v>413.80372734185551</v>
      </c>
      <c r="AI1066" s="86">
        <f>+AH1066/(1-Analisis!G1071)</f>
        <v>413.80372734185551</v>
      </c>
      <c r="AJ1066" s="86">
        <f t="shared" si="140"/>
        <v>444.95024445360809</v>
      </c>
      <c r="AK1066" s="86">
        <f t="shared" si="127"/>
        <v>0</v>
      </c>
      <c r="AL1066" s="310" t="e">
        <f>+VLOOKUP(B1066,#REF!,2,FALSE)</f>
        <v>#REF!</v>
      </c>
      <c r="AM1066" s="311" t="e">
        <f t="shared" si="143"/>
        <v>#REF!</v>
      </c>
      <c r="AN1066" s="312" t="e">
        <f t="shared" si="129"/>
        <v>#REF!</v>
      </c>
    </row>
    <row r="1067" spans="1:40" s="73" customFormat="1" x14ac:dyDescent="0.25">
      <c r="A1067" s="313"/>
      <c r="B1067" s="329" t="s">
        <v>1698</v>
      </c>
      <c r="D1067" s="74">
        <f>IFERROR(VLOOKUP(B1067,'REQ. PINTADO'!B:C,2,0),0)</f>
        <v>0</v>
      </c>
      <c r="E1067" s="305">
        <f t="shared" si="133"/>
        <v>455.08233034304681</v>
      </c>
      <c r="F1067" s="397" t="s">
        <v>166</v>
      </c>
      <c r="G1067" s="75" t="s">
        <v>147</v>
      </c>
      <c r="H1067" s="90">
        <v>18.079999999999998</v>
      </c>
      <c r="I1067" s="90">
        <v>11.21</v>
      </c>
      <c r="J1067" s="76">
        <v>0.105</v>
      </c>
      <c r="K1067" s="306">
        <v>16.38</v>
      </c>
      <c r="L1067" s="78">
        <f t="shared" si="134"/>
        <v>6.1697562071604022</v>
      </c>
      <c r="M1067" s="58">
        <f>+VLOOKUP(F1067,Material!$H$2:$M$17,6,FALSE)*H1067*I1067*(1+Material!$K$14)</f>
        <v>45.936639396948806</v>
      </c>
      <c r="N1067" s="79" t="str">
        <f t="shared" si="142"/>
        <v>T5.0</v>
      </c>
      <c r="O1067" s="80">
        <f>+VLOOKUP(N1067,[3]Material!$A$3:$B$58,2,FALSE)</f>
        <v>5000</v>
      </c>
      <c r="P1067" s="79" t="s">
        <v>42</v>
      </c>
      <c r="Q1067" s="79" t="str">
        <f>+VLOOKUP(F1067,[3]Material!$C$2:$E$12,2,FALSE)</f>
        <v>Cal 16</v>
      </c>
      <c r="R1067" s="81">
        <f>+IF(P1067="ACERO A36",VLOOKUP(Q1067,'[3]Velocidades Std 1500 w'!$B$2:$F$15,5,FALSE),IF(P1067="INOXIDABLE",VLOOKUP(Q1067,'[3]Velocidades Std 1500 w'!$B$17:$F$28,5,FALSE),IF(P1067="ALUMINIO",VLOOKUP(Q1067,'[3]Velocidades Std 1500 w'!$B$30:$F$38,5,FALSE))))</f>
        <v>9.1575091575091579E-7</v>
      </c>
      <c r="S1067" s="82">
        <f t="shared" si="135"/>
        <v>4.578754578754579E-3</v>
      </c>
      <c r="T1067" s="83">
        <f t="shared" si="136"/>
        <v>57.90438000000001</v>
      </c>
      <c r="U1067" s="307">
        <f t="shared" si="130"/>
        <v>17564.328600000001</v>
      </c>
      <c r="V1067" s="80">
        <f t="shared" si="141"/>
        <v>80.422750000000008</v>
      </c>
      <c r="W1067" s="98">
        <v>400</v>
      </c>
      <c r="X1067" s="84">
        <f>+IF(P1067="ACERO A36",VLOOKUP(Q1067,'[3]Tiempo Objeto'!$B$2:$C$12,2,FALSE),IF(P1067="INOXIDABLE",VLOOKUP(Q1067,'[3]Tiempo Objeto'!$B$14:$C$22,2,FALSE),IF(P1067="ALUMINIO",VLOOKUP(Q1067,'[3]Tiempo Objeto'!$B$24:$C$32,2,FALSE))))</f>
        <v>0.24666666666666667</v>
      </c>
      <c r="Y1067" s="84">
        <f t="shared" si="137"/>
        <v>98.666666666666671</v>
      </c>
      <c r="Z1067" s="80">
        <f t="shared" si="138"/>
        <v>137.03703703703704</v>
      </c>
      <c r="AA1067" s="100">
        <v>5</v>
      </c>
      <c r="AB1067" s="86">
        <f>+AA1067*Analisis!$J$6</f>
        <v>125</v>
      </c>
      <c r="AC1067" s="100"/>
      <c r="AD1067" s="85">
        <f t="shared" si="139"/>
        <v>0</v>
      </c>
      <c r="AE1067" s="86">
        <f>+AC1067*Analisis!$J$7</f>
        <v>0</v>
      </c>
      <c r="AF1067" s="308">
        <f>+H1067*0.0254*I1067*0.0254*2*(1+[3]Analisis!$G$2)</f>
        <v>0.32689741071999989</v>
      </c>
      <c r="AG1067" s="86">
        <f>+AF1067*Analisis!$J$8</f>
        <v>34.830140785047618</v>
      </c>
      <c r="AH1067" s="309">
        <f t="shared" si="126"/>
        <v>423.22656721903348</v>
      </c>
      <c r="AI1067" s="86">
        <f>+AH1067/(1-Analisis!G1072)</f>
        <v>423.22656721903348</v>
      </c>
      <c r="AJ1067" s="86">
        <f t="shared" si="140"/>
        <v>455.08233034304681</v>
      </c>
      <c r="AK1067" s="86">
        <f t="shared" si="127"/>
        <v>0</v>
      </c>
      <c r="AL1067" s="310" t="e">
        <f>+VLOOKUP(B1067,#REF!,2,FALSE)</f>
        <v>#REF!</v>
      </c>
      <c r="AM1067" s="311" t="e">
        <f t="shared" si="143"/>
        <v>#REF!</v>
      </c>
      <c r="AN1067" s="312" t="e">
        <f t="shared" si="129"/>
        <v>#REF!</v>
      </c>
    </row>
    <row r="1068" spans="1:40" s="73" customFormat="1" x14ac:dyDescent="0.25">
      <c r="A1068" s="313"/>
      <c r="B1068" s="329" t="s">
        <v>1699</v>
      </c>
      <c r="D1068" s="74">
        <f>IFERROR(VLOOKUP(B1068,'REQ. PINTADO'!B:C,2,0),0)</f>
        <v>0</v>
      </c>
      <c r="E1068" s="305">
        <f t="shared" si="133"/>
        <v>485.47858801136277</v>
      </c>
      <c r="F1068" s="397" t="s">
        <v>166</v>
      </c>
      <c r="G1068" s="75" t="s">
        <v>147</v>
      </c>
      <c r="H1068" s="90">
        <v>24.08</v>
      </c>
      <c r="I1068" s="90">
        <v>11.21</v>
      </c>
      <c r="J1068" s="76">
        <v>0.105</v>
      </c>
      <c r="K1068" s="306">
        <v>16.38</v>
      </c>
      <c r="L1068" s="78">
        <f t="shared" si="134"/>
        <v>8.2172416741384122</v>
      </c>
      <c r="M1068" s="58">
        <f>+VLOOKUP(F1068,Material!$H$2:$M$17,6,FALSE)*H1068*I1068*(1+Material!$K$14)</f>
        <v>61.181099373812351</v>
      </c>
      <c r="N1068" s="79" t="str">
        <f t="shared" si="142"/>
        <v>T5.0</v>
      </c>
      <c r="O1068" s="80">
        <f>+VLOOKUP(N1068,[3]Material!$A$3:$B$58,2,FALSE)</f>
        <v>5000</v>
      </c>
      <c r="P1068" s="79" t="s">
        <v>42</v>
      </c>
      <c r="Q1068" s="79" t="str">
        <f>+VLOOKUP(F1068,[3]Material!$C$2:$E$12,2,FALSE)</f>
        <v>Cal 16</v>
      </c>
      <c r="R1068" s="81">
        <f>+IF(P1068="ACERO A36",VLOOKUP(Q1068,'[3]Velocidades Std 1500 w'!$B$2:$F$15,5,FALSE),IF(P1068="INOXIDABLE",VLOOKUP(Q1068,'[3]Velocidades Std 1500 w'!$B$17:$F$28,5,FALSE),IF(P1068="ALUMINIO",VLOOKUP(Q1068,'[3]Velocidades Std 1500 w'!$B$30:$F$38,5,FALSE))))</f>
        <v>9.1575091575091579E-7</v>
      </c>
      <c r="S1068" s="82">
        <f t="shared" si="135"/>
        <v>4.578754578754579E-3</v>
      </c>
      <c r="T1068" s="83">
        <f t="shared" si="136"/>
        <v>58.959456923076935</v>
      </c>
      <c r="U1068" s="307">
        <f t="shared" si="130"/>
        <v>17884.368600000002</v>
      </c>
      <c r="V1068" s="80">
        <f t="shared" si="141"/>
        <v>81.888134615384629</v>
      </c>
      <c r="W1068" s="98">
        <v>400</v>
      </c>
      <c r="X1068" s="84">
        <f>+IF(P1068="ACERO A36",VLOOKUP(Q1068,'[3]Tiempo Objeto'!$B$2:$C$12,2,FALSE),IF(P1068="INOXIDABLE",VLOOKUP(Q1068,'[3]Tiempo Objeto'!$B$14:$C$22,2,FALSE),IF(P1068="ALUMINIO",VLOOKUP(Q1068,'[3]Tiempo Objeto'!$B$24:$C$32,2,FALSE))))</f>
        <v>0.24666666666666667</v>
      </c>
      <c r="Y1068" s="84">
        <f t="shared" si="137"/>
        <v>98.666666666666671</v>
      </c>
      <c r="Z1068" s="80">
        <f t="shared" si="138"/>
        <v>137.03703703703704</v>
      </c>
      <c r="AA1068" s="100">
        <v>5</v>
      </c>
      <c r="AB1068" s="86">
        <f>+AA1068*Analisis!$J$6</f>
        <v>125</v>
      </c>
      <c r="AC1068" s="100"/>
      <c r="AD1068" s="85">
        <f t="shared" si="139"/>
        <v>0</v>
      </c>
      <c r="AE1068" s="86">
        <f>+AC1068*Analisis!$J$7</f>
        <v>0</v>
      </c>
      <c r="AF1068" s="308">
        <f>+H1068*0.0254*I1068*0.0254*2*(1+[3]Analisis!$G$2)</f>
        <v>0.43538106471999993</v>
      </c>
      <c r="AG1068" s="86">
        <f>+AF1068*Analisis!$J$8</f>
        <v>46.388815824333342</v>
      </c>
      <c r="AH1068" s="309">
        <f t="shared" si="126"/>
        <v>451.49508685056736</v>
      </c>
      <c r="AI1068" s="86">
        <f>+AH1068/(1-Analisis!G1073)</f>
        <v>451.49508685056736</v>
      </c>
      <c r="AJ1068" s="86">
        <f t="shared" si="140"/>
        <v>485.47858801136277</v>
      </c>
      <c r="AK1068" s="86">
        <f t="shared" si="127"/>
        <v>0</v>
      </c>
      <c r="AL1068" s="310" t="e">
        <f>+VLOOKUP(B1068,#REF!,2,FALSE)</f>
        <v>#REF!</v>
      </c>
      <c r="AM1068" s="311" t="e">
        <f t="shared" si="143"/>
        <v>#REF!</v>
      </c>
      <c r="AN1068" s="312" t="e">
        <f t="shared" si="129"/>
        <v>#REF!</v>
      </c>
    </row>
    <row r="1069" spans="1:40" s="73" customFormat="1" x14ac:dyDescent="0.25">
      <c r="A1069" s="313"/>
      <c r="B1069" s="329" t="s">
        <v>1700</v>
      </c>
      <c r="D1069" s="74">
        <f>IFERROR(VLOOKUP(B1069,'REQ. PINTADO'!B:C,2,0),0)</f>
        <v>0</v>
      </c>
      <c r="E1069" s="305">
        <f t="shared" si="133"/>
        <v>556.40318923743348</v>
      </c>
      <c r="F1069" s="397" t="s">
        <v>166</v>
      </c>
      <c r="G1069" s="75" t="s">
        <v>147</v>
      </c>
      <c r="H1069" s="90">
        <v>38.08</v>
      </c>
      <c r="I1069" s="90">
        <v>11.21</v>
      </c>
      <c r="J1069" s="76">
        <v>0.105</v>
      </c>
      <c r="K1069" s="306">
        <v>16.38</v>
      </c>
      <c r="L1069" s="78">
        <f t="shared" si="134"/>
        <v>12.99470776375377</v>
      </c>
      <c r="M1069" s="58">
        <f>+VLOOKUP(F1069,Material!$H$2:$M$17,6,FALSE)*H1069*I1069*(1+Material!$K$14)</f>
        <v>96.751505986493953</v>
      </c>
      <c r="N1069" s="79" t="str">
        <f t="shared" si="142"/>
        <v>T5.0</v>
      </c>
      <c r="O1069" s="80">
        <f>+VLOOKUP(N1069,[3]Material!$A$3:$B$58,2,FALSE)</f>
        <v>5000</v>
      </c>
      <c r="P1069" s="79" t="s">
        <v>42</v>
      </c>
      <c r="Q1069" s="79" t="str">
        <f>+VLOOKUP(F1069,[3]Material!$C$2:$E$12,2,FALSE)</f>
        <v>Cal 16</v>
      </c>
      <c r="R1069" s="81">
        <f>+IF(P1069="ACERO A36",VLOOKUP(Q1069,'[3]Velocidades Std 1500 w'!$B$2:$F$15,5,FALSE),IF(P1069="INOXIDABLE",VLOOKUP(Q1069,'[3]Velocidades Std 1500 w'!$B$17:$F$28,5,FALSE),IF(P1069="ALUMINIO",VLOOKUP(Q1069,'[3]Velocidades Std 1500 w'!$B$30:$F$38,5,FALSE))))</f>
        <v>9.1575091575091579E-7</v>
      </c>
      <c r="S1069" s="82">
        <f t="shared" si="135"/>
        <v>4.578754578754579E-3</v>
      </c>
      <c r="T1069" s="83">
        <f t="shared" si="136"/>
        <v>61.421303076923074</v>
      </c>
      <c r="U1069" s="307">
        <f t="shared" si="130"/>
        <v>18631.1286</v>
      </c>
      <c r="V1069" s="80">
        <f t="shared" si="141"/>
        <v>85.307365384615395</v>
      </c>
      <c r="W1069" s="98">
        <v>400</v>
      </c>
      <c r="X1069" s="84">
        <f>+IF(P1069="ACERO A36",VLOOKUP(Q1069,'[3]Tiempo Objeto'!$B$2:$C$12,2,FALSE),IF(P1069="INOXIDABLE",VLOOKUP(Q1069,'[3]Tiempo Objeto'!$B$14:$C$22,2,FALSE),IF(P1069="ALUMINIO",VLOOKUP(Q1069,'[3]Tiempo Objeto'!$B$24:$C$32,2,FALSE))))</f>
        <v>0.24666666666666667</v>
      </c>
      <c r="Y1069" s="84">
        <f t="shared" si="137"/>
        <v>98.666666666666671</v>
      </c>
      <c r="Z1069" s="80">
        <f t="shared" si="138"/>
        <v>137.03703703703704</v>
      </c>
      <c r="AA1069" s="100">
        <v>5</v>
      </c>
      <c r="AB1069" s="86">
        <f>+AA1069*Analisis!$J$6</f>
        <v>125</v>
      </c>
      <c r="AC1069" s="100"/>
      <c r="AD1069" s="85">
        <f t="shared" si="139"/>
        <v>0</v>
      </c>
      <c r="AE1069" s="86">
        <f>+AC1069*Analisis!$J$7</f>
        <v>0</v>
      </c>
      <c r="AF1069" s="308">
        <f>+H1069*0.0254*I1069*0.0254*2*(1+[3]Analisis!$G$2)</f>
        <v>0.68850959071999995</v>
      </c>
      <c r="AG1069" s="86">
        <f>+AF1069*Analisis!$J$8</f>
        <v>73.359057582666679</v>
      </c>
      <c r="AH1069" s="309">
        <f t="shared" si="126"/>
        <v>517.45496599081309</v>
      </c>
      <c r="AI1069" s="86">
        <f>+AH1069/(1-Analisis!G1074)</f>
        <v>517.45496599081309</v>
      </c>
      <c r="AJ1069" s="86">
        <f t="shared" si="140"/>
        <v>556.40318923743348</v>
      </c>
      <c r="AK1069" s="86">
        <f t="shared" si="127"/>
        <v>0</v>
      </c>
      <c r="AL1069" s="310" t="e">
        <f>+VLOOKUP(B1069,#REF!,2,FALSE)</f>
        <v>#REF!</v>
      </c>
      <c r="AM1069" s="311" t="e">
        <f t="shared" si="143"/>
        <v>#REF!</v>
      </c>
      <c r="AN1069" s="312" t="e">
        <f t="shared" si="129"/>
        <v>#REF!</v>
      </c>
    </row>
    <row r="1070" spans="1:40" s="73" customFormat="1" x14ac:dyDescent="0.25">
      <c r="A1070" s="313"/>
      <c r="B1070" s="329" t="s">
        <v>1701</v>
      </c>
      <c r="D1070" s="74">
        <f>IFERROR(VLOOKUP(B1070,'REQ. PINTADO'!B:C,2,0),0)</f>
        <v>0</v>
      </c>
      <c r="E1070" s="305">
        <f t="shared" si="133"/>
        <v>515.87484567967874</v>
      </c>
      <c r="F1070" s="397" t="s">
        <v>166</v>
      </c>
      <c r="G1070" s="75" t="s">
        <v>147</v>
      </c>
      <c r="H1070" s="90">
        <v>30.08</v>
      </c>
      <c r="I1070" s="90">
        <v>11.21</v>
      </c>
      <c r="J1070" s="76">
        <v>0.105</v>
      </c>
      <c r="K1070" s="306">
        <v>16.38</v>
      </c>
      <c r="L1070" s="78">
        <f t="shared" si="134"/>
        <v>10.264727141116422</v>
      </c>
      <c r="M1070" s="58">
        <f>+VLOOKUP(F1070,Material!$H$2:$M$17,6,FALSE)*H1070*I1070*(1+Material!$K$14)</f>
        <v>76.425559350675897</v>
      </c>
      <c r="N1070" s="79" t="str">
        <f t="shared" si="142"/>
        <v>T5.0</v>
      </c>
      <c r="O1070" s="80">
        <f>+VLOOKUP(N1070,[3]Material!$A$3:$B$58,2,FALSE)</f>
        <v>5000</v>
      </c>
      <c r="P1070" s="79" t="s">
        <v>42</v>
      </c>
      <c r="Q1070" s="79" t="str">
        <f>+VLOOKUP(F1070,[3]Material!$C$2:$E$12,2,FALSE)</f>
        <v>Cal 16</v>
      </c>
      <c r="R1070" s="81">
        <f>+IF(P1070="ACERO A36",VLOOKUP(Q1070,'[3]Velocidades Std 1500 w'!$B$2:$F$15,5,FALSE),IF(P1070="INOXIDABLE",VLOOKUP(Q1070,'[3]Velocidades Std 1500 w'!$B$17:$F$28,5,FALSE),IF(P1070="ALUMINIO",VLOOKUP(Q1070,'[3]Velocidades Std 1500 w'!$B$30:$F$38,5,FALSE))))</f>
        <v>9.1575091575091579E-7</v>
      </c>
      <c r="S1070" s="82">
        <f t="shared" si="135"/>
        <v>4.578754578754579E-3</v>
      </c>
      <c r="T1070" s="83">
        <f t="shared" si="136"/>
        <v>60.014533846153846</v>
      </c>
      <c r="U1070" s="307">
        <f t="shared" si="130"/>
        <v>18204.408599999999</v>
      </c>
      <c r="V1070" s="80">
        <f t="shared" si="141"/>
        <v>83.353519230769223</v>
      </c>
      <c r="W1070" s="98">
        <v>400</v>
      </c>
      <c r="X1070" s="84">
        <f>+IF(P1070="ACERO A36",VLOOKUP(Q1070,'[3]Tiempo Objeto'!$B$2:$C$12,2,FALSE),IF(P1070="INOXIDABLE",VLOOKUP(Q1070,'[3]Tiempo Objeto'!$B$14:$C$22,2,FALSE),IF(P1070="ALUMINIO",VLOOKUP(Q1070,'[3]Tiempo Objeto'!$B$24:$C$32,2,FALSE))))</f>
        <v>0.24666666666666667</v>
      </c>
      <c r="Y1070" s="84">
        <f t="shared" si="137"/>
        <v>98.666666666666671</v>
      </c>
      <c r="Z1070" s="80">
        <f t="shared" si="138"/>
        <v>137.03703703703704</v>
      </c>
      <c r="AA1070" s="100">
        <v>5</v>
      </c>
      <c r="AB1070" s="86">
        <f>+AA1070*Analisis!$J$6</f>
        <v>125</v>
      </c>
      <c r="AC1070" s="100"/>
      <c r="AD1070" s="85">
        <f t="shared" si="139"/>
        <v>0</v>
      </c>
      <c r="AE1070" s="86">
        <f>+AC1070*Analisis!$J$7</f>
        <v>0</v>
      </c>
      <c r="AF1070" s="308">
        <f>+H1070*0.0254*I1070*0.0254*2*(1+[3]Analisis!$G$2)</f>
        <v>0.54386471871999997</v>
      </c>
      <c r="AG1070" s="86">
        <f>+AF1070*Analisis!$J$8</f>
        <v>57.947490863619059</v>
      </c>
      <c r="AH1070" s="309">
        <f t="shared" si="126"/>
        <v>479.76360648210124</v>
      </c>
      <c r="AI1070" s="86">
        <f>+AH1070/(1-Analisis!G1075)</f>
        <v>479.76360648210124</v>
      </c>
      <c r="AJ1070" s="86">
        <f t="shared" si="140"/>
        <v>515.87484567967874</v>
      </c>
      <c r="AK1070" s="86">
        <f t="shared" si="127"/>
        <v>0</v>
      </c>
      <c r="AL1070" s="310" t="e">
        <f>+VLOOKUP(B1070,#REF!,2,FALSE)</f>
        <v>#REF!</v>
      </c>
      <c r="AM1070" s="311" t="e">
        <f t="shared" si="143"/>
        <v>#REF!</v>
      </c>
      <c r="AN1070" s="312" t="e">
        <f t="shared" si="129"/>
        <v>#REF!</v>
      </c>
    </row>
    <row r="1071" spans="1:40" s="73" customFormat="1" x14ac:dyDescent="0.25">
      <c r="A1071" s="313"/>
      <c r="B1071" s="329" t="s">
        <v>1702</v>
      </c>
      <c r="D1071" s="74">
        <f>IFERROR(VLOOKUP(B1071,'REQ. PINTADO'!B:C,2,0),0)</f>
        <v>0</v>
      </c>
      <c r="E1071" s="305">
        <f t="shared" si="133"/>
        <v>546.27110334799477</v>
      </c>
      <c r="F1071" s="397" t="s">
        <v>166</v>
      </c>
      <c r="G1071" s="75" t="s">
        <v>147</v>
      </c>
      <c r="H1071" s="90">
        <v>36.08</v>
      </c>
      <c r="I1071" s="90">
        <v>11.21</v>
      </c>
      <c r="J1071" s="76">
        <v>0.105</v>
      </c>
      <c r="K1071" s="306">
        <v>16.38</v>
      </c>
      <c r="L1071" s="78">
        <f t="shared" si="134"/>
        <v>12.312212608094431</v>
      </c>
      <c r="M1071" s="58">
        <f>+VLOOKUP(F1071,Material!$H$2:$M$17,6,FALSE)*H1071*I1071*(1+Material!$K$14)</f>
        <v>91.670019327539435</v>
      </c>
      <c r="N1071" s="79" t="str">
        <f t="shared" si="142"/>
        <v>T5.0</v>
      </c>
      <c r="O1071" s="80">
        <f>+VLOOKUP(N1071,[3]Material!$A$3:$B$58,2,FALSE)</f>
        <v>5000</v>
      </c>
      <c r="P1071" s="79" t="s">
        <v>42</v>
      </c>
      <c r="Q1071" s="79" t="str">
        <f>+VLOOKUP(F1071,[3]Material!$C$2:$E$12,2,FALSE)</f>
        <v>Cal 16</v>
      </c>
      <c r="R1071" s="81">
        <f>+IF(P1071="ACERO A36",VLOOKUP(Q1071,'[3]Velocidades Std 1500 w'!$B$2:$F$15,5,FALSE),IF(P1071="INOXIDABLE",VLOOKUP(Q1071,'[3]Velocidades Std 1500 w'!$B$17:$F$28,5,FALSE),IF(P1071="ALUMINIO",VLOOKUP(Q1071,'[3]Velocidades Std 1500 w'!$B$30:$F$38,5,FALSE))))</f>
        <v>9.1575091575091579E-7</v>
      </c>
      <c r="S1071" s="82">
        <f t="shared" si="135"/>
        <v>4.578754578754579E-3</v>
      </c>
      <c r="T1071" s="83">
        <f t="shared" si="136"/>
        <v>61.069610769230771</v>
      </c>
      <c r="U1071" s="307">
        <f t="shared" si="130"/>
        <v>18524.4486</v>
      </c>
      <c r="V1071" s="80">
        <f t="shared" si="141"/>
        <v>84.818903846153844</v>
      </c>
      <c r="W1071" s="98">
        <v>400</v>
      </c>
      <c r="X1071" s="84">
        <f>+IF(P1071="ACERO A36",VLOOKUP(Q1071,'[3]Tiempo Objeto'!$B$2:$C$12,2,FALSE),IF(P1071="INOXIDABLE",VLOOKUP(Q1071,'[3]Tiempo Objeto'!$B$14:$C$22,2,FALSE),IF(P1071="ALUMINIO",VLOOKUP(Q1071,'[3]Tiempo Objeto'!$B$24:$C$32,2,FALSE))))</f>
        <v>0.24666666666666667</v>
      </c>
      <c r="Y1071" s="84">
        <f t="shared" si="137"/>
        <v>98.666666666666671</v>
      </c>
      <c r="Z1071" s="80">
        <f t="shared" si="138"/>
        <v>137.03703703703704</v>
      </c>
      <c r="AA1071" s="100">
        <v>5</v>
      </c>
      <c r="AB1071" s="86">
        <f>+AA1071*Analisis!$J$6</f>
        <v>125</v>
      </c>
      <c r="AC1071" s="100"/>
      <c r="AD1071" s="85">
        <f t="shared" si="139"/>
        <v>0</v>
      </c>
      <c r="AE1071" s="86">
        <f>+AC1071*Analisis!$J$7</f>
        <v>0</v>
      </c>
      <c r="AF1071" s="308">
        <f>+H1071*0.0254*I1071*0.0254*2*(1+[3]Analisis!$G$2)</f>
        <v>0.6523483727199999</v>
      </c>
      <c r="AG1071" s="86">
        <f>+AF1071*Analisis!$J$8</f>
        <v>69.506165902904769</v>
      </c>
      <c r="AH1071" s="309">
        <f t="shared" si="126"/>
        <v>508.03212611363506</v>
      </c>
      <c r="AI1071" s="86">
        <f>+AH1071/(1-Analisis!G1076)</f>
        <v>508.03212611363506</v>
      </c>
      <c r="AJ1071" s="86">
        <f t="shared" si="140"/>
        <v>546.27110334799477</v>
      </c>
      <c r="AK1071" s="86">
        <f t="shared" si="127"/>
        <v>0</v>
      </c>
      <c r="AL1071" s="310" t="e">
        <f>+VLOOKUP(B1071,#REF!,2,FALSE)</f>
        <v>#REF!</v>
      </c>
      <c r="AM1071" s="311" t="e">
        <f t="shared" si="143"/>
        <v>#REF!</v>
      </c>
      <c r="AN1071" s="312" t="e">
        <f t="shared" si="129"/>
        <v>#REF!</v>
      </c>
    </row>
    <row r="1072" spans="1:40" s="73" customFormat="1" x14ac:dyDescent="0.25">
      <c r="A1072" s="313"/>
      <c r="B1072" s="329" t="s">
        <v>1703</v>
      </c>
      <c r="D1072" s="74">
        <f>IFERROR(VLOOKUP(B1072,'REQ. PINTADO'!B:C,2,0),0)</f>
        <v>0</v>
      </c>
      <c r="E1072" s="305">
        <f t="shared" si="133"/>
        <v>586.79944690574951</v>
      </c>
      <c r="F1072" s="397" t="s">
        <v>166</v>
      </c>
      <c r="G1072" s="75" t="s">
        <v>147</v>
      </c>
      <c r="H1072" s="90">
        <v>44.08</v>
      </c>
      <c r="I1072" s="90">
        <v>11.21</v>
      </c>
      <c r="J1072" s="76">
        <v>0.105</v>
      </c>
      <c r="K1072" s="306">
        <v>16.38</v>
      </c>
      <c r="L1072" s="78">
        <f t="shared" si="134"/>
        <v>15.042193230731778</v>
      </c>
      <c r="M1072" s="58">
        <f>+VLOOKUP(F1072,Material!$H$2:$M$17,6,FALSE)*H1072*I1072*(1+Material!$K$14)</f>
        <v>111.99596596335749</v>
      </c>
      <c r="N1072" s="79" t="str">
        <f t="shared" si="142"/>
        <v>T5.0</v>
      </c>
      <c r="O1072" s="80">
        <f>+VLOOKUP(N1072,[3]Material!$A$3:$B$58,2,FALSE)</f>
        <v>5000</v>
      </c>
      <c r="P1072" s="79" t="s">
        <v>42</v>
      </c>
      <c r="Q1072" s="79" t="str">
        <f>+VLOOKUP(F1072,[3]Material!$C$2:$E$12,2,FALSE)</f>
        <v>Cal 16</v>
      </c>
      <c r="R1072" s="81">
        <f>+IF(P1072="ACERO A36",VLOOKUP(Q1072,'[3]Velocidades Std 1500 w'!$B$2:$F$15,5,FALSE),IF(P1072="INOXIDABLE",VLOOKUP(Q1072,'[3]Velocidades Std 1500 w'!$B$17:$F$28,5,FALSE),IF(P1072="ALUMINIO",VLOOKUP(Q1072,'[3]Velocidades Std 1500 w'!$B$30:$F$38,5,FALSE))))</f>
        <v>9.1575091575091579E-7</v>
      </c>
      <c r="S1072" s="82">
        <f t="shared" si="135"/>
        <v>4.578754578754579E-3</v>
      </c>
      <c r="T1072" s="83">
        <f t="shared" si="136"/>
        <v>62.476380000000013</v>
      </c>
      <c r="U1072" s="307">
        <f t="shared" si="130"/>
        <v>18951.168600000001</v>
      </c>
      <c r="V1072" s="80">
        <f t="shared" si="141"/>
        <v>86.772750000000002</v>
      </c>
      <c r="W1072" s="98">
        <v>400</v>
      </c>
      <c r="X1072" s="84">
        <f>+IF(P1072="ACERO A36",VLOOKUP(Q1072,'[3]Tiempo Objeto'!$B$2:$C$12,2,FALSE),IF(P1072="INOXIDABLE",VLOOKUP(Q1072,'[3]Tiempo Objeto'!$B$14:$C$22,2,FALSE),IF(P1072="ALUMINIO",VLOOKUP(Q1072,'[3]Tiempo Objeto'!$B$24:$C$32,2,FALSE))))</f>
        <v>0.24666666666666667</v>
      </c>
      <c r="Y1072" s="84">
        <f t="shared" si="137"/>
        <v>98.666666666666671</v>
      </c>
      <c r="Z1072" s="80">
        <f t="shared" si="138"/>
        <v>137.03703703703704</v>
      </c>
      <c r="AA1072" s="100">
        <v>5</v>
      </c>
      <c r="AB1072" s="86">
        <f>+AA1072*Analisis!$J$6</f>
        <v>125</v>
      </c>
      <c r="AC1072" s="100"/>
      <c r="AD1072" s="85">
        <f t="shared" si="139"/>
        <v>0</v>
      </c>
      <c r="AE1072" s="86">
        <f>+AC1072*Analisis!$J$7</f>
        <v>0</v>
      </c>
      <c r="AF1072" s="308">
        <f>+H1072*0.0254*I1072*0.0254*2*(1+[3]Analisis!$G$2)</f>
        <v>0.79699324471999999</v>
      </c>
      <c r="AG1072" s="86">
        <f>+AF1072*Analisis!$J$8</f>
        <v>84.91773262195241</v>
      </c>
      <c r="AH1072" s="309">
        <f t="shared" si="126"/>
        <v>545.72348562234697</v>
      </c>
      <c r="AI1072" s="86">
        <f>+AH1072/(1-Analisis!G1077)</f>
        <v>545.72348562234697</v>
      </c>
      <c r="AJ1072" s="86">
        <f t="shared" si="140"/>
        <v>586.79944690574951</v>
      </c>
      <c r="AK1072" s="86">
        <f t="shared" si="127"/>
        <v>0</v>
      </c>
      <c r="AL1072" s="310" t="e">
        <f>+VLOOKUP(B1072,#REF!,2,FALSE)</f>
        <v>#REF!</v>
      </c>
      <c r="AM1072" s="311" t="e">
        <f t="shared" si="143"/>
        <v>#REF!</v>
      </c>
      <c r="AN1072" s="312" t="e">
        <f t="shared" si="129"/>
        <v>#REF!</v>
      </c>
    </row>
    <row r="1073" spans="1:40" s="73" customFormat="1" x14ac:dyDescent="0.25">
      <c r="A1073" s="313"/>
      <c r="B1073" s="329" t="s">
        <v>1704</v>
      </c>
      <c r="D1073" s="74">
        <f>IFERROR(VLOOKUP(B1073,'REQ. PINTADO'!B:C,2,0),0)</f>
        <v>0</v>
      </c>
      <c r="E1073" s="305">
        <f t="shared" si="133"/>
        <v>596.93153279518822</v>
      </c>
      <c r="F1073" s="397" t="s">
        <v>166</v>
      </c>
      <c r="G1073" s="75" t="s">
        <v>147</v>
      </c>
      <c r="H1073" s="90">
        <v>46.08</v>
      </c>
      <c r="I1073" s="90">
        <v>11.21</v>
      </c>
      <c r="J1073" s="76">
        <v>0.105</v>
      </c>
      <c r="K1073" s="306">
        <v>16.38</v>
      </c>
      <c r="L1073" s="78">
        <f t="shared" si="134"/>
        <v>15.724688386391113</v>
      </c>
      <c r="M1073" s="58">
        <f>+VLOOKUP(F1073,Material!$H$2:$M$17,6,FALSE)*H1073*I1073*(1+Material!$K$14)</f>
        <v>117.07745262231201</v>
      </c>
      <c r="N1073" s="79" t="str">
        <f t="shared" si="142"/>
        <v>T5.0</v>
      </c>
      <c r="O1073" s="80">
        <f>+VLOOKUP(N1073,[3]Material!$A$3:$B$58,2,FALSE)</f>
        <v>5000</v>
      </c>
      <c r="P1073" s="79" t="s">
        <v>42</v>
      </c>
      <c r="Q1073" s="79" t="str">
        <f>+VLOOKUP(F1073,[3]Material!$C$2:$E$12,2,FALSE)</f>
        <v>Cal 16</v>
      </c>
      <c r="R1073" s="81">
        <f>+IF(P1073="ACERO A36",VLOOKUP(Q1073,'[3]Velocidades Std 1500 w'!$B$2:$F$15,5,FALSE),IF(P1073="INOXIDABLE",VLOOKUP(Q1073,'[3]Velocidades Std 1500 w'!$B$17:$F$28,5,FALSE),IF(P1073="ALUMINIO",VLOOKUP(Q1073,'[3]Velocidades Std 1500 w'!$B$30:$F$38,5,FALSE))))</f>
        <v>9.1575091575091579E-7</v>
      </c>
      <c r="S1073" s="82">
        <f t="shared" si="135"/>
        <v>4.578754578754579E-3</v>
      </c>
      <c r="T1073" s="83">
        <f t="shared" si="136"/>
        <v>62.828072307692302</v>
      </c>
      <c r="U1073" s="307">
        <f t="shared" si="130"/>
        <v>19057.848599999998</v>
      </c>
      <c r="V1073" s="80">
        <f t="shared" si="141"/>
        <v>87.261211538461538</v>
      </c>
      <c r="W1073" s="98">
        <v>400</v>
      </c>
      <c r="X1073" s="84">
        <f>+IF(P1073="ACERO A36",VLOOKUP(Q1073,'[3]Tiempo Objeto'!$B$2:$C$12,2,FALSE),IF(P1073="INOXIDABLE",VLOOKUP(Q1073,'[3]Tiempo Objeto'!$B$14:$C$22,2,FALSE),IF(P1073="ALUMINIO",VLOOKUP(Q1073,'[3]Tiempo Objeto'!$B$24:$C$32,2,FALSE))))</f>
        <v>0.24666666666666667</v>
      </c>
      <c r="Y1073" s="84">
        <f t="shared" si="137"/>
        <v>98.666666666666671</v>
      </c>
      <c r="Z1073" s="80">
        <f t="shared" si="138"/>
        <v>137.03703703703704</v>
      </c>
      <c r="AA1073" s="100">
        <v>5</v>
      </c>
      <c r="AB1073" s="86">
        <f>+AA1073*Analisis!$J$6</f>
        <v>125</v>
      </c>
      <c r="AC1073" s="100"/>
      <c r="AD1073" s="85">
        <f t="shared" si="139"/>
        <v>0</v>
      </c>
      <c r="AE1073" s="86">
        <f>+AC1073*Analisis!$J$7</f>
        <v>0</v>
      </c>
      <c r="AF1073" s="308">
        <f>+H1073*0.0254*I1073*0.0254*2*(1+[3]Analisis!$G$2)</f>
        <v>0.83315446271999993</v>
      </c>
      <c r="AG1073" s="86">
        <f>+AF1073*Analisis!$J$8</f>
        <v>88.770624301714307</v>
      </c>
      <c r="AH1073" s="309">
        <f t="shared" si="126"/>
        <v>555.14632549952501</v>
      </c>
      <c r="AI1073" s="86">
        <f>+AH1073/(1-Analisis!G1078)</f>
        <v>555.14632549952501</v>
      </c>
      <c r="AJ1073" s="86">
        <f t="shared" si="140"/>
        <v>596.93153279518822</v>
      </c>
      <c r="AK1073" s="86">
        <f t="shared" si="127"/>
        <v>0</v>
      </c>
      <c r="AL1073" s="310" t="e">
        <f>+VLOOKUP(B1073,#REF!,2,FALSE)</f>
        <v>#REF!</v>
      </c>
      <c r="AM1073" s="311" t="e">
        <f t="shared" si="143"/>
        <v>#REF!</v>
      </c>
      <c r="AN1073" s="312" t="e">
        <f t="shared" si="129"/>
        <v>#REF!</v>
      </c>
    </row>
    <row r="1074" spans="1:40" s="73" customFormat="1" x14ac:dyDescent="0.25">
      <c r="A1074" s="313"/>
      <c r="B1074" s="329" t="s">
        <v>1705</v>
      </c>
      <c r="D1074" s="74">
        <f>IFERROR(VLOOKUP(B1074,'REQ. PINTADO'!B:C,2,0),0)</f>
        <v>0</v>
      </c>
      <c r="E1074" s="305">
        <f t="shared" si="133"/>
        <v>424.68607267473084</v>
      </c>
      <c r="F1074" s="397" t="s">
        <v>166</v>
      </c>
      <c r="G1074" s="75" t="s">
        <v>147</v>
      </c>
      <c r="H1074" s="90">
        <v>12.08</v>
      </c>
      <c r="I1074" s="90">
        <v>11.21</v>
      </c>
      <c r="J1074" s="76">
        <v>0.105</v>
      </c>
      <c r="K1074" s="306">
        <v>16.38</v>
      </c>
      <c r="L1074" s="78">
        <f t="shared" si="134"/>
        <v>4.1222707401823939</v>
      </c>
      <c r="M1074" s="58">
        <f>+VLOOKUP(F1074,Material!$H$2:$M$17,6,FALSE)*H1074*I1074*(1+Material!$K$14)</f>
        <v>30.692179420085271</v>
      </c>
      <c r="N1074" s="79" t="str">
        <f t="shared" si="142"/>
        <v>T5.0</v>
      </c>
      <c r="O1074" s="80">
        <f>+VLOOKUP(N1074,[3]Material!$A$3:$B$58,2,FALSE)</f>
        <v>5000</v>
      </c>
      <c r="P1074" s="79" t="s">
        <v>42</v>
      </c>
      <c r="Q1074" s="79" t="str">
        <f>+VLOOKUP(F1074,[3]Material!$C$2:$E$12,2,FALSE)</f>
        <v>Cal 16</v>
      </c>
      <c r="R1074" s="81">
        <f>+IF(P1074="ACERO A36",VLOOKUP(Q1074,'[3]Velocidades Std 1500 w'!$B$2:$F$15,5,FALSE),IF(P1074="INOXIDABLE",VLOOKUP(Q1074,'[3]Velocidades Std 1500 w'!$B$17:$F$28,5,FALSE),IF(P1074="ALUMINIO",VLOOKUP(Q1074,'[3]Velocidades Std 1500 w'!$B$30:$F$38,5,FALSE))))</f>
        <v>9.1575091575091579E-7</v>
      </c>
      <c r="S1074" s="82">
        <f t="shared" si="135"/>
        <v>4.578754578754579E-3</v>
      </c>
      <c r="T1074" s="83">
        <f t="shared" si="136"/>
        <v>56.849303076923086</v>
      </c>
      <c r="U1074" s="307">
        <f t="shared" si="130"/>
        <v>17244.288600000003</v>
      </c>
      <c r="V1074" s="80">
        <f t="shared" si="141"/>
        <v>78.9573653846154</v>
      </c>
      <c r="W1074" s="98">
        <v>400</v>
      </c>
      <c r="X1074" s="84">
        <f>+IF(P1074="ACERO A36",VLOOKUP(Q1074,'[3]Tiempo Objeto'!$B$2:$C$12,2,FALSE),IF(P1074="INOXIDABLE",VLOOKUP(Q1074,'[3]Tiempo Objeto'!$B$14:$C$22,2,FALSE),IF(P1074="ALUMINIO",VLOOKUP(Q1074,'[3]Tiempo Objeto'!$B$24:$C$32,2,FALSE))))</f>
        <v>0.24666666666666667</v>
      </c>
      <c r="Y1074" s="84">
        <f t="shared" si="137"/>
        <v>98.666666666666671</v>
      </c>
      <c r="Z1074" s="80">
        <f t="shared" si="138"/>
        <v>137.03703703703704</v>
      </c>
      <c r="AA1074" s="100">
        <v>5</v>
      </c>
      <c r="AB1074" s="86">
        <f>+AA1074*Analisis!$J$6</f>
        <v>125</v>
      </c>
      <c r="AC1074" s="100"/>
      <c r="AD1074" s="85">
        <f t="shared" si="139"/>
        <v>0</v>
      </c>
      <c r="AE1074" s="86">
        <f>+AC1074*Analisis!$J$7</f>
        <v>0</v>
      </c>
      <c r="AF1074" s="308">
        <f>+H1074*0.0254*I1074*0.0254*2*(1+[3]Analisis!$G$2)</f>
        <v>0.21841375672000002</v>
      </c>
      <c r="AG1074" s="86">
        <f>+AF1074*Analisis!$J$8</f>
        <v>23.271465745761915</v>
      </c>
      <c r="AH1074" s="309">
        <f t="shared" ref="AH1074:AH1137" si="144">+AE1074+AB1074+Z1074+V1074+M1074+AG1074</f>
        <v>394.95804758749966</v>
      </c>
      <c r="AI1074" s="86">
        <f>+AH1074/(1-Analisis!G1079)</f>
        <v>394.95804758749966</v>
      </c>
      <c r="AJ1074" s="86">
        <f t="shared" si="140"/>
        <v>424.68607267473084</v>
      </c>
      <c r="AK1074" s="86">
        <f t="shared" ref="AK1074:AK1137" si="145">+AJ1074*D1074</f>
        <v>0</v>
      </c>
      <c r="AL1074" s="310" t="e">
        <f>+VLOOKUP(B1074,#REF!,2,FALSE)</f>
        <v>#REF!</v>
      </c>
      <c r="AM1074" s="311" t="e">
        <f t="shared" si="143"/>
        <v>#REF!</v>
      </c>
      <c r="AN1074" s="312" t="e">
        <f t="shared" si="129"/>
        <v>#REF!</v>
      </c>
    </row>
    <row r="1075" spans="1:40" s="73" customFormat="1" x14ac:dyDescent="0.25">
      <c r="A1075" s="313"/>
      <c r="B1075" s="329" t="s">
        <v>1706</v>
      </c>
      <c r="D1075" s="74">
        <f>IFERROR(VLOOKUP(B1075,'REQ. PINTADO'!B:C,2,0),0)</f>
        <v>0</v>
      </c>
      <c r="E1075" s="305">
        <f t="shared" si="133"/>
        <v>444.95024445360809</v>
      </c>
      <c r="F1075" s="397" t="s">
        <v>166</v>
      </c>
      <c r="G1075" s="75" t="s">
        <v>147</v>
      </c>
      <c r="H1075" s="90">
        <v>16.079999999999998</v>
      </c>
      <c r="I1075" s="90">
        <v>11.21</v>
      </c>
      <c r="J1075" s="76">
        <v>0.105</v>
      </c>
      <c r="K1075" s="306">
        <v>16.38</v>
      </c>
      <c r="L1075" s="78">
        <f t="shared" si="134"/>
        <v>5.4872610515010649</v>
      </c>
      <c r="M1075" s="58">
        <f>+VLOOKUP(F1075,Material!$H$2:$M$17,6,FALSE)*H1075*I1075*(1+Material!$K$14)</f>
        <v>40.855152737994288</v>
      </c>
      <c r="N1075" s="79" t="str">
        <f t="shared" si="142"/>
        <v>T5.0</v>
      </c>
      <c r="O1075" s="80">
        <f>+VLOOKUP(N1075,[3]Material!$A$3:$B$58,2,FALSE)</f>
        <v>5000</v>
      </c>
      <c r="P1075" s="79" t="s">
        <v>42</v>
      </c>
      <c r="Q1075" s="79" t="str">
        <f>+VLOOKUP(F1075,[3]Material!$C$2:$E$12,2,FALSE)</f>
        <v>Cal 16</v>
      </c>
      <c r="R1075" s="81">
        <f>+IF(P1075="ACERO A36",VLOOKUP(Q1075,'[3]Velocidades Std 1500 w'!$B$2:$F$15,5,FALSE),IF(P1075="INOXIDABLE",VLOOKUP(Q1075,'[3]Velocidades Std 1500 w'!$B$17:$F$28,5,FALSE),IF(P1075="ALUMINIO",VLOOKUP(Q1075,'[3]Velocidades Std 1500 w'!$B$30:$F$38,5,FALSE))))</f>
        <v>9.1575091575091579E-7</v>
      </c>
      <c r="S1075" s="82">
        <f t="shared" si="135"/>
        <v>4.578754578754579E-3</v>
      </c>
      <c r="T1075" s="83">
        <f t="shared" si="136"/>
        <v>57.5526876923077</v>
      </c>
      <c r="U1075" s="307">
        <f t="shared" si="130"/>
        <v>17457.6486</v>
      </c>
      <c r="V1075" s="80">
        <f t="shared" si="141"/>
        <v>79.934288461538472</v>
      </c>
      <c r="W1075" s="98">
        <v>400</v>
      </c>
      <c r="X1075" s="84">
        <f>+IF(P1075="ACERO A36",VLOOKUP(Q1075,'[3]Tiempo Objeto'!$B$2:$C$12,2,FALSE),IF(P1075="INOXIDABLE",VLOOKUP(Q1075,'[3]Tiempo Objeto'!$B$14:$C$22,2,FALSE),IF(P1075="ALUMINIO",VLOOKUP(Q1075,'[3]Tiempo Objeto'!$B$24:$C$32,2,FALSE))))</f>
        <v>0.24666666666666667</v>
      </c>
      <c r="Y1075" s="84">
        <f t="shared" si="137"/>
        <v>98.666666666666671</v>
      </c>
      <c r="Z1075" s="80">
        <f t="shared" si="138"/>
        <v>137.03703703703704</v>
      </c>
      <c r="AA1075" s="100">
        <v>5</v>
      </c>
      <c r="AB1075" s="86">
        <f>+AA1075*Analisis!$J$6</f>
        <v>125</v>
      </c>
      <c r="AC1075" s="100"/>
      <c r="AD1075" s="85">
        <f t="shared" si="139"/>
        <v>0</v>
      </c>
      <c r="AE1075" s="86">
        <f>+AC1075*Analisis!$J$7</f>
        <v>0</v>
      </c>
      <c r="AF1075" s="308">
        <f>+H1075*0.0254*I1075*0.0254*2*(1+[3]Analisis!$G$2)</f>
        <v>0.29073619271999995</v>
      </c>
      <c r="AG1075" s="86">
        <f>+AF1075*Analisis!$J$8</f>
        <v>30.977249105285718</v>
      </c>
      <c r="AH1075" s="309">
        <f t="shared" si="144"/>
        <v>413.80372734185551</v>
      </c>
      <c r="AI1075" s="86">
        <f>+AH1075/(1-Analisis!G1080)</f>
        <v>413.80372734185551</v>
      </c>
      <c r="AJ1075" s="86">
        <f t="shared" si="140"/>
        <v>444.95024445360809</v>
      </c>
      <c r="AK1075" s="86">
        <f t="shared" si="145"/>
        <v>0</v>
      </c>
      <c r="AL1075" s="310" t="e">
        <f>+VLOOKUP(B1075,#REF!,2,FALSE)</f>
        <v>#REF!</v>
      </c>
      <c r="AM1075" s="311" t="e">
        <f t="shared" si="143"/>
        <v>#REF!</v>
      </c>
      <c r="AN1075" s="312" t="e">
        <f t="shared" si="129"/>
        <v>#REF!</v>
      </c>
    </row>
    <row r="1076" spans="1:40" s="73" customFormat="1" x14ac:dyDescent="0.25">
      <c r="A1076" s="313"/>
      <c r="B1076" s="329" t="s">
        <v>1707</v>
      </c>
      <c r="D1076" s="74">
        <f>IFERROR(VLOOKUP(B1076,'REQ. PINTADO'!B:C,2,0),0)</f>
        <v>0</v>
      </c>
      <c r="E1076" s="305">
        <f t="shared" si="133"/>
        <v>455.08233034304681</v>
      </c>
      <c r="F1076" s="397" t="s">
        <v>166</v>
      </c>
      <c r="G1076" s="75" t="s">
        <v>147</v>
      </c>
      <c r="H1076" s="90">
        <v>18.079999999999998</v>
      </c>
      <c r="I1076" s="90">
        <v>11.21</v>
      </c>
      <c r="J1076" s="76">
        <v>0.105</v>
      </c>
      <c r="K1076" s="306">
        <v>16.38</v>
      </c>
      <c r="L1076" s="78">
        <f t="shared" si="134"/>
        <v>6.1697562071604022</v>
      </c>
      <c r="M1076" s="58">
        <f>+VLOOKUP(F1076,Material!$H$2:$M$17,6,FALSE)*H1076*I1076*(1+Material!$K$14)</f>
        <v>45.936639396948806</v>
      </c>
      <c r="N1076" s="79" t="str">
        <f t="shared" si="142"/>
        <v>T5.0</v>
      </c>
      <c r="O1076" s="80">
        <f>+VLOOKUP(N1076,[3]Material!$A$3:$B$58,2,FALSE)</f>
        <v>5000</v>
      </c>
      <c r="P1076" s="79" t="s">
        <v>42</v>
      </c>
      <c r="Q1076" s="79" t="str">
        <f>+VLOOKUP(F1076,[3]Material!$C$2:$E$12,2,FALSE)</f>
        <v>Cal 16</v>
      </c>
      <c r="R1076" s="81">
        <f>+IF(P1076="ACERO A36",VLOOKUP(Q1076,'[3]Velocidades Std 1500 w'!$B$2:$F$15,5,FALSE),IF(P1076="INOXIDABLE",VLOOKUP(Q1076,'[3]Velocidades Std 1500 w'!$B$17:$F$28,5,FALSE),IF(P1076="ALUMINIO",VLOOKUP(Q1076,'[3]Velocidades Std 1500 w'!$B$30:$F$38,5,FALSE))))</f>
        <v>9.1575091575091579E-7</v>
      </c>
      <c r="S1076" s="82">
        <f t="shared" si="135"/>
        <v>4.578754578754579E-3</v>
      </c>
      <c r="T1076" s="83">
        <f t="shared" si="136"/>
        <v>57.90438000000001</v>
      </c>
      <c r="U1076" s="307">
        <f t="shared" si="130"/>
        <v>17564.328600000001</v>
      </c>
      <c r="V1076" s="80">
        <f t="shared" si="141"/>
        <v>80.422750000000008</v>
      </c>
      <c r="W1076" s="98">
        <v>400</v>
      </c>
      <c r="X1076" s="84">
        <f>+IF(P1076="ACERO A36",VLOOKUP(Q1076,'[3]Tiempo Objeto'!$B$2:$C$12,2,FALSE),IF(P1076="INOXIDABLE",VLOOKUP(Q1076,'[3]Tiempo Objeto'!$B$14:$C$22,2,FALSE),IF(P1076="ALUMINIO",VLOOKUP(Q1076,'[3]Tiempo Objeto'!$B$24:$C$32,2,FALSE))))</f>
        <v>0.24666666666666667</v>
      </c>
      <c r="Y1076" s="84">
        <f t="shared" si="137"/>
        <v>98.666666666666671</v>
      </c>
      <c r="Z1076" s="80">
        <f t="shared" si="138"/>
        <v>137.03703703703704</v>
      </c>
      <c r="AA1076" s="100">
        <v>5</v>
      </c>
      <c r="AB1076" s="86">
        <f>+AA1076*Analisis!$J$6</f>
        <v>125</v>
      </c>
      <c r="AC1076" s="100"/>
      <c r="AD1076" s="85">
        <f t="shared" si="139"/>
        <v>0</v>
      </c>
      <c r="AE1076" s="86">
        <f>+AC1076*Analisis!$J$7</f>
        <v>0</v>
      </c>
      <c r="AF1076" s="308">
        <f>+H1076*0.0254*I1076*0.0254*2*(1+[3]Analisis!$G$2)</f>
        <v>0.32689741071999989</v>
      </c>
      <c r="AG1076" s="86">
        <f>+AF1076*Analisis!$J$8</f>
        <v>34.830140785047618</v>
      </c>
      <c r="AH1076" s="309">
        <f t="shared" si="144"/>
        <v>423.22656721903348</v>
      </c>
      <c r="AI1076" s="86">
        <f>+AH1076/(1-Analisis!G1081)</f>
        <v>423.22656721903348</v>
      </c>
      <c r="AJ1076" s="86">
        <f t="shared" si="140"/>
        <v>455.08233034304681</v>
      </c>
      <c r="AK1076" s="86">
        <f t="shared" si="145"/>
        <v>0</v>
      </c>
      <c r="AL1076" s="310" t="e">
        <f>+VLOOKUP(B1076,#REF!,2,FALSE)</f>
        <v>#REF!</v>
      </c>
      <c r="AM1076" s="311" t="e">
        <f t="shared" si="143"/>
        <v>#REF!</v>
      </c>
      <c r="AN1076" s="312" t="e">
        <f t="shared" si="129"/>
        <v>#REF!</v>
      </c>
    </row>
    <row r="1077" spans="1:40" s="73" customFormat="1" x14ac:dyDescent="0.25">
      <c r="A1077" s="313"/>
      <c r="B1077" s="329" t="s">
        <v>1708</v>
      </c>
      <c r="D1077" s="74">
        <f>IFERROR(VLOOKUP(B1077,'REQ. PINTADO'!B:C,2,0),0)</f>
        <v>0</v>
      </c>
      <c r="E1077" s="305">
        <f t="shared" si="133"/>
        <v>485.47858801136277</v>
      </c>
      <c r="F1077" s="397" t="s">
        <v>166</v>
      </c>
      <c r="G1077" s="75" t="s">
        <v>147</v>
      </c>
      <c r="H1077" s="90">
        <v>24.08</v>
      </c>
      <c r="I1077" s="90">
        <v>11.21</v>
      </c>
      <c r="J1077" s="76">
        <v>0.105</v>
      </c>
      <c r="K1077" s="306">
        <v>16.38</v>
      </c>
      <c r="L1077" s="78">
        <f t="shared" si="134"/>
        <v>8.2172416741384122</v>
      </c>
      <c r="M1077" s="58">
        <f>+VLOOKUP(F1077,Material!$H$2:$M$17,6,FALSE)*H1077*I1077*(1+Material!$K$14)</f>
        <v>61.181099373812351</v>
      </c>
      <c r="N1077" s="79" t="str">
        <f t="shared" si="142"/>
        <v>T5.0</v>
      </c>
      <c r="O1077" s="80">
        <f>+VLOOKUP(N1077,[3]Material!$A$3:$B$58,2,FALSE)</f>
        <v>5000</v>
      </c>
      <c r="P1077" s="79" t="s">
        <v>42</v>
      </c>
      <c r="Q1077" s="79" t="str">
        <f>+VLOOKUP(F1077,[3]Material!$C$2:$E$12,2,FALSE)</f>
        <v>Cal 16</v>
      </c>
      <c r="R1077" s="81">
        <f>+IF(P1077="ACERO A36",VLOOKUP(Q1077,'[3]Velocidades Std 1500 w'!$B$2:$F$15,5,FALSE),IF(P1077="INOXIDABLE",VLOOKUP(Q1077,'[3]Velocidades Std 1500 w'!$B$17:$F$28,5,FALSE),IF(P1077="ALUMINIO",VLOOKUP(Q1077,'[3]Velocidades Std 1500 w'!$B$30:$F$38,5,FALSE))))</f>
        <v>9.1575091575091579E-7</v>
      </c>
      <c r="S1077" s="82">
        <f t="shared" si="135"/>
        <v>4.578754578754579E-3</v>
      </c>
      <c r="T1077" s="83">
        <f t="shared" si="136"/>
        <v>58.959456923076935</v>
      </c>
      <c r="U1077" s="307">
        <f t="shared" si="130"/>
        <v>17884.368600000002</v>
      </c>
      <c r="V1077" s="80">
        <f t="shared" si="141"/>
        <v>81.888134615384629</v>
      </c>
      <c r="W1077" s="98">
        <v>400</v>
      </c>
      <c r="X1077" s="84">
        <f>+IF(P1077="ACERO A36",VLOOKUP(Q1077,'[3]Tiempo Objeto'!$B$2:$C$12,2,FALSE),IF(P1077="INOXIDABLE",VLOOKUP(Q1077,'[3]Tiempo Objeto'!$B$14:$C$22,2,FALSE),IF(P1077="ALUMINIO",VLOOKUP(Q1077,'[3]Tiempo Objeto'!$B$24:$C$32,2,FALSE))))</f>
        <v>0.24666666666666667</v>
      </c>
      <c r="Y1077" s="84">
        <f t="shared" si="137"/>
        <v>98.666666666666671</v>
      </c>
      <c r="Z1077" s="80">
        <f t="shared" si="138"/>
        <v>137.03703703703704</v>
      </c>
      <c r="AA1077" s="100">
        <v>5</v>
      </c>
      <c r="AB1077" s="86">
        <f>+AA1077*Analisis!$J$6</f>
        <v>125</v>
      </c>
      <c r="AC1077" s="100"/>
      <c r="AD1077" s="85">
        <f t="shared" si="139"/>
        <v>0</v>
      </c>
      <c r="AE1077" s="86">
        <f>+AC1077*Analisis!$J$7</f>
        <v>0</v>
      </c>
      <c r="AF1077" s="308">
        <f>+H1077*0.0254*I1077*0.0254*2*(1+[3]Analisis!$G$2)</f>
        <v>0.43538106471999993</v>
      </c>
      <c r="AG1077" s="86">
        <f>+AF1077*Analisis!$J$8</f>
        <v>46.388815824333342</v>
      </c>
      <c r="AH1077" s="309">
        <f t="shared" si="144"/>
        <v>451.49508685056736</v>
      </c>
      <c r="AI1077" s="86">
        <f>+AH1077/(1-Analisis!G1082)</f>
        <v>451.49508685056736</v>
      </c>
      <c r="AJ1077" s="86">
        <f t="shared" si="140"/>
        <v>485.47858801136277</v>
      </c>
      <c r="AK1077" s="86">
        <f t="shared" si="145"/>
        <v>0</v>
      </c>
      <c r="AL1077" s="310" t="e">
        <f>+VLOOKUP(B1077,#REF!,2,FALSE)</f>
        <v>#REF!</v>
      </c>
      <c r="AM1077" s="311" t="e">
        <f t="shared" si="143"/>
        <v>#REF!</v>
      </c>
      <c r="AN1077" s="312" t="e">
        <f t="shared" si="129"/>
        <v>#REF!</v>
      </c>
    </row>
    <row r="1078" spans="1:40" s="73" customFormat="1" x14ac:dyDescent="0.25">
      <c r="A1078" s="313"/>
      <c r="B1078" s="329" t="s">
        <v>1709</v>
      </c>
      <c r="D1078" s="74">
        <f>IFERROR(VLOOKUP(B1078,'REQ. PINTADO'!B:C,2,0),0)</f>
        <v>0</v>
      </c>
      <c r="E1078" s="305">
        <f t="shared" si="133"/>
        <v>556.40318923743348</v>
      </c>
      <c r="F1078" s="397" t="s">
        <v>166</v>
      </c>
      <c r="G1078" s="75" t="s">
        <v>147</v>
      </c>
      <c r="H1078" s="90">
        <v>38.08</v>
      </c>
      <c r="I1078" s="90">
        <v>11.21</v>
      </c>
      <c r="J1078" s="76">
        <v>0.105</v>
      </c>
      <c r="K1078" s="306">
        <v>16.38</v>
      </c>
      <c r="L1078" s="78">
        <f t="shared" si="134"/>
        <v>12.99470776375377</v>
      </c>
      <c r="M1078" s="58">
        <f>+VLOOKUP(F1078,Material!$H$2:$M$17,6,FALSE)*H1078*I1078*(1+Material!$K$14)</f>
        <v>96.751505986493953</v>
      </c>
      <c r="N1078" s="79" t="str">
        <f t="shared" si="142"/>
        <v>T5.0</v>
      </c>
      <c r="O1078" s="80">
        <f>+VLOOKUP(N1078,[3]Material!$A$3:$B$58,2,FALSE)</f>
        <v>5000</v>
      </c>
      <c r="P1078" s="79" t="s">
        <v>42</v>
      </c>
      <c r="Q1078" s="79" t="str">
        <f>+VLOOKUP(F1078,[3]Material!$C$2:$E$12,2,FALSE)</f>
        <v>Cal 16</v>
      </c>
      <c r="R1078" s="81">
        <f>+IF(P1078="ACERO A36",VLOOKUP(Q1078,'[3]Velocidades Std 1500 w'!$B$2:$F$15,5,FALSE),IF(P1078="INOXIDABLE",VLOOKUP(Q1078,'[3]Velocidades Std 1500 w'!$B$17:$F$28,5,FALSE),IF(P1078="ALUMINIO",VLOOKUP(Q1078,'[3]Velocidades Std 1500 w'!$B$30:$F$38,5,FALSE))))</f>
        <v>9.1575091575091579E-7</v>
      </c>
      <c r="S1078" s="82">
        <f t="shared" si="135"/>
        <v>4.578754578754579E-3</v>
      </c>
      <c r="T1078" s="83">
        <f t="shared" si="136"/>
        <v>61.421303076923074</v>
      </c>
      <c r="U1078" s="307">
        <f t="shared" si="130"/>
        <v>18631.1286</v>
      </c>
      <c r="V1078" s="80">
        <f t="shared" si="141"/>
        <v>85.307365384615395</v>
      </c>
      <c r="W1078" s="98">
        <v>400</v>
      </c>
      <c r="X1078" s="84">
        <f>+IF(P1078="ACERO A36",VLOOKUP(Q1078,'[3]Tiempo Objeto'!$B$2:$C$12,2,FALSE),IF(P1078="INOXIDABLE",VLOOKUP(Q1078,'[3]Tiempo Objeto'!$B$14:$C$22,2,FALSE),IF(P1078="ALUMINIO",VLOOKUP(Q1078,'[3]Tiempo Objeto'!$B$24:$C$32,2,FALSE))))</f>
        <v>0.24666666666666667</v>
      </c>
      <c r="Y1078" s="84">
        <f t="shared" si="137"/>
        <v>98.666666666666671</v>
      </c>
      <c r="Z1078" s="80">
        <f t="shared" si="138"/>
        <v>137.03703703703704</v>
      </c>
      <c r="AA1078" s="100">
        <v>5</v>
      </c>
      <c r="AB1078" s="86">
        <f>+AA1078*Analisis!$J$6</f>
        <v>125</v>
      </c>
      <c r="AC1078" s="100"/>
      <c r="AD1078" s="85">
        <f t="shared" si="139"/>
        <v>0</v>
      </c>
      <c r="AE1078" s="86">
        <f>+AC1078*Analisis!$J$7</f>
        <v>0</v>
      </c>
      <c r="AF1078" s="308">
        <f>+H1078*0.0254*I1078*0.0254*2*(1+[3]Analisis!$G$2)</f>
        <v>0.68850959071999995</v>
      </c>
      <c r="AG1078" s="86">
        <f>+AF1078*Analisis!$J$8</f>
        <v>73.359057582666679</v>
      </c>
      <c r="AH1078" s="309">
        <f t="shared" si="144"/>
        <v>517.45496599081309</v>
      </c>
      <c r="AI1078" s="86">
        <f>+AH1078/(1-Analisis!G1083)</f>
        <v>517.45496599081309</v>
      </c>
      <c r="AJ1078" s="86">
        <f t="shared" si="140"/>
        <v>556.40318923743348</v>
      </c>
      <c r="AK1078" s="86">
        <f t="shared" si="145"/>
        <v>0</v>
      </c>
      <c r="AL1078" s="310" t="e">
        <f>+VLOOKUP(B1078,#REF!,2,FALSE)</f>
        <v>#REF!</v>
      </c>
      <c r="AM1078" s="311" t="e">
        <f t="shared" si="143"/>
        <v>#REF!</v>
      </c>
      <c r="AN1078" s="312" t="e">
        <f t="shared" si="129"/>
        <v>#REF!</v>
      </c>
    </row>
    <row r="1079" spans="1:40" s="73" customFormat="1" x14ac:dyDescent="0.25">
      <c r="A1079" s="313"/>
      <c r="B1079" s="329" t="s">
        <v>1710</v>
      </c>
      <c r="D1079" s="74">
        <f>IFERROR(VLOOKUP(B1079,'REQ. PINTADO'!B:C,2,0),0)</f>
        <v>0</v>
      </c>
      <c r="E1079" s="305">
        <f t="shared" si="133"/>
        <v>515.87484567967874</v>
      </c>
      <c r="F1079" s="397" t="s">
        <v>166</v>
      </c>
      <c r="G1079" s="75" t="s">
        <v>147</v>
      </c>
      <c r="H1079" s="90">
        <v>30.08</v>
      </c>
      <c r="I1079" s="90">
        <v>11.21</v>
      </c>
      <c r="J1079" s="76">
        <v>0.105</v>
      </c>
      <c r="K1079" s="306">
        <v>16.38</v>
      </c>
      <c r="L1079" s="78">
        <f t="shared" si="134"/>
        <v>10.264727141116422</v>
      </c>
      <c r="M1079" s="58">
        <f>+VLOOKUP(F1079,Material!$H$2:$M$17,6,FALSE)*H1079*I1079*(1+Material!$K$14)</f>
        <v>76.425559350675897</v>
      </c>
      <c r="N1079" s="79" t="str">
        <f t="shared" si="142"/>
        <v>T5.0</v>
      </c>
      <c r="O1079" s="80">
        <f>+VLOOKUP(N1079,[3]Material!$A$3:$B$58,2,FALSE)</f>
        <v>5000</v>
      </c>
      <c r="P1079" s="79" t="s">
        <v>42</v>
      </c>
      <c r="Q1079" s="79" t="str">
        <f>+VLOOKUP(F1079,[3]Material!$C$2:$E$12,2,FALSE)</f>
        <v>Cal 16</v>
      </c>
      <c r="R1079" s="81">
        <f>+IF(P1079="ACERO A36",VLOOKUP(Q1079,'[3]Velocidades Std 1500 w'!$B$2:$F$15,5,FALSE),IF(P1079="INOXIDABLE",VLOOKUP(Q1079,'[3]Velocidades Std 1500 w'!$B$17:$F$28,5,FALSE),IF(P1079="ALUMINIO",VLOOKUP(Q1079,'[3]Velocidades Std 1500 w'!$B$30:$F$38,5,FALSE))))</f>
        <v>9.1575091575091579E-7</v>
      </c>
      <c r="S1079" s="82">
        <f t="shared" si="135"/>
        <v>4.578754578754579E-3</v>
      </c>
      <c r="T1079" s="83">
        <f t="shared" si="136"/>
        <v>60.014533846153846</v>
      </c>
      <c r="U1079" s="307">
        <f t="shared" si="130"/>
        <v>18204.408599999999</v>
      </c>
      <c r="V1079" s="80">
        <f t="shared" si="141"/>
        <v>83.353519230769223</v>
      </c>
      <c r="W1079" s="98">
        <v>400</v>
      </c>
      <c r="X1079" s="84">
        <f>+IF(P1079="ACERO A36",VLOOKUP(Q1079,'[3]Tiempo Objeto'!$B$2:$C$12,2,FALSE),IF(P1079="INOXIDABLE",VLOOKUP(Q1079,'[3]Tiempo Objeto'!$B$14:$C$22,2,FALSE),IF(P1079="ALUMINIO",VLOOKUP(Q1079,'[3]Tiempo Objeto'!$B$24:$C$32,2,FALSE))))</f>
        <v>0.24666666666666667</v>
      </c>
      <c r="Y1079" s="84">
        <f t="shared" si="137"/>
        <v>98.666666666666671</v>
      </c>
      <c r="Z1079" s="80">
        <f t="shared" si="138"/>
        <v>137.03703703703704</v>
      </c>
      <c r="AA1079" s="100">
        <v>5</v>
      </c>
      <c r="AB1079" s="86">
        <f>+AA1079*Analisis!$J$6</f>
        <v>125</v>
      </c>
      <c r="AC1079" s="100"/>
      <c r="AD1079" s="85">
        <f t="shared" si="139"/>
        <v>0</v>
      </c>
      <c r="AE1079" s="86">
        <f>+AC1079*Analisis!$J$7</f>
        <v>0</v>
      </c>
      <c r="AF1079" s="308">
        <f>+H1079*0.0254*I1079*0.0254*2*(1+[3]Analisis!$G$2)</f>
        <v>0.54386471871999997</v>
      </c>
      <c r="AG1079" s="86">
        <f>+AF1079*Analisis!$J$8</f>
        <v>57.947490863619059</v>
      </c>
      <c r="AH1079" s="309">
        <f t="shared" si="144"/>
        <v>479.76360648210124</v>
      </c>
      <c r="AI1079" s="86">
        <f>+AH1079/(1-Analisis!G1084)</f>
        <v>479.76360648210124</v>
      </c>
      <c r="AJ1079" s="86">
        <f t="shared" si="140"/>
        <v>515.87484567967874</v>
      </c>
      <c r="AK1079" s="86">
        <f t="shared" si="145"/>
        <v>0</v>
      </c>
      <c r="AL1079" s="310" t="e">
        <f>+VLOOKUP(B1079,#REF!,2,FALSE)</f>
        <v>#REF!</v>
      </c>
      <c r="AM1079" s="311" t="e">
        <f t="shared" si="143"/>
        <v>#REF!</v>
      </c>
      <c r="AN1079" s="312" t="e">
        <f t="shared" si="129"/>
        <v>#REF!</v>
      </c>
    </row>
    <row r="1080" spans="1:40" s="73" customFormat="1" x14ac:dyDescent="0.25">
      <c r="A1080" s="313"/>
      <c r="B1080" s="329" t="s">
        <v>1711</v>
      </c>
      <c r="D1080" s="74">
        <f>IFERROR(VLOOKUP(B1080,'REQ. PINTADO'!B:C,2,0),0)</f>
        <v>0</v>
      </c>
      <c r="E1080" s="305">
        <f t="shared" si="133"/>
        <v>546.27110334799477</v>
      </c>
      <c r="F1080" s="397" t="s">
        <v>166</v>
      </c>
      <c r="G1080" s="75" t="s">
        <v>147</v>
      </c>
      <c r="H1080" s="90">
        <v>36.08</v>
      </c>
      <c r="I1080" s="90">
        <v>11.21</v>
      </c>
      <c r="J1080" s="76">
        <v>0.105</v>
      </c>
      <c r="K1080" s="306">
        <v>16.38</v>
      </c>
      <c r="L1080" s="78">
        <f t="shared" si="134"/>
        <v>12.312212608094431</v>
      </c>
      <c r="M1080" s="58">
        <f>+VLOOKUP(F1080,Material!$H$2:$M$17,6,FALSE)*H1080*I1080*(1+Material!$K$14)</f>
        <v>91.670019327539435</v>
      </c>
      <c r="N1080" s="79" t="str">
        <f t="shared" si="142"/>
        <v>T5.0</v>
      </c>
      <c r="O1080" s="80">
        <f>+VLOOKUP(N1080,[3]Material!$A$3:$B$58,2,FALSE)</f>
        <v>5000</v>
      </c>
      <c r="P1080" s="79" t="s">
        <v>42</v>
      </c>
      <c r="Q1080" s="79" t="str">
        <f>+VLOOKUP(F1080,[3]Material!$C$2:$E$12,2,FALSE)</f>
        <v>Cal 16</v>
      </c>
      <c r="R1080" s="81">
        <f>+IF(P1080="ACERO A36",VLOOKUP(Q1080,'[3]Velocidades Std 1500 w'!$B$2:$F$15,5,FALSE),IF(P1080="INOXIDABLE",VLOOKUP(Q1080,'[3]Velocidades Std 1500 w'!$B$17:$F$28,5,FALSE),IF(P1080="ALUMINIO",VLOOKUP(Q1080,'[3]Velocidades Std 1500 w'!$B$30:$F$38,5,FALSE))))</f>
        <v>9.1575091575091579E-7</v>
      </c>
      <c r="S1080" s="82">
        <f t="shared" si="135"/>
        <v>4.578754578754579E-3</v>
      </c>
      <c r="T1080" s="83">
        <f t="shared" si="136"/>
        <v>61.069610769230771</v>
      </c>
      <c r="U1080" s="307">
        <f t="shared" si="130"/>
        <v>18524.4486</v>
      </c>
      <c r="V1080" s="80">
        <f t="shared" si="141"/>
        <v>84.818903846153844</v>
      </c>
      <c r="W1080" s="98">
        <v>400</v>
      </c>
      <c r="X1080" s="84">
        <f>+IF(P1080="ACERO A36",VLOOKUP(Q1080,'[3]Tiempo Objeto'!$B$2:$C$12,2,FALSE),IF(P1080="INOXIDABLE",VLOOKUP(Q1080,'[3]Tiempo Objeto'!$B$14:$C$22,2,FALSE),IF(P1080="ALUMINIO",VLOOKUP(Q1080,'[3]Tiempo Objeto'!$B$24:$C$32,2,FALSE))))</f>
        <v>0.24666666666666667</v>
      </c>
      <c r="Y1080" s="84">
        <f t="shared" si="137"/>
        <v>98.666666666666671</v>
      </c>
      <c r="Z1080" s="80">
        <f t="shared" si="138"/>
        <v>137.03703703703704</v>
      </c>
      <c r="AA1080" s="100">
        <v>5</v>
      </c>
      <c r="AB1080" s="86">
        <f>+AA1080*Analisis!$J$6</f>
        <v>125</v>
      </c>
      <c r="AC1080" s="100"/>
      <c r="AD1080" s="85">
        <f t="shared" si="139"/>
        <v>0</v>
      </c>
      <c r="AE1080" s="86">
        <f>+AC1080*Analisis!$J$7</f>
        <v>0</v>
      </c>
      <c r="AF1080" s="308">
        <f>+H1080*0.0254*I1080*0.0254*2*(1+[3]Analisis!$G$2)</f>
        <v>0.6523483727199999</v>
      </c>
      <c r="AG1080" s="86">
        <f>+AF1080*Analisis!$J$8</f>
        <v>69.506165902904769</v>
      </c>
      <c r="AH1080" s="309">
        <f t="shared" si="144"/>
        <v>508.03212611363506</v>
      </c>
      <c r="AI1080" s="86">
        <f>+AH1080/(1-Analisis!G1085)</f>
        <v>508.03212611363506</v>
      </c>
      <c r="AJ1080" s="86">
        <f t="shared" si="140"/>
        <v>546.27110334799477</v>
      </c>
      <c r="AK1080" s="86">
        <f t="shared" si="145"/>
        <v>0</v>
      </c>
      <c r="AL1080" s="310" t="e">
        <f>+VLOOKUP(B1080,#REF!,2,FALSE)</f>
        <v>#REF!</v>
      </c>
      <c r="AM1080" s="311" t="e">
        <f t="shared" si="143"/>
        <v>#REF!</v>
      </c>
      <c r="AN1080" s="312" t="e">
        <f t="shared" si="129"/>
        <v>#REF!</v>
      </c>
    </row>
    <row r="1081" spans="1:40" s="73" customFormat="1" x14ac:dyDescent="0.25">
      <c r="A1081" s="313"/>
      <c r="B1081" s="329" t="s">
        <v>1712</v>
      </c>
      <c r="D1081" s="74">
        <f>IFERROR(VLOOKUP(B1081,'REQ. PINTADO'!B:C,2,0),0)</f>
        <v>0</v>
      </c>
      <c r="E1081" s="305">
        <f t="shared" si="133"/>
        <v>586.79944690574951</v>
      </c>
      <c r="F1081" s="397" t="s">
        <v>166</v>
      </c>
      <c r="G1081" s="75" t="s">
        <v>147</v>
      </c>
      <c r="H1081" s="90">
        <v>44.08</v>
      </c>
      <c r="I1081" s="90">
        <v>11.21</v>
      </c>
      <c r="J1081" s="76">
        <v>0.105</v>
      </c>
      <c r="K1081" s="306">
        <v>16.38</v>
      </c>
      <c r="L1081" s="78">
        <f t="shared" si="134"/>
        <v>15.042193230731778</v>
      </c>
      <c r="M1081" s="58">
        <f>+VLOOKUP(F1081,Material!$H$2:$M$17,6,FALSE)*H1081*I1081*(1+Material!$K$14)</f>
        <v>111.99596596335749</v>
      </c>
      <c r="N1081" s="79" t="str">
        <f t="shared" si="142"/>
        <v>T5.0</v>
      </c>
      <c r="O1081" s="80">
        <f>+VLOOKUP(N1081,[3]Material!$A$3:$B$58,2,FALSE)</f>
        <v>5000</v>
      </c>
      <c r="P1081" s="79" t="s">
        <v>42</v>
      </c>
      <c r="Q1081" s="79" t="str">
        <f>+VLOOKUP(F1081,[3]Material!$C$2:$E$12,2,FALSE)</f>
        <v>Cal 16</v>
      </c>
      <c r="R1081" s="81">
        <f>+IF(P1081="ACERO A36",VLOOKUP(Q1081,'[3]Velocidades Std 1500 w'!$B$2:$F$15,5,FALSE),IF(P1081="INOXIDABLE",VLOOKUP(Q1081,'[3]Velocidades Std 1500 w'!$B$17:$F$28,5,FALSE),IF(P1081="ALUMINIO",VLOOKUP(Q1081,'[3]Velocidades Std 1500 w'!$B$30:$F$38,5,FALSE))))</f>
        <v>9.1575091575091579E-7</v>
      </c>
      <c r="S1081" s="82">
        <f t="shared" si="135"/>
        <v>4.578754578754579E-3</v>
      </c>
      <c r="T1081" s="83">
        <f t="shared" si="136"/>
        <v>62.476380000000013</v>
      </c>
      <c r="U1081" s="307">
        <f t="shared" si="130"/>
        <v>18951.168600000001</v>
      </c>
      <c r="V1081" s="80">
        <f t="shared" si="141"/>
        <v>86.772750000000002</v>
      </c>
      <c r="W1081" s="98">
        <v>400</v>
      </c>
      <c r="X1081" s="84">
        <f>+IF(P1081="ACERO A36",VLOOKUP(Q1081,'[3]Tiempo Objeto'!$B$2:$C$12,2,FALSE),IF(P1081="INOXIDABLE",VLOOKUP(Q1081,'[3]Tiempo Objeto'!$B$14:$C$22,2,FALSE),IF(P1081="ALUMINIO",VLOOKUP(Q1081,'[3]Tiempo Objeto'!$B$24:$C$32,2,FALSE))))</f>
        <v>0.24666666666666667</v>
      </c>
      <c r="Y1081" s="84">
        <f t="shared" si="137"/>
        <v>98.666666666666671</v>
      </c>
      <c r="Z1081" s="80">
        <f t="shared" si="138"/>
        <v>137.03703703703704</v>
      </c>
      <c r="AA1081" s="100">
        <v>5</v>
      </c>
      <c r="AB1081" s="86">
        <f>+AA1081*Analisis!$J$6</f>
        <v>125</v>
      </c>
      <c r="AC1081" s="100"/>
      <c r="AD1081" s="85">
        <f t="shared" si="139"/>
        <v>0</v>
      </c>
      <c r="AE1081" s="86">
        <f>+AC1081*Analisis!$J$7</f>
        <v>0</v>
      </c>
      <c r="AF1081" s="308">
        <f>+H1081*0.0254*I1081*0.0254*2*(1+[3]Analisis!$G$2)</f>
        <v>0.79699324471999999</v>
      </c>
      <c r="AG1081" s="86">
        <f>+AF1081*Analisis!$J$8</f>
        <v>84.91773262195241</v>
      </c>
      <c r="AH1081" s="309">
        <f t="shared" si="144"/>
        <v>545.72348562234697</v>
      </c>
      <c r="AI1081" s="86">
        <f>+AH1081/(1-Analisis!G1086)</f>
        <v>545.72348562234697</v>
      </c>
      <c r="AJ1081" s="86">
        <f t="shared" si="140"/>
        <v>586.79944690574951</v>
      </c>
      <c r="AK1081" s="86">
        <f t="shared" si="145"/>
        <v>0</v>
      </c>
      <c r="AL1081" s="310" t="e">
        <f>+VLOOKUP(B1081,#REF!,2,FALSE)</f>
        <v>#REF!</v>
      </c>
      <c r="AM1081" s="311" t="e">
        <f t="shared" si="143"/>
        <v>#REF!</v>
      </c>
      <c r="AN1081" s="312" t="e">
        <f t="shared" si="129"/>
        <v>#REF!</v>
      </c>
    </row>
    <row r="1082" spans="1:40" s="73" customFormat="1" x14ac:dyDescent="0.25">
      <c r="A1082" s="313"/>
      <c r="B1082" s="329" t="s">
        <v>1713</v>
      </c>
      <c r="D1082" s="74">
        <f>IFERROR(VLOOKUP(B1082,'REQ. PINTADO'!B:C,2,0),0)</f>
        <v>0</v>
      </c>
      <c r="E1082" s="305">
        <f t="shared" si="133"/>
        <v>596.93153279518822</v>
      </c>
      <c r="F1082" s="397" t="s">
        <v>166</v>
      </c>
      <c r="G1082" s="75" t="s">
        <v>147</v>
      </c>
      <c r="H1082" s="90">
        <v>46.08</v>
      </c>
      <c r="I1082" s="90">
        <v>11.21</v>
      </c>
      <c r="J1082" s="76">
        <v>0.105</v>
      </c>
      <c r="K1082" s="306">
        <v>16.38</v>
      </c>
      <c r="L1082" s="78">
        <f t="shared" si="134"/>
        <v>15.724688386391113</v>
      </c>
      <c r="M1082" s="58">
        <f>+VLOOKUP(F1082,Material!$H$2:$M$17,6,FALSE)*H1082*I1082*(1+Material!$K$14)</f>
        <v>117.07745262231201</v>
      </c>
      <c r="N1082" s="79" t="str">
        <f t="shared" si="142"/>
        <v>T5.0</v>
      </c>
      <c r="O1082" s="80">
        <f>+VLOOKUP(N1082,[3]Material!$A$3:$B$58,2,FALSE)</f>
        <v>5000</v>
      </c>
      <c r="P1082" s="79" t="s">
        <v>42</v>
      </c>
      <c r="Q1082" s="79" t="str">
        <f>+VLOOKUP(F1082,[3]Material!$C$2:$E$12,2,FALSE)</f>
        <v>Cal 16</v>
      </c>
      <c r="R1082" s="81">
        <f>+IF(P1082="ACERO A36",VLOOKUP(Q1082,'[3]Velocidades Std 1500 w'!$B$2:$F$15,5,FALSE),IF(P1082="INOXIDABLE",VLOOKUP(Q1082,'[3]Velocidades Std 1500 w'!$B$17:$F$28,5,FALSE),IF(P1082="ALUMINIO",VLOOKUP(Q1082,'[3]Velocidades Std 1500 w'!$B$30:$F$38,5,FALSE))))</f>
        <v>9.1575091575091579E-7</v>
      </c>
      <c r="S1082" s="82">
        <f t="shared" si="135"/>
        <v>4.578754578754579E-3</v>
      </c>
      <c r="T1082" s="83">
        <f t="shared" si="136"/>
        <v>62.828072307692302</v>
      </c>
      <c r="U1082" s="307">
        <f t="shared" si="130"/>
        <v>19057.848599999998</v>
      </c>
      <c r="V1082" s="80">
        <f t="shared" si="141"/>
        <v>87.261211538461538</v>
      </c>
      <c r="W1082" s="98">
        <v>400</v>
      </c>
      <c r="X1082" s="84">
        <f>+IF(P1082="ACERO A36",VLOOKUP(Q1082,'[3]Tiempo Objeto'!$B$2:$C$12,2,FALSE),IF(P1082="INOXIDABLE",VLOOKUP(Q1082,'[3]Tiempo Objeto'!$B$14:$C$22,2,FALSE),IF(P1082="ALUMINIO",VLOOKUP(Q1082,'[3]Tiempo Objeto'!$B$24:$C$32,2,FALSE))))</f>
        <v>0.24666666666666667</v>
      </c>
      <c r="Y1082" s="84">
        <f t="shared" si="137"/>
        <v>98.666666666666671</v>
      </c>
      <c r="Z1082" s="80">
        <f t="shared" si="138"/>
        <v>137.03703703703704</v>
      </c>
      <c r="AA1082" s="100">
        <v>5</v>
      </c>
      <c r="AB1082" s="86">
        <f>+AA1082*Analisis!$J$6</f>
        <v>125</v>
      </c>
      <c r="AC1082" s="100"/>
      <c r="AD1082" s="85">
        <f t="shared" si="139"/>
        <v>0</v>
      </c>
      <c r="AE1082" s="86">
        <f>+AC1082*Analisis!$J$7</f>
        <v>0</v>
      </c>
      <c r="AF1082" s="308">
        <f>+H1082*0.0254*I1082*0.0254*2*(1+[3]Analisis!$G$2)</f>
        <v>0.83315446271999993</v>
      </c>
      <c r="AG1082" s="86">
        <f>+AF1082*Analisis!$J$8</f>
        <v>88.770624301714307</v>
      </c>
      <c r="AH1082" s="309">
        <f t="shared" si="144"/>
        <v>555.14632549952501</v>
      </c>
      <c r="AI1082" s="86">
        <f>+AH1082/(1-Analisis!G1087)</f>
        <v>555.14632549952501</v>
      </c>
      <c r="AJ1082" s="86">
        <f t="shared" si="140"/>
        <v>596.93153279518822</v>
      </c>
      <c r="AK1082" s="86">
        <f t="shared" si="145"/>
        <v>0</v>
      </c>
      <c r="AL1082" s="310" t="e">
        <f>+VLOOKUP(B1082,#REF!,2,FALSE)</f>
        <v>#REF!</v>
      </c>
      <c r="AM1082" s="311" t="e">
        <f t="shared" si="143"/>
        <v>#REF!</v>
      </c>
      <c r="AN1082" s="312" t="e">
        <f t="shared" si="129"/>
        <v>#REF!</v>
      </c>
    </row>
    <row r="1083" spans="1:40" s="73" customFormat="1" x14ac:dyDescent="0.25">
      <c r="A1083" s="313"/>
      <c r="B1083" s="329" t="s">
        <v>1714</v>
      </c>
      <c r="D1083" s="74">
        <f>IFERROR(VLOOKUP(B1083,'REQ. PINTADO'!B:C,2,0),0)</f>
        <v>0</v>
      </c>
      <c r="E1083" s="305">
        <f t="shared" si="133"/>
        <v>480.41254506664347</v>
      </c>
      <c r="F1083" s="397" t="s">
        <v>166</v>
      </c>
      <c r="G1083" s="75" t="s">
        <v>147</v>
      </c>
      <c r="H1083" s="90">
        <v>23.08</v>
      </c>
      <c r="I1083" s="90">
        <v>11.21</v>
      </c>
      <c r="J1083" s="76">
        <v>0.105</v>
      </c>
      <c r="K1083" s="306">
        <v>16.38</v>
      </c>
      <c r="L1083" s="78">
        <f t="shared" si="134"/>
        <v>7.8759940963087436</v>
      </c>
      <c r="M1083" s="58">
        <f>+VLOOKUP(F1083,Material!$H$2:$M$17,6,FALSE)*H1083*I1083*(1+Material!$K$14)</f>
        <v>58.640356044335093</v>
      </c>
      <c r="N1083" s="79" t="str">
        <f t="shared" si="142"/>
        <v>T5.0</v>
      </c>
      <c r="O1083" s="80">
        <f>+VLOOKUP(N1083,[3]Material!$A$3:$B$58,2,FALSE)</f>
        <v>5000</v>
      </c>
      <c r="P1083" s="79" t="s">
        <v>42</v>
      </c>
      <c r="Q1083" s="79" t="str">
        <f>+VLOOKUP(F1083,[3]Material!$C$2:$E$12,2,FALSE)</f>
        <v>Cal 16</v>
      </c>
      <c r="R1083" s="81">
        <f>+IF(P1083="ACERO A36",VLOOKUP(Q1083,'[3]Velocidades Std 1500 w'!$B$2:$F$15,5,FALSE),IF(P1083="INOXIDABLE",VLOOKUP(Q1083,'[3]Velocidades Std 1500 w'!$B$17:$F$28,5,FALSE),IF(P1083="ALUMINIO",VLOOKUP(Q1083,'[3]Velocidades Std 1500 w'!$B$30:$F$38,5,FALSE))))</f>
        <v>9.1575091575091579E-7</v>
      </c>
      <c r="S1083" s="82">
        <f t="shared" si="135"/>
        <v>4.578754578754579E-3</v>
      </c>
      <c r="T1083" s="83">
        <f t="shared" si="136"/>
        <v>58.783610769230776</v>
      </c>
      <c r="U1083" s="307">
        <f t="shared" si="130"/>
        <v>17831.028600000001</v>
      </c>
      <c r="V1083" s="80">
        <f t="shared" si="141"/>
        <v>81.643903846153862</v>
      </c>
      <c r="W1083" s="98">
        <v>400</v>
      </c>
      <c r="X1083" s="84">
        <f>+IF(P1083="ACERO A36",VLOOKUP(Q1083,'[3]Tiempo Objeto'!$B$2:$C$12,2,FALSE),IF(P1083="INOXIDABLE",VLOOKUP(Q1083,'[3]Tiempo Objeto'!$B$14:$C$22,2,FALSE),IF(P1083="ALUMINIO",VLOOKUP(Q1083,'[3]Tiempo Objeto'!$B$24:$C$32,2,FALSE))))</f>
        <v>0.24666666666666667</v>
      </c>
      <c r="Y1083" s="84">
        <f t="shared" si="137"/>
        <v>98.666666666666671</v>
      </c>
      <c r="Z1083" s="80">
        <f t="shared" si="138"/>
        <v>137.03703703703704</v>
      </c>
      <c r="AA1083" s="100">
        <v>5</v>
      </c>
      <c r="AB1083" s="86">
        <f>+AA1083*Analisis!$J$6</f>
        <v>125</v>
      </c>
      <c r="AC1083" s="100"/>
      <c r="AD1083" s="85">
        <f t="shared" si="139"/>
        <v>0</v>
      </c>
      <c r="AE1083" s="86">
        <f>+AC1083*Analisis!$J$7</f>
        <v>0</v>
      </c>
      <c r="AF1083" s="308">
        <f>+H1083*0.0254*I1083*0.0254*2*(1+[3]Analisis!$G$2)</f>
        <v>0.41730045572000002</v>
      </c>
      <c r="AG1083" s="86">
        <f>+AF1083*Analisis!$J$8</f>
        <v>44.462369984452394</v>
      </c>
      <c r="AH1083" s="309">
        <f t="shared" si="144"/>
        <v>446.7836669119784</v>
      </c>
      <c r="AI1083" s="86">
        <f>+AH1083/(1-Analisis!G1088)</f>
        <v>446.7836669119784</v>
      </c>
      <c r="AJ1083" s="86">
        <f t="shared" si="140"/>
        <v>480.41254506664347</v>
      </c>
      <c r="AK1083" s="86">
        <f t="shared" si="145"/>
        <v>0</v>
      </c>
      <c r="AL1083" s="310" t="e">
        <f>+VLOOKUP(B1083,#REF!,2,FALSE)</f>
        <v>#REF!</v>
      </c>
      <c r="AM1083" s="311" t="e">
        <f t="shared" si="143"/>
        <v>#REF!</v>
      </c>
      <c r="AN1083" s="312" t="e">
        <f t="shared" si="129"/>
        <v>#REF!</v>
      </c>
    </row>
    <row r="1084" spans="1:40" s="73" customFormat="1" x14ac:dyDescent="0.25">
      <c r="A1084" s="313"/>
      <c r="B1084" s="329" t="s">
        <v>1715</v>
      </c>
      <c r="D1084" s="74">
        <f>IFERROR(VLOOKUP(B1084,'REQ. PINTADO'!B:C,2,0),0)</f>
        <v>0</v>
      </c>
      <c r="E1084" s="305">
        <f t="shared" si="133"/>
        <v>558.69526865946443</v>
      </c>
      <c r="F1084" s="397" t="s">
        <v>166</v>
      </c>
      <c r="G1084" s="75" t="s">
        <v>147</v>
      </c>
      <c r="H1084" s="90">
        <v>30.09</v>
      </c>
      <c r="I1084" s="90">
        <v>31.22</v>
      </c>
      <c r="J1084" s="76">
        <v>0.105</v>
      </c>
      <c r="K1084" s="306">
        <v>16.38</v>
      </c>
      <c r="L1084" s="78">
        <f t="shared" si="134"/>
        <v>28.59690623010286</v>
      </c>
      <c r="M1084" s="58">
        <f>+VLOOKUP(F1084,Material!$H$2:$M$17,6,FALSE)*H1084*I1084*(1+Material!$K$14)</f>
        <v>212.91696547685672</v>
      </c>
      <c r="N1084" s="79" t="str">
        <f t="shared" si="142"/>
        <v>T5.0</v>
      </c>
      <c r="O1084" s="80">
        <f>+VLOOKUP(N1084,[3]Material!$A$3:$B$58,2,FALSE)</f>
        <v>5000</v>
      </c>
      <c r="P1084" s="79" t="s">
        <v>42</v>
      </c>
      <c r="Q1084" s="79" t="str">
        <f>+VLOOKUP(F1084,[3]Material!$C$2:$E$12,2,FALSE)</f>
        <v>Cal 16</v>
      </c>
      <c r="R1084" s="81">
        <f>+IF(P1084="ACERO A36",VLOOKUP(Q1084,'[3]Velocidades Std 1500 w'!$B$2:$F$15,5,FALSE),IF(P1084="INOXIDABLE",VLOOKUP(Q1084,'[3]Velocidades Std 1500 w'!$B$17:$F$28,5,FALSE),IF(P1084="ALUMINIO",VLOOKUP(Q1084,'[3]Velocidades Std 1500 w'!$B$30:$F$38,5,FALSE))))</f>
        <v>9.1575091575091579E-7</v>
      </c>
      <c r="S1084" s="82">
        <f t="shared" si="135"/>
        <v>4.578754578754579E-3</v>
      </c>
      <c r="T1084" s="83">
        <f t="shared" si="136"/>
        <v>12.099973846153846</v>
      </c>
      <c r="U1084" s="307">
        <f t="shared" si="130"/>
        <v>3670.3253999999997</v>
      </c>
      <c r="V1084" s="80">
        <f t="shared" si="141"/>
        <v>16.805519230769232</v>
      </c>
      <c r="W1084" s="98">
        <v>10</v>
      </c>
      <c r="X1084" s="84">
        <f>+IF(P1084="ACERO A36",VLOOKUP(Q1084,'[3]Tiempo Objeto'!$B$2:$C$12,2,FALSE),IF(P1084="INOXIDABLE",VLOOKUP(Q1084,'[3]Tiempo Objeto'!$B$14:$C$22,2,FALSE),IF(P1084="ALUMINIO",VLOOKUP(Q1084,'[3]Tiempo Objeto'!$B$24:$C$32,2,FALSE))))</f>
        <v>0.24666666666666667</v>
      </c>
      <c r="Y1084" s="84">
        <f t="shared" si="137"/>
        <v>2.4666666666666668</v>
      </c>
      <c r="Z1084" s="80">
        <f t="shared" si="138"/>
        <v>3.425925925925926</v>
      </c>
      <c r="AA1084" s="100">
        <v>5</v>
      </c>
      <c r="AB1084" s="86">
        <f>+AA1084*Analisis!$J$6</f>
        <v>125</v>
      </c>
      <c r="AC1084" s="100"/>
      <c r="AD1084" s="85">
        <f t="shared" si="139"/>
        <v>0</v>
      </c>
      <c r="AE1084" s="86">
        <f>+AC1084*Analisis!$J$7</f>
        <v>0</v>
      </c>
      <c r="AF1084" s="308">
        <f>+H1084*0.0254*I1084*0.0254*2*(1+[3]Analisis!$G$2)</f>
        <v>1.5151740664199997</v>
      </c>
      <c r="AG1084" s="86">
        <f>+AF1084*Analisis!$J$8</f>
        <v>161.43818921975003</v>
      </c>
      <c r="AH1084" s="309">
        <f t="shared" si="144"/>
        <v>519.58659985330189</v>
      </c>
      <c r="AI1084" s="86">
        <f>+AH1084/(1-Analisis!G1089)</f>
        <v>519.58659985330189</v>
      </c>
      <c r="AJ1084" s="86">
        <f t="shared" si="140"/>
        <v>558.69526865946443</v>
      </c>
      <c r="AK1084" s="86">
        <f t="shared" si="145"/>
        <v>0</v>
      </c>
      <c r="AL1084" s="310" t="e">
        <f>+VLOOKUP(B1084,#REF!,2,FALSE)</f>
        <v>#REF!</v>
      </c>
      <c r="AM1084" s="311" t="e">
        <f t="shared" si="143"/>
        <v>#REF!</v>
      </c>
      <c r="AN1084" s="312" t="e">
        <f t="shared" si="129"/>
        <v>#REF!</v>
      </c>
    </row>
    <row r="1085" spans="1:40" s="73" customFormat="1" x14ac:dyDescent="0.25">
      <c r="A1085" s="313"/>
      <c r="B1085" s="329" t="s">
        <v>1716</v>
      </c>
      <c r="D1085" s="74">
        <f>IFERROR(VLOOKUP(B1085,'REQ. PINTADO'!B:C,2,0),0)</f>
        <v>0</v>
      </c>
      <c r="E1085" s="305">
        <f t="shared" si="133"/>
        <v>640.5366388591367</v>
      </c>
      <c r="F1085" s="397" t="s">
        <v>166</v>
      </c>
      <c r="G1085" s="75" t="s">
        <v>147</v>
      </c>
      <c r="H1085" s="90">
        <v>36.090000000000003</v>
      </c>
      <c r="I1085" s="90">
        <v>31.22</v>
      </c>
      <c r="J1085" s="76">
        <v>0.105</v>
      </c>
      <c r="K1085" s="306">
        <v>16.38</v>
      </c>
      <c r="L1085" s="78">
        <f t="shared" si="134"/>
        <v>34.299180652855178</v>
      </c>
      <c r="M1085" s="58">
        <f>+VLOOKUP(F1085,Material!$H$2:$M$17,6,FALSE)*H1085*I1085*(1+Material!$K$14)</f>
        <v>255.37299049716717</v>
      </c>
      <c r="N1085" s="79" t="str">
        <f t="shared" si="142"/>
        <v>T5.0</v>
      </c>
      <c r="O1085" s="80">
        <f>+VLOOKUP(N1085,[3]Material!$A$3:$B$58,2,FALSE)</f>
        <v>5000</v>
      </c>
      <c r="P1085" s="79" t="s">
        <v>42</v>
      </c>
      <c r="Q1085" s="79" t="str">
        <f>+VLOOKUP(F1085,[3]Material!$C$2:$E$12,2,FALSE)</f>
        <v>Cal 16</v>
      </c>
      <c r="R1085" s="81">
        <f>+IF(P1085="ACERO A36",VLOOKUP(Q1085,'[3]Velocidades Std 1500 w'!$B$2:$F$15,5,FALSE),IF(P1085="INOXIDABLE",VLOOKUP(Q1085,'[3]Velocidades Std 1500 w'!$B$17:$F$28,5,FALSE),IF(P1085="ALUMINIO",VLOOKUP(Q1085,'[3]Velocidades Std 1500 w'!$B$30:$F$38,5,FALSE))))</f>
        <v>9.1575091575091579E-7</v>
      </c>
      <c r="S1085" s="82">
        <f t="shared" si="135"/>
        <v>4.578754578754579E-3</v>
      </c>
      <c r="T1085" s="83">
        <f t="shared" si="136"/>
        <v>13.155050769230771</v>
      </c>
      <c r="U1085" s="307">
        <f t="shared" si="130"/>
        <v>3990.3654000000001</v>
      </c>
      <c r="V1085" s="80">
        <f t="shared" si="141"/>
        <v>18.270903846153846</v>
      </c>
      <c r="W1085" s="98">
        <v>10</v>
      </c>
      <c r="X1085" s="84">
        <f>+IF(P1085="ACERO A36",VLOOKUP(Q1085,'[3]Tiempo Objeto'!$B$2:$C$12,2,FALSE),IF(P1085="INOXIDABLE",VLOOKUP(Q1085,'[3]Tiempo Objeto'!$B$14:$C$22,2,FALSE),IF(P1085="ALUMINIO",VLOOKUP(Q1085,'[3]Tiempo Objeto'!$B$24:$C$32,2,FALSE))))</f>
        <v>0.24666666666666667</v>
      </c>
      <c r="Y1085" s="84">
        <f t="shared" si="137"/>
        <v>2.4666666666666668</v>
      </c>
      <c r="Z1085" s="80">
        <f t="shared" si="138"/>
        <v>3.425925925925926</v>
      </c>
      <c r="AA1085" s="100">
        <v>5</v>
      </c>
      <c r="AB1085" s="86">
        <f>+AA1085*Analisis!$J$6</f>
        <v>125</v>
      </c>
      <c r="AC1085" s="100"/>
      <c r="AD1085" s="85">
        <f t="shared" si="139"/>
        <v>0</v>
      </c>
      <c r="AE1085" s="86">
        <f>+AC1085*Analisis!$J$7</f>
        <v>0</v>
      </c>
      <c r="AF1085" s="308">
        <f>+H1085*0.0254*I1085*0.0254*2*(1+[3]Analisis!$G$2)</f>
        <v>1.81730249442</v>
      </c>
      <c r="AG1085" s="86">
        <f>+AF1085*Analisis!$J$8</f>
        <v>193.62925386975007</v>
      </c>
      <c r="AH1085" s="309">
        <f t="shared" si="144"/>
        <v>595.69907413899705</v>
      </c>
      <c r="AI1085" s="86">
        <f>+AH1085/(1-Analisis!G1090)</f>
        <v>595.69907413899705</v>
      </c>
      <c r="AJ1085" s="86">
        <f t="shared" si="140"/>
        <v>640.5366388591367</v>
      </c>
      <c r="AK1085" s="86">
        <f t="shared" si="145"/>
        <v>0</v>
      </c>
      <c r="AL1085" s="310" t="e">
        <f>+VLOOKUP(B1085,#REF!,2,FALSE)</f>
        <v>#REF!</v>
      </c>
      <c r="AM1085" s="311" t="e">
        <f t="shared" si="143"/>
        <v>#REF!</v>
      </c>
      <c r="AN1085" s="312" t="e">
        <f t="shared" si="129"/>
        <v>#REF!</v>
      </c>
    </row>
    <row r="1086" spans="1:40" s="73" customFormat="1" x14ac:dyDescent="0.25">
      <c r="A1086" s="313"/>
      <c r="B1086" s="329" t="s">
        <v>1717</v>
      </c>
      <c r="D1086" s="74">
        <f>IFERROR(VLOOKUP(B1086,'REQ. PINTADO'!B:C,2,0),0)</f>
        <v>0</v>
      </c>
      <c r="E1086" s="305">
        <f t="shared" si="133"/>
        <v>463.60789863020642</v>
      </c>
      <c r="F1086" s="397" t="s">
        <v>166</v>
      </c>
      <c r="G1086" s="75" t="s">
        <v>147</v>
      </c>
      <c r="H1086" s="90">
        <v>36.090000000000003</v>
      </c>
      <c r="I1086" s="90">
        <v>19.97</v>
      </c>
      <c r="J1086" s="76">
        <v>0.105</v>
      </c>
      <c r="K1086" s="306">
        <v>16.38</v>
      </c>
      <c r="L1086" s="78">
        <f t="shared" si="134"/>
        <v>21.939610430413772</v>
      </c>
      <c r="M1086" s="58">
        <f>+VLOOKUP(F1086,Material!$H$2:$M$17,6,FALSE)*H1086*I1086*(1+Material!$K$14)</f>
        <v>163.35037220462615</v>
      </c>
      <c r="N1086" s="79" t="str">
        <f t="shared" si="142"/>
        <v>T5.0</v>
      </c>
      <c r="O1086" s="80">
        <f>+VLOOKUP(N1086,[3]Material!$A$3:$B$58,2,FALSE)</f>
        <v>5000</v>
      </c>
      <c r="P1086" s="79" t="s">
        <v>42</v>
      </c>
      <c r="Q1086" s="79" t="str">
        <f>+VLOOKUP(F1086,[3]Material!$C$2:$E$12,2,FALSE)</f>
        <v>Cal 16</v>
      </c>
      <c r="R1086" s="81">
        <f>+IF(P1086="ACERO A36",VLOOKUP(Q1086,'[3]Velocidades Std 1500 w'!$B$2:$F$15,5,FALSE),IF(P1086="INOXIDABLE",VLOOKUP(Q1086,'[3]Velocidades Std 1500 w'!$B$17:$F$28,5,FALSE),IF(P1086="ALUMINIO",VLOOKUP(Q1086,'[3]Velocidades Std 1500 w'!$B$30:$F$38,5,FALSE))))</f>
        <v>9.1575091575091579E-7</v>
      </c>
      <c r="S1086" s="82">
        <f t="shared" si="135"/>
        <v>4.578754578754579E-3</v>
      </c>
      <c r="T1086" s="83">
        <f t="shared" si="136"/>
        <v>11.176781538461539</v>
      </c>
      <c r="U1086" s="307">
        <f t="shared" si="130"/>
        <v>3390.2904000000003</v>
      </c>
      <c r="V1086" s="80">
        <f t="shared" si="141"/>
        <v>15.523307692307695</v>
      </c>
      <c r="W1086" s="98">
        <v>10</v>
      </c>
      <c r="X1086" s="84">
        <f>+IF(P1086="ACERO A36",VLOOKUP(Q1086,'[3]Tiempo Objeto'!$B$2:$C$12,2,FALSE),IF(P1086="INOXIDABLE",VLOOKUP(Q1086,'[3]Tiempo Objeto'!$B$14:$C$22,2,FALSE),IF(P1086="ALUMINIO",VLOOKUP(Q1086,'[3]Tiempo Objeto'!$B$24:$C$32,2,FALSE))))</f>
        <v>0.24666666666666667</v>
      </c>
      <c r="Y1086" s="84">
        <f t="shared" si="137"/>
        <v>2.4666666666666668</v>
      </c>
      <c r="Z1086" s="80">
        <f t="shared" si="138"/>
        <v>3.425925925925926</v>
      </c>
      <c r="AA1086" s="100">
        <v>5</v>
      </c>
      <c r="AB1086" s="86">
        <f>+AA1086*Analisis!$J$6</f>
        <v>125</v>
      </c>
      <c r="AC1086" s="100"/>
      <c r="AD1086" s="85">
        <f t="shared" si="139"/>
        <v>0</v>
      </c>
      <c r="AE1086" s="86">
        <f>+AC1086*Analisis!$J$7</f>
        <v>0</v>
      </c>
      <c r="AF1086" s="308">
        <f>+H1086*0.0254*I1086*0.0254*2*(1+[3]Analisis!$G$2)</f>
        <v>1.1624449331699998</v>
      </c>
      <c r="AG1086" s="86">
        <f>+AF1086*Analisis!$J$8</f>
        <v>123.85573990323215</v>
      </c>
      <c r="AH1086" s="309">
        <f t="shared" si="144"/>
        <v>431.15534572609192</v>
      </c>
      <c r="AI1086" s="86">
        <f>+AH1086/(1-Analisis!G1091)</f>
        <v>431.15534572609192</v>
      </c>
      <c r="AJ1086" s="86">
        <f t="shared" si="140"/>
        <v>463.60789863020642</v>
      </c>
      <c r="AK1086" s="86">
        <f t="shared" si="145"/>
        <v>0</v>
      </c>
      <c r="AL1086" s="310" t="e">
        <f>+VLOOKUP(B1086,#REF!,2,FALSE)</f>
        <v>#REF!</v>
      </c>
      <c r="AM1086" s="311" t="e">
        <f t="shared" si="143"/>
        <v>#REF!</v>
      </c>
      <c r="AN1086" s="312" t="e">
        <f t="shared" si="129"/>
        <v>#REF!</v>
      </c>
    </row>
    <row r="1087" spans="1:40" s="73" customFormat="1" x14ac:dyDescent="0.25">
      <c r="A1087" s="313"/>
      <c r="B1087" s="329" t="s">
        <v>1718</v>
      </c>
      <c r="D1087" s="74">
        <f>IFERROR(VLOOKUP(B1087,'REQ. PINTADO'!B:C,2,0),0)</f>
        <v>0</v>
      </c>
      <c r="E1087" s="305">
        <f t="shared" si="133"/>
        <v>831.49983599170491</v>
      </c>
      <c r="F1087" s="397" t="s">
        <v>166</v>
      </c>
      <c r="G1087" s="75" t="s">
        <v>147</v>
      </c>
      <c r="H1087" s="90">
        <v>50.09</v>
      </c>
      <c r="I1087" s="90">
        <v>31.22</v>
      </c>
      <c r="J1087" s="76">
        <v>0.105</v>
      </c>
      <c r="K1087" s="306">
        <v>16.38</v>
      </c>
      <c r="L1087" s="78">
        <f t="shared" si="134"/>
        <v>47.604487639277259</v>
      </c>
      <c r="M1087" s="58">
        <f>+VLOOKUP(F1087,Material!$H$2:$M$17,6,FALSE)*H1087*I1087*(1+Material!$K$14)</f>
        <v>354.43704887789153</v>
      </c>
      <c r="N1087" s="79" t="str">
        <f t="shared" si="142"/>
        <v>T5.0</v>
      </c>
      <c r="O1087" s="80">
        <f>+VLOOKUP(N1087,[3]Material!$A$3:$B$58,2,FALSE)</f>
        <v>5000</v>
      </c>
      <c r="P1087" s="79" t="s">
        <v>42</v>
      </c>
      <c r="Q1087" s="79" t="str">
        <f>+VLOOKUP(F1087,[3]Material!$C$2:$E$12,2,FALSE)</f>
        <v>Cal 16</v>
      </c>
      <c r="R1087" s="81">
        <f>+IF(P1087="ACERO A36",VLOOKUP(Q1087,'[3]Velocidades Std 1500 w'!$B$2:$F$15,5,FALSE),IF(P1087="INOXIDABLE",VLOOKUP(Q1087,'[3]Velocidades Std 1500 w'!$B$17:$F$28,5,FALSE),IF(P1087="ALUMINIO",VLOOKUP(Q1087,'[3]Velocidades Std 1500 w'!$B$30:$F$38,5,FALSE))))</f>
        <v>9.1575091575091579E-7</v>
      </c>
      <c r="S1087" s="82">
        <f t="shared" si="135"/>
        <v>4.578754578754579E-3</v>
      </c>
      <c r="T1087" s="83">
        <f t="shared" si="136"/>
        <v>15.616896923076924</v>
      </c>
      <c r="U1087" s="307">
        <f t="shared" si="130"/>
        <v>4737.1253999999999</v>
      </c>
      <c r="V1087" s="80">
        <f t="shared" si="141"/>
        <v>21.690134615384615</v>
      </c>
      <c r="W1087" s="98">
        <v>10</v>
      </c>
      <c r="X1087" s="84">
        <f>+IF(P1087="ACERO A36",VLOOKUP(Q1087,'[3]Tiempo Objeto'!$B$2:$C$12,2,FALSE),IF(P1087="INOXIDABLE",VLOOKUP(Q1087,'[3]Tiempo Objeto'!$B$14:$C$22,2,FALSE),IF(P1087="ALUMINIO",VLOOKUP(Q1087,'[3]Tiempo Objeto'!$B$24:$C$32,2,FALSE))))</f>
        <v>0.24666666666666667</v>
      </c>
      <c r="Y1087" s="84">
        <f t="shared" si="137"/>
        <v>2.4666666666666668</v>
      </c>
      <c r="Z1087" s="80">
        <f t="shared" si="138"/>
        <v>3.425925925925926</v>
      </c>
      <c r="AA1087" s="100">
        <v>5</v>
      </c>
      <c r="AB1087" s="86">
        <f>+AA1087*Analisis!$J$6</f>
        <v>125</v>
      </c>
      <c r="AC1087" s="100"/>
      <c r="AD1087" s="85">
        <f t="shared" si="139"/>
        <v>0</v>
      </c>
      <c r="AE1087" s="86">
        <f>+AC1087*Analisis!$J$7</f>
        <v>0</v>
      </c>
      <c r="AF1087" s="308">
        <f>+H1087*0.0254*I1087*0.0254*2*(1+[3]Analisis!$G$2)</f>
        <v>2.5222688264199999</v>
      </c>
      <c r="AG1087" s="86">
        <f>+AF1087*Analisis!$J$8</f>
        <v>268.7417380530834</v>
      </c>
      <c r="AH1087" s="309">
        <f t="shared" si="144"/>
        <v>773.29484747228548</v>
      </c>
      <c r="AI1087" s="86">
        <f>+AH1087/(1-Analisis!G1092)</f>
        <v>773.29484747228548</v>
      </c>
      <c r="AJ1087" s="86">
        <f t="shared" si="140"/>
        <v>831.49983599170491</v>
      </c>
      <c r="AK1087" s="86">
        <f t="shared" si="145"/>
        <v>0</v>
      </c>
      <c r="AL1087" s="310" t="e">
        <f>+VLOOKUP(B1087,#REF!,2,FALSE)</f>
        <v>#REF!</v>
      </c>
      <c r="AM1087" s="311" t="e">
        <f t="shared" si="143"/>
        <v>#REF!</v>
      </c>
      <c r="AN1087" s="312" t="e">
        <f t="shared" si="129"/>
        <v>#REF!</v>
      </c>
    </row>
    <row r="1088" spans="1:40" s="73" customFormat="1" x14ac:dyDescent="0.25">
      <c r="A1088" s="313"/>
      <c r="B1088" s="329" t="s">
        <v>1719</v>
      </c>
      <c r="D1088" s="74">
        <f>IFERROR(VLOOKUP(B1088,'REQ. PINTADO'!B:C,2,0),0)</f>
        <v>0</v>
      </c>
      <c r="E1088" s="305">
        <f t="shared" si="133"/>
        <v>640.5366388591367</v>
      </c>
      <c r="F1088" s="397" t="s">
        <v>166</v>
      </c>
      <c r="G1088" s="75" t="s">
        <v>147</v>
      </c>
      <c r="H1088" s="90">
        <v>36.090000000000003</v>
      </c>
      <c r="I1088" s="90">
        <v>31.22</v>
      </c>
      <c r="J1088" s="76">
        <v>0.105</v>
      </c>
      <c r="K1088" s="306">
        <v>16.38</v>
      </c>
      <c r="L1088" s="78">
        <f t="shared" si="134"/>
        <v>34.299180652855178</v>
      </c>
      <c r="M1088" s="58">
        <f>+VLOOKUP(F1088,Material!$H$2:$M$17,6,FALSE)*H1088*I1088*(1+Material!$K$14)</f>
        <v>255.37299049716717</v>
      </c>
      <c r="N1088" s="79" t="str">
        <f t="shared" si="142"/>
        <v>T5.0</v>
      </c>
      <c r="O1088" s="80">
        <f>+VLOOKUP(N1088,[3]Material!$A$3:$B$58,2,FALSE)</f>
        <v>5000</v>
      </c>
      <c r="P1088" s="79" t="s">
        <v>42</v>
      </c>
      <c r="Q1088" s="79" t="str">
        <f>+VLOOKUP(F1088,[3]Material!$C$2:$E$12,2,FALSE)</f>
        <v>Cal 16</v>
      </c>
      <c r="R1088" s="81">
        <f>+IF(P1088="ACERO A36",VLOOKUP(Q1088,'[3]Velocidades Std 1500 w'!$B$2:$F$15,5,FALSE),IF(P1088="INOXIDABLE",VLOOKUP(Q1088,'[3]Velocidades Std 1500 w'!$B$17:$F$28,5,FALSE),IF(P1088="ALUMINIO",VLOOKUP(Q1088,'[3]Velocidades Std 1500 w'!$B$30:$F$38,5,FALSE))))</f>
        <v>9.1575091575091579E-7</v>
      </c>
      <c r="S1088" s="82">
        <f t="shared" si="135"/>
        <v>4.578754578754579E-3</v>
      </c>
      <c r="T1088" s="83">
        <f t="shared" si="136"/>
        <v>13.155050769230771</v>
      </c>
      <c r="U1088" s="307">
        <f t="shared" si="130"/>
        <v>3990.3654000000001</v>
      </c>
      <c r="V1088" s="80">
        <f t="shared" ref="V1088:V1151" si="146">+U1088*S1088</f>
        <v>18.270903846153846</v>
      </c>
      <c r="W1088" s="98">
        <v>10</v>
      </c>
      <c r="X1088" s="84">
        <f>+IF(P1088="ACERO A36",VLOOKUP(Q1088,'[3]Tiempo Objeto'!$B$2:$C$12,2,FALSE),IF(P1088="INOXIDABLE",VLOOKUP(Q1088,'[3]Tiempo Objeto'!$B$14:$C$22,2,FALSE),IF(P1088="ALUMINIO",VLOOKUP(Q1088,'[3]Tiempo Objeto'!$B$24:$C$32,2,FALSE))))</f>
        <v>0.24666666666666667</v>
      </c>
      <c r="Y1088" s="84">
        <f t="shared" si="137"/>
        <v>2.4666666666666668</v>
      </c>
      <c r="Z1088" s="80">
        <f t="shared" si="138"/>
        <v>3.425925925925926</v>
      </c>
      <c r="AA1088" s="100">
        <v>5</v>
      </c>
      <c r="AB1088" s="86">
        <f>+AA1088*Analisis!$J$6</f>
        <v>125</v>
      </c>
      <c r="AC1088" s="100"/>
      <c r="AD1088" s="85">
        <f t="shared" si="139"/>
        <v>0</v>
      </c>
      <c r="AE1088" s="86">
        <f>+AC1088*Analisis!$J$7</f>
        <v>0</v>
      </c>
      <c r="AF1088" s="308">
        <f>+H1088*0.0254*I1088*0.0254*2*(1+[3]Analisis!$G$2)</f>
        <v>1.81730249442</v>
      </c>
      <c r="AG1088" s="86">
        <f>+AF1088*Analisis!$J$8</f>
        <v>193.62925386975007</v>
      </c>
      <c r="AH1088" s="309">
        <f t="shared" si="144"/>
        <v>595.69907413899705</v>
      </c>
      <c r="AI1088" s="86">
        <f>+AH1088/(1-Analisis!G1093)</f>
        <v>595.69907413899705</v>
      </c>
      <c r="AJ1088" s="86">
        <f t="shared" si="140"/>
        <v>640.5366388591367</v>
      </c>
      <c r="AK1088" s="86">
        <f t="shared" si="145"/>
        <v>0</v>
      </c>
      <c r="AL1088" s="310" t="e">
        <f>+VLOOKUP(B1088,#REF!,2,FALSE)</f>
        <v>#REF!</v>
      </c>
      <c r="AM1088" s="311" t="e">
        <f t="shared" si="143"/>
        <v>#REF!</v>
      </c>
      <c r="AN1088" s="312" t="e">
        <f t="shared" si="129"/>
        <v>#REF!</v>
      </c>
    </row>
    <row r="1089" spans="1:40" s="73" customFormat="1" x14ac:dyDescent="0.25">
      <c r="A1089" s="313"/>
      <c r="B1089" s="329" t="s">
        <v>1720</v>
      </c>
      <c r="D1089" s="74">
        <f>IFERROR(VLOOKUP(B1089,'REQ. PINTADO'!B:C,2,0),0)</f>
        <v>0</v>
      </c>
      <c r="E1089" s="305">
        <f t="shared" si="133"/>
        <v>558.69526865946443</v>
      </c>
      <c r="F1089" s="397" t="s">
        <v>166</v>
      </c>
      <c r="G1089" s="75" t="s">
        <v>147</v>
      </c>
      <c r="H1089" s="90">
        <v>30.09</v>
      </c>
      <c r="I1089" s="90">
        <v>31.22</v>
      </c>
      <c r="J1089" s="76">
        <v>0.105</v>
      </c>
      <c r="K1089" s="306">
        <v>16.38</v>
      </c>
      <c r="L1089" s="78">
        <f t="shared" si="134"/>
        <v>28.59690623010286</v>
      </c>
      <c r="M1089" s="58">
        <f>+VLOOKUP(F1089,Material!$H$2:$M$17,6,FALSE)*H1089*I1089*(1+Material!$K$14)</f>
        <v>212.91696547685672</v>
      </c>
      <c r="N1089" s="79" t="str">
        <f t="shared" si="142"/>
        <v>T5.0</v>
      </c>
      <c r="O1089" s="80">
        <f>+VLOOKUP(N1089,[3]Material!$A$3:$B$58,2,FALSE)</f>
        <v>5000</v>
      </c>
      <c r="P1089" s="79" t="s">
        <v>42</v>
      </c>
      <c r="Q1089" s="79" t="str">
        <f>+VLOOKUP(F1089,[3]Material!$C$2:$E$12,2,FALSE)</f>
        <v>Cal 16</v>
      </c>
      <c r="R1089" s="81">
        <f>+IF(P1089="ACERO A36",VLOOKUP(Q1089,'[3]Velocidades Std 1500 w'!$B$2:$F$15,5,FALSE),IF(P1089="INOXIDABLE",VLOOKUP(Q1089,'[3]Velocidades Std 1500 w'!$B$17:$F$28,5,FALSE),IF(P1089="ALUMINIO",VLOOKUP(Q1089,'[3]Velocidades Std 1500 w'!$B$30:$F$38,5,FALSE))))</f>
        <v>9.1575091575091579E-7</v>
      </c>
      <c r="S1089" s="82">
        <f t="shared" si="135"/>
        <v>4.578754578754579E-3</v>
      </c>
      <c r="T1089" s="83">
        <f t="shared" si="136"/>
        <v>12.099973846153846</v>
      </c>
      <c r="U1089" s="307">
        <f t="shared" si="130"/>
        <v>3670.3253999999997</v>
      </c>
      <c r="V1089" s="80">
        <f t="shared" si="146"/>
        <v>16.805519230769232</v>
      </c>
      <c r="W1089" s="98">
        <v>10</v>
      </c>
      <c r="X1089" s="84">
        <f>+IF(P1089="ACERO A36",VLOOKUP(Q1089,'[3]Tiempo Objeto'!$B$2:$C$12,2,FALSE),IF(P1089="INOXIDABLE",VLOOKUP(Q1089,'[3]Tiempo Objeto'!$B$14:$C$22,2,FALSE),IF(P1089="ALUMINIO",VLOOKUP(Q1089,'[3]Tiempo Objeto'!$B$24:$C$32,2,FALSE))))</f>
        <v>0.24666666666666667</v>
      </c>
      <c r="Y1089" s="84">
        <f t="shared" si="137"/>
        <v>2.4666666666666668</v>
      </c>
      <c r="Z1089" s="80">
        <f t="shared" si="138"/>
        <v>3.425925925925926</v>
      </c>
      <c r="AA1089" s="100">
        <v>5</v>
      </c>
      <c r="AB1089" s="86">
        <f>+AA1089*Analisis!$J$6</f>
        <v>125</v>
      </c>
      <c r="AC1089" s="100"/>
      <c r="AD1089" s="85">
        <f t="shared" si="139"/>
        <v>0</v>
      </c>
      <c r="AE1089" s="86">
        <f>+AC1089*Analisis!$J$7</f>
        <v>0</v>
      </c>
      <c r="AF1089" s="308">
        <f>+H1089*0.0254*I1089*0.0254*2*(1+[3]Analisis!$G$2)</f>
        <v>1.5151740664199997</v>
      </c>
      <c r="AG1089" s="86">
        <f>+AF1089*Analisis!$J$8</f>
        <v>161.43818921975003</v>
      </c>
      <c r="AH1089" s="309">
        <f t="shared" si="144"/>
        <v>519.58659985330189</v>
      </c>
      <c r="AI1089" s="86">
        <f>+AH1089/(1-Analisis!G1094)</f>
        <v>519.58659985330189</v>
      </c>
      <c r="AJ1089" s="86">
        <f t="shared" si="140"/>
        <v>558.69526865946443</v>
      </c>
      <c r="AK1089" s="86">
        <f t="shared" si="145"/>
        <v>0</v>
      </c>
      <c r="AL1089" s="310" t="e">
        <f>+VLOOKUP(B1089,#REF!,2,FALSE)</f>
        <v>#REF!</v>
      </c>
      <c r="AM1089" s="311" t="e">
        <f t="shared" si="143"/>
        <v>#REF!</v>
      </c>
      <c r="AN1089" s="312" t="e">
        <f t="shared" si="129"/>
        <v>#REF!</v>
      </c>
    </row>
    <row r="1090" spans="1:40" s="73" customFormat="1" x14ac:dyDescent="0.25">
      <c r="A1090" s="313"/>
      <c r="B1090" s="329" t="s">
        <v>1721</v>
      </c>
      <c r="D1090" s="74">
        <f>IFERROR(VLOOKUP(B1090,'REQ. PINTADO'!B:C,2,0),0)</f>
        <v>0</v>
      </c>
      <c r="E1090" s="305">
        <f t="shared" si="133"/>
        <v>667.81709559236072</v>
      </c>
      <c r="F1090" s="397" t="s">
        <v>166</v>
      </c>
      <c r="G1090" s="75" t="s">
        <v>147</v>
      </c>
      <c r="H1090" s="90">
        <v>38.090000000000003</v>
      </c>
      <c r="I1090" s="90">
        <v>31.22</v>
      </c>
      <c r="J1090" s="76">
        <v>0.105</v>
      </c>
      <c r="K1090" s="306">
        <v>16.38</v>
      </c>
      <c r="L1090" s="78">
        <f t="shared" si="134"/>
        <v>36.199938793772624</v>
      </c>
      <c r="M1090" s="58">
        <f>+VLOOKUP(F1090,Material!$H$2:$M$17,6,FALSE)*H1090*I1090*(1+Material!$K$14)</f>
        <v>269.52499883727063</v>
      </c>
      <c r="N1090" s="79" t="str">
        <f t="shared" si="142"/>
        <v>T5.0</v>
      </c>
      <c r="O1090" s="80">
        <f>+VLOOKUP(N1090,[3]Material!$A$3:$B$58,2,FALSE)</f>
        <v>5000</v>
      </c>
      <c r="P1090" s="79" t="s">
        <v>42</v>
      </c>
      <c r="Q1090" s="79" t="str">
        <f>+VLOOKUP(F1090,[3]Material!$C$2:$E$12,2,FALSE)</f>
        <v>Cal 16</v>
      </c>
      <c r="R1090" s="81">
        <f>+IF(P1090="ACERO A36",VLOOKUP(Q1090,'[3]Velocidades Std 1500 w'!$B$2:$F$15,5,FALSE),IF(P1090="INOXIDABLE",VLOOKUP(Q1090,'[3]Velocidades Std 1500 w'!$B$17:$F$28,5,FALSE),IF(P1090="ALUMINIO",VLOOKUP(Q1090,'[3]Velocidades Std 1500 w'!$B$30:$F$38,5,FALSE))))</f>
        <v>9.1575091575091579E-7</v>
      </c>
      <c r="S1090" s="82">
        <f t="shared" si="135"/>
        <v>4.578754578754579E-3</v>
      </c>
      <c r="T1090" s="83">
        <f t="shared" si="136"/>
        <v>13.506743076923078</v>
      </c>
      <c r="U1090" s="307">
        <f t="shared" si="130"/>
        <v>4097.0454</v>
      </c>
      <c r="V1090" s="80">
        <f t="shared" si="146"/>
        <v>18.759365384615386</v>
      </c>
      <c r="W1090" s="98">
        <v>10</v>
      </c>
      <c r="X1090" s="84">
        <f>+IF(P1090="ACERO A36",VLOOKUP(Q1090,'[3]Tiempo Objeto'!$B$2:$C$12,2,FALSE),IF(P1090="INOXIDABLE",VLOOKUP(Q1090,'[3]Tiempo Objeto'!$B$14:$C$22,2,FALSE),IF(P1090="ALUMINIO",VLOOKUP(Q1090,'[3]Tiempo Objeto'!$B$24:$C$32,2,FALSE))))</f>
        <v>0.24666666666666667</v>
      </c>
      <c r="Y1090" s="84">
        <f t="shared" si="137"/>
        <v>2.4666666666666668</v>
      </c>
      <c r="Z1090" s="80">
        <f t="shared" si="138"/>
        <v>3.425925925925926</v>
      </c>
      <c r="AA1090" s="100">
        <v>5</v>
      </c>
      <c r="AB1090" s="86">
        <f>+AA1090*Analisis!$J$6</f>
        <v>125</v>
      </c>
      <c r="AC1090" s="100"/>
      <c r="AD1090" s="85">
        <f t="shared" si="139"/>
        <v>0</v>
      </c>
      <c r="AE1090" s="86">
        <f>+AC1090*Analisis!$J$7</f>
        <v>0</v>
      </c>
      <c r="AF1090" s="308">
        <f>+H1090*0.0254*I1090*0.0254*2*(1+[3]Analisis!$G$2)</f>
        <v>1.9180119704199998</v>
      </c>
      <c r="AG1090" s="86">
        <f>+AF1090*Analisis!$J$8</f>
        <v>204.35960875308336</v>
      </c>
      <c r="AH1090" s="309">
        <f t="shared" si="144"/>
        <v>621.0698989008954</v>
      </c>
      <c r="AI1090" s="86">
        <f>+AH1090/(1-Analisis!G1095)</f>
        <v>621.0698989008954</v>
      </c>
      <c r="AJ1090" s="86">
        <f t="shared" si="140"/>
        <v>667.81709559236072</v>
      </c>
      <c r="AK1090" s="86">
        <f t="shared" si="145"/>
        <v>0</v>
      </c>
      <c r="AL1090" s="310" t="e">
        <f>+VLOOKUP(B1090,#REF!,2,FALSE)</f>
        <v>#REF!</v>
      </c>
      <c r="AM1090" s="311" t="e">
        <f t="shared" si="143"/>
        <v>#REF!</v>
      </c>
      <c r="AN1090" s="312" t="e">
        <f t="shared" si="129"/>
        <v>#REF!</v>
      </c>
    </row>
    <row r="1091" spans="1:40" s="73" customFormat="1" x14ac:dyDescent="0.25">
      <c r="A1091" s="313"/>
      <c r="B1091" s="329" t="s">
        <v>1722</v>
      </c>
      <c r="D1091" s="74">
        <f>IFERROR(VLOOKUP(B1091,'REQ. PINTADO'!B:C,2,0),0)</f>
        <v>0</v>
      </c>
      <c r="E1091" s="305">
        <f t="shared" si="133"/>
        <v>695.09755232558473</v>
      </c>
      <c r="F1091" s="397" t="s">
        <v>166</v>
      </c>
      <c r="G1091" s="75" t="s">
        <v>147</v>
      </c>
      <c r="H1091" s="90">
        <v>40.090000000000003</v>
      </c>
      <c r="I1091" s="90">
        <v>31.22</v>
      </c>
      <c r="J1091" s="76">
        <v>0.105</v>
      </c>
      <c r="K1091" s="306">
        <v>16.38</v>
      </c>
      <c r="L1091" s="78">
        <f t="shared" si="134"/>
        <v>38.100696934690063</v>
      </c>
      <c r="M1091" s="58">
        <f>+VLOOKUP(F1091,Material!$H$2:$M$17,6,FALSE)*H1091*I1091*(1+Material!$K$14)</f>
        <v>283.67700717737415</v>
      </c>
      <c r="N1091" s="79" t="str">
        <f t="shared" si="142"/>
        <v>T5.0</v>
      </c>
      <c r="O1091" s="80">
        <f>+VLOOKUP(N1091,[3]Material!$A$3:$B$58,2,FALSE)</f>
        <v>5000</v>
      </c>
      <c r="P1091" s="79" t="s">
        <v>42</v>
      </c>
      <c r="Q1091" s="79" t="str">
        <f>+VLOOKUP(F1091,[3]Material!$C$2:$E$12,2,FALSE)</f>
        <v>Cal 16</v>
      </c>
      <c r="R1091" s="81">
        <f>+IF(P1091="ACERO A36",VLOOKUP(Q1091,'[3]Velocidades Std 1500 w'!$B$2:$F$15,5,FALSE),IF(P1091="INOXIDABLE",VLOOKUP(Q1091,'[3]Velocidades Std 1500 w'!$B$17:$F$28,5,FALSE),IF(P1091="ALUMINIO",VLOOKUP(Q1091,'[3]Velocidades Std 1500 w'!$B$30:$F$38,5,FALSE))))</f>
        <v>9.1575091575091579E-7</v>
      </c>
      <c r="S1091" s="82">
        <f t="shared" si="135"/>
        <v>4.578754578754579E-3</v>
      </c>
      <c r="T1091" s="83">
        <f t="shared" si="136"/>
        <v>13.858435384615387</v>
      </c>
      <c r="U1091" s="307">
        <f t="shared" si="130"/>
        <v>4203.7254000000003</v>
      </c>
      <c r="V1091" s="80">
        <f t="shared" si="146"/>
        <v>19.247826923076925</v>
      </c>
      <c r="W1091" s="98">
        <v>10</v>
      </c>
      <c r="X1091" s="84">
        <f>+IF(P1091="ACERO A36",VLOOKUP(Q1091,'[3]Tiempo Objeto'!$B$2:$C$12,2,FALSE),IF(P1091="INOXIDABLE",VLOOKUP(Q1091,'[3]Tiempo Objeto'!$B$14:$C$22,2,FALSE),IF(P1091="ALUMINIO",VLOOKUP(Q1091,'[3]Tiempo Objeto'!$B$24:$C$32,2,FALSE))))</f>
        <v>0.24666666666666667</v>
      </c>
      <c r="Y1091" s="84">
        <f t="shared" si="137"/>
        <v>2.4666666666666668</v>
      </c>
      <c r="Z1091" s="80">
        <f t="shared" si="138"/>
        <v>3.425925925925926</v>
      </c>
      <c r="AA1091" s="100">
        <v>5</v>
      </c>
      <c r="AB1091" s="86">
        <f>+AA1091*Analisis!$J$6</f>
        <v>125</v>
      </c>
      <c r="AC1091" s="100"/>
      <c r="AD1091" s="85">
        <f t="shared" si="139"/>
        <v>0</v>
      </c>
      <c r="AE1091" s="86">
        <f>+AC1091*Analisis!$J$7</f>
        <v>0</v>
      </c>
      <c r="AF1091" s="308">
        <f>+H1091*0.0254*I1091*0.0254*2*(1+[3]Analisis!$G$2)</f>
        <v>2.0187214464199998</v>
      </c>
      <c r="AG1091" s="86">
        <f>+AF1091*Analisis!$J$8</f>
        <v>215.08996363641671</v>
      </c>
      <c r="AH1091" s="309">
        <f t="shared" si="144"/>
        <v>646.44072366279374</v>
      </c>
      <c r="AI1091" s="86">
        <f>+AH1091/(1-Analisis!G1096)</f>
        <v>646.44072366279374</v>
      </c>
      <c r="AJ1091" s="86">
        <f t="shared" si="140"/>
        <v>695.09755232558473</v>
      </c>
      <c r="AK1091" s="86">
        <f t="shared" si="145"/>
        <v>0</v>
      </c>
      <c r="AL1091" s="310" t="e">
        <f>+VLOOKUP(B1091,#REF!,2,FALSE)</f>
        <v>#REF!</v>
      </c>
      <c r="AM1091" s="311" t="e">
        <f t="shared" si="143"/>
        <v>#REF!</v>
      </c>
      <c r="AN1091" s="312" t="e">
        <f t="shared" si="129"/>
        <v>#REF!</v>
      </c>
    </row>
    <row r="1092" spans="1:40" s="73" customFormat="1" x14ac:dyDescent="0.25">
      <c r="A1092" s="313"/>
      <c r="B1092" s="329" t="s">
        <v>1723</v>
      </c>
      <c r="D1092" s="74">
        <f>IFERROR(VLOOKUP(B1092,'REQ. PINTADO'!B:C,2,0),0)</f>
        <v>0</v>
      </c>
      <c r="E1092" s="305">
        <f t="shared" si="133"/>
        <v>558.69526865946443</v>
      </c>
      <c r="F1092" s="397" t="s">
        <v>166</v>
      </c>
      <c r="G1092" s="75" t="s">
        <v>147</v>
      </c>
      <c r="H1092" s="90">
        <v>30.09</v>
      </c>
      <c r="I1092" s="90">
        <v>31.22</v>
      </c>
      <c r="J1092" s="76">
        <v>0.105</v>
      </c>
      <c r="K1092" s="306">
        <v>16.38</v>
      </c>
      <c r="L1092" s="78">
        <f t="shared" si="134"/>
        <v>28.59690623010286</v>
      </c>
      <c r="M1092" s="58">
        <f>+VLOOKUP(F1092,Material!$H$2:$M$17,6,FALSE)*H1092*I1092*(1+Material!$K$14)</f>
        <v>212.91696547685672</v>
      </c>
      <c r="N1092" s="79" t="str">
        <f t="shared" ref="N1092:N1155" si="147">+N1091</f>
        <v>T5.0</v>
      </c>
      <c r="O1092" s="80">
        <f>+VLOOKUP(N1092,[3]Material!$A$3:$B$58,2,FALSE)</f>
        <v>5000</v>
      </c>
      <c r="P1092" s="79" t="s">
        <v>42</v>
      </c>
      <c r="Q1092" s="79" t="str">
        <f>+VLOOKUP(F1092,[3]Material!$C$2:$E$12,2,FALSE)</f>
        <v>Cal 16</v>
      </c>
      <c r="R1092" s="81">
        <f>+IF(P1092="ACERO A36",VLOOKUP(Q1092,'[3]Velocidades Std 1500 w'!$B$2:$F$15,5,FALSE),IF(P1092="INOXIDABLE",VLOOKUP(Q1092,'[3]Velocidades Std 1500 w'!$B$17:$F$28,5,FALSE),IF(P1092="ALUMINIO",VLOOKUP(Q1092,'[3]Velocidades Std 1500 w'!$B$30:$F$38,5,FALSE))))</f>
        <v>9.1575091575091579E-7</v>
      </c>
      <c r="S1092" s="82">
        <f t="shared" si="135"/>
        <v>4.578754578754579E-3</v>
      </c>
      <c r="T1092" s="83">
        <f t="shared" si="136"/>
        <v>12.099973846153846</v>
      </c>
      <c r="U1092" s="307">
        <f t="shared" si="130"/>
        <v>3670.3253999999997</v>
      </c>
      <c r="V1092" s="80">
        <f t="shared" si="146"/>
        <v>16.805519230769232</v>
      </c>
      <c r="W1092" s="98">
        <v>10</v>
      </c>
      <c r="X1092" s="84">
        <f>+IF(P1092="ACERO A36",VLOOKUP(Q1092,'[3]Tiempo Objeto'!$B$2:$C$12,2,FALSE),IF(P1092="INOXIDABLE",VLOOKUP(Q1092,'[3]Tiempo Objeto'!$B$14:$C$22,2,FALSE),IF(P1092="ALUMINIO",VLOOKUP(Q1092,'[3]Tiempo Objeto'!$B$24:$C$32,2,FALSE))))</f>
        <v>0.24666666666666667</v>
      </c>
      <c r="Y1092" s="84">
        <f t="shared" si="137"/>
        <v>2.4666666666666668</v>
      </c>
      <c r="Z1092" s="80">
        <f t="shared" si="138"/>
        <v>3.425925925925926</v>
      </c>
      <c r="AA1092" s="100">
        <v>5</v>
      </c>
      <c r="AB1092" s="86">
        <f>+AA1092*Analisis!$J$6</f>
        <v>125</v>
      </c>
      <c r="AC1092" s="100"/>
      <c r="AD1092" s="85">
        <f t="shared" si="139"/>
        <v>0</v>
      </c>
      <c r="AE1092" s="86">
        <f>+AC1092*Analisis!$J$7</f>
        <v>0</v>
      </c>
      <c r="AF1092" s="308">
        <f>+H1092*0.0254*I1092*0.0254*2*(1+[3]Analisis!$G$2)</f>
        <v>1.5151740664199997</v>
      </c>
      <c r="AG1092" s="86">
        <f>+AF1092*Analisis!$J$8</f>
        <v>161.43818921975003</v>
      </c>
      <c r="AH1092" s="309">
        <f t="shared" si="144"/>
        <v>519.58659985330189</v>
      </c>
      <c r="AI1092" s="86">
        <f>+AH1092/(1-Analisis!G1097)</f>
        <v>519.58659985330189</v>
      </c>
      <c r="AJ1092" s="86">
        <f t="shared" si="140"/>
        <v>558.69526865946443</v>
      </c>
      <c r="AK1092" s="86">
        <f t="shared" si="145"/>
        <v>0</v>
      </c>
      <c r="AL1092" s="310" t="e">
        <f>+VLOOKUP(B1092,#REF!,2,FALSE)</f>
        <v>#REF!</v>
      </c>
      <c r="AM1092" s="311" t="e">
        <f t="shared" si="143"/>
        <v>#REF!</v>
      </c>
      <c r="AN1092" s="312" t="e">
        <f t="shared" si="129"/>
        <v>#REF!</v>
      </c>
    </row>
    <row r="1093" spans="1:40" s="73" customFormat="1" x14ac:dyDescent="0.25">
      <c r="A1093" s="313"/>
      <c r="B1093" s="329" t="s">
        <v>1724</v>
      </c>
      <c r="D1093" s="74">
        <f>IFERROR(VLOOKUP(B1093,'REQ. PINTADO'!B:C,2,0),0)</f>
        <v>0</v>
      </c>
      <c r="E1093" s="305">
        <f t="shared" si="133"/>
        <v>640.5366388591367</v>
      </c>
      <c r="F1093" s="397" t="s">
        <v>166</v>
      </c>
      <c r="G1093" s="75" t="s">
        <v>147</v>
      </c>
      <c r="H1093" s="90">
        <v>36.090000000000003</v>
      </c>
      <c r="I1093" s="90">
        <v>31.22</v>
      </c>
      <c r="J1093" s="76">
        <v>0.105</v>
      </c>
      <c r="K1093" s="306">
        <v>16.38</v>
      </c>
      <c r="L1093" s="78">
        <f t="shared" si="134"/>
        <v>34.299180652855178</v>
      </c>
      <c r="M1093" s="58">
        <f>+VLOOKUP(F1093,Material!$H$2:$M$17,6,FALSE)*H1093*I1093*(1+Material!$K$14)</f>
        <v>255.37299049716717</v>
      </c>
      <c r="N1093" s="79" t="str">
        <f t="shared" si="147"/>
        <v>T5.0</v>
      </c>
      <c r="O1093" s="80">
        <f>+VLOOKUP(N1093,[3]Material!$A$3:$B$58,2,FALSE)</f>
        <v>5000</v>
      </c>
      <c r="P1093" s="79" t="s">
        <v>42</v>
      </c>
      <c r="Q1093" s="79" t="str">
        <f>+VLOOKUP(F1093,[3]Material!$C$2:$E$12,2,FALSE)</f>
        <v>Cal 16</v>
      </c>
      <c r="R1093" s="81">
        <f>+IF(P1093="ACERO A36",VLOOKUP(Q1093,'[3]Velocidades Std 1500 w'!$B$2:$F$15,5,FALSE),IF(P1093="INOXIDABLE",VLOOKUP(Q1093,'[3]Velocidades Std 1500 w'!$B$17:$F$28,5,FALSE),IF(P1093="ALUMINIO",VLOOKUP(Q1093,'[3]Velocidades Std 1500 w'!$B$30:$F$38,5,FALSE))))</f>
        <v>9.1575091575091579E-7</v>
      </c>
      <c r="S1093" s="82">
        <f t="shared" si="135"/>
        <v>4.578754578754579E-3</v>
      </c>
      <c r="T1093" s="83">
        <f t="shared" si="136"/>
        <v>13.155050769230771</v>
      </c>
      <c r="U1093" s="307">
        <f t="shared" si="130"/>
        <v>3990.3654000000001</v>
      </c>
      <c r="V1093" s="80">
        <f t="shared" si="146"/>
        <v>18.270903846153846</v>
      </c>
      <c r="W1093" s="98">
        <v>10</v>
      </c>
      <c r="X1093" s="84">
        <f>+IF(P1093="ACERO A36",VLOOKUP(Q1093,'[3]Tiempo Objeto'!$B$2:$C$12,2,FALSE),IF(P1093="INOXIDABLE",VLOOKUP(Q1093,'[3]Tiempo Objeto'!$B$14:$C$22,2,FALSE),IF(P1093="ALUMINIO",VLOOKUP(Q1093,'[3]Tiempo Objeto'!$B$24:$C$32,2,FALSE))))</f>
        <v>0.24666666666666667</v>
      </c>
      <c r="Y1093" s="84">
        <f t="shared" si="137"/>
        <v>2.4666666666666668</v>
      </c>
      <c r="Z1093" s="80">
        <f t="shared" si="138"/>
        <v>3.425925925925926</v>
      </c>
      <c r="AA1093" s="100">
        <v>5</v>
      </c>
      <c r="AB1093" s="86">
        <f>+AA1093*Analisis!$J$6</f>
        <v>125</v>
      </c>
      <c r="AC1093" s="100"/>
      <c r="AD1093" s="85">
        <f t="shared" si="139"/>
        <v>0</v>
      </c>
      <c r="AE1093" s="86">
        <f>+AC1093*Analisis!$J$7</f>
        <v>0</v>
      </c>
      <c r="AF1093" s="308">
        <f>+H1093*0.0254*I1093*0.0254*2*(1+[3]Analisis!$G$2)</f>
        <v>1.81730249442</v>
      </c>
      <c r="AG1093" s="86">
        <f>+AF1093*Analisis!$J$8</f>
        <v>193.62925386975007</v>
      </c>
      <c r="AH1093" s="309">
        <f t="shared" si="144"/>
        <v>595.69907413899705</v>
      </c>
      <c r="AI1093" s="86">
        <f>+AH1093/(1-Analisis!G1098)</f>
        <v>595.69907413899705</v>
      </c>
      <c r="AJ1093" s="86">
        <f t="shared" si="140"/>
        <v>640.5366388591367</v>
      </c>
      <c r="AK1093" s="86">
        <f t="shared" si="145"/>
        <v>0</v>
      </c>
      <c r="AL1093" s="310" t="e">
        <f>+VLOOKUP(B1093,#REF!,2,FALSE)</f>
        <v>#REF!</v>
      </c>
      <c r="AM1093" s="311" t="e">
        <f t="shared" si="143"/>
        <v>#REF!</v>
      </c>
      <c r="AN1093" s="312" t="e">
        <f t="shared" si="129"/>
        <v>#REF!</v>
      </c>
    </row>
    <row r="1094" spans="1:40" s="73" customFormat="1" x14ac:dyDescent="0.25">
      <c r="A1094" s="313"/>
      <c r="B1094" s="329" t="s">
        <v>1725</v>
      </c>
      <c r="D1094" s="74">
        <f>IFERROR(VLOOKUP(B1094,'REQ. PINTADO'!B:C,2,0),0)</f>
        <v>0</v>
      </c>
      <c r="E1094" s="305">
        <f t="shared" si="133"/>
        <v>522.58414537318311</v>
      </c>
      <c r="F1094" s="397" t="s">
        <v>166</v>
      </c>
      <c r="G1094" s="75" t="s">
        <v>147</v>
      </c>
      <c r="H1094" s="90">
        <v>36.090000000000003</v>
      </c>
      <c r="I1094" s="90">
        <v>23.72</v>
      </c>
      <c r="J1094" s="76">
        <v>0.105</v>
      </c>
      <c r="K1094" s="306">
        <v>16.38</v>
      </c>
      <c r="L1094" s="78">
        <f t="shared" si="134"/>
        <v>26.059467171227574</v>
      </c>
      <c r="M1094" s="58">
        <f>+VLOOKUP(F1094,Material!$H$2:$M$17,6,FALSE)*H1094*I1094*(1+Material!$K$14)</f>
        <v>194.02457830213982</v>
      </c>
      <c r="N1094" s="79" t="str">
        <f t="shared" si="147"/>
        <v>T5.0</v>
      </c>
      <c r="O1094" s="80">
        <f>+VLOOKUP(N1094,[3]Material!$A$3:$B$58,2,FALSE)</f>
        <v>5000</v>
      </c>
      <c r="P1094" s="79" t="s">
        <v>42</v>
      </c>
      <c r="Q1094" s="79" t="str">
        <f>+VLOOKUP(F1094,[3]Material!$C$2:$E$12,2,FALSE)</f>
        <v>Cal 16</v>
      </c>
      <c r="R1094" s="81">
        <f>+IF(P1094="ACERO A36",VLOOKUP(Q1094,'[3]Velocidades Std 1500 w'!$B$2:$F$15,5,FALSE),IF(P1094="INOXIDABLE",VLOOKUP(Q1094,'[3]Velocidades Std 1500 w'!$B$17:$F$28,5,FALSE),IF(P1094="ALUMINIO",VLOOKUP(Q1094,'[3]Velocidades Std 1500 w'!$B$30:$F$38,5,FALSE))))</f>
        <v>9.1575091575091579E-7</v>
      </c>
      <c r="S1094" s="82">
        <f t="shared" si="135"/>
        <v>4.578754578754579E-3</v>
      </c>
      <c r="T1094" s="83">
        <f t="shared" si="136"/>
        <v>11.836204615384617</v>
      </c>
      <c r="U1094" s="307">
        <f t="shared" si="130"/>
        <v>3590.3154</v>
      </c>
      <c r="V1094" s="80">
        <f t="shared" si="146"/>
        <v>16.439173076923076</v>
      </c>
      <c r="W1094" s="98">
        <v>10</v>
      </c>
      <c r="X1094" s="84">
        <f>+IF(P1094="ACERO A36",VLOOKUP(Q1094,'[3]Tiempo Objeto'!$B$2:$C$12,2,FALSE),IF(P1094="INOXIDABLE",VLOOKUP(Q1094,'[3]Tiempo Objeto'!$B$14:$C$22,2,FALSE),IF(P1094="ALUMINIO",VLOOKUP(Q1094,'[3]Tiempo Objeto'!$B$24:$C$32,2,FALSE))))</f>
        <v>0.24666666666666667</v>
      </c>
      <c r="Y1094" s="84">
        <f t="shared" si="137"/>
        <v>2.4666666666666668</v>
      </c>
      <c r="Z1094" s="80">
        <f t="shared" si="138"/>
        <v>3.425925925925926</v>
      </c>
      <c r="AA1094" s="100">
        <v>5</v>
      </c>
      <c r="AB1094" s="86">
        <f>+AA1094*Analisis!$J$6</f>
        <v>125</v>
      </c>
      <c r="AC1094" s="100"/>
      <c r="AD1094" s="85">
        <f t="shared" si="139"/>
        <v>0</v>
      </c>
      <c r="AE1094" s="86">
        <f>+AC1094*Analisis!$J$7</f>
        <v>0</v>
      </c>
      <c r="AF1094" s="308">
        <f>+H1094*0.0254*I1094*0.0254*2*(1+[3]Analisis!$G$2)</f>
        <v>1.3807307869200001</v>
      </c>
      <c r="AG1094" s="86">
        <f>+AF1094*Analisis!$J$8</f>
        <v>147.11357789207148</v>
      </c>
      <c r="AH1094" s="309">
        <f t="shared" si="144"/>
        <v>486.0032551970603</v>
      </c>
      <c r="AI1094" s="86">
        <f>+AH1094/(1-Analisis!G1099)</f>
        <v>486.0032551970603</v>
      </c>
      <c r="AJ1094" s="86">
        <f t="shared" si="140"/>
        <v>522.58414537318311</v>
      </c>
      <c r="AK1094" s="86">
        <f t="shared" si="145"/>
        <v>0</v>
      </c>
      <c r="AL1094" s="310" t="e">
        <f>+VLOOKUP(B1094,#REF!,2,FALSE)</f>
        <v>#REF!</v>
      </c>
      <c r="AM1094" s="311" t="e">
        <f t="shared" si="143"/>
        <v>#REF!</v>
      </c>
      <c r="AN1094" s="312" t="e">
        <f t="shared" si="129"/>
        <v>#REF!</v>
      </c>
    </row>
    <row r="1095" spans="1:40" s="73" customFormat="1" x14ac:dyDescent="0.25">
      <c r="A1095" s="313"/>
      <c r="B1095" s="329" t="s">
        <v>1726</v>
      </c>
      <c r="D1095" s="74">
        <f>IFERROR(VLOOKUP(B1095,'REQ. PINTADO'!B:C,2,0),0)</f>
        <v>0</v>
      </c>
      <c r="E1095" s="305">
        <f t="shared" si="133"/>
        <v>640.5366388591367</v>
      </c>
      <c r="F1095" s="397" t="s">
        <v>166</v>
      </c>
      <c r="G1095" s="75" t="s">
        <v>147</v>
      </c>
      <c r="H1095" s="90">
        <v>36.090000000000003</v>
      </c>
      <c r="I1095" s="90">
        <v>31.22</v>
      </c>
      <c r="J1095" s="76">
        <v>0.105</v>
      </c>
      <c r="K1095" s="306">
        <v>16.38</v>
      </c>
      <c r="L1095" s="78">
        <f t="shared" si="134"/>
        <v>34.299180652855178</v>
      </c>
      <c r="M1095" s="58">
        <f>+VLOOKUP(F1095,Material!$H$2:$M$17,6,FALSE)*H1095*I1095*(1+Material!$K$14)</f>
        <v>255.37299049716717</v>
      </c>
      <c r="N1095" s="79" t="str">
        <f t="shared" si="147"/>
        <v>T5.0</v>
      </c>
      <c r="O1095" s="80">
        <f>+VLOOKUP(N1095,[3]Material!$A$3:$B$58,2,FALSE)</f>
        <v>5000</v>
      </c>
      <c r="P1095" s="79" t="s">
        <v>42</v>
      </c>
      <c r="Q1095" s="79" t="str">
        <f>+VLOOKUP(F1095,[3]Material!$C$2:$E$12,2,FALSE)</f>
        <v>Cal 16</v>
      </c>
      <c r="R1095" s="81">
        <f>+IF(P1095="ACERO A36",VLOOKUP(Q1095,'[3]Velocidades Std 1500 w'!$B$2:$F$15,5,FALSE),IF(P1095="INOXIDABLE",VLOOKUP(Q1095,'[3]Velocidades Std 1500 w'!$B$17:$F$28,5,FALSE),IF(P1095="ALUMINIO",VLOOKUP(Q1095,'[3]Velocidades Std 1500 w'!$B$30:$F$38,5,FALSE))))</f>
        <v>9.1575091575091579E-7</v>
      </c>
      <c r="S1095" s="82">
        <f t="shared" si="135"/>
        <v>4.578754578754579E-3</v>
      </c>
      <c r="T1095" s="83">
        <f t="shared" si="136"/>
        <v>13.155050769230771</v>
      </c>
      <c r="U1095" s="307">
        <f t="shared" si="130"/>
        <v>3990.3654000000001</v>
      </c>
      <c r="V1095" s="80">
        <f t="shared" si="146"/>
        <v>18.270903846153846</v>
      </c>
      <c r="W1095" s="98">
        <v>10</v>
      </c>
      <c r="X1095" s="84">
        <f>+IF(P1095="ACERO A36",VLOOKUP(Q1095,'[3]Tiempo Objeto'!$B$2:$C$12,2,FALSE),IF(P1095="INOXIDABLE",VLOOKUP(Q1095,'[3]Tiempo Objeto'!$B$14:$C$22,2,FALSE),IF(P1095="ALUMINIO",VLOOKUP(Q1095,'[3]Tiempo Objeto'!$B$24:$C$32,2,FALSE))))</f>
        <v>0.24666666666666667</v>
      </c>
      <c r="Y1095" s="84">
        <f t="shared" si="137"/>
        <v>2.4666666666666668</v>
      </c>
      <c r="Z1095" s="80">
        <f t="shared" si="138"/>
        <v>3.425925925925926</v>
      </c>
      <c r="AA1095" s="100">
        <v>5</v>
      </c>
      <c r="AB1095" s="86">
        <f>+AA1095*Analisis!$J$6</f>
        <v>125</v>
      </c>
      <c r="AC1095" s="100"/>
      <c r="AD1095" s="85">
        <f t="shared" si="139"/>
        <v>0</v>
      </c>
      <c r="AE1095" s="86">
        <f>+AC1095*Analisis!$J$7</f>
        <v>0</v>
      </c>
      <c r="AF1095" s="308">
        <f>+H1095*0.0254*I1095*0.0254*2*(1+[3]Analisis!$G$2)</f>
        <v>1.81730249442</v>
      </c>
      <c r="AG1095" s="86">
        <f>+AF1095*Analisis!$J$8</f>
        <v>193.62925386975007</v>
      </c>
      <c r="AH1095" s="309">
        <f t="shared" si="144"/>
        <v>595.69907413899705</v>
      </c>
      <c r="AI1095" s="86">
        <f>+AH1095/(1-Analisis!G1100)</f>
        <v>595.69907413899705</v>
      </c>
      <c r="AJ1095" s="86">
        <f t="shared" si="140"/>
        <v>640.5366388591367</v>
      </c>
      <c r="AK1095" s="86">
        <f t="shared" si="145"/>
        <v>0</v>
      </c>
      <c r="AL1095" s="310" t="e">
        <f>+VLOOKUP(B1095,#REF!,2,FALSE)</f>
        <v>#REF!</v>
      </c>
      <c r="AM1095" s="311" t="e">
        <f t="shared" si="143"/>
        <v>#REF!</v>
      </c>
      <c r="AN1095" s="312" t="e">
        <f t="shared" si="129"/>
        <v>#REF!</v>
      </c>
    </row>
    <row r="1096" spans="1:40" s="73" customFormat="1" x14ac:dyDescent="0.25">
      <c r="A1096" s="313"/>
      <c r="B1096" s="329" t="s">
        <v>1727</v>
      </c>
      <c r="D1096" s="74">
        <f>IFERROR(VLOOKUP(B1096,'REQ. PINTADO'!B:C,2,0),0)</f>
        <v>0</v>
      </c>
      <c r="E1096" s="305">
        <f t="shared" si="133"/>
        <v>640.5366388591367</v>
      </c>
      <c r="F1096" s="397" t="s">
        <v>166</v>
      </c>
      <c r="G1096" s="75" t="s">
        <v>147</v>
      </c>
      <c r="H1096" s="90">
        <v>36.090000000000003</v>
      </c>
      <c r="I1096" s="90">
        <v>31.22</v>
      </c>
      <c r="J1096" s="76">
        <v>0.105</v>
      </c>
      <c r="K1096" s="306">
        <v>16.38</v>
      </c>
      <c r="L1096" s="78">
        <f t="shared" si="134"/>
        <v>34.299180652855178</v>
      </c>
      <c r="M1096" s="58">
        <f>+VLOOKUP(F1096,Material!$H$2:$M$17,6,FALSE)*H1096*I1096*(1+Material!$K$14)</f>
        <v>255.37299049716717</v>
      </c>
      <c r="N1096" s="79" t="str">
        <f t="shared" si="147"/>
        <v>T5.0</v>
      </c>
      <c r="O1096" s="80">
        <f>+VLOOKUP(N1096,[3]Material!$A$3:$B$58,2,FALSE)</f>
        <v>5000</v>
      </c>
      <c r="P1096" s="79" t="s">
        <v>42</v>
      </c>
      <c r="Q1096" s="79" t="str">
        <f>+VLOOKUP(F1096,[3]Material!$C$2:$E$12,2,FALSE)</f>
        <v>Cal 16</v>
      </c>
      <c r="R1096" s="81">
        <f>+IF(P1096="ACERO A36",VLOOKUP(Q1096,'[3]Velocidades Std 1500 w'!$B$2:$F$15,5,FALSE),IF(P1096="INOXIDABLE",VLOOKUP(Q1096,'[3]Velocidades Std 1500 w'!$B$17:$F$28,5,FALSE),IF(P1096="ALUMINIO",VLOOKUP(Q1096,'[3]Velocidades Std 1500 w'!$B$30:$F$38,5,FALSE))))</f>
        <v>9.1575091575091579E-7</v>
      </c>
      <c r="S1096" s="82">
        <f t="shared" si="135"/>
        <v>4.578754578754579E-3</v>
      </c>
      <c r="T1096" s="83">
        <f t="shared" si="136"/>
        <v>13.155050769230771</v>
      </c>
      <c r="U1096" s="307">
        <f t="shared" si="130"/>
        <v>3990.3654000000001</v>
      </c>
      <c r="V1096" s="80">
        <f t="shared" si="146"/>
        <v>18.270903846153846</v>
      </c>
      <c r="W1096" s="98">
        <v>10</v>
      </c>
      <c r="X1096" s="84">
        <f>+IF(P1096="ACERO A36",VLOOKUP(Q1096,'[3]Tiempo Objeto'!$B$2:$C$12,2,FALSE),IF(P1096="INOXIDABLE",VLOOKUP(Q1096,'[3]Tiempo Objeto'!$B$14:$C$22,2,FALSE),IF(P1096="ALUMINIO",VLOOKUP(Q1096,'[3]Tiempo Objeto'!$B$24:$C$32,2,FALSE))))</f>
        <v>0.24666666666666667</v>
      </c>
      <c r="Y1096" s="84">
        <f t="shared" si="137"/>
        <v>2.4666666666666668</v>
      </c>
      <c r="Z1096" s="80">
        <f t="shared" si="138"/>
        <v>3.425925925925926</v>
      </c>
      <c r="AA1096" s="100">
        <v>5</v>
      </c>
      <c r="AB1096" s="86">
        <f>+AA1096*Analisis!$J$6</f>
        <v>125</v>
      </c>
      <c r="AC1096" s="100"/>
      <c r="AD1096" s="85">
        <f t="shared" si="139"/>
        <v>0</v>
      </c>
      <c r="AE1096" s="86">
        <f>+AC1096*Analisis!$J$7</f>
        <v>0</v>
      </c>
      <c r="AF1096" s="308">
        <f>+H1096*0.0254*I1096*0.0254*2*(1+[3]Analisis!$G$2)</f>
        <v>1.81730249442</v>
      </c>
      <c r="AG1096" s="86">
        <f>+AF1096*Analisis!$J$8</f>
        <v>193.62925386975007</v>
      </c>
      <c r="AH1096" s="309">
        <f t="shared" si="144"/>
        <v>595.69907413899705</v>
      </c>
      <c r="AI1096" s="86">
        <f>+AH1096/(1-Analisis!G1101)</f>
        <v>595.69907413899705</v>
      </c>
      <c r="AJ1096" s="86">
        <f t="shared" si="140"/>
        <v>640.5366388591367</v>
      </c>
      <c r="AK1096" s="86">
        <f t="shared" si="145"/>
        <v>0</v>
      </c>
      <c r="AL1096" s="310" t="e">
        <f>+VLOOKUP(B1096,#REF!,2,FALSE)</f>
        <v>#REF!</v>
      </c>
      <c r="AM1096" s="311" t="e">
        <f t="shared" si="143"/>
        <v>#REF!</v>
      </c>
      <c r="AN1096" s="312" t="e">
        <f t="shared" si="129"/>
        <v>#REF!</v>
      </c>
    </row>
    <row r="1097" spans="1:40" s="73" customFormat="1" x14ac:dyDescent="0.25">
      <c r="A1097" s="313"/>
      <c r="B1097" s="329" t="s">
        <v>1728</v>
      </c>
      <c r="D1097" s="74">
        <f>IFERROR(VLOOKUP(B1097,'REQ. PINTADO'!B:C,2,0),0)</f>
        <v>0</v>
      </c>
      <c r="E1097" s="305">
        <f t="shared" si="133"/>
        <v>463.60789863020642</v>
      </c>
      <c r="F1097" s="397" t="s">
        <v>166</v>
      </c>
      <c r="G1097" s="75" t="s">
        <v>147</v>
      </c>
      <c r="H1097" s="90">
        <v>36.090000000000003</v>
      </c>
      <c r="I1097" s="90">
        <v>19.97</v>
      </c>
      <c r="J1097" s="76">
        <v>0.105</v>
      </c>
      <c r="K1097" s="306">
        <v>16.38</v>
      </c>
      <c r="L1097" s="78">
        <f t="shared" si="134"/>
        <v>21.939610430413772</v>
      </c>
      <c r="M1097" s="58">
        <f>+VLOOKUP(F1097,Material!$H$2:$M$17,6,FALSE)*H1097*I1097*(1+Material!$K$14)</f>
        <v>163.35037220462615</v>
      </c>
      <c r="N1097" s="79" t="str">
        <f t="shared" si="147"/>
        <v>T5.0</v>
      </c>
      <c r="O1097" s="80">
        <f>+VLOOKUP(N1097,[3]Material!$A$3:$B$58,2,FALSE)</f>
        <v>5000</v>
      </c>
      <c r="P1097" s="79" t="s">
        <v>42</v>
      </c>
      <c r="Q1097" s="79" t="str">
        <f>+VLOOKUP(F1097,[3]Material!$C$2:$E$12,2,FALSE)</f>
        <v>Cal 16</v>
      </c>
      <c r="R1097" s="81">
        <f>+IF(P1097="ACERO A36",VLOOKUP(Q1097,'[3]Velocidades Std 1500 w'!$B$2:$F$15,5,FALSE),IF(P1097="INOXIDABLE",VLOOKUP(Q1097,'[3]Velocidades Std 1500 w'!$B$17:$F$28,5,FALSE),IF(P1097="ALUMINIO",VLOOKUP(Q1097,'[3]Velocidades Std 1500 w'!$B$30:$F$38,5,FALSE))))</f>
        <v>9.1575091575091579E-7</v>
      </c>
      <c r="S1097" s="82">
        <f t="shared" si="135"/>
        <v>4.578754578754579E-3</v>
      </c>
      <c r="T1097" s="83">
        <f t="shared" si="136"/>
        <v>11.176781538461539</v>
      </c>
      <c r="U1097" s="307">
        <f t="shared" si="130"/>
        <v>3390.2904000000003</v>
      </c>
      <c r="V1097" s="80">
        <f t="shared" si="146"/>
        <v>15.523307692307695</v>
      </c>
      <c r="W1097" s="98">
        <v>10</v>
      </c>
      <c r="X1097" s="84">
        <f>+IF(P1097="ACERO A36",VLOOKUP(Q1097,'[3]Tiempo Objeto'!$B$2:$C$12,2,FALSE),IF(P1097="INOXIDABLE",VLOOKUP(Q1097,'[3]Tiempo Objeto'!$B$14:$C$22,2,FALSE),IF(P1097="ALUMINIO",VLOOKUP(Q1097,'[3]Tiempo Objeto'!$B$24:$C$32,2,FALSE))))</f>
        <v>0.24666666666666667</v>
      </c>
      <c r="Y1097" s="84">
        <f t="shared" si="137"/>
        <v>2.4666666666666668</v>
      </c>
      <c r="Z1097" s="80">
        <f t="shared" si="138"/>
        <v>3.425925925925926</v>
      </c>
      <c r="AA1097" s="100">
        <v>5</v>
      </c>
      <c r="AB1097" s="86">
        <f>+AA1097*Analisis!$J$6</f>
        <v>125</v>
      </c>
      <c r="AC1097" s="100"/>
      <c r="AD1097" s="85">
        <f t="shared" si="139"/>
        <v>0</v>
      </c>
      <c r="AE1097" s="86">
        <f>+AC1097*Analisis!$J$7</f>
        <v>0</v>
      </c>
      <c r="AF1097" s="308">
        <f>+H1097*0.0254*I1097*0.0254*2*(1+[3]Analisis!$G$2)</f>
        <v>1.1624449331699998</v>
      </c>
      <c r="AG1097" s="86">
        <f>+AF1097*Analisis!$J$8</f>
        <v>123.85573990323215</v>
      </c>
      <c r="AH1097" s="309">
        <f t="shared" si="144"/>
        <v>431.15534572609192</v>
      </c>
      <c r="AI1097" s="86">
        <f>+AH1097/(1-Analisis!G1102)</f>
        <v>431.15534572609192</v>
      </c>
      <c r="AJ1097" s="86">
        <f t="shared" si="140"/>
        <v>463.60789863020642</v>
      </c>
      <c r="AK1097" s="86">
        <f t="shared" si="145"/>
        <v>0</v>
      </c>
      <c r="AL1097" s="310" t="e">
        <f>+VLOOKUP(B1097,#REF!,2,FALSE)</f>
        <v>#REF!</v>
      </c>
      <c r="AM1097" s="311" t="e">
        <f t="shared" si="143"/>
        <v>#REF!</v>
      </c>
      <c r="AN1097" s="312" t="e">
        <f t="shared" si="129"/>
        <v>#REF!</v>
      </c>
    </row>
    <row r="1098" spans="1:40" s="73" customFormat="1" x14ac:dyDescent="0.25">
      <c r="A1098" s="313"/>
      <c r="B1098" s="329" t="s">
        <v>1729</v>
      </c>
      <c r="D1098" s="74">
        <f>IFERROR(VLOOKUP(B1098,'REQ. PINTADO'!B:C,2,0),0)</f>
        <v>0</v>
      </c>
      <c r="E1098" s="305">
        <f t="shared" si="133"/>
        <v>640.5366388591367</v>
      </c>
      <c r="F1098" s="397" t="s">
        <v>166</v>
      </c>
      <c r="G1098" s="75" t="s">
        <v>147</v>
      </c>
      <c r="H1098" s="90">
        <v>36.090000000000003</v>
      </c>
      <c r="I1098" s="90">
        <v>31.22</v>
      </c>
      <c r="J1098" s="76">
        <v>0.105</v>
      </c>
      <c r="K1098" s="306">
        <v>16.38</v>
      </c>
      <c r="L1098" s="78">
        <f t="shared" si="134"/>
        <v>34.299180652855178</v>
      </c>
      <c r="M1098" s="58">
        <f>+VLOOKUP(F1098,Material!$H$2:$M$17,6,FALSE)*H1098*I1098*(1+Material!$K$14)</f>
        <v>255.37299049716717</v>
      </c>
      <c r="N1098" s="79" t="str">
        <f t="shared" si="147"/>
        <v>T5.0</v>
      </c>
      <c r="O1098" s="80">
        <f>+VLOOKUP(N1098,[3]Material!$A$3:$B$58,2,FALSE)</f>
        <v>5000</v>
      </c>
      <c r="P1098" s="79" t="s">
        <v>42</v>
      </c>
      <c r="Q1098" s="79" t="str">
        <f>+VLOOKUP(F1098,[3]Material!$C$2:$E$12,2,FALSE)</f>
        <v>Cal 16</v>
      </c>
      <c r="R1098" s="81">
        <f>+IF(P1098="ACERO A36",VLOOKUP(Q1098,'[3]Velocidades Std 1500 w'!$B$2:$F$15,5,FALSE),IF(P1098="INOXIDABLE",VLOOKUP(Q1098,'[3]Velocidades Std 1500 w'!$B$17:$F$28,5,FALSE),IF(P1098="ALUMINIO",VLOOKUP(Q1098,'[3]Velocidades Std 1500 w'!$B$30:$F$38,5,FALSE))))</f>
        <v>9.1575091575091579E-7</v>
      </c>
      <c r="S1098" s="82">
        <f t="shared" si="135"/>
        <v>4.578754578754579E-3</v>
      </c>
      <c r="T1098" s="83">
        <f t="shared" si="136"/>
        <v>13.155050769230771</v>
      </c>
      <c r="U1098" s="307">
        <f t="shared" si="130"/>
        <v>3990.3654000000001</v>
      </c>
      <c r="V1098" s="80">
        <f t="shared" si="146"/>
        <v>18.270903846153846</v>
      </c>
      <c r="W1098" s="98">
        <v>10</v>
      </c>
      <c r="X1098" s="84">
        <f>+IF(P1098="ACERO A36",VLOOKUP(Q1098,'[3]Tiempo Objeto'!$B$2:$C$12,2,FALSE),IF(P1098="INOXIDABLE",VLOOKUP(Q1098,'[3]Tiempo Objeto'!$B$14:$C$22,2,FALSE),IF(P1098="ALUMINIO",VLOOKUP(Q1098,'[3]Tiempo Objeto'!$B$24:$C$32,2,FALSE))))</f>
        <v>0.24666666666666667</v>
      </c>
      <c r="Y1098" s="84">
        <f t="shared" si="137"/>
        <v>2.4666666666666668</v>
      </c>
      <c r="Z1098" s="80">
        <f t="shared" si="138"/>
        <v>3.425925925925926</v>
      </c>
      <c r="AA1098" s="100">
        <v>5</v>
      </c>
      <c r="AB1098" s="86">
        <f>+AA1098*Analisis!$J$6</f>
        <v>125</v>
      </c>
      <c r="AC1098" s="100"/>
      <c r="AD1098" s="85">
        <f t="shared" si="139"/>
        <v>0</v>
      </c>
      <c r="AE1098" s="86">
        <f>+AC1098*Analisis!$J$7</f>
        <v>0</v>
      </c>
      <c r="AF1098" s="308">
        <f>+H1098*0.0254*I1098*0.0254*2*(1+[3]Analisis!$G$2)</f>
        <v>1.81730249442</v>
      </c>
      <c r="AG1098" s="86">
        <f>+AF1098*Analisis!$J$8</f>
        <v>193.62925386975007</v>
      </c>
      <c r="AH1098" s="309">
        <f t="shared" si="144"/>
        <v>595.69907413899705</v>
      </c>
      <c r="AI1098" s="86">
        <f>+AH1098/(1-Analisis!G1103)</f>
        <v>595.69907413899705</v>
      </c>
      <c r="AJ1098" s="86">
        <f t="shared" si="140"/>
        <v>640.5366388591367</v>
      </c>
      <c r="AK1098" s="86">
        <f t="shared" si="145"/>
        <v>0</v>
      </c>
      <c r="AL1098" s="310" t="e">
        <f>+VLOOKUP(B1098,#REF!,2,FALSE)</f>
        <v>#REF!</v>
      </c>
      <c r="AM1098" s="311" t="e">
        <f t="shared" si="143"/>
        <v>#REF!</v>
      </c>
      <c r="AN1098" s="312" t="e">
        <f t="shared" si="129"/>
        <v>#REF!</v>
      </c>
    </row>
    <row r="1099" spans="1:40" s="73" customFormat="1" x14ac:dyDescent="0.25">
      <c r="A1099" s="313"/>
      <c r="B1099" s="329" t="s">
        <v>1730</v>
      </c>
      <c r="D1099" s="74">
        <f>IFERROR(VLOOKUP(B1099,'REQ. PINTADO'!B:C,2,0),0)</f>
        <v>0</v>
      </c>
      <c r="E1099" s="305">
        <f t="shared" si="133"/>
        <v>640.5366388591367</v>
      </c>
      <c r="F1099" s="397" t="s">
        <v>166</v>
      </c>
      <c r="G1099" s="75" t="s">
        <v>147</v>
      </c>
      <c r="H1099" s="90">
        <v>36.090000000000003</v>
      </c>
      <c r="I1099" s="90">
        <v>31.22</v>
      </c>
      <c r="J1099" s="76">
        <v>0.105</v>
      </c>
      <c r="K1099" s="306">
        <v>16.38</v>
      </c>
      <c r="L1099" s="78">
        <f t="shared" si="134"/>
        <v>34.299180652855178</v>
      </c>
      <c r="M1099" s="58">
        <f>+VLOOKUP(F1099,Material!$H$2:$M$17,6,FALSE)*H1099*I1099*(1+Material!$K$14)</f>
        <v>255.37299049716717</v>
      </c>
      <c r="N1099" s="79" t="str">
        <f t="shared" si="147"/>
        <v>T5.0</v>
      </c>
      <c r="O1099" s="80">
        <f>+VLOOKUP(N1099,[3]Material!$A$3:$B$58,2,FALSE)</f>
        <v>5000</v>
      </c>
      <c r="P1099" s="79" t="s">
        <v>42</v>
      </c>
      <c r="Q1099" s="79" t="str">
        <f>+VLOOKUP(F1099,[3]Material!$C$2:$E$12,2,FALSE)</f>
        <v>Cal 16</v>
      </c>
      <c r="R1099" s="81">
        <f>+IF(P1099="ACERO A36",VLOOKUP(Q1099,'[3]Velocidades Std 1500 w'!$B$2:$F$15,5,FALSE),IF(P1099="INOXIDABLE",VLOOKUP(Q1099,'[3]Velocidades Std 1500 w'!$B$17:$F$28,5,FALSE),IF(P1099="ALUMINIO",VLOOKUP(Q1099,'[3]Velocidades Std 1500 w'!$B$30:$F$38,5,FALSE))))</f>
        <v>9.1575091575091579E-7</v>
      </c>
      <c r="S1099" s="82">
        <f t="shared" si="135"/>
        <v>4.578754578754579E-3</v>
      </c>
      <c r="T1099" s="83">
        <f t="shared" si="136"/>
        <v>13.155050769230771</v>
      </c>
      <c r="U1099" s="307">
        <f t="shared" si="130"/>
        <v>3990.3654000000001</v>
      </c>
      <c r="V1099" s="80">
        <f t="shared" si="146"/>
        <v>18.270903846153846</v>
      </c>
      <c r="W1099" s="98">
        <v>10</v>
      </c>
      <c r="X1099" s="84">
        <f>+IF(P1099="ACERO A36",VLOOKUP(Q1099,'[3]Tiempo Objeto'!$B$2:$C$12,2,FALSE),IF(P1099="INOXIDABLE",VLOOKUP(Q1099,'[3]Tiempo Objeto'!$B$14:$C$22,2,FALSE),IF(P1099="ALUMINIO",VLOOKUP(Q1099,'[3]Tiempo Objeto'!$B$24:$C$32,2,FALSE))))</f>
        <v>0.24666666666666667</v>
      </c>
      <c r="Y1099" s="84">
        <f t="shared" si="137"/>
        <v>2.4666666666666668</v>
      </c>
      <c r="Z1099" s="80">
        <f t="shared" si="138"/>
        <v>3.425925925925926</v>
      </c>
      <c r="AA1099" s="100">
        <v>5</v>
      </c>
      <c r="AB1099" s="86">
        <f>+AA1099*Analisis!$J$6</f>
        <v>125</v>
      </c>
      <c r="AC1099" s="100"/>
      <c r="AD1099" s="85">
        <f t="shared" si="139"/>
        <v>0</v>
      </c>
      <c r="AE1099" s="86">
        <f>+AC1099*Analisis!$J$7</f>
        <v>0</v>
      </c>
      <c r="AF1099" s="308">
        <f>+H1099*0.0254*I1099*0.0254*2*(1+[3]Analisis!$G$2)</f>
        <v>1.81730249442</v>
      </c>
      <c r="AG1099" s="86">
        <f>+AF1099*Analisis!$J$8</f>
        <v>193.62925386975007</v>
      </c>
      <c r="AH1099" s="309">
        <f t="shared" si="144"/>
        <v>595.69907413899705</v>
      </c>
      <c r="AI1099" s="86">
        <f>+AH1099/(1-Analisis!G1104)</f>
        <v>595.69907413899705</v>
      </c>
      <c r="AJ1099" s="86">
        <f t="shared" si="140"/>
        <v>640.5366388591367</v>
      </c>
      <c r="AK1099" s="86">
        <f t="shared" si="145"/>
        <v>0</v>
      </c>
      <c r="AL1099" s="310" t="e">
        <f>+VLOOKUP(B1099,#REF!,2,FALSE)</f>
        <v>#REF!</v>
      </c>
      <c r="AM1099" s="311" t="e">
        <f t="shared" si="143"/>
        <v>#REF!</v>
      </c>
      <c r="AN1099" s="312" t="e">
        <f t="shared" si="129"/>
        <v>#REF!</v>
      </c>
    </row>
    <row r="1100" spans="1:40" s="73" customFormat="1" x14ac:dyDescent="0.25">
      <c r="A1100" s="313"/>
      <c r="B1100" s="329" t="s">
        <v>1731</v>
      </c>
      <c r="D1100" s="74">
        <f>IFERROR(VLOOKUP(B1100,'REQ. PINTADO'!B:C,2,0),0)</f>
        <v>0</v>
      </c>
      <c r="E1100" s="305">
        <f t="shared" si="133"/>
        <v>640.5366388591367</v>
      </c>
      <c r="F1100" s="397" t="s">
        <v>166</v>
      </c>
      <c r="G1100" s="75" t="s">
        <v>147</v>
      </c>
      <c r="H1100" s="90">
        <v>36.090000000000003</v>
      </c>
      <c r="I1100" s="90">
        <v>31.22</v>
      </c>
      <c r="J1100" s="76">
        <v>0.105</v>
      </c>
      <c r="K1100" s="306">
        <v>16.38</v>
      </c>
      <c r="L1100" s="78">
        <f t="shared" si="134"/>
        <v>34.299180652855178</v>
      </c>
      <c r="M1100" s="58">
        <f>+VLOOKUP(F1100,Material!$H$2:$M$17,6,FALSE)*H1100*I1100*(1+Material!$K$14)</f>
        <v>255.37299049716717</v>
      </c>
      <c r="N1100" s="79" t="str">
        <f t="shared" si="147"/>
        <v>T5.0</v>
      </c>
      <c r="O1100" s="80">
        <f>+VLOOKUP(N1100,[3]Material!$A$3:$B$58,2,FALSE)</f>
        <v>5000</v>
      </c>
      <c r="P1100" s="79" t="s">
        <v>42</v>
      </c>
      <c r="Q1100" s="79" t="str">
        <f>+VLOOKUP(F1100,[3]Material!$C$2:$E$12,2,FALSE)</f>
        <v>Cal 16</v>
      </c>
      <c r="R1100" s="81">
        <f>+IF(P1100="ACERO A36",VLOOKUP(Q1100,'[3]Velocidades Std 1500 w'!$B$2:$F$15,5,FALSE),IF(P1100="INOXIDABLE",VLOOKUP(Q1100,'[3]Velocidades Std 1500 w'!$B$17:$F$28,5,FALSE),IF(P1100="ALUMINIO",VLOOKUP(Q1100,'[3]Velocidades Std 1500 w'!$B$30:$F$38,5,FALSE))))</f>
        <v>9.1575091575091579E-7</v>
      </c>
      <c r="S1100" s="82">
        <f t="shared" si="135"/>
        <v>4.578754578754579E-3</v>
      </c>
      <c r="T1100" s="83">
        <f t="shared" si="136"/>
        <v>13.155050769230771</v>
      </c>
      <c r="U1100" s="307">
        <f t="shared" si="130"/>
        <v>3990.3654000000001</v>
      </c>
      <c r="V1100" s="80">
        <f t="shared" si="146"/>
        <v>18.270903846153846</v>
      </c>
      <c r="W1100" s="98">
        <v>10</v>
      </c>
      <c r="X1100" s="84">
        <f>+IF(P1100="ACERO A36",VLOOKUP(Q1100,'[3]Tiempo Objeto'!$B$2:$C$12,2,FALSE),IF(P1100="INOXIDABLE",VLOOKUP(Q1100,'[3]Tiempo Objeto'!$B$14:$C$22,2,FALSE),IF(P1100="ALUMINIO",VLOOKUP(Q1100,'[3]Tiempo Objeto'!$B$24:$C$32,2,FALSE))))</f>
        <v>0.24666666666666667</v>
      </c>
      <c r="Y1100" s="84">
        <f t="shared" si="137"/>
        <v>2.4666666666666668</v>
      </c>
      <c r="Z1100" s="80">
        <f t="shared" si="138"/>
        <v>3.425925925925926</v>
      </c>
      <c r="AA1100" s="100">
        <v>5</v>
      </c>
      <c r="AB1100" s="86">
        <f>+AA1100*Analisis!$J$6</f>
        <v>125</v>
      </c>
      <c r="AC1100" s="100"/>
      <c r="AD1100" s="85">
        <f t="shared" si="139"/>
        <v>0</v>
      </c>
      <c r="AE1100" s="86">
        <f>+AC1100*Analisis!$J$7</f>
        <v>0</v>
      </c>
      <c r="AF1100" s="308">
        <f>+H1100*0.0254*I1100*0.0254*2*(1+[3]Analisis!$G$2)</f>
        <v>1.81730249442</v>
      </c>
      <c r="AG1100" s="86">
        <f>+AF1100*Analisis!$J$8</f>
        <v>193.62925386975007</v>
      </c>
      <c r="AH1100" s="309">
        <f t="shared" si="144"/>
        <v>595.69907413899705</v>
      </c>
      <c r="AI1100" s="86">
        <f>+AH1100/(1-Analisis!G1105)</f>
        <v>595.69907413899705</v>
      </c>
      <c r="AJ1100" s="86">
        <f t="shared" si="140"/>
        <v>640.5366388591367</v>
      </c>
      <c r="AK1100" s="86">
        <f t="shared" si="145"/>
        <v>0</v>
      </c>
      <c r="AL1100" s="310" t="e">
        <f>+VLOOKUP(B1100,#REF!,2,FALSE)</f>
        <v>#REF!</v>
      </c>
      <c r="AM1100" s="311" t="e">
        <f t="shared" si="143"/>
        <v>#REF!</v>
      </c>
      <c r="AN1100" s="312" t="e">
        <f t="shared" si="129"/>
        <v>#REF!</v>
      </c>
    </row>
    <row r="1101" spans="1:40" s="73" customFormat="1" x14ac:dyDescent="0.25">
      <c r="A1101" s="313"/>
      <c r="B1101" s="329" t="s">
        <v>1732</v>
      </c>
      <c r="D1101" s="74">
        <f>IFERROR(VLOOKUP(B1101,'REQ. PINTADO'!B:C,2,0),0)</f>
        <v>0</v>
      </c>
      <c r="E1101" s="305">
        <f t="shared" si="133"/>
        <v>640.5366388591367</v>
      </c>
      <c r="F1101" s="397" t="s">
        <v>166</v>
      </c>
      <c r="G1101" s="75" t="s">
        <v>147</v>
      </c>
      <c r="H1101" s="90">
        <v>36.090000000000003</v>
      </c>
      <c r="I1101" s="90">
        <v>31.22</v>
      </c>
      <c r="J1101" s="76">
        <v>0.105</v>
      </c>
      <c r="K1101" s="306">
        <v>16.38</v>
      </c>
      <c r="L1101" s="78">
        <f t="shared" si="134"/>
        <v>34.299180652855178</v>
      </c>
      <c r="M1101" s="58">
        <f>+VLOOKUP(F1101,Material!$H$2:$M$17,6,FALSE)*H1101*I1101*(1+Material!$K$14)</f>
        <v>255.37299049716717</v>
      </c>
      <c r="N1101" s="79" t="str">
        <f t="shared" si="147"/>
        <v>T5.0</v>
      </c>
      <c r="O1101" s="80">
        <f>+VLOOKUP(N1101,[3]Material!$A$3:$B$58,2,FALSE)</f>
        <v>5000</v>
      </c>
      <c r="P1101" s="79" t="s">
        <v>42</v>
      </c>
      <c r="Q1101" s="79" t="str">
        <f>+VLOOKUP(F1101,[3]Material!$C$2:$E$12,2,FALSE)</f>
        <v>Cal 16</v>
      </c>
      <c r="R1101" s="81">
        <f>+IF(P1101="ACERO A36",VLOOKUP(Q1101,'[3]Velocidades Std 1500 w'!$B$2:$F$15,5,FALSE),IF(P1101="INOXIDABLE",VLOOKUP(Q1101,'[3]Velocidades Std 1500 w'!$B$17:$F$28,5,FALSE),IF(P1101="ALUMINIO",VLOOKUP(Q1101,'[3]Velocidades Std 1500 w'!$B$30:$F$38,5,FALSE))))</f>
        <v>9.1575091575091579E-7</v>
      </c>
      <c r="S1101" s="82">
        <f t="shared" si="135"/>
        <v>4.578754578754579E-3</v>
      </c>
      <c r="T1101" s="83">
        <f t="shared" si="136"/>
        <v>13.155050769230771</v>
      </c>
      <c r="U1101" s="307">
        <f t="shared" si="130"/>
        <v>3990.3654000000001</v>
      </c>
      <c r="V1101" s="80">
        <f t="shared" si="146"/>
        <v>18.270903846153846</v>
      </c>
      <c r="W1101" s="98">
        <v>10</v>
      </c>
      <c r="X1101" s="84">
        <f>+IF(P1101="ACERO A36",VLOOKUP(Q1101,'[3]Tiempo Objeto'!$B$2:$C$12,2,FALSE),IF(P1101="INOXIDABLE",VLOOKUP(Q1101,'[3]Tiempo Objeto'!$B$14:$C$22,2,FALSE),IF(P1101="ALUMINIO",VLOOKUP(Q1101,'[3]Tiempo Objeto'!$B$24:$C$32,2,FALSE))))</f>
        <v>0.24666666666666667</v>
      </c>
      <c r="Y1101" s="84">
        <f t="shared" si="137"/>
        <v>2.4666666666666668</v>
      </c>
      <c r="Z1101" s="80">
        <f t="shared" si="138"/>
        <v>3.425925925925926</v>
      </c>
      <c r="AA1101" s="100">
        <v>5</v>
      </c>
      <c r="AB1101" s="86">
        <f>+AA1101*Analisis!$J$6</f>
        <v>125</v>
      </c>
      <c r="AC1101" s="100"/>
      <c r="AD1101" s="85">
        <f t="shared" si="139"/>
        <v>0</v>
      </c>
      <c r="AE1101" s="86">
        <f>+AC1101*Analisis!$J$7</f>
        <v>0</v>
      </c>
      <c r="AF1101" s="308">
        <f>+H1101*0.0254*I1101*0.0254*2*(1+[3]Analisis!$G$2)</f>
        <v>1.81730249442</v>
      </c>
      <c r="AG1101" s="86">
        <f>+AF1101*Analisis!$J$8</f>
        <v>193.62925386975007</v>
      </c>
      <c r="AH1101" s="309">
        <f t="shared" si="144"/>
        <v>595.69907413899705</v>
      </c>
      <c r="AI1101" s="86">
        <f>+AH1101/(1-Analisis!G1106)</f>
        <v>595.69907413899705</v>
      </c>
      <c r="AJ1101" s="86">
        <f t="shared" si="140"/>
        <v>640.5366388591367</v>
      </c>
      <c r="AK1101" s="86">
        <f t="shared" si="145"/>
        <v>0</v>
      </c>
      <c r="AL1101" s="310" t="e">
        <f>+VLOOKUP(B1101,#REF!,2,FALSE)</f>
        <v>#REF!</v>
      </c>
      <c r="AM1101" s="311" t="e">
        <f t="shared" si="143"/>
        <v>#REF!</v>
      </c>
      <c r="AN1101" s="312" t="e">
        <f t="shared" si="129"/>
        <v>#REF!</v>
      </c>
    </row>
    <row r="1102" spans="1:40" s="73" customFormat="1" x14ac:dyDescent="0.25">
      <c r="A1102" s="313"/>
      <c r="B1102" s="329" t="s">
        <v>1733</v>
      </c>
      <c r="D1102" s="74">
        <f>IFERROR(VLOOKUP(B1102,'REQ. PINTADO'!B:C,2,0),0)</f>
        <v>0</v>
      </c>
      <c r="E1102" s="305">
        <f t="shared" si="133"/>
        <v>640.5366388591367</v>
      </c>
      <c r="F1102" s="397" t="s">
        <v>166</v>
      </c>
      <c r="G1102" s="75" t="s">
        <v>147</v>
      </c>
      <c r="H1102" s="90">
        <v>36.090000000000003</v>
      </c>
      <c r="I1102" s="90">
        <v>31.22</v>
      </c>
      <c r="J1102" s="76">
        <v>0.105</v>
      </c>
      <c r="K1102" s="306">
        <v>16.38</v>
      </c>
      <c r="L1102" s="78">
        <f t="shared" si="134"/>
        <v>34.299180652855178</v>
      </c>
      <c r="M1102" s="58">
        <f>+VLOOKUP(F1102,Material!$H$2:$M$17,6,FALSE)*H1102*I1102*(1+Material!$K$14)</f>
        <v>255.37299049716717</v>
      </c>
      <c r="N1102" s="79" t="str">
        <f t="shared" si="147"/>
        <v>T5.0</v>
      </c>
      <c r="O1102" s="80">
        <f>+VLOOKUP(N1102,[3]Material!$A$3:$B$58,2,FALSE)</f>
        <v>5000</v>
      </c>
      <c r="P1102" s="79" t="s">
        <v>42</v>
      </c>
      <c r="Q1102" s="79" t="str">
        <f>+VLOOKUP(F1102,[3]Material!$C$2:$E$12,2,FALSE)</f>
        <v>Cal 16</v>
      </c>
      <c r="R1102" s="81">
        <f>+IF(P1102="ACERO A36",VLOOKUP(Q1102,'[3]Velocidades Std 1500 w'!$B$2:$F$15,5,FALSE),IF(P1102="INOXIDABLE",VLOOKUP(Q1102,'[3]Velocidades Std 1500 w'!$B$17:$F$28,5,FALSE),IF(P1102="ALUMINIO",VLOOKUP(Q1102,'[3]Velocidades Std 1500 w'!$B$30:$F$38,5,FALSE))))</f>
        <v>9.1575091575091579E-7</v>
      </c>
      <c r="S1102" s="82">
        <f t="shared" si="135"/>
        <v>4.578754578754579E-3</v>
      </c>
      <c r="T1102" s="83">
        <f t="shared" si="136"/>
        <v>13.155050769230771</v>
      </c>
      <c r="U1102" s="307">
        <f t="shared" si="130"/>
        <v>3990.3654000000001</v>
      </c>
      <c r="V1102" s="80">
        <f t="shared" si="146"/>
        <v>18.270903846153846</v>
      </c>
      <c r="W1102" s="98">
        <v>10</v>
      </c>
      <c r="X1102" s="84">
        <f>+IF(P1102="ACERO A36",VLOOKUP(Q1102,'[3]Tiempo Objeto'!$B$2:$C$12,2,FALSE),IF(P1102="INOXIDABLE",VLOOKUP(Q1102,'[3]Tiempo Objeto'!$B$14:$C$22,2,FALSE),IF(P1102="ALUMINIO",VLOOKUP(Q1102,'[3]Tiempo Objeto'!$B$24:$C$32,2,FALSE))))</f>
        <v>0.24666666666666667</v>
      </c>
      <c r="Y1102" s="84">
        <f t="shared" si="137"/>
        <v>2.4666666666666668</v>
      </c>
      <c r="Z1102" s="80">
        <f t="shared" si="138"/>
        <v>3.425925925925926</v>
      </c>
      <c r="AA1102" s="100">
        <v>5</v>
      </c>
      <c r="AB1102" s="86">
        <f>+AA1102*Analisis!$J$6</f>
        <v>125</v>
      </c>
      <c r="AC1102" s="100"/>
      <c r="AD1102" s="85">
        <f t="shared" si="139"/>
        <v>0</v>
      </c>
      <c r="AE1102" s="86">
        <f>+AC1102*Analisis!$J$7</f>
        <v>0</v>
      </c>
      <c r="AF1102" s="308">
        <f>+H1102*0.0254*I1102*0.0254*2*(1+[3]Analisis!$G$2)</f>
        <v>1.81730249442</v>
      </c>
      <c r="AG1102" s="86">
        <f>+AF1102*Analisis!$J$8</f>
        <v>193.62925386975007</v>
      </c>
      <c r="AH1102" s="309">
        <f t="shared" si="144"/>
        <v>595.69907413899705</v>
      </c>
      <c r="AI1102" s="86">
        <f>+AH1102/(1-Analisis!G1107)</f>
        <v>595.69907413899705</v>
      </c>
      <c r="AJ1102" s="86">
        <f t="shared" si="140"/>
        <v>640.5366388591367</v>
      </c>
      <c r="AK1102" s="86">
        <f t="shared" si="145"/>
        <v>0</v>
      </c>
      <c r="AL1102" s="310" t="e">
        <f>+VLOOKUP(B1102,#REF!,2,FALSE)</f>
        <v>#REF!</v>
      </c>
      <c r="AM1102" s="311" t="e">
        <f t="shared" si="143"/>
        <v>#REF!</v>
      </c>
      <c r="AN1102" s="312" t="e">
        <f t="shared" si="129"/>
        <v>#REF!</v>
      </c>
    </row>
    <row r="1103" spans="1:40" s="73" customFormat="1" x14ac:dyDescent="0.25">
      <c r="A1103" s="313"/>
      <c r="B1103" s="329" t="s">
        <v>1734</v>
      </c>
      <c r="D1103" s="74">
        <f>IFERROR(VLOOKUP(B1103,'REQ. PINTADO'!B:C,2,0),0)</f>
        <v>0</v>
      </c>
      <c r="E1103" s="305">
        <f t="shared" si="133"/>
        <v>1073.6145668928189</v>
      </c>
      <c r="F1103" s="103" t="s">
        <v>163</v>
      </c>
      <c r="G1103" s="75" t="s">
        <v>147</v>
      </c>
      <c r="H1103" s="90">
        <v>17.7</v>
      </c>
      <c r="I1103" s="90">
        <v>76.08</v>
      </c>
      <c r="J1103" s="76">
        <v>0.105</v>
      </c>
      <c r="K1103" s="306">
        <v>16.38</v>
      </c>
      <c r="L1103" s="78">
        <f t="shared" si="134"/>
        <v>67.890032402454182</v>
      </c>
      <c r="M1103" s="58">
        <f>+VLOOKUP(F1103,Material!$H$2:$M$17,6,FALSE)*H1103*I1103*(1+Material!$K$14)</f>
        <v>505.47215034190879</v>
      </c>
      <c r="N1103" s="79" t="str">
        <f t="shared" si="147"/>
        <v>T5.0</v>
      </c>
      <c r="O1103" s="80">
        <f>+VLOOKUP(N1103,[3]Material!$A$3:$B$58,2,FALSE)</f>
        <v>5000</v>
      </c>
      <c r="P1103" s="79" t="s">
        <v>42</v>
      </c>
      <c r="Q1103" s="79" t="str">
        <f>+VLOOKUP(F1103,[3]Material!$C$2:$E$12,2,FALSE)</f>
        <v>Cal 12</v>
      </c>
      <c r="R1103" s="81">
        <f>+IF(P1103="ACERO A36",VLOOKUP(Q1103,'[3]Velocidades Std 1500 w'!$B$2:$F$15,5,FALSE),IF(P1103="INOXIDABLE",VLOOKUP(Q1103,'[3]Velocidades Std 1500 w'!$B$17:$F$28,5,FALSE),IF(P1103="ALUMINIO",VLOOKUP(Q1103,'[3]Velocidades Std 1500 w'!$B$30:$F$38,5,FALSE))))</f>
        <v>4.3859649122807014E-6</v>
      </c>
      <c r="S1103" s="82">
        <f t="shared" si="135"/>
        <v>2.1929824561403508E-2</v>
      </c>
      <c r="T1103" s="83">
        <f t="shared" si="136"/>
        <v>97.932239999999979</v>
      </c>
      <c r="U1103" s="307">
        <f t="shared" si="130"/>
        <v>6202.3751999999995</v>
      </c>
      <c r="V1103" s="80">
        <f t="shared" si="146"/>
        <v>136.01699999999997</v>
      </c>
      <c r="W1103" s="98">
        <v>30</v>
      </c>
      <c r="X1103" s="84">
        <f>+IF(P1103="ACERO A36",VLOOKUP(Q1103,'[3]Tiempo Objeto'!$B$2:$C$12,2,FALSE),IF(P1103="INOXIDABLE",VLOOKUP(Q1103,'[3]Tiempo Objeto'!$B$14:$C$22,2,FALSE),IF(P1103="ALUMINIO",VLOOKUP(Q1103,'[3]Tiempo Objeto'!$B$24:$C$32,2,FALSE))))</f>
        <v>0.6133333333333334</v>
      </c>
      <c r="Y1103" s="84">
        <f t="shared" si="137"/>
        <v>18.400000000000002</v>
      </c>
      <c r="Z1103" s="80">
        <f t="shared" si="138"/>
        <v>25.555555555555561</v>
      </c>
      <c r="AA1103" s="100">
        <v>4</v>
      </c>
      <c r="AB1103" s="86">
        <f>+AA1103*Analisis!$J$6</f>
        <v>100</v>
      </c>
      <c r="AC1103" s="100"/>
      <c r="AD1103" s="85">
        <f t="shared" si="139"/>
        <v>0</v>
      </c>
      <c r="AE1103" s="86">
        <f>+AC1103*Analisis!$J$7</f>
        <v>0</v>
      </c>
      <c r="AF1103" s="308">
        <f>+H1103*0.0254*I1103*0.0254*2*(1+[3]Analisis!$G$2)</f>
        <v>2.1719569463999995</v>
      </c>
      <c r="AG1103" s="86">
        <f>+AF1103*Analisis!$J$8</f>
        <v>231.41684131285714</v>
      </c>
      <c r="AH1103" s="309">
        <f t="shared" si="144"/>
        <v>998.46154721032156</v>
      </c>
      <c r="AI1103" s="86">
        <f>+AH1103/(1-Analisis!G1108)</f>
        <v>998.46154721032156</v>
      </c>
      <c r="AJ1103" s="86">
        <f t="shared" si="140"/>
        <v>1073.6145668928189</v>
      </c>
      <c r="AK1103" s="86">
        <f t="shared" si="145"/>
        <v>0</v>
      </c>
      <c r="AL1103" s="310" t="e">
        <f>+VLOOKUP(B1103,#REF!,2,FALSE)</f>
        <v>#REF!</v>
      </c>
      <c r="AM1103" s="311" t="e">
        <f t="shared" si="143"/>
        <v>#REF!</v>
      </c>
      <c r="AN1103" s="312" t="e">
        <f t="shared" ref="AN1103:AN1341" si="148">+AM1103/AL1103</f>
        <v>#REF!</v>
      </c>
    </row>
    <row r="1104" spans="1:40" s="73" customFormat="1" x14ac:dyDescent="0.25">
      <c r="A1104" s="313"/>
      <c r="B1104" s="329" t="s">
        <v>1735</v>
      </c>
      <c r="D1104" s="74">
        <f>IFERROR(VLOOKUP(B1104,'REQ. PINTADO'!B:C,2,0),0)</f>
        <v>0</v>
      </c>
      <c r="E1104" s="305">
        <f t="shared" si="133"/>
        <v>621.14209246174505</v>
      </c>
      <c r="F1104" s="103" t="s">
        <v>166</v>
      </c>
      <c r="G1104" s="75" t="s">
        <v>147</v>
      </c>
      <c r="H1104" s="90">
        <v>35.826000000000001</v>
      </c>
      <c r="I1104" s="90">
        <v>31.206</v>
      </c>
      <c r="J1104" s="76">
        <v>0.105</v>
      </c>
      <c r="K1104" s="306">
        <v>16.38</v>
      </c>
      <c r="L1104" s="78">
        <f t="shared" si="134"/>
        <v>34.033012290999253</v>
      </c>
      <c r="M1104" s="58">
        <f>+VLOOKUP(F1104,Material!$H$2:$M$17,6,FALSE)*H1104*I1104*(1+Material!$K$14)</f>
        <v>253.39124605753076</v>
      </c>
      <c r="N1104" s="79" t="str">
        <f t="shared" si="147"/>
        <v>T5.0</v>
      </c>
      <c r="O1104" s="80">
        <f>+VLOOKUP(N1104,[3]Material!$A$3:$B$58,2,FALSE)</f>
        <v>5000</v>
      </c>
      <c r="P1104" s="79" t="s">
        <v>42</v>
      </c>
      <c r="Q1104" s="79" t="str">
        <f>+VLOOKUP(F1104,[3]Material!$C$2:$E$12,2,FALSE)</f>
        <v>Cal 16</v>
      </c>
      <c r="R1104" s="81">
        <f>+IF(P1104="ACERO A36",VLOOKUP(Q1104,'[3]Velocidades Std 1500 w'!$B$2:$F$15,5,FALSE),IF(P1104="INOXIDABLE",VLOOKUP(Q1104,'[3]Velocidades Std 1500 w'!$B$17:$F$28,5,FALSE),IF(P1104="ALUMINIO",VLOOKUP(Q1104,'[3]Velocidades Std 1500 w'!$B$30:$F$38,5,FALSE))))</f>
        <v>9.1575091575091579E-7</v>
      </c>
      <c r="S1104" s="82">
        <f t="shared" si="135"/>
        <v>4.578754578754579E-3</v>
      </c>
      <c r="T1104" s="83">
        <f t="shared" si="136"/>
        <v>15.743857846153846</v>
      </c>
      <c r="U1104" s="307">
        <f t="shared" si="130"/>
        <v>4775.63688</v>
      </c>
      <c r="V1104" s="80">
        <f t="shared" si="146"/>
        <v>21.866469230769233</v>
      </c>
      <c r="W1104" s="98">
        <v>30</v>
      </c>
      <c r="X1104" s="84">
        <f>+IF(P1104="ACERO A36",VLOOKUP(Q1104,'[3]Tiempo Objeto'!$B$2:$C$12,2,FALSE),IF(P1104="INOXIDABLE",VLOOKUP(Q1104,'[3]Tiempo Objeto'!$B$14:$C$22,2,FALSE),IF(P1104="ALUMINIO",VLOOKUP(Q1104,'[3]Tiempo Objeto'!$B$24:$C$32,2,FALSE))))</f>
        <v>0.24666666666666667</v>
      </c>
      <c r="Y1104" s="84">
        <f t="shared" si="137"/>
        <v>7.4</v>
      </c>
      <c r="Z1104" s="80">
        <f t="shared" si="138"/>
        <v>10.277777777777779</v>
      </c>
      <c r="AA1104" s="100">
        <v>4</v>
      </c>
      <c r="AB1104" s="86">
        <f>+AA1104*Analisis!$J$6</f>
        <v>100</v>
      </c>
      <c r="AC1104" s="100"/>
      <c r="AD1104" s="85">
        <f t="shared" si="139"/>
        <v>0</v>
      </c>
      <c r="AE1104" s="86">
        <f>+AC1104*Analisis!$J$7</f>
        <v>0</v>
      </c>
      <c r="AF1104" s="308">
        <f>+H1104*0.0254*I1104*0.0254*2*(1+[3]Analisis!$G$2)</f>
        <v>1.8031998710124</v>
      </c>
      <c r="AG1104" s="86">
        <f>+AF1104*Analisis!$J$8</f>
        <v>192.12665292334506</v>
      </c>
      <c r="AH1104" s="309">
        <f t="shared" si="144"/>
        <v>577.66214598942281</v>
      </c>
      <c r="AI1104" s="86">
        <f>+AH1104/(1-Analisis!G1109)</f>
        <v>577.66214598942281</v>
      </c>
      <c r="AJ1104" s="86">
        <f t="shared" si="140"/>
        <v>621.14209246174505</v>
      </c>
      <c r="AK1104" s="86">
        <f t="shared" si="145"/>
        <v>0</v>
      </c>
      <c r="AL1104" s="310" t="e">
        <f>+VLOOKUP(B1104,#REF!,2,FALSE)</f>
        <v>#REF!</v>
      </c>
      <c r="AM1104" s="311" t="e">
        <f t="shared" ref="AM1104:AM1342" si="149">+AL1104-E1104</f>
        <v>#REF!</v>
      </c>
      <c r="AN1104" s="312" t="e">
        <f t="shared" si="148"/>
        <v>#REF!</v>
      </c>
    </row>
    <row r="1105" spans="1:40" s="73" customFormat="1" x14ac:dyDescent="0.25">
      <c r="A1105" s="313"/>
      <c r="B1105" s="329" t="s">
        <v>1736</v>
      </c>
      <c r="D1105" s="74">
        <f>IFERROR(VLOOKUP(B1105,'REQ. PINTADO'!B:C,2,0),0)</f>
        <v>0</v>
      </c>
      <c r="E1105" s="305">
        <f t="shared" si="133"/>
        <v>298.82577636524559</v>
      </c>
      <c r="F1105" s="103" t="s">
        <v>166</v>
      </c>
      <c r="G1105" s="75" t="s">
        <v>147</v>
      </c>
      <c r="H1105" s="90">
        <v>9.51</v>
      </c>
      <c r="I1105" s="90">
        <v>40.92</v>
      </c>
      <c r="J1105" s="76">
        <v>0.105</v>
      </c>
      <c r="K1105" s="306">
        <v>16.38</v>
      </c>
      <c r="L1105" s="78">
        <f t="shared" si="134"/>
        <v>11.846228538300906</v>
      </c>
      <c r="M1105" s="58">
        <f>+VLOOKUP(F1105,Material!$H$2:$M$17,6,FALSE)*H1105*I1105*(1+Material!$K$14)</f>
        <v>88.200556116985823</v>
      </c>
      <c r="N1105" s="79" t="str">
        <f t="shared" si="147"/>
        <v>T5.0</v>
      </c>
      <c r="O1105" s="80">
        <f>+VLOOKUP(N1105,[3]Material!$A$3:$B$58,2,FALSE)</f>
        <v>5000</v>
      </c>
      <c r="P1105" s="79" t="s">
        <v>42</v>
      </c>
      <c r="Q1105" s="79" t="str">
        <f>+VLOOKUP(F1105,[3]Material!$C$2:$E$12,2,FALSE)</f>
        <v>Cal 16</v>
      </c>
      <c r="R1105" s="81">
        <f>+IF(P1105="ACERO A36",VLOOKUP(Q1105,'[3]Velocidades Std 1500 w'!$B$2:$F$15,5,FALSE),IF(P1105="INOXIDABLE",VLOOKUP(Q1105,'[3]Velocidades Std 1500 w'!$B$17:$F$28,5,FALSE),IF(P1105="ALUMINIO",VLOOKUP(Q1105,'[3]Velocidades Std 1500 w'!$B$30:$F$38,5,FALSE))))</f>
        <v>9.1575091575091579E-7</v>
      </c>
      <c r="S1105" s="82">
        <f t="shared" si="135"/>
        <v>4.578754578754579E-3</v>
      </c>
      <c r="T1105" s="83">
        <f t="shared" si="136"/>
        <v>11.505613846153848</v>
      </c>
      <c r="U1105" s="307">
        <f t="shared" si="130"/>
        <v>3490.0362</v>
      </c>
      <c r="V1105" s="80">
        <f t="shared" si="146"/>
        <v>15.980019230769232</v>
      </c>
      <c r="W1105" s="98">
        <v>20</v>
      </c>
      <c r="X1105" s="84">
        <f>+IF(P1105="ACERO A36",VLOOKUP(Q1105,'[3]Tiempo Objeto'!$B$2:$C$12,2,FALSE),IF(P1105="INOXIDABLE",VLOOKUP(Q1105,'[3]Tiempo Objeto'!$B$14:$C$22,2,FALSE),IF(P1105="ALUMINIO",VLOOKUP(Q1105,'[3]Tiempo Objeto'!$B$24:$C$32,2,FALSE))))</f>
        <v>0.24666666666666667</v>
      </c>
      <c r="Y1105" s="84">
        <f t="shared" si="137"/>
        <v>4.9333333333333336</v>
      </c>
      <c r="Z1105" s="80">
        <f t="shared" si="138"/>
        <v>6.8518518518518521</v>
      </c>
      <c r="AA1105" s="100">
        <v>4</v>
      </c>
      <c r="AB1105" s="86">
        <f>+AA1105*Analisis!$J$6</f>
        <v>100</v>
      </c>
      <c r="AC1105" s="100"/>
      <c r="AD1105" s="85">
        <f t="shared" si="139"/>
        <v>0</v>
      </c>
      <c r="AE1105" s="86">
        <f>+AC1105*Analisis!$J$7</f>
        <v>0</v>
      </c>
      <c r="AF1105" s="308">
        <f>+H1105*0.0254*I1105*0.0254*2*(1+[3]Analisis!$G$2)</f>
        <v>0.62765874467999994</v>
      </c>
      <c r="AG1105" s="86">
        <f>+AF1105*Analisis!$J$8</f>
        <v>66.87554482007144</v>
      </c>
      <c r="AH1105" s="309">
        <f t="shared" si="144"/>
        <v>277.90797201967837</v>
      </c>
      <c r="AI1105" s="86">
        <f>+AH1105/(1-Analisis!G1110)</f>
        <v>277.90797201967837</v>
      </c>
      <c r="AJ1105" s="86">
        <f t="shared" si="140"/>
        <v>298.82577636524559</v>
      </c>
      <c r="AK1105" s="86">
        <f t="shared" si="145"/>
        <v>0</v>
      </c>
      <c r="AL1105" s="310" t="e">
        <f>+VLOOKUP(B1105,#REF!,2,FALSE)</f>
        <v>#REF!</v>
      </c>
      <c r="AM1105" s="311" t="e">
        <f t="shared" si="149"/>
        <v>#REF!</v>
      </c>
      <c r="AN1105" s="312" t="e">
        <f t="shared" si="148"/>
        <v>#REF!</v>
      </c>
    </row>
    <row r="1106" spans="1:40" s="73" customFormat="1" x14ac:dyDescent="0.25">
      <c r="A1106" s="313"/>
      <c r="B1106" s="329" t="s">
        <v>1737</v>
      </c>
      <c r="D1106" s="74">
        <f>IFERROR(VLOOKUP(B1106,'REQ. PINTADO'!B:C,2,0),0)</f>
        <v>0</v>
      </c>
      <c r="E1106" s="305">
        <f t="shared" si="133"/>
        <v>351.30879944012037</v>
      </c>
      <c r="F1106" s="103" t="s">
        <v>166</v>
      </c>
      <c r="G1106" s="75" t="s">
        <v>147</v>
      </c>
      <c r="H1106" s="90">
        <v>36.090000000000003</v>
      </c>
      <c r="I1106" s="90">
        <v>12.47</v>
      </c>
      <c r="J1106" s="76">
        <v>0.105</v>
      </c>
      <c r="K1106" s="306">
        <v>16.38</v>
      </c>
      <c r="L1106" s="78">
        <f t="shared" si="134"/>
        <v>13.699896948786167</v>
      </c>
      <c r="M1106" s="58">
        <f>+VLOOKUP(F1106,Material!$H$2:$M$17,6,FALSE)*H1106*I1106*(1+Material!$K$14)</f>
        <v>102.0019600095988</v>
      </c>
      <c r="N1106" s="79" t="str">
        <f t="shared" si="147"/>
        <v>T5.0</v>
      </c>
      <c r="O1106" s="80">
        <f>+VLOOKUP(N1106,[3]Material!$A$3:$B$58,2,FALSE)</f>
        <v>5000</v>
      </c>
      <c r="P1106" s="79" t="s">
        <v>42</v>
      </c>
      <c r="Q1106" s="79" t="str">
        <f>+VLOOKUP(F1106,[3]Material!$C$2:$E$12,2,FALSE)</f>
        <v>Cal 16</v>
      </c>
      <c r="R1106" s="81">
        <f>+IF(P1106="ACERO A36",VLOOKUP(Q1106,'[3]Velocidades Std 1500 w'!$B$2:$F$15,5,FALSE),IF(P1106="INOXIDABLE",VLOOKUP(Q1106,'[3]Velocidades Std 1500 w'!$B$17:$F$28,5,FALSE),IF(P1106="ALUMINIO",VLOOKUP(Q1106,'[3]Velocidades Std 1500 w'!$B$30:$F$38,5,FALSE))))</f>
        <v>9.1575091575091579E-7</v>
      </c>
      <c r="S1106" s="82">
        <f t="shared" si="135"/>
        <v>4.578754578754579E-3</v>
      </c>
      <c r="T1106" s="83">
        <f t="shared" si="136"/>
        <v>11.176781538461539</v>
      </c>
      <c r="U1106" s="307">
        <f t="shared" si="130"/>
        <v>3390.2904000000003</v>
      </c>
      <c r="V1106" s="80">
        <f t="shared" si="146"/>
        <v>15.523307692307695</v>
      </c>
      <c r="W1106" s="98">
        <v>20</v>
      </c>
      <c r="X1106" s="84">
        <f>+IF(P1106="ACERO A36",VLOOKUP(Q1106,'[3]Tiempo Objeto'!$B$2:$C$12,2,FALSE),IF(P1106="INOXIDABLE",VLOOKUP(Q1106,'[3]Tiempo Objeto'!$B$14:$C$22,2,FALSE),IF(P1106="ALUMINIO",VLOOKUP(Q1106,'[3]Tiempo Objeto'!$B$24:$C$32,2,FALSE))))</f>
        <v>0.24666666666666667</v>
      </c>
      <c r="Y1106" s="84">
        <f t="shared" si="137"/>
        <v>4.9333333333333336</v>
      </c>
      <c r="Z1106" s="80">
        <f t="shared" si="138"/>
        <v>6.8518518518518521</v>
      </c>
      <c r="AA1106" s="100">
        <v>5</v>
      </c>
      <c r="AB1106" s="86">
        <f>+AA1106*Analisis!$J$6</f>
        <v>125</v>
      </c>
      <c r="AC1106" s="100"/>
      <c r="AD1106" s="85">
        <f t="shared" si="139"/>
        <v>0</v>
      </c>
      <c r="AE1106" s="86">
        <f>+AC1106*Analisis!$J$7</f>
        <v>0</v>
      </c>
      <c r="AF1106" s="308">
        <f>+H1106*0.0254*I1106*0.0254*2*(1+[3]Analisis!$G$2)</f>
        <v>0.72587322567000001</v>
      </c>
      <c r="AG1106" s="86">
        <f>+AF1106*Analisis!$J$8</f>
        <v>77.340063925553594</v>
      </c>
      <c r="AH1106" s="309">
        <f t="shared" si="144"/>
        <v>326.71718347931193</v>
      </c>
      <c r="AI1106" s="86">
        <f>+AH1106/(1-Analisis!G1111)</f>
        <v>326.71718347931193</v>
      </c>
      <c r="AJ1106" s="86">
        <f t="shared" si="140"/>
        <v>351.30879944012037</v>
      </c>
      <c r="AK1106" s="86">
        <f t="shared" si="145"/>
        <v>0</v>
      </c>
      <c r="AL1106" s="310" t="e">
        <f>+VLOOKUP(B1106,#REF!,2,FALSE)</f>
        <v>#REF!</v>
      </c>
      <c r="AM1106" s="311" t="e">
        <f t="shared" si="149"/>
        <v>#REF!</v>
      </c>
      <c r="AN1106" s="312" t="e">
        <f t="shared" si="148"/>
        <v>#REF!</v>
      </c>
    </row>
    <row r="1107" spans="1:40" s="73" customFormat="1" x14ac:dyDescent="0.25">
      <c r="A1107" s="313"/>
      <c r="B1107" s="329" t="s">
        <v>1738</v>
      </c>
      <c r="D1107" s="74">
        <f>IFERROR(VLOOKUP(B1107,'REQ. PINTADO'!B:C,2,0),0)</f>
        <v>0</v>
      </c>
      <c r="E1107" s="305">
        <f t="shared" si="133"/>
        <v>499.39691328440216</v>
      </c>
      <c r="F1107" s="103" t="s">
        <v>163</v>
      </c>
      <c r="G1107" s="75" t="s">
        <v>147</v>
      </c>
      <c r="H1107" s="90">
        <v>13.541</v>
      </c>
      <c r="I1107" s="90">
        <v>35.701999999999998</v>
      </c>
      <c r="J1107" s="76">
        <v>0.105</v>
      </c>
      <c r="K1107" s="306">
        <v>16.38</v>
      </c>
      <c r="L1107" s="78">
        <f t="shared" si="134"/>
        <v>24.372805873870345</v>
      </c>
      <c r="M1107" s="58">
        <f>+VLOOKUP(F1107,Material!$H$2:$M$17,6,FALSE)*H1107*I1107*(1+Material!$K$14)</f>
        <v>181.46661827908918</v>
      </c>
      <c r="N1107" s="79" t="str">
        <f t="shared" si="147"/>
        <v>T5.0</v>
      </c>
      <c r="O1107" s="80">
        <f>+VLOOKUP(N1107,[3]Material!$A$3:$B$58,2,FALSE)</f>
        <v>5000</v>
      </c>
      <c r="P1107" s="79" t="s">
        <v>42</v>
      </c>
      <c r="Q1107" s="79" t="str">
        <f>+VLOOKUP(F1107,[3]Material!$C$2:$E$12,2,FALSE)</f>
        <v>Cal 12</v>
      </c>
      <c r="R1107" s="81">
        <f>+IF(P1107="ACERO A36",VLOOKUP(Q1107,'[3]Velocidades Std 1500 w'!$B$2:$F$15,5,FALSE),IF(P1107="INOXIDABLE",VLOOKUP(Q1107,'[3]Velocidades Std 1500 w'!$B$17:$F$28,5,FALSE),IF(P1107="ALUMINIO",VLOOKUP(Q1107,'[3]Velocidades Std 1500 w'!$B$30:$F$38,5,FALSE))))</f>
        <v>4.3859649122807014E-6</v>
      </c>
      <c r="S1107" s="82">
        <f t="shared" si="135"/>
        <v>2.1929824561403508E-2</v>
      </c>
      <c r="T1107" s="83">
        <f t="shared" si="136"/>
        <v>47.789551894736839</v>
      </c>
      <c r="U1107" s="307">
        <f t="shared" si="130"/>
        <v>3026.6716200000001</v>
      </c>
      <c r="V1107" s="80">
        <f t="shared" si="146"/>
        <v>66.374377631578952</v>
      </c>
      <c r="W1107" s="98">
        <v>10</v>
      </c>
      <c r="X1107" s="84">
        <f>+IF(P1107="ACERO A36",VLOOKUP(Q1107,'[3]Tiempo Objeto'!$B$2:$C$12,2,FALSE),IF(P1107="INOXIDABLE",VLOOKUP(Q1107,'[3]Tiempo Objeto'!$B$14:$C$22,2,FALSE),IF(P1107="ALUMINIO",VLOOKUP(Q1107,'[3]Tiempo Objeto'!$B$24:$C$32,2,FALSE))))</f>
        <v>0.6133333333333334</v>
      </c>
      <c r="Y1107" s="84">
        <f t="shared" si="137"/>
        <v>6.1333333333333337</v>
      </c>
      <c r="Z1107" s="80">
        <f t="shared" si="138"/>
        <v>8.518518518518519</v>
      </c>
      <c r="AA1107" s="100">
        <v>5</v>
      </c>
      <c r="AB1107" s="86">
        <f>+AA1107*Analisis!$J$6</f>
        <v>125</v>
      </c>
      <c r="AC1107" s="100"/>
      <c r="AD1107" s="85">
        <f t="shared" si="139"/>
        <v>0</v>
      </c>
      <c r="AE1107" s="86">
        <f>+AC1107*Analisis!$J$7</f>
        <v>0</v>
      </c>
      <c r="AF1107" s="308">
        <f>+H1107*0.0254*I1107*0.0254*2*(1+[3]Analisis!$G$2)</f>
        <v>0.77974163728779988</v>
      </c>
      <c r="AG1107" s="86">
        <f>+AF1107*Analisis!$J$8</f>
        <v>83.079614925307268</v>
      </c>
      <c r="AH1107" s="309">
        <f t="shared" si="144"/>
        <v>464.43912935449396</v>
      </c>
      <c r="AI1107" s="86">
        <f>+AH1107/(1-Analisis!G1112)</f>
        <v>464.43912935449396</v>
      </c>
      <c r="AJ1107" s="86">
        <f t="shared" si="140"/>
        <v>499.39691328440216</v>
      </c>
      <c r="AK1107" s="86">
        <f t="shared" si="145"/>
        <v>0</v>
      </c>
      <c r="AL1107" s="310" t="e">
        <f>+VLOOKUP(B1107,#REF!,2,FALSE)</f>
        <v>#REF!</v>
      </c>
      <c r="AM1107" s="311" t="e">
        <f t="shared" si="149"/>
        <v>#REF!</v>
      </c>
      <c r="AN1107" s="312" t="e">
        <f t="shared" si="148"/>
        <v>#REF!</v>
      </c>
    </row>
    <row r="1108" spans="1:40" s="73" customFormat="1" x14ac:dyDescent="0.25">
      <c r="A1108" s="313"/>
      <c r="B1108" s="329" t="s">
        <v>1739</v>
      </c>
      <c r="D1108" s="74">
        <f>IFERROR(VLOOKUP(B1108,'REQ. PINTADO'!B:C,2,0),0)</f>
        <v>0</v>
      </c>
      <c r="E1108" s="305">
        <f t="shared" si="133"/>
        <v>675.51984522484838</v>
      </c>
      <c r="F1108" s="103" t="s">
        <v>163</v>
      </c>
      <c r="G1108" s="75" t="s">
        <v>147</v>
      </c>
      <c r="H1108" s="90">
        <v>21.035</v>
      </c>
      <c r="I1108" s="90">
        <v>35.700000000000003</v>
      </c>
      <c r="J1108" s="76">
        <v>0.105</v>
      </c>
      <c r="K1108" s="306">
        <v>16.38</v>
      </c>
      <c r="L1108" s="78">
        <f t="shared" si="134"/>
        <v>37.859334723192646</v>
      </c>
      <c r="M1108" s="58">
        <f>+VLOOKUP(F1108,Material!$H$2:$M$17,6,FALSE)*H1108*I1108*(1+Material!$K$14)</f>
        <v>281.87995580267972</v>
      </c>
      <c r="N1108" s="79" t="str">
        <f t="shared" si="147"/>
        <v>T5.0</v>
      </c>
      <c r="O1108" s="80">
        <f>+VLOOKUP(N1108,[3]Material!$A$3:$B$58,2,FALSE)</f>
        <v>5000</v>
      </c>
      <c r="P1108" s="79" t="s">
        <v>42</v>
      </c>
      <c r="Q1108" s="79" t="str">
        <f>+VLOOKUP(F1108,[3]Material!$C$2:$E$12,2,FALSE)</f>
        <v>Cal 12</v>
      </c>
      <c r="R1108" s="81">
        <f>+IF(P1108="ACERO A36",VLOOKUP(Q1108,'[3]Velocidades Std 1500 w'!$B$2:$F$15,5,FALSE),IF(P1108="INOXIDABLE",VLOOKUP(Q1108,'[3]Velocidades Std 1500 w'!$B$17:$F$28,5,FALSE),IF(P1108="ALUMINIO",VLOOKUP(Q1108,'[3]Velocidades Std 1500 w'!$B$30:$F$38,5,FALSE))))</f>
        <v>4.3859649122807014E-6</v>
      </c>
      <c r="S1108" s="82">
        <f t="shared" si="135"/>
        <v>2.1929824561403508E-2</v>
      </c>
      <c r="T1108" s="83">
        <f t="shared" si="136"/>
        <v>57.257682631578938</v>
      </c>
      <c r="U1108" s="307">
        <f t="shared" si="130"/>
        <v>3626.3199</v>
      </c>
      <c r="V1108" s="80">
        <f t="shared" si="146"/>
        <v>79.524559210526306</v>
      </c>
      <c r="W1108" s="98">
        <v>15</v>
      </c>
      <c r="X1108" s="84">
        <f>+IF(P1108="ACERO A36",VLOOKUP(Q1108,'[3]Tiempo Objeto'!$B$2:$C$12,2,FALSE),IF(P1108="INOXIDABLE",VLOOKUP(Q1108,'[3]Tiempo Objeto'!$B$14:$C$22,2,FALSE),IF(P1108="ALUMINIO",VLOOKUP(Q1108,'[3]Tiempo Objeto'!$B$24:$C$32,2,FALSE))))</f>
        <v>0.6133333333333334</v>
      </c>
      <c r="Y1108" s="84">
        <f t="shared" si="137"/>
        <v>9.2000000000000011</v>
      </c>
      <c r="Z1108" s="80">
        <f t="shared" si="138"/>
        <v>12.77777777777778</v>
      </c>
      <c r="AA1108" s="100">
        <v>5</v>
      </c>
      <c r="AB1108" s="86">
        <f>+AA1108*Analisis!$J$6</f>
        <v>125</v>
      </c>
      <c r="AC1108" s="100"/>
      <c r="AD1108" s="85">
        <f t="shared" si="139"/>
        <v>0</v>
      </c>
      <c r="AE1108" s="86">
        <f>+AC1108*Analisis!$J$7</f>
        <v>0</v>
      </c>
      <c r="AF1108" s="308">
        <f>+H1108*0.0254*I1108*0.0254*2*(1+[3]Analisis!$G$2)</f>
        <v>1.21120644855</v>
      </c>
      <c r="AG1108" s="86">
        <f>+AF1108*Analisis!$J$8</f>
        <v>129.05116326812504</v>
      </c>
      <c r="AH1108" s="309">
        <f t="shared" si="144"/>
        <v>628.2334560591089</v>
      </c>
      <c r="AI1108" s="86">
        <f>+AH1108/(1-Analisis!G1113)</f>
        <v>628.2334560591089</v>
      </c>
      <c r="AJ1108" s="86">
        <f t="shared" si="140"/>
        <v>675.51984522484838</v>
      </c>
      <c r="AK1108" s="86">
        <f t="shared" si="145"/>
        <v>0</v>
      </c>
      <c r="AL1108" s="310" t="e">
        <f>+VLOOKUP(B1108,#REF!,2,FALSE)</f>
        <v>#REF!</v>
      </c>
      <c r="AM1108" s="311" t="e">
        <f t="shared" si="149"/>
        <v>#REF!</v>
      </c>
      <c r="AN1108" s="312" t="e">
        <f t="shared" si="148"/>
        <v>#REF!</v>
      </c>
    </row>
    <row r="1109" spans="1:40" s="73" customFormat="1" x14ac:dyDescent="0.25">
      <c r="A1109" s="313"/>
      <c r="B1109" s="333" t="s">
        <v>1740</v>
      </c>
      <c r="D1109" s="74">
        <f>IFERROR(VLOOKUP(B1109,'REQ. PINTADO'!B:C,2,0),0)</f>
        <v>0</v>
      </c>
      <c r="E1109" s="305">
        <f t="shared" si="133"/>
        <v>847.52524069922606</v>
      </c>
      <c r="F1109" s="103" t="s">
        <v>163</v>
      </c>
      <c r="G1109" s="75" t="s">
        <v>147</v>
      </c>
      <c r="H1109" s="90">
        <v>90</v>
      </c>
      <c r="I1109" s="90">
        <v>5.88</v>
      </c>
      <c r="J1109" s="76">
        <v>0.105</v>
      </c>
      <c r="K1109" s="306">
        <v>16.38</v>
      </c>
      <c r="L1109" s="78">
        <f t="shared" si="134"/>
        <v>26.679769991875009</v>
      </c>
      <c r="M1109" s="58">
        <f>+VLOOKUP(F1109,Material!$H$2:$M$17,6,FALSE)*H1109*I1109*(1+Material!$K$14)</f>
        <v>198.64301475768755</v>
      </c>
      <c r="N1109" s="79" t="str">
        <f t="shared" si="147"/>
        <v>T5.0</v>
      </c>
      <c r="O1109" s="80">
        <f>+VLOOKUP(N1109,[3]Material!$A$3:$B$58,2,FALSE)</f>
        <v>5000</v>
      </c>
      <c r="P1109" s="79" t="s">
        <v>42</v>
      </c>
      <c r="Q1109" s="79" t="str">
        <f>+VLOOKUP(F1109,[3]Material!$C$2:$E$12,2,FALSE)</f>
        <v>Cal 12</v>
      </c>
      <c r="R1109" s="81">
        <f>+IF(P1109="ACERO A36",VLOOKUP(Q1109,'[3]Velocidades Std 1500 w'!$B$2:$F$15,5,FALSE),IF(P1109="INOXIDABLE",VLOOKUP(Q1109,'[3]Velocidades Std 1500 w'!$B$17:$F$28,5,FALSE),IF(P1109="ALUMINIO",VLOOKUP(Q1109,'[3]Velocidades Std 1500 w'!$B$30:$F$38,5,FALSE))))</f>
        <v>4.3859649122807014E-6</v>
      </c>
      <c r="S1109" s="82">
        <f t="shared" si="135"/>
        <v>2.1929824561403508E-2</v>
      </c>
      <c r="T1109" s="83">
        <f t="shared" si="136"/>
        <v>112.33403999999999</v>
      </c>
      <c r="U1109" s="307">
        <f t="shared" si="130"/>
        <v>7114.4892</v>
      </c>
      <c r="V1109" s="80">
        <f t="shared" si="146"/>
        <v>156.01949999999999</v>
      </c>
      <c r="W1109" s="98">
        <v>50</v>
      </c>
      <c r="X1109" s="84">
        <f>+IF(P1109="ACERO A36",VLOOKUP(Q1109,'[3]Tiempo Objeto'!$B$2:$C$12,2,FALSE),IF(P1109="INOXIDABLE",VLOOKUP(Q1109,'[3]Tiempo Objeto'!$B$14:$C$22,2,FALSE),IF(P1109="ALUMINIO",VLOOKUP(Q1109,'[3]Tiempo Objeto'!$B$24:$C$32,2,FALSE))))</f>
        <v>0.6133333333333334</v>
      </c>
      <c r="Y1109" s="84">
        <f t="shared" si="137"/>
        <v>30.666666666666671</v>
      </c>
      <c r="Z1109" s="80">
        <f t="shared" si="138"/>
        <v>42.592592592592595</v>
      </c>
      <c r="AA1109" s="100">
        <v>12</v>
      </c>
      <c r="AB1109" s="86">
        <f>+AA1109*Analisis!$J$6</f>
        <v>300</v>
      </c>
      <c r="AC1109" s="100"/>
      <c r="AD1109" s="85">
        <f t="shared" si="139"/>
        <v>0</v>
      </c>
      <c r="AE1109" s="86">
        <f>+AC1109*Analisis!$J$7</f>
        <v>0</v>
      </c>
      <c r="AF1109" s="308">
        <f>+H1109*0.0254*I1109*0.0254*2*(1+[3]Analisis!$G$2)</f>
        <v>0.85354668</v>
      </c>
      <c r="AG1109" s="86">
        <f>+AF1109*Analisis!$J$8</f>
        <v>90.943366500000025</v>
      </c>
      <c r="AH1109" s="309">
        <f t="shared" si="144"/>
        <v>788.19847385028015</v>
      </c>
      <c r="AI1109" s="86">
        <f>+AH1109/(1-Analisis!G1114)</f>
        <v>788.19847385028015</v>
      </c>
      <c r="AJ1109" s="86">
        <f t="shared" si="140"/>
        <v>847.52524069922606</v>
      </c>
      <c r="AK1109" s="86">
        <f t="shared" si="145"/>
        <v>0</v>
      </c>
      <c r="AL1109" s="310" t="e">
        <f>+VLOOKUP(B1109,#REF!,2,FALSE)</f>
        <v>#REF!</v>
      </c>
      <c r="AM1109" s="311" t="e">
        <f t="shared" si="149"/>
        <v>#REF!</v>
      </c>
      <c r="AN1109" s="312" t="e">
        <f t="shared" si="148"/>
        <v>#REF!</v>
      </c>
    </row>
    <row r="1110" spans="1:40" s="73" customFormat="1" x14ac:dyDescent="0.25">
      <c r="A1110" s="313"/>
      <c r="B1110" s="333" t="s">
        <v>1741</v>
      </c>
      <c r="D1110" s="74">
        <f>IFERROR(VLOOKUP(B1110,'REQ. PINTADO'!B:C,2,0),0)</f>
        <v>0</v>
      </c>
      <c r="E1110" s="305">
        <f t="shared" si="133"/>
        <v>753.17334176322572</v>
      </c>
      <c r="F1110" s="103" t="s">
        <v>163</v>
      </c>
      <c r="G1110" s="75" t="s">
        <v>147</v>
      </c>
      <c r="H1110" s="90">
        <v>70</v>
      </c>
      <c r="I1110" s="90">
        <v>5.88</v>
      </c>
      <c r="J1110" s="76">
        <v>0.105</v>
      </c>
      <c r="K1110" s="306">
        <v>16.38</v>
      </c>
      <c r="L1110" s="78">
        <f t="shared" si="134"/>
        <v>20.750932215902782</v>
      </c>
      <c r="M1110" s="58">
        <f>+VLOOKUP(F1110,Material!$H$2:$M$17,6,FALSE)*H1110*I1110*(1+Material!$K$14)</f>
        <v>154.50012258931253</v>
      </c>
      <c r="N1110" s="79" t="str">
        <f t="shared" si="147"/>
        <v>T5.0</v>
      </c>
      <c r="O1110" s="80">
        <f>+VLOOKUP(N1110,[3]Material!$A$3:$B$58,2,FALSE)</f>
        <v>5000</v>
      </c>
      <c r="P1110" s="79" t="s">
        <v>42</v>
      </c>
      <c r="Q1110" s="79" t="str">
        <f>+VLOOKUP(F1110,[3]Material!$C$2:$E$12,2,FALSE)</f>
        <v>Cal 12</v>
      </c>
      <c r="R1110" s="81">
        <f>+IF(P1110="ACERO A36",VLOOKUP(Q1110,'[3]Velocidades Std 1500 w'!$B$2:$F$15,5,FALSE),IF(P1110="INOXIDABLE",VLOOKUP(Q1110,'[3]Velocidades Std 1500 w'!$B$17:$F$28,5,FALSE),IF(P1110="ALUMINIO",VLOOKUP(Q1110,'[3]Velocidades Std 1500 w'!$B$30:$F$38,5,FALSE))))</f>
        <v>4.3859649122807014E-6</v>
      </c>
      <c r="S1110" s="82">
        <f t="shared" si="135"/>
        <v>2.1929824561403508E-2</v>
      </c>
      <c r="T1110" s="83">
        <f t="shared" si="136"/>
        <v>95.489829473684196</v>
      </c>
      <c r="U1110" s="307">
        <f t="shared" si="130"/>
        <v>6047.6891999999998</v>
      </c>
      <c r="V1110" s="80">
        <f t="shared" si="146"/>
        <v>132.62476315789473</v>
      </c>
      <c r="W1110" s="98">
        <v>50</v>
      </c>
      <c r="X1110" s="84">
        <f>+IF(P1110="ACERO A36",VLOOKUP(Q1110,'[3]Tiempo Objeto'!$B$2:$C$12,2,FALSE),IF(P1110="INOXIDABLE",VLOOKUP(Q1110,'[3]Tiempo Objeto'!$B$14:$C$22,2,FALSE),IF(P1110="ALUMINIO",VLOOKUP(Q1110,'[3]Tiempo Objeto'!$B$24:$C$32,2,FALSE))))</f>
        <v>0.6133333333333334</v>
      </c>
      <c r="Y1110" s="84">
        <f t="shared" si="137"/>
        <v>30.666666666666671</v>
      </c>
      <c r="Z1110" s="80">
        <f t="shared" si="138"/>
        <v>42.592592592592595</v>
      </c>
      <c r="AA1110" s="100">
        <v>12</v>
      </c>
      <c r="AB1110" s="86">
        <f>+AA1110*Analisis!$J$6</f>
        <v>300</v>
      </c>
      <c r="AC1110" s="100"/>
      <c r="AD1110" s="85">
        <f t="shared" si="139"/>
        <v>0</v>
      </c>
      <c r="AE1110" s="86">
        <f>+AC1110*Analisis!$J$7</f>
        <v>0</v>
      </c>
      <c r="AF1110" s="308">
        <f>+H1110*0.0254*I1110*0.0254*2*(1+[3]Analisis!$G$2)</f>
        <v>0.66386963999999993</v>
      </c>
      <c r="AG1110" s="86">
        <f>+AF1110*Analisis!$J$8</f>
        <v>70.73372950000001</v>
      </c>
      <c r="AH1110" s="309">
        <f t="shared" si="144"/>
        <v>700.45120783979985</v>
      </c>
      <c r="AI1110" s="86">
        <f>+AH1110/(1-Analisis!G1115)</f>
        <v>700.45120783979985</v>
      </c>
      <c r="AJ1110" s="86">
        <f t="shared" si="140"/>
        <v>753.17334176322572</v>
      </c>
      <c r="AK1110" s="86">
        <f t="shared" si="145"/>
        <v>0</v>
      </c>
      <c r="AL1110" s="310" t="e">
        <f>+VLOOKUP(B1110,#REF!,2,FALSE)</f>
        <v>#REF!</v>
      </c>
      <c r="AM1110" s="311" t="e">
        <f t="shared" si="149"/>
        <v>#REF!</v>
      </c>
      <c r="AN1110" s="312" t="e">
        <f t="shared" si="148"/>
        <v>#REF!</v>
      </c>
    </row>
    <row r="1111" spans="1:40" s="73" customFormat="1" x14ac:dyDescent="0.25">
      <c r="A1111" s="313"/>
      <c r="B1111" s="333" t="s">
        <v>1742</v>
      </c>
      <c r="D1111" s="74">
        <f>IFERROR(VLOOKUP(B1111,'REQ. PINTADO'!B:C,2,0),0)</f>
        <v>0</v>
      </c>
      <c r="E1111" s="305">
        <f t="shared" si="133"/>
        <v>453.38321110565084</v>
      </c>
      <c r="F1111" s="103" t="s">
        <v>166</v>
      </c>
      <c r="G1111" s="75" t="s">
        <v>147</v>
      </c>
      <c r="H1111" s="90">
        <v>30.09</v>
      </c>
      <c r="I1111" s="90">
        <v>8.7100000000000009</v>
      </c>
      <c r="J1111" s="76">
        <v>0.105</v>
      </c>
      <c r="K1111" s="306">
        <v>16.38</v>
      </c>
      <c r="L1111" s="78">
        <f t="shared" si="134"/>
        <v>7.9781887656693122</v>
      </c>
      <c r="M1111" s="58">
        <f>+VLOOKUP(F1111,Material!$H$2:$M$17,6,FALSE)*H1111*I1111*(1+Material!$K$14)</f>
        <v>59.401241809846965</v>
      </c>
      <c r="N1111" s="79" t="str">
        <f t="shared" si="147"/>
        <v>T5.0</v>
      </c>
      <c r="O1111" s="80">
        <f>+VLOOKUP(N1111,[3]Material!$A$3:$B$58,2,FALSE)</f>
        <v>5000</v>
      </c>
      <c r="P1111" s="79" t="s">
        <v>42</v>
      </c>
      <c r="Q1111" s="79" t="str">
        <f>+VLOOKUP(F1111,[3]Material!$C$2:$E$12,2,FALSE)</f>
        <v>Cal 16</v>
      </c>
      <c r="R1111" s="81">
        <f>+IF(P1111="ACERO A36",VLOOKUP(Q1111,'[3]Velocidades Std 1500 w'!$B$2:$F$15,5,FALSE),IF(P1111="INOXIDABLE",VLOOKUP(Q1111,'[3]Velocidades Std 1500 w'!$B$17:$F$28,5,FALSE),IF(P1111="ALUMINIO",VLOOKUP(Q1111,'[3]Velocidades Std 1500 w'!$B$30:$F$38,5,FALSE))))</f>
        <v>9.1575091575091579E-7</v>
      </c>
      <c r="S1111" s="82">
        <f t="shared" si="135"/>
        <v>4.578754578754579E-3</v>
      </c>
      <c r="T1111" s="83">
        <f t="shared" si="136"/>
        <v>46.388215384615386</v>
      </c>
      <c r="U1111" s="307">
        <f t="shared" si="130"/>
        <v>14071.091999999999</v>
      </c>
      <c r="V1111" s="80">
        <f t="shared" si="146"/>
        <v>64.428076923076915</v>
      </c>
      <c r="W1111" s="98">
        <v>300</v>
      </c>
      <c r="X1111" s="84">
        <f>+IF(P1111="ACERO A36",VLOOKUP(Q1111,'[3]Tiempo Objeto'!$B$2:$C$12,2,FALSE),IF(P1111="INOXIDABLE",VLOOKUP(Q1111,'[3]Tiempo Objeto'!$B$14:$C$22,2,FALSE),IF(P1111="ALUMINIO",VLOOKUP(Q1111,'[3]Tiempo Objeto'!$B$24:$C$32,2,FALSE))))</f>
        <v>0.24666666666666667</v>
      </c>
      <c r="Y1111" s="84">
        <f t="shared" si="137"/>
        <v>74</v>
      </c>
      <c r="Z1111" s="80">
        <f t="shared" si="138"/>
        <v>102.77777777777777</v>
      </c>
      <c r="AA1111" s="100">
        <v>6</v>
      </c>
      <c r="AB1111" s="86">
        <f>+AA1111*Analisis!$J$6</f>
        <v>150</v>
      </c>
      <c r="AC1111" s="100"/>
      <c r="AD1111" s="85">
        <f t="shared" si="139"/>
        <v>0</v>
      </c>
      <c r="AE1111" s="86">
        <f>+AC1111*Analisis!$J$7</f>
        <v>0</v>
      </c>
      <c r="AF1111" s="308">
        <f>+H1111*0.0254*I1111*0.0254*2*(1+[3]Analisis!$G$2)</f>
        <v>0.42271512230999997</v>
      </c>
      <c r="AG1111" s="86">
        <f>+AF1111*Analisis!$J$8</f>
        <v>45.039289817553581</v>
      </c>
      <c r="AH1111" s="309">
        <f t="shared" si="144"/>
        <v>421.64638632825523</v>
      </c>
      <c r="AI1111" s="86">
        <f>+AH1111/(1-Analisis!G1116)</f>
        <v>421.64638632825523</v>
      </c>
      <c r="AJ1111" s="86">
        <f t="shared" si="140"/>
        <v>453.38321110565084</v>
      </c>
      <c r="AK1111" s="86">
        <f t="shared" si="145"/>
        <v>0</v>
      </c>
      <c r="AL1111" s="310" t="e">
        <f>+VLOOKUP(B1111,#REF!,2,FALSE)</f>
        <v>#REF!</v>
      </c>
      <c r="AM1111" s="311" t="e">
        <f t="shared" si="149"/>
        <v>#REF!</v>
      </c>
      <c r="AN1111" s="312" t="e">
        <f t="shared" si="148"/>
        <v>#REF!</v>
      </c>
    </row>
    <row r="1112" spans="1:40" s="73" customFormat="1" x14ac:dyDescent="0.25">
      <c r="A1112" s="313"/>
      <c r="B1112" s="333" t="s">
        <v>1743</v>
      </c>
      <c r="D1112" s="74">
        <f>IFERROR(VLOOKUP(B1112,'REQ. PINTADO'!B:C,2,0),0)</f>
        <v>0</v>
      </c>
      <c r="E1112" s="305">
        <f t="shared" si="133"/>
        <v>477.31209536636652</v>
      </c>
      <c r="F1112" s="103" t="s">
        <v>166</v>
      </c>
      <c r="G1112" s="75" t="s">
        <v>147</v>
      </c>
      <c r="H1112" s="90">
        <v>36.08</v>
      </c>
      <c r="I1112" s="90">
        <v>8.7100000000000009</v>
      </c>
      <c r="J1112" s="76">
        <v>0.105</v>
      </c>
      <c r="K1112" s="306">
        <v>16.38</v>
      </c>
      <c r="L1112" s="78">
        <f t="shared" si="134"/>
        <v>9.5664024814007593</v>
      </c>
      <c r="M1112" s="58">
        <f>+VLOOKUP(F1112,Material!$H$2:$M$17,6,FALSE)*H1112*I1112*(1+Material!$K$14)</f>
        <v>71.226214838792913</v>
      </c>
      <c r="N1112" s="79" t="str">
        <f t="shared" si="147"/>
        <v>T5.0</v>
      </c>
      <c r="O1112" s="80">
        <f>+VLOOKUP(N1112,[3]Material!$A$3:$B$58,2,FALSE)</f>
        <v>5000</v>
      </c>
      <c r="P1112" s="79" t="s">
        <v>42</v>
      </c>
      <c r="Q1112" s="79" t="str">
        <f>+VLOOKUP(F1112,[3]Material!$C$2:$E$12,2,FALSE)</f>
        <v>Cal 16</v>
      </c>
      <c r="R1112" s="81">
        <f>+IF(P1112="ACERO A36",VLOOKUP(Q1112,'[3]Velocidades Std 1500 w'!$B$2:$F$15,5,FALSE),IF(P1112="INOXIDABLE",VLOOKUP(Q1112,'[3]Velocidades Std 1500 w'!$B$17:$F$28,5,FALSE),IF(P1112="ALUMINIO",VLOOKUP(Q1112,'[3]Velocidades Std 1500 w'!$B$30:$F$38,5,FALSE))))</f>
        <v>9.1575091575091579E-7</v>
      </c>
      <c r="S1112" s="82">
        <f t="shared" si="135"/>
        <v>4.578754578754579E-3</v>
      </c>
      <c r="T1112" s="83">
        <f t="shared" si="136"/>
        <v>47.441533846153852</v>
      </c>
      <c r="U1112" s="307">
        <f t="shared" si="130"/>
        <v>14390.598600000001</v>
      </c>
      <c r="V1112" s="80">
        <f t="shared" si="146"/>
        <v>65.891019230769245</v>
      </c>
      <c r="W1112" s="98">
        <v>300</v>
      </c>
      <c r="X1112" s="84">
        <f>+IF(P1112="ACERO A36",VLOOKUP(Q1112,'[3]Tiempo Objeto'!$B$2:$C$12,2,FALSE),IF(P1112="INOXIDABLE",VLOOKUP(Q1112,'[3]Tiempo Objeto'!$B$14:$C$22,2,FALSE),IF(P1112="ALUMINIO",VLOOKUP(Q1112,'[3]Tiempo Objeto'!$B$24:$C$32,2,FALSE))))</f>
        <v>0.24666666666666667</v>
      </c>
      <c r="Y1112" s="84">
        <f t="shared" si="137"/>
        <v>74</v>
      </c>
      <c r="Z1112" s="80">
        <f t="shared" si="138"/>
        <v>102.77777777777777</v>
      </c>
      <c r="AA1112" s="100">
        <v>6</v>
      </c>
      <c r="AB1112" s="86">
        <f>+AA1112*Analisis!$J$6</f>
        <v>150</v>
      </c>
      <c r="AC1112" s="100"/>
      <c r="AD1112" s="85">
        <f t="shared" si="139"/>
        <v>0</v>
      </c>
      <c r="AE1112" s="86">
        <f>+AC1112*Analisis!$J$7</f>
        <v>0</v>
      </c>
      <c r="AF1112" s="308">
        <f>+H1112*0.0254*I1112*0.0254*2*(1+[3]Analisis!$G$2)</f>
        <v>0.50686479271999996</v>
      </c>
      <c r="AG1112" s="86">
        <f>+AF1112*Analisis!$J$8</f>
        <v>54.005236843380963</v>
      </c>
      <c r="AH1112" s="309">
        <f t="shared" si="144"/>
        <v>443.90024869072084</v>
      </c>
      <c r="AI1112" s="86">
        <f>+AH1112/(1-Analisis!G1117)</f>
        <v>443.90024869072084</v>
      </c>
      <c r="AJ1112" s="86">
        <f t="shared" si="140"/>
        <v>477.31209536636652</v>
      </c>
      <c r="AK1112" s="86">
        <f t="shared" si="145"/>
        <v>0</v>
      </c>
      <c r="AL1112" s="310" t="e">
        <f>+VLOOKUP(B1112,#REF!,2,FALSE)</f>
        <v>#REF!</v>
      </c>
      <c r="AM1112" s="311" t="e">
        <f t="shared" si="149"/>
        <v>#REF!</v>
      </c>
      <c r="AN1112" s="312" t="e">
        <f t="shared" si="148"/>
        <v>#REF!</v>
      </c>
    </row>
    <row r="1113" spans="1:40" s="73" customFormat="1" x14ac:dyDescent="0.25">
      <c r="A1113" s="313"/>
      <c r="B1113" s="333" t="s">
        <v>1744</v>
      </c>
      <c r="D1113" s="74">
        <f>IFERROR(VLOOKUP(B1113,'REQ. PINTADO'!B:C,2,0),0)</f>
        <v>0</v>
      </c>
      <c r="E1113" s="305">
        <f t="shared" si="133"/>
        <v>509.27053845246434</v>
      </c>
      <c r="F1113" s="103" t="s">
        <v>166</v>
      </c>
      <c r="G1113" s="75" t="s">
        <v>147</v>
      </c>
      <c r="H1113" s="90">
        <v>44.08</v>
      </c>
      <c r="I1113" s="90">
        <v>8.7100000000000009</v>
      </c>
      <c r="J1113" s="76">
        <v>0.105</v>
      </c>
      <c r="K1113" s="306">
        <v>16.38</v>
      </c>
      <c r="L1113" s="78">
        <f t="shared" si="134"/>
        <v>11.687556024948597</v>
      </c>
      <c r="M1113" s="58">
        <f>+VLOOKUP(F1113,Material!$H$2:$M$17,6,FALSE)*H1113*I1113*(1+Material!$K$14)</f>
        <v>87.019167131208178</v>
      </c>
      <c r="N1113" s="79" t="str">
        <f t="shared" si="147"/>
        <v>T5.0</v>
      </c>
      <c r="O1113" s="80">
        <f>+VLOOKUP(N1113,[3]Material!$A$3:$B$58,2,FALSE)</f>
        <v>5000</v>
      </c>
      <c r="P1113" s="79" t="s">
        <v>42</v>
      </c>
      <c r="Q1113" s="79" t="str">
        <f>+VLOOKUP(F1113,[3]Material!$C$2:$E$12,2,FALSE)</f>
        <v>Cal 16</v>
      </c>
      <c r="R1113" s="81">
        <f>+IF(P1113="ACERO A36",VLOOKUP(Q1113,'[3]Velocidades Std 1500 w'!$B$2:$F$15,5,FALSE),IF(P1113="INOXIDABLE",VLOOKUP(Q1113,'[3]Velocidades Std 1500 w'!$B$17:$F$28,5,FALSE),IF(P1113="ALUMINIO",VLOOKUP(Q1113,'[3]Velocidades Std 1500 w'!$B$30:$F$38,5,FALSE))))</f>
        <v>9.1575091575091579E-7</v>
      </c>
      <c r="S1113" s="82">
        <f t="shared" si="135"/>
        <v>4.578754578754579E-3</v>
      </c>
      <c r="T1113" s="83">
        <f t="shared" si="136"/>
        <v>48.848303076923081</v>
      </c>
      <c r="U1113" s="307">
        <f t="shared" si="130"/>
        <v>14817.318600000001</v>
      </c>
      <c r="V1113" s="80">
        <f t="shared" si="146"/>
        <v>67.844865384615389</v>
      </c>
      <c r="W1113" s="98">
        <v>300</v>
      </c>
      <c r="X1113" s="84">
        <f>+IF(P1113="ACERO A36",VLOOKUP(Q1113,'[3]Tiempo Objeto'!$B$2:$C$12,2,FALSE),IF(P1113="INOXIDABLE",VLOOKUP(Q1113,'[3]Tiempo Objeto'!$B$14:$C$22,2,FALSE),IF(P1113="ALUMINIO",VLOOKUP(Q1113,'[3]Tiempo Objeto'!$B$24:$C$32,2,FALSE))))</f>
        <v>0.24666666666666667</v>
      </c>
      <c r="Y1113" s="84">
        <f t="shared" si="137"/>
        <v>74</v>
      </c>
      <c r="Z1113" s="80">
        <f t="shared" si="138"/>
        <v>102.77777777777777</v>
      </c>
      <c r="AA1113" s="100">
        <v>6</v>
      </c>
      <c r="AB1113" s="86">
        <f>+AA1113*Analisis!$J$6</f>
        <v>150</v>
      </c>
      <c r="AC1113" s="100"/>
      <c r="AD1113" s="85">
        <f t="shared" si="139"/>
        <v>0</v>
      </c>
      <c r="AE1113" s="86">
        <f>+AC1113*Analisis!$J$7</f>
        <v>0</v>
      </c>
      <c r="AF1113" s="308">
        <f>+H1113*0.0254*I1113*0.0254*2*(1+[3]Analisis!$G$2)</f>
        <v>0.61925166472000004</v>
      </c>
      <c r="AG1113" s="86">
        <f>+AF1113*Analisis!$J$8</f>
        <v>65.979790467190497</v>
      </c>
      <c r="AH1113" s="309">
        <f t="shared" si="144"/>
        <v>473.62160076079181</v>
      </c>
      <c r="AI1113" s="86">
        <f>+AH1113/(1-Analisis!G1118)</f>
        <v>473.62160076079181</v>
      </c>
      <c r="AJ1113" s="86">
        <f t="shared" si="140"/>
        <v>509.27053845246434</v>
      </c>
      <c r="AK1113" s="86">
        <f t="shared" si="145"/>
        <v>0</v>
      </c>
      <c r="AL1113" s="310" t="e">
        <f>+VLOOKUP(B1113,#REF!,2,FALSE)</f>
        <v>#REF!</v>
      </c>
      <c r="AM1113" s="311" t="e">
        <f t="shared" si="149"/>
        <v>#REF!</v>
      </c>
      <c r="AN1113" s="312" t="e">
        <f t="shared" si="148"/>
        <v>#REF!</v>
      </c>
    </row>
    <row r="1114" spans="1:40" s="73" customFormat="1" x14ac:dyDescent="0.25">
      <c r="A1114" s="313"/>
      <c r="B1114" s="333" t="s">
        <v>1745</v>
      </c>
      <c r="D1114" s="74">
        <f>IFERROR(VLOOKUP(B1114,'REQ. PINTADO'!B:C,2,0),0)</f>
        <v>0</v>
      </c>
      <c r="E1114" s="305">
        <f t="shared" si="133"/>
        <v>533.23937076703771</v>
      </c>
      <c r="F1114" s="103" t="s">
        <v>166</v>
      </c>
      <c r="G1114" s="75" t="s">
        <v>147</v>
      </c>
      <c r="H1114" s="90">
        <v>50.08</v>
      </c>
      <c r="I1114" s="90">
        <v>8.7100000000000009</v>
      </c>
      <c r="J1114" s="76">
        <v>0.105</v>
      </c>
      <c r="K1114" s="306">
        <v>16.38</v>
      </c>
      <c r="L1114" s="78">
        <f t="shared" si="134"/>
        <v>13.278421182609478</v>
      </c>
      <c r="M1114" s="58">
        <f>+VLOOKUP(F1114,Material!$H$2:$M$17,6,FALSE)*H1114*I1114*(1+Material!$K$14)</f>
        <v>98.863881350519648</v>
      </c>
      <c r="N1114" s="79" t="str">
        <f t="shared" si="147"/>
        <v>T5.0</v>
      </c>
      <c r="O1114" s="80">
        <f>+VLOOKUP(N1114,[3]Material!$A$3:$B$58,2,FALSE)</f>
        <v>5000</v>
      </c>
      <c r="P1114" s="79" t="s">
        <v>42</v>
      </c>
      <c r="Q1114" s="79" t="str">
        <f>+VLOOKUP(F1114,[3]Material!$C$2:$E$12,2,FALSE)</f>
        <v>Cal 16</v>
      </c>
      <c r="R1114" s="81">
        <f>+IF(P1114="ACERO A36",VLOOKUP(Q1114,'[3]Velocidades Std 1500 w'!$B$2:$F$15,5,FALSE),IF(P1114="INOXIDABLE",VLOOKUP(Q1114,'[3]Velocidades Std 1500 w'!$B$17:$F$28,5,FALSE),IF(P1114="ALUMINIO",VLOOKUP(Q1114,'[3]Velocidades Std 1500 w'!$B$30:$F$38,5,FALSE))))</f>
        <v>9.1575091575091579E-7</v>
      </c>
      <c r="S1114" s="82">
        <f t="shared" si="135"/>
        <v>4.578754578754579E-3</v>
      </c>
      <c r="T1114" s="83">
        <f t="shared" si="136"/>
        <v>49.903380000000006</v>
      </c>
      <c r="U1114" s="307">
        <f t="shared" si="130"/>
        <v>15137.358600000001</v>
      </c>
      <c r="V1114" s="80">
        <f t="shared" si="146"/>
        <v>69.310250000000011</v>
      </c>
      <c r="W1114" s="98">
        <v>300</v>
      </c>
      <c r="X1114" s="84">
        <f>+IF(P1114="ACERO A36",VLOOKUP(Q1114,'[3]Tiempo Objeto'!$B$2:$C$12,2,FALSE),IF(P1114="INOXIDABLE",VLOOKUP(Q1114,'[3]Tiempo Objeto'!$B$14:$C$22,2,FALSE),IF(P1114="ALUMINIO",VLOOKUP(Q1114,'[3]Tiempo Objeto'!$B$24:$C$32,2,FALSE))))</f>
        <v>0.24666666666666667</v>
      </c>
      <c r="Y1114" s="84">
        <f t="shared" si="137"/>
        <v>74</v>
      </c>
      <c r="Z1114" s="80">
        <f t="shared" si="138"/>
        <v>102.77777777777777</v>
      </c>
      <c r="AA1114" s="100">
        <v>6</v>
      </c>
      <c r="AB1114" s="86">
        <f>+AA1114*Analisis!$J$6</f>
        <v>150</v>
      </c>
      <c r="AC1114" s="100"/>
      <c r="AD1114" s="85">
        <f t="shared" si="139"/>
        <v>0</v>
      </c>
      <c r="AE1114" s="86">
        <f>+AC1114*Analisis!$J$7</f>
        <v>0</v>
      </c>
      <c r="AF1114" s="308">
        <f>+H1114*0.0254*I1114*0.0254*2*(1+[3]Analisis!$G$2)</f>
        <v>0.70354181871999999</v>
      </c>
      <c r="AG1114" s="86">
        <f>+AF1114*Analisis!$J$8</f>
        <v>74.960705685047643</v>
      </c>
      <c r="AH1114" s="309">
        <f t="shared" si="144"/>
        <v>495.91261481334504</v>
      </c>
      <c r="AI1114" s="86">
        <f>+AH1114/(1-Analisis!G1119)</f>
        <v>495.91261481334504</v>
      </c>
      <c r="AJ1114" s="86">
        <f t="shared" si="140"/>
        <v>533.23937076703771</v>
      </c>
      <c r="AK1114" s="86">
        <f t="shared" si="145"/>
        <v>0</v>
      </c>
      <c r="AL1114" s="310" t="e">
        <f>+VLOOKUP(B1114,#REF!,2,FALSE)</f>
        <v>#REF!</v>
      </c>
      <c r="AM1114" s="311" t="e">
        <f t="shared" si="149"/>
        <v>#REF!</v>
      </c>
      <c r="AN1114" s="312" t="e">
        <f t="shared" si="148"/>
        <v>#REF!</v>
      </c>
    </row>
    <row r="1115" spans="1:40" s="73" customFormat="1" x14ac:dyDescent="0.25">
      <c r="A1115" s="313"/>
      <c r="B1115" s="333" t="s">
        <v>1746</v>
      </c>
      <c r="D1115" s="74">
        <f>IFERROR(VLOOKUP(B1115,'REQ. PINTADO'!B:C,2,0),0)</f>
        <v>0</v>
      </c>
      <c r="E1115" s="305">
        <f t="shared" si="133"/>
        <v>517.33205572093254</v>
      </c>
      <c r="F1115" s="103" t="s">
        <v>166</v>
      </c>
      <c r="G1115" s="75" t="s">
        <v>147</v>
      </c>
      <c r="H1115" s="90">
        <v>46.097999999999999</v>
      </c>
      <c r="I1115" s="90">
        <v>8.7100000000000009</v>
      </c>
      <c r="J1115" s="76">
        <v>0.105</v>
      </c>
      <c r="K1115" s="306">
        <v>16.38</v>
      </c>
      <c r="L1115" s="78">
        <f t="shared" si="134"/>
        <v>12.222617006308541</v>
      </c>
      <c r="M1115" s="58">
        <f>+VLOOKUP(F1115,Material!$H$2:$M$17,6,FALSE)*H1115*I1115*(1+Material!$K$14)</f>
        <v>91.002939346969939</v>
      </c>
      <c r="N1115" s="79" t="str">
        <f t="shared" si="147"/>
        <v>T5.0</v>
      </c>
      <c r="O1115" s="80">
        <f>+VLOOKUP(N1115,[3]Material!$A$3:$B$58,2,FALSE)</f>
        <v>5000</v>
      </c>
      <c r="P1115" s="79" t="s">
        <v>42</v>
      </c>
      <c r="Q1115" s="79" t="str">
        <f>+VLOOKUP(F1115,[3]Material!$C$2:$E$12,2,FALSE)</f>
        <v>Cal 16</v>
      </c>
      <c r="R1115" s="81">
        <f>+IF(P1115="ACERO A36",VLOOKUP(Q1115,'[3]Velocidades Std 1500 w'!$B$2:$F$15,5,FALSE),IF(P1115="INOXIDABLE",VLOOKUP(Q1115,'[3]Velocidades Std 1500 w'!$B$17:$F$28,5,FALSE),IF(P1115="ALUMINIO",VLOOKUP(Q1115,'[3]Velocidades Std 1500 w'!$B$30:$F$38,5,FALSE))))</f>
        <v>9.1575091575091579E-7</v>
      </c>
      <c r="S1115" s="82">
        <f t="shared" si="135"/>
        <v>4.578754578754579E-3</v>
      </c>
      <c r="T1115" s="83">
        <f t="shared" si="136"/>
        <v>49.203160615384611</v>
      </c>
      <c r="U1115" s="307">
        <f t="shared" si="130"/>
        <v>14924.958719999999</v>
      </c>
      <c r="V1115" s="80">
        <f t="shared" si="146"/>
        <v>68.337723076923069</v>
      </c>
      <c r="W1115" s="98">
        <v>300</v>
      </c>
      <c r="X1115" s="84">
        <f>+IF(P1115="ACERO A36",VLOOKUP(Q1115,'[3]Tiempo Objeto'!$B$2:$C$12,2,FALSE),IF(P1115="INOXIDABLE",VLOOKUP(Q1115,'[3]Tiempo Objeto'!$B$14:$C$22,2,FALSE),IF(P1115="ALUMINIO",VLOOKUP(Q1115,'[3]Tiempo Objeto'!$B$24:$C$32,2,FALSE))))</f>
        <v>0.24666666666666667</v>
      </c>
      <c r="Y1115" s="84">
        <f t="shared" si="137"/>
        <v>74</v>
      </c>
      <c r="Z1115" s="80">
        <f t="shared" si="138"/>
        <v>102.77777777777777</v>
      </c>
      <c r="AA1115" s="100">
        <v>6</v>
      </c>
      <c r="AB1115" s="86">
        <f>+AA1115*Analisis!$J$6</f>
        <v>150</v>
      </c>
      <c r="AC1115" s="100"/>
      <c r="AD1115" s="85">
        <f t="shared" si="139"/>
        <v>0</v>
      </c>
      <c r="AE1115" s="86">
        <f>+AC1115*Analisis!$J$7</f>
        <v>0</v>
      </c>
      <c r="AF1115" s="308">
        <f>+H1115*0.0254*I1115*0.0254*2*(1+[3]Analisis!$G$2)</f>
        <v>0.64760125318200013</v>
      </c>
      <c r="AG1115" s="86">
        <f>+AF1115*Analisis!$J$8</f>
        <v>69.000371618796464</v>
      </c>
      <c r="AH1115" s="309">
        <f t="shared" si="144"/>
        <v>481.11881182046722</v>
      </c>
      <c r="AI1115" s="86">
        <f>+AH1115/(1-Analisis!G1120)</f>
        <v>481.11881182046722</v>
      </c>
      <c r="AJ1115" s="86">
        <f t="shared" si="140"/>
        <v>517.33205572093254</v>
      </c>
      <c r="AK1115" s="86">
        <f t="shared" si="145"/>
        <v>0</v>
      </c>
      <c r="AL1115" s="310" t="e">
        <f>+VLOOKUP(B1115,#REF!,2,FALSE)</f>
        <v>#REF!</v>
      </c>
      <c r="AM1115" s="311" t="e">
        <f t="shared" si="149"/>
        <v>#REF!</v>
      </c>
      <c r="AN1115" s="312" t="e">
        <f t="shared" si="148"/>
        <v>#REF!</v>
      </c>
    </row>
    <row r="1116" spans="1:40" s="73" customFormat="1" x14ac:dyDescent="0.25">
      <c r="A1116" s="313"/>
      <c r="B1116" s="333" t="s">
        <v>1747</v>
      </c>
      <c r="D1116" s="74">
        <f>IFERROR(VLOOKUP(B1116,'REQ. PINTADO'!B:C,2,0),0)</f>
        <v>0</v>
      </c>
      <c r="E1116" s="305">
        <f t="shared" si="133"/>
        <v>397.41598765112201</v>
      </c>
      <c r="F1116" s="103" t="s">
        <v>166</v>
      </c>
      <c r="G1116" s="75" t="s">
        <v>147</v>
      </c>
      <c r="H1116" s="90">
        <v>16.079999999999998</v>
      </c>
      <c r="I1116" s="90">
        <v>8.7100000000000009</v>
      </c>
      <c r="J1116" s="76">
        <v>0.105</v>
      </c>
      <c r="K1116" s="306">
        <v>16.38</v>
      </c>
      <c r="L1116" s="78">
        <f t="shared" si="134"/>
        <v>4.2635186225311585</v>
      </c>
      <c r="M1116" s="58">
        <f>+VLOOKUP(F1116,Material!$H$2:$M$17,6,FALSE)*H1116*I1116*(1+Material!$K$14)</f>
        <v>31.743834107754708</v>
      </c>
      <c r="N1116" s="79" t="str">
        <f t="shared" si="147"/>
        <v>T5.0</v>
      </c>
      <c r="O1116" s="80">
        <f>+VLOOKUP(N1116,[3]Material!$A$3:$B$58,2,FALSE)</f>
        <v>5000</v>
      </c>
      <c r="P1116" s="79" t="s">
        <v>42</v>
      </c>
      <c r="Q1116" s="79" t="str">
        <f>+VLOOKUP(F1116,[3]Material!$C$2:$E$12,2,FALSE)</f>
        <v>Cal 16</v>
      </c>
      <c r="R1116" s="81">
        <f>+IF(P1116="ACERO A36",VLOOKUP(Q1116,'[3]Velocidades Std 1500 w'!$B$2:$F$15,5,FALSE),IF(P1116="INOXIDABLE",VLOOKUP(Q1116,'[3]Velocidades Std 1500 w'!$B$17:$F$28,5,FALSE),IF(P1116="ALUMINIO",VLOOKUP(Q1116,'[3]Velocidades Std 1500 w'!$B$30:$F$38,5,FALSE))))</f>
        <v>9.1575091575091579E-7</v>
      </c>
      <c r="S1116" s="82">
        <f t="shared" si="135"/>
        <v>4.578754578754579E-3</v>
      </c>
      <c r="T1116" s="83">
        <f t="shared" si="136"/>
        <v>43.92461076923076</v>
      </c>
      <c r="U1116" s="307">
        <f t="shared" ref="U1116:U1179" si="150">(+I1116*2+H1116*2+W1116*1.5)*25.4*1.05</f>
        <v>13323.798599999998</v>
      </c>
      <c r="V1116" s="80">
        <f t="shared" si="146"/>
        <v>61.006403846153844</v>
      </c>
      <c r="W1116" s="98">
        <v>300</v>
      </c>
      <c r="X1116" s="84">
        <f>+IF(P1116="ACERO A36",VLOOKUP(Q1116,'[3]Tiempo Objeto'!$B$2:$C$12,2,FALSE),IF(P1116="INOXIDABLE",VLOOKUP(Q1116,'[3]Tiempo Objeto'!$B$14:$C$22,2,FALSE),IF(P1116="ALUMINIO",VLOOKUP(Q1116,'[3]Tiempo Objeto'!$B$24:$C$32,2,FALSE))))</f>
        <v>0.24666666666666667</v>
      </c>
      <c r="Y1116" s="84">
        <f t="shared" si="137"/>
        <v>74</v>
      </c>
      <c r="Z1116" s="80">
        <f t="shared" si="138"/>
        <v>102.77777777777777</v>
      </c>
      <c r="AA1116" s="100">
        <v>6</v>
      </c>
      <c r="AB1116" s="86">
        <f>+AA1116*Analisis!$J$6</f>
        <v>150</v>
      </c>
      <c r="AC1116" s="100"/>
      <c r="AD1116" s="85">
        <f t="shared" si="139"/>
        <v>0</v>
      </c>
      <c r="AE1116" s="86">
        <f>+AC1116*Analisis!$J$7</f>
        <v>0</v>
      </c>
      <c r="AF1116" s="308">
        <f>+H1116*0.0254*I1116*0.0254*2*(1+[3]Analisis!$G$2)</f>
        <v>0.22589761271999997</v>
      </c>
      <c r="AG1116" s="86">
        <f>+AF1116*Analisis!$J$8</f>
        <v>24.068852783857146</v>
      </c>
      <c r="AH1116" s="309">
        <f t="shared" si="144"/>
        <v>369.59686851554346</v>
      </c>
      <c r="AI1116" s="86">
        <f>+AH1116/(1-Analisis!G1121)</f>
        <v>369.59686851554346</v>
      </c>
      <c r="AJ1116" s="86">
        <f t="shared" si="140"/>
        <v>397.41598765112201</v>
      </c>
      <c r="AK1116" s="86">
        <f t="shared" si="145"/>
        <v>0</v>
      </c>
      <c r="AL1116" s="310" t="e">
        <f>+VLOOKUP(B1116,#REF!,2,FALSE)</f>
        <v>#REF!</v>
      </c>
      <c r="AM1116" s="311" t="e">
        <f t="shared" si="149"/>
        <v>#REF!</v>
      </c>
      <c r="AN1116" s="312" t="e">
        <f t="shared" si="148"/>
        <v>#REF!</v>
      </c>
    </row>
    <row r="1117" spans="1:40" s="73" customFormat="1" x14ac:dyDescent="0.25">
      <c r="A1117" s="313"/>
      <c r="B1117" s="333" t="s">
        <v>1748</v>
      </c>
      <c r="D1117" s="74">
        <f>IFERROR(VLOOKUP(B1117,'REQ. PINTADO'!B:C,2,0),0)</f>
        <v>0</v>
      </c>
      <c r="E1117" s="305">
        <f t="shared" si="133"/>
        <v>429.37443073721988</v>
      </c>
      <c r="F1117" s="103" t="s">
        <v>166</v>
      </c>
      <c r="G1117" s="75" t="s">
        <v>147</v>
      </c>
      <c r="H1117" s="90">
        <v>24.08</v>
      </c>
      <c r="I1117" s="90">
        <v>8.7100000000000009</v>
      </c>
      <c r="J1117" s="76">
        <v>0.105</v>
      </c>
      <c r="K1117" s="306">
        <v>16.38</v>
      </c>
      <c r="L1117" s="78">
        <f t="shared" si="134"/>
        <v>6.3846721660789978</v>
      </c>
      <c r="M1117" s="58">
        <f>+VLOOKUP(F1117,Material!$H$2:$M$17,6,FALSE)*H1117*I1117*(1+Material!$K$14)</f>
        <v>47.536786400169987</v>
      </c>
      <c r="N1117" s="79" t="str">
        <f t="shared" si="147"/>
        <v>T5.0</v>
      </c>
      <c r="O1117" s="80">
        <f>+VLOOKUP(N1117,[3]Material!$A$3:$B$58,2,FALSE)</f>
        <v>5000</v>
      </c>
      <c r="P1117" s="79" t="s">
        <v>42</v>
      </c>
      <c r="Q1117" s="79" t="str">
        <f>+VLOOKUP(F1117,[3]Material!$C$2:$E$12,2,FALSE)</f>
        <v>Cal 16</v>
      </c>
      <c r="R1117" s="81">
        <f>+IF(P1117="ACERO A36",VLOOKUP(Q1117,'[3]Velocidades Std 1500 w'!$B$2:$F$15,5,FALSE),IF(P1117="INOXIDABLE",VLOOKUP(Q1117,'[3]Velocidades Std 1500 w'!$B$17:$F$28,5,FALSE),IF(P1117="ALUMINIO",VLOOKUP(Q1117,'[3]Velocidades Std 1500 w'!$B$30:$F$38,5,FALSE))))</f>
        <v>9.1575091575091579E-7</v>
      </c>
      <c r="S1117" s="82">
        <f t="shared" si="135"/>
        <v>4.578754578754579E-3</v>
      </c>
      <c r="T1117" s="83">
        <f t="shared" si="136"/>
        <v>45.33138000000001</v>
      </c>
      <c r="U1117" s="307">
        <f t="shared" si="150"/>
        <v>13750.518600000001</v>
      </c>
      <c r="V1117" s="80">
        <f t="shared" si="146"/>
        <v>62.960250000000009</v>
      </c>
      <c r="W1117" s="98">
        <v>300</v>
      </c>
      <c r="X1117" s="84">
        <f>+IF(P1117="ACERO A36",VLOOKUP(Q1117,'[3]Tiempo Objeto'!$B$2:$C$12,2,FALSE),IF(P1117="INOXIDABLE",VLOOKUP(Q1117,'[3]Tiempo Objeto'!$B$14:$C$22,2,FALSE),IF(P1117="ALUMINIO",VLOOKUP(Q1117,'[3]Tiempo Objeto'!$B$24:$C$32,2,FALSE))))</f>
        <v>0.24666666666666667</v>
      </c>
      <c r="Y1117" s="84">
        <f t="shared" si="137"/>
        <v>74</v>
      </c>
      <c r="Z1117" s="80">
        <f t="shared" si="138"/>
        <v>102.77777777777777</v>
      </c>
      <c r="AA1117" s="100">
        <v>6</v>
      </c>
      <c r="AB1117" s="86">
        <f>+AA1117*Analisis!$J$6</f>
        <v>150</v>
      </c>
      <c r="AC1117" s="100"/>
      <c r="AD1117" s="85">
        <f t="shared" si="139"/>
        <v>0</v>
      </c>
      <c r="AE1117" s="86">
        <f>+AC1117*Analisis!$J$7</f>
        <v>0</v>
      </c>
      <c r="AF1117" s="308">
        <f>+H1117*0.0254*I1117*0.0254*2*(1+[3]Analisis!$G$2)</f>
        <v>0.33828448472</v>
      </c>
      <c r="AG1117" s="86">
        <f>+AF1117*Analisis!$J$8</f>
        <v>36.04340640766668</v>
      </c>
      <c r="AH1117" s="309">
        <f t="shared" si="144"/>
        <v>399.31822058561448</v>
      </c>
      <c r="AI1117" s="86">
        <f>+AH1117/(1-Analisis!G1122)</f>
        <v>399.31822058561448</v>
      </c>
      <c r="AJ1117" s="86">
        <f t="shared" si="140"/>
        <v>429.37443073721988</v>
      </c>
      <c r="AK1117" s="86">
        <f t="shared" si="145"/>
        <v>0</v>
      </c>
      <c r="AL1117" s="310" t="e">
        <f>+VLOOKUP(B1117,#REF!,2,FALSE)</f>
        <v>#REF!</v>
      </c>
      <c r="AM1117" s="311" t="e">
        <f t="shared" si="149"/>
        <v>#REF!</v>
      </c>
      <c r="AN1117" s="312" t="e">
        <f t="shared" si="148"/>
        <v>#REF!</v>
      </c>
    </row>
    <row r="1118" spans="1:40" s="73" customFormat="1" x14ac:dyDescent="0.25">
      <c r="A1118" s="313"/>
      <c r="B1118" s="333" t="s">
        <v>1749</v>
      </c>
      <c r="D1118" s="74">
        <f>IFERROR(VLOOKUP(B1118,'REQ. PINTADO'!B:C,2,0),0)</f>
        <v>0</v>
      </c>
      <c r="E1118" s="305">
        <f t="shared" si="133"/>
        <v>557.20820308161115</v>
      </c>
      <c r="F1118" s="103" t="s">
        <v>166</v>
      </c>
      <c r="G1118" s="75" t="s">
        <v>147</v>
      </c>
      <c r="H1118" s="90">
        <v>56.08</v>
      </c>
      <c r="I1118" s="90">
        <v>8.7100000000000009</v>
      </c>
      <c r="J1118" s="76">
        <v>0.105</v>
      </c>
      <c r="K1118" s="306">
        <v>16.38</v>
      </c>
      <c r="L1118" s="78">
        <f t="shared" si="134"/>
        <v>14.869286340270358</v>
      </c>
      <c r="M1118" s="58">
        <f>+VLOOKUP(F1118,Material!$H$2:$M$17,6,FALSE)*H1118*I1118*(1+Material!$K$14)</f>
        <v>110.7085955698311</v>
      </c>
      <c r="N1118" s="79" t="str">
        <f t="shared" si="147"/>
        <v>T5.0</v>
      </c>
      <c r="O1118" s="80">
        <f>+VLOOKUP(N1118,[3]Material!$A$3:$B$58,2,FALSE)</f>
        <v>5000</v>
      </c>
      <c r="P1118" s="79" t="s">
        <v>42</v>
      </c>
      <c r="Q1118" s="79" t="str">
        <f>+VLOOKUP(F1118,[3]Material!$C$2:$E$12,2,FALSE)</f>
        <v>Cal 16</v>
      </c>
      <c r="R1118" s="81">
        <f>+IF(P1118="ACERO A36",VLOOKUP(Q1118,'[3]Velocidades Std 1500 w'!$B$2:$F$15,5,FALSE),IF(P1118="INOXIDABLE",VLOOKUP(Q1118,'[3]Velocidades Std 1500 w'!$B$17:$F$28,5,FALSE),IF(P1118="ALUMINIO",VLOOKUP(Q1118,'[3]Velocidades Std 1500 w'!$B$30:$F$38,5,FALSE))))</f>
        <v>9.1575091575091579E-7</v>
      </c>
      <c r="S1118" s="82">
        <f t="shared" si="135"/>
        <v>4.578754578754579E-3</v>
      </c>
      <c r="T1118" s="83">
        <f t="shared" si="136"/>
        <v>50.958456923076916</v>
      </c>
      <c r="U1118" s="307">
        <f t="shared" si="150"/>
        <v>15457.398599999997</v>
      </c>
      <c r="V1118" s="80">
        <f t="shared" si="146"/>
        <v>70.775634615384604</v>
      </c>
      <c r="W1118" s="98">
        <v>300</v>
      </c>
      <c r="X1118" s="84">
        <f>+IF(P1118="ACERO A36",VLOOKUP(Q1118,'[3]Tiempo Objeto'!$B$2:$C$12,2,FALSE),IF(P1118="INOXIDABLE",VLOOKUP(Q1118,'[3]Tiempo Objeto'!$B$14:$C$22,2,FALSE),IF(P1118="ALUMINIO",VLOOKUP(Q1118,'[3]Tiempo Objeto'!$B$24:$C$32,2,FALSE))))</f>
        <v>0.24666666666666667</v>
      </c>
      <c r="Y1118" s="84">
        <f t="shared" si="137"/>
        <v>74</v>
      </c>
      <c r="Z1118" s="80">
        <f t="shared" si="138"/>
        <v>102.77777777777777</v>
      </c>
      <c r="AA1118" s="100">
        <v>6</v>
      </c>
      <c r="AB1118" s="86">
        <f>+AA1118*Analisis!$J$6</f>
        <v>150</v>
      </c>
      <c r="AC1118" s="100"/>
      <c r="AD1118" s="85">
        <f t="shared" si="139"/>
        <v>0</v>
      </c>
      <c r="AE1118" s="86">
        <f>+AC1118*Analisis!$J$7</f>
        <v>0</v>
      </c>
      <c r="AF1118" s="308">
        <f>+H1118*0.0254*I1118*0.0254*2*(1+[3]Analisis!$G$2)</f>
        <v>0.78783197271999994</v>
      </c>
      <c r="AG1118" s="86">
        <f>+AF1118*Analisis!$J$8</f>
        <v>83.941620902904774</v>
      </c>
      <c r="AH1118" s="309">
        <f t="shared" si="144"/>
        <v>518.20362886589828</v>
      </c>
      <c r="AI1118" s="86">
        <f>+AH1118/(1-Analisis!G1123)</f>
        <v>518.20362886589828</v>
      </c>
      <c r="AJ1118" s="86">
        <f t="shared" si="140"/>
        <v>557.20820308161115</v>
      </c>
      <c r="AK1118" s="86">
        <f t="shared" si="145"/>
        <v>0</v>
      </c>
      <c r="AL1118" s="310" t="e">
        <f>+VLOOKUP(B1118,#REF!,2,FALSE)</f>
        <v>#REF!</v>
      </c>
      <c r="AM1118" s="311" t="e">
        <f t="shared" si="149"/>
        <v>#REF!</v>
      </c>
      <c r="AN1118" s="312" t="e">
        <f t="shared" si="148"/>
        <v>#REF!</v>
      </c>
    </row>
    <row r="1119" spans="1:40" s="73" customFormat="1" x14ac:dyDescent="0.25">
      <c r="A1119" s="313"/>
      <c r="B1119" s="333" t="s">
        <v>1750</v>
      </c>
      <c r="D1119" s="74">
        <f>IFERROR(VLOOKUP(B1119,'REQ. PINTADO'!B:C,2,0),0)</f>
        <v>0</v>
      </c>
      <c r="E1119" s="305">
        <f t="shared" si="133"/>
        <v>381.43676610807307</v>
      </c>
      <c r="F1119" s="103" t="s">
        <v>166</v>
      </c>
      <c r="G1119" s="75" t="s">
        <v>147</v>
      </c>
      <c r="H1119" s="90">
        <v>12.08</v>
      </c>
      <c r="I1119" s="90">
        <v>8.7100000000000009</v>
      </c>
      <c r="J1119" s="76">
        <v>0.105</v>
      </c>
      <c r="K1119" s="306">
        <v>16.38</v>
      </c>
      <c r="L1119" s="78">
        <f t="shared" si="134"/>
        <v>3.2029418507572389</v>
      </c>
      <c r="M1119" s="58">
        <f>+VLOOKUP(F1119,Material!$H$2:$M$17,6,FALSE)*H1119*I1119*(1+Material!$K$14)</f>
        <v>23.847357961547075</v>
      </c>
      <c r="N1119" s="79" t="str">
        <f t="shared" si="147"/>
        <v>T5.0</v>
      </c>
      <c r="O1119" s="80">
        <f>+VLOOKUP(N1119,[3]Material!$A$3:$B$58,2,FALSE)</f>
        <v>5000</v>
      </c>
      <c r="P1119" s="79" t="s">
        <v>42</v>
      </c>
      <c r="Q1119" s="79" t="str">
        <f>+VLOOKUP(F1119,[3]Material!$C$2:$E$12,2,FALSE)</f>
        <v>Cal 16</v>
      </c>
      <c r="R1119" s="81">
        <f>+IF(P1119="ACERO A36",VLOOKUP(Q1119,'[3]Velocidades Std 1500 w'!$B$2:$F$15,5,FALSE),IF(P1119="INOXIDABLE",VLOOKUP(Q1119,'[3]Velocidades Std 1500 w'!$B$17:$F$28,5,FALSE),IF(P1119="ALUMINIO",VLOOKUP(Q1119,'[3]Velocidades Std 1500 w'!$B$30:$F$38,5,FALSE))))</f>
        <v>9.1575091575091579E-7</v>
      </c>
      <c r="S1119" s="82">
        <f t="shared" si="135"/>
        <v>4.578754578754579E-3</v>
      </c>
      <c r="T1119" s="83">
        <f t="shared" si="136"/>
        <v>43.221226153846153</v>
      </c>
      <c r="U1119" s="307">
        <f t="shared" si="150"/>
        <v>13110.438599999999</v>
      </c>
      <c r="V1119" s="80">
        <f t="shared" si="146"/>
        <v>60.029480769230773</v>
      </c>
      <c r="W1119" s="98">
        <v>300</v>
      </c>
      <c r="X1119" s="84">
        <f>+IF(P1119="ACERO A36",VLOOKUP(Q1119,'[3]Tiempo Objeto'!$B$2:$C$12,2,FALSE),IF(P1119="INOXIDABLE",VLOOKUP(Q1119,'[3]Tiempo Objeto'!$B$14:$C$22,2,FALSE),IF(P1119="ALUMINIO",VLOOKUP(Q1119,'[3]Tiempo Objeto'!$B$24:$C$32,2,FALSE))))</f>
        <v>0.24666666666666667</v>
      </c>
      <c r="Y1119" s="84">
        <f t="shared" si="137"/>
        <v>74</v>
      </c>
      <c r="Z1119" s="80">
        <f t="shared" si="138"/>
        <v>102.77777777777777</v>
      </c>
      <c r="AA1119" s="100">
        <v>6</v>
      </c>
      <c r="AB1119" s="86">
        <f>+AA1119*Analisis!$J$6</f>
        <v>150</v>
      </c>
      <c r="AC1119" s="100"/>
      <c r="AD1119" s="85">
        <f t="shared" si="139"/>
        <v>0</v>
      </c>
      <c r="AE1119" s="86">
        <f>+AC1119*Analisis!$J$7</f>
        <v>0</v>
      </c>
      <c r="AF1119" s="308">
        <f>+H1119*0.0254*I1119*0.0254*2*(1+[3]Analisis!$G$2)</f>
        <v>0.16970417672000002</v>
      </c>
      <c r="AG1119" s="86">
        <f>+AF1119*Analisis!$J$8</f>
        <v>18.08157597195239</v>
      </c>
      <c r="AH1119" s="309">
        <f t="shared" si="144"/>
        <v>354.73619248050795</v>
      </c>
      <c r="AI1119" s="86">
        <f>+AH1119/(1-Analisis!G1124)</f>
        <v>354.73619248050795</v>
      </c>
      <c r="AJ1119" s="86">
        <f t="shared" si="140"/>
        <v>381.43676610807307</v>
      </c>
      <c r="AK1119" s="86">
        <f t="shared" si="145"/>
        <v>0</v>
      </c>
      <c r="AL1119" s="310" t="e">
        <f>+VLOOKUP(B1119,#REF!,2,FALSE)</f>
        <v>#REF!</v>
      </c>
      <c r="AM1119" s="311" t="e">
        <f t="shared" si="149"/>
        <v>#REF!</v>
      </c>
      <c r="AN1119" s="312" t="e">
        <f t="shared" si="148"/>
        <v>#REF!</v>
      </c>
    </row>
    <row r="1120" spans="1:40" s="73" customFormat="1" x14ac:dyDescent="0.25">
      <c r="A1120" s="313"/>
      <c r="B1120" s="333" t="s">
        <v>1751</v>
      </c>
      <c r="D1120" s="74">
        <f>IFERROR(VLOOKUP(B1120,'REQ. PINTADO'!B:C,2,0),0)</f>
        <v>0</v>
      </c>
      <c r="E1120" s="305">
        <f t="shared" si="133"/>
        <v>405.40559842264645</v>
      </c>
      <c r="F1120" s="103" t="s">
        <v>166</v>
      </c>
      <c r="G1120" s="75" t="s">
        <v>147</v>
      </c>
      <c r="H1120" s="90">
        <v>18.079999999999998</v>
      </c>
      <c r="I1120" s="90">
        <v>8.7100000000000009</v>
      </c>
      <c r="J1120" s="76">
        <v>0.105</v>
      </c>
      <c r="K1120" s="306">
        <v>16.38</v>
      </c>
      <c r="L1120" s="78">
        <f t="shared" si="134"/>
        <v>4.7938070084181188</v>
      </c>
      <c r="M1120" s="58">
        <f>+VLOOKUP(F1120,Material!$H$2:$M$17,6,FALSE)*H1120*I1120*(1+Material!$K$14)</f>
        <v>35.692072180858531</v>
      </c>
      <c r="N1120" s="79" t="str">
        <f t="shared" si="147"/>
        <v>T5.0</v>
      </c>
      <c r="O1120" s="80">
        <f>+VLOOKUP(N1120,[3]Material!$A$3:$B$58,2,FALSE)</f>
        <v>5000</v>
      </c>
      <c r="P1120" s="79" t="s">
        <v>42</v>
      </c>
      <c r="Q1120" s="79" t="str">
        <f>+VLOOKUP(F1120,[3]Material!$C$2:$E$12,2,FALSE)</f>
        <v>Cal 16</v>
      </c>
      <c r="R1120" s="81">
        <f>+IF(P1120="ACERO A36",VLOOKUP(Q1120,'[3]Velocidades Std 1500 w'!$B$2:$F$15,5,FALSE),IF(P1120="INOXIDABLE",VLOOKUP(Q1120,'[3]Velocidades Std 1500 w'!$B$17:$F$28,5,FALSE),IF(P1120="ALUMINIO",VLOOKUP(Q1120,'[3]Velocidades Std 1500 w'!$B$30:$F$38,5,FALSE))))</f>
        <v>9.1575091575091579E-7</v>
      </c>
      <c r="S1120" s="82">
        <f t="shared" si="135"/>
        <v>4.578754578754579E-3</v>
      </c>
      <c r="T1120" s="83">
        <f t="shared" si="136"/>
        <v>44.276303076923078</v>
      </c>
      <c r="U1120" s="307">
        <f t="shared" si="150"/>
        <v>13430.478599999999</v>
      </c>
      <c r="V1120" s="80">
        <f t="shared" si="146"/>
        <v>61.49486538461538</v>
      </c>
      <c r="W1120" s="98">
        <v>300</v>
      </c>
      <c r="X1120" s="84">
        <f>+IF(P1120="ACERO A36",VLOOKUP(Q1120,'[3]Tiempo Objeto'!$B$2:$C$12,2,FALSE),IF(P1120="INOXIDABLE",VLOOKUP(Q1120,'[3]Tiempo Objeto'!$B$14:$C$22,2,FALSE),IF(P1120="ALUMINIO",VLOOKUP(Q1120,'[3]Tiempo Objeto'!$B$24:$C$32,2,FALSE))))</f>
        <v>0.24666666666666667</v>
      </c>
      <c r="Y1120" s="84">
        <f t="shared" si="137"/>
        <v>74</v>
      </c>
      <c r="Z1120" s="80">
        <f t="shared" si="138"/>
        <v>102.77777777777777</v>
      </c>
      <c r="AA1120" s="100">
        <v>6</v>
      </c>
      <c r="AB1120" s="86">
        <f>+AA1120*Analisis!$J$6</f>
        <v>150</v>
      </c>
      <c r="AC1120" s="100"/>
      <c r="AD1120" s="85">
        <f t="shared" si="139"/>
        <v>0</v>
      </c>
      <c r="AE1120" s="86">
        <f>+AC1120*Analisis!$J$7</f>
        <v>0</v>
      </c>
      <c r="AF1120" s="308">
        <f>+H1120*0.0254*I1120*0.0254*2*(1+[3]Analisis!$G$2)</f>
        <v>0.25399433071999994</v>
      </c>
      <c r="AG1120" s="86">
        <f>+AF1120*Analisis!$J$8</f>
        <v>27.062491189809524</v>
      </c>
      <c r="AH1120" s="309">
        <f t="shared" si="144"/>
        <v>377.02720653306119</v>
      </c>
      <c r="AI1120" s="86">
        <f>+AH1120/(1-Analisis!G1125)</f>
        <v>377.02720653306119</v>
      </c>
      <c r="AJ1120" s="86">
        <f t="shared" si="140"/>
        <v>405.40559842264645</v>
      </c>
      <c r="AK1120" s="86">
        <f t="shared" si="145"/>
        <v>0</v>
      </c>
      <c r="AL1120" s="310" t="e">
        <f>+VLOOKUP(B1120,#REF!,2,FALSE)</f>
        <v>#REF!</v>
      </c>
      <c r="AM1120" s="311" t="e">
        <f t="shared" si="149"/>
        <v>#REF!</v>
      </c>
      <c r="AN1120" s="312" t="e">
        <f t="shared" si="148"/>
        <v>#REF!</v>
      </c>
    </row>
    <row r="1121" spans="1:40" s="73" customFormat="1" x14ac:dyDescent="0.25">
      <c r="A1121" s="313"/>
      <c r="B1121" s="333" t="s">
        <v>1752</v>
      </c>
      <c r="D1121" s="74">
        <f>IFERROR(VLOOKUP(B1121,'REQ. PINTADO'!B:C,2,0),0)</f>
        <v>0</v>
      </c>
      <c r="E1121" s="305">
        <f t="shared" si="133"/>
        <v>437.36404150874432</v>
      </c>
      <c r="F1121" s="103" t="s">
        <v>166</v>
      </c>
      <c r="G1121" s="75" t="s">
        <v>147</v>
      </c>
      <c r="H1121" s="90">
        <v>26.08</v>
      </c>
      <c r="I1121" s="90">
        <v>8.7100000000000009</v>
      </c>
      <c r="J1121" s="76">
        <v>0.105</v>
      </c>
      <c r="K1121" s="306">
        <v>16.38</v>
      </c>
      <c r="L1121" s="78">
        <f t="shared" si="134"/>
        <v>6.9149605519659589</v>
      </c>
      <c r="M1121" s="58">
        <f>+VLOOKUP(F1121,Material!$H$2:$M$17,6,FALSE)*H1121*I1121*(1+Material!$K$14)</f>
        <v>51.48502447327381</v>
      </c>
      <c r="N1121" s="79" t="str">
        <f t="shared" si="147"/>
        <v>T5.0</v>
      </c>
      <c r="O1121" s="80">
        <f>+VLOOKUP(N1121,[3]Material!$A$3:$B$58,2,FALSE)</f>
        <v>5000</v>
      </c>
      <c r="P1121" s="79" t="s">
        <v>42</v>
      </c>
      <c r="Q1121" s="79" t="str">
        <f>+VLOOKUP(F1121,[3]Material!$C$2:$E$12,2,FALSE)</f>
        <v>Cal 16</v>
      </c>
      <c r="R1121" s="81">
        <f>+IF(P1121="ACERO A36",VLOOKUP(Q1121,'[3]Velocidades Std 1500 w'!$B$2:$F$15,5,FALSE),IF(P1121="INOXIDABLE",VLOOKUP(Q1121,'[3]Velocidades Std 1500 w'!$B$17:$F$28,5,FALSE),IF(P1121="ALUMINIO",VLOOKUP(Q1121,'[3]Velocidades Std 1500 w'!$B$30:$F$38,5,FALSE))))</f>
        <v>9.1575091575091579E-7</v>
      </c>
      <c r="S1121" s="82">
        <f t="shared" si="135"/>
        <v>4.578754578754579E-3</v>
      </c>
      <c r="T1121" s="83">
        <f t="shared" si="136"/>
        <v>45.683072307692314</v>
      </c>
      <c r="U1121" s="307">
        <f t="shared" si="150"/>
        <v>13857.198600000002</v>
      </c>
      <c r="V1121" s="80">
        <f t="shared" si="146"/>
        <v>63.448711538461545</v>
      </c>
      <c r="W1121" s="98">
        <v>300</v>
      </c>
      <c r="X1121" s="84">
        <f>+IF(P1121="ACERO A36",VLOOKUP(Q1121,'[3]Tiempo Objeto'!$B$2:$C$12,2,FALSE),IF(P1121="INOXIDABLE",VLOOKUP(Q1121,'[3]Tiempo Objeto'!$B$14:$C$22,2,FALSE),IF(P1121="ALUMINIO",VLOOKUP(Q1121,'[3]Tiempo Objeto'!$B$24:$C$32,2,FALSE))))</f>
        <v>0.24666666666666667</v>
      </c>
      <c r="Y1121" s="84">
        <f t="shared" si="137"/>
        <v>74</v>
      </c>
      <c r="Z1121" s="80">
        <f t="shared" si="138"/>
        <v>102.77777777777777</v>
      </c>
      <c r="AA1121" s="100">
        <v>6</v>
      </c>
      <c r="AB1121" s="86">
        <f>+AA1121*Analisis!$J$6</f>
        <v>150</v>
      </c>
      <c r="AC1121" s="100"/>
      <c r="AD1121" s="85">
        <f t="shared" si="139"/>
        <v>0</v>
      </c>
      <c r="AE1121" s="86">
        <f>+AC1121*Analisis!$J$7</f>
        <v>0</v>
      </c>
      <c r="AF1121" s="308">
        <f>+H1121*0.0254*I1121*0.0254*2*(1+[3]Analisis!$G$2)</f>
        <v>0.36638120271999997</v>
      </c>
      <c r="AG1121" s="86">
        <f>+AF1121*Analisis!$J$8</f>
        <v>39.037044813619055</v>
      </c>
      <c r="AH1121" s="309">
        <f t="shared" si="144"/>
        <v>406.74855860313221</v>
      </c>
      <c r="AI1121" s="86">
        <f>+AH1121/(1-Analisis!G1126)</f>
        <v>406.74855860313221</v>
      </c>
      <c r="AJ1121" s="86">
        <f t="shared" si="140"/>
        <v>437.36404150874432</v>
      </c>
      <c r="AK1121" s="86">
        <f t="shared" si="145"/>
        <v>0</v>
      </c>
      <c r="AL1121" s="310" t="e">
        <f>+VLOOKUP(B1121,#REF!,2,FALSE)</f>
        <v>#REF!</v>
      </c>
      <c r="AM1121" s="311" t="e">
        <f t="shared" si="149"/>
        <v>#REF!</v>
      </c>
      <c r="AN1121" s="312" t="e">
        <f t="shared" si="148"/>
        <v>#REF!</v>
      </c>
    </row>
    <row r="1122" spans="1:40" s="73" customFormat="1" x14ac:dyDescent="0.25">
      <c r="A1122" s="313"/>
      <c r="B1122" s="333" t="s">
        <v>1753</v>
      </c>
      <c r="D1122" s="74">
        <f>IFERROR(VLOOKUP(B1122,'REQ. PINTADO'!B:C,2,0),0)</f>
        <v>0</v>
      </c>
      <c r="E1122" s="305">
        <f t="shared" si="133"/>
        <v>395.03385014616418</v>
      </c>
      <c r="F1122" s="103" t="s">
        <v>166</v>
      </c>
      <c r="G1122" s="75" t="s">
        <v>147</v>
      </c>
      <c r="H1122" s="90">
        <v>12.08</v>
      </c>
      <c r="I1122" s="90">
        <v>11.21</v>
      </c>
      <c r="J1122" s="76">
        <v>0.105</v>
      </c>
      <c r="K1122" s="306">
        <v>16.38</v>
      </c>
      <c r="L1122" s="78">
        <f t="shared" si="134"/>
        <v>4.1222707401823939</v>
      </c>
      <c r="M1122" s="58">
        <f>+VLOOKUP(F1122,Material!$H$2:$M$17,6,FALSE)*H1122*I1122*(1+Material!$K$14)</f>
        <v>30.692179420085271</v>
      </c>
      <c r="N1122" s="79" t="str">
        <f t="shared" si="147"/>
        <v>T5.0</v>
      </c>
      <c r="O1122" s="80">
        <f>+VLOOKUP(N1122,[3]Material!$A$3:$B$58,2,FALSE)</f>
        <v>5000</v>
      </c>
      <c r="P1122" s="79" t="s">
        <v>42</v>
      </c>
      <c r="Q1122" s="79" t="str">
        <f>+VLOOKUP(F1122,[3]Material!$C$2:$E$12,2,FALSE)</f>
        <v>Cal 16</v>
      </c>
      <c r="R1122" s="81">
        <f>+IF(P1122="ACERO A36",VLOOKUP(Q1122,'[3]Velocidades Std 1500 w'!$B$2:$F$15,5,FALSE),IF(P1122="INOXIDABLE",VLOOKUP(Q1122,'[3]Velocidades Std 1500 w'!$B$17:$F$28,5,FALSE),IF(P1122="ALUMINIO",VLOOKUP(Q1122,'[3]Velocidades Std 1500 w'!$B$30:$F$38,5,FALSE))))</f>
        <v>9.1575091575091579E-7</v>
      </c>
      <c r="S1122" s="82">
        <f t="shared" si="135"/>
        <v>4.578754578754579E-3</v>
      </c>
      <c r="T1122" s="83">
        <f t="shared" si="136"/>
        <v>43.66084153846154</v>
      </c>
      <c r="U1122" s="307">
        <f t="shared" si="150"/>
        <v>13243.7886</v>
      </c>
      <c r="V1122" s="80">
        <f t="shared" si="146"/>
        <v>60.640057692307693</v>
      </c>
      <c r="W1122" s="98">
        <v>300</v>
      </c>
      <c r="X1122" s="84">
        <f>+IF(P1122="ACERO A36",VLOOKUP(Q1122,'[3]Tiempo Objeto'!$B$2:$C$12,2,FALSE),IF(P1122="INOXIDABLE",VLOOKUP(Q1122,'[3]Tiempo Objeto'!$B$14:$C$22,2,FALSE),IF(P1122="ALUMINIO",VLOOKUP(Q1122,'[3]Tiempo Objeto'!$B$24:$C$32,2,FALSE))))</f>
        <v>0.24666666666666667</v>
      </c>
      <c r="Y1122" s="84">
        <f t="shared" si="137"/>
        <v>74</v>
      </c>
      <c r="Z1122" s="80">
        <f t="shared" si="138"/>
        <v>102.77777777777777</v>
      </c>
      <c r="AA1122" s="100">
        <v>6</v>
      </c>
      <c r="AB1122" s="86">
        <f>+AA1122*Analisis!$J$6</f>
        <v>150</v>
      </c>
      <c r="AC1122" s="100"/>
      <c r="AD1122" s="85">
        <f t="shared" si="139"/>
        <v>0</v>
      </c>
      <c r="AE1122" s="86">
        <f>+AC1122*Analisis!$J$7</f>
        <v>0</v>
      </c>
      <c r="AF1122" s="308">
        <f>+H1122*0.0254*I1122*0.0254*2*(1+[3]Analisis!$G$2)</f>
        <v>0.21841375672000002</v>
      </c>
      <c r="AG1122" s="86">
        <f>+AF1122*Analisis!$J$8</f>
        <v>23.271465745761915</v>
      </c>
      <c r="AH1122" s="309">
        <f t="shared" si="144"/>
        <v>367.38148063593269</v>
      </c>
      <c r="AI1122" s="86">
        <f>+AH1122/(1-Analisis!G1127)</f>
        <v>367.38148063593269</v>
      </c>
      <c r="AJ1122" s="86">
        <f t="shared" si="140"/>
        <v>395.03385014616418</v>
      </c>
      <c r="AK1122" s="86">
        <f t="shared" si="145"/>
        <v>0</v>
      </c>
      <c r="AL1122" s="310" t="e">
        <f>+VLOOKUP(B1122,#REF!,2,FALSE)</f>
        <v>#REF!</v>
      </c>
      <c r="AM1122" s="311" t="e">
        <f t="shared" si="149"/>
        <v>#REF!</v>
      </c>
      <c r="AN1122" s="312" t="e">
        <f t="shared" si="148"/>
        <v>#REF!</v>
      </c>
    </row>
    <row r="1123" spans="1:40" s="73" customFormat="1" x14ac:dyDescent="0.25">
      <c r="A1123" s="313"/>
      <c r="B1123" s="333" t="s">
        <v>1754</v>
      </c>
      <c r="D1123" s="74">
        <f>IFERROR(VLOOKUP(B1123,'REQ. PINTADO'!B:C,2,0),0)</f>
        <v>0</v>
      </c>
      <c r="E1123" s="305">
        <f t="shared" si="133"/>
        <v>415.29802192504144</v>
      </c>
      <c r="F1123" s="103" t="s">
        <v>166</v>
      </c>
      <c r="G1123" s="75" t="s">
        <v>147</v>
      </c>
      <c r="H1123" s="90">
        <v>16.079999999999998</v>
      </c>
      <c r="I1123" s="90">
        <v>11.21</v>
      </c>
      <c r="J1123" s="76">
        <v>0.105</v>
      </c>
      <c r="K1123" s="306">
        <v>16.38</v>
      </c>
      <c r="L1123" s="78">
        <f t="shared" si="134"/>
        <v>5.4872610515010649</v>
      </c>
      <c r="M1123" s="58">
        <f>+VLOOKUP(F1123,Material!$H$2:$M$17,6,FALSE)*H1123*I1123*(1+Material!$K$14)</f>
        <v>40.855152737994288</v>
      </c>
      <c r="N1123" s="79" t="str">
        <f t="shared" si="147"/>
        <v>T5.0</v>
      </c>
      <c r="O1123" s="80">
        <f>+VLOOKUP(N1123,[3]Material!$A$3:$B$58,2,FALSE)</f>
        <v>5000</v>
      </c>
      <c r="P1123" s="79" t="s">
        <v>42</v>
      </c>
      <c r="Q1123" s="79" t="str">
        <f>+VLOOKUP(F1123,[3]Material!$C$2:$E$12,2,FALSE)</f>
        <v>Cal 16</v>
      </c>
      <c r="R1123" s="81">
        <f>+IF(P1123="ACERO A36",VLOOKUP(Q1123,'[3]Velocidades Std 1500 w'!$B$2:$F$15,5,FALSE),IF(P1123="INOXIDABLE",VLOOKUP(Q1123,'[3]Velocidades Std 1500 w'!$B$17:$F$28,5,FALSE),IF(P1123="ALUMINIO",VLOOKUP(Q1123,'[3]Velocidades Std 1500 w'!$B$30:$F$38,5,FALSE))))</f>
        <v>9.1575091575091579E-7</v>
      </c>
      <c r="S1123" s="82">
        <f t="shared" si="135"/>
        <v>4.578754578754579E-3</v>
      </c>
      <c r="T1123" s="83">
        <f t="shared" si="136"/>
        <v>44.364226153846154</v>
      </c>
      <c r="U1123" s="307">
        <f t="shared" si="150"/>
        <v>13457.148599999999</v>
      </c>
      <c r="V1123" s="80">
        <f t="shared" si="146"/>
        <v>61.616980769230764</v>
      </c>
      <c r="W1123" s="98">
        <v>300</v>
      </c>
      <c r="X1123" s="84">
        <f>+IF(P1123="ACERO A36",VLOOKUP(Q1123,'[3]Tiempo Objeto'!$B$2:$C$12,2,FALSE),IF(P1123="INOXIDABLE",VLOOKUP(Q1123,'[3]Tiempo Objeto'!$B$14:$C$22,2,FALSE),IF(P1123="ALUMINIO",VLOOKUP(Q1123,'[3]Tiempo Objeto'!$B$24:$C$32,2,FALSE))))</f>
        <v>0.24666666666666667</v>
      </c>
      <c r="Y1123" s="84">
        <f t="shared" si="137"/>
        <v>74</v>
      </c>
      <c r="Z1123" s="80">
        <f t="shared" si="138"/>
        <v>102.77777777777777</v>
      </c>
      <c r="AA1123" s="100">
        <v>6</v>
      </c>
      <c r="AB1123" s="86">
        <f>+AA1123*Analisis!$J$6</f>
        <v>150</v>
      </c>
      <c r="AC1123" s="100"/>
      <c r="AD1123" s="85">
        <f t="shared" si="139"/>
        <v>0</v>
      </c>
      <c r="AE1123" s="86">
        <f>+AC1123*Analisis!$J$7</f>
        <v>0</v>
      </c>
      <c r="AF1123" s="308">
        <f>+H1123*0.0254*I1123*0.0254*2*(1+[3]Analisis!$G$2)</f>
        <v>0.29073619271999995</v>
      </c>
      <c r="AG1123" s="86">
        <f>+AF1123*Analisis!$J$8</f>
        <v>30.977249105285718</v>
      </c>
      <c r="AH1123" s="309">
        <f t="shared" si="144"/>
        <v>386.22716039028853</v>
      </c>
      <c r="AI1123" s="86">
        <f>+AH1123/(1-Analisis!G1128)</f>
        <v>386.22716039028853</v>
      </c>
      <c r="AJ1123" s="86">
        <f t="shared" si="140"/>
        <v>415.29802192504144</v>
      </c>
      <c r="AK1123" s="86">
        <f t="shared" si="145"/>
        <v>0</v>
      </c>
      <c r="AL1123" s="310" t="e">
        <f>+VLOOKUP(B1123,#REF!,2,FALSE)</f>
        <v>#REF!</v>
      </c>
      <c r="AM1123" s="311" t="e">
        <f t="shared" si="149"/>
        <v>#REF!</v>
      </c>
      <c r="AN1123" s="312" t="e">
        <f t="shared" si="148"/>
        <v>#REF!</v>
      </c>
    </row>
    <row r="1124" spans="1:40" s="73" customFormat="1" x14ac:dyDescent="0.25">
      <c r="A1124" s="313"/>
      <c r="B1124" s="333" t="s">
        <v>1755</v>
      </c>
      <c r="D1124" s="74">
        <f>IFERROR(VLOOKUP(B1124,'REQ. PINTADO'!B:C,2,0),0)</f>
        <v>0</v>
      </c>
      <c r="E1124" s="305">
        <f t="shared" si="133"/>
        <v>425.43010781448015</v>
      </c>
      <c r="F1124" s="103" t="s">
        <v>166</v>
      </c>
      <c r="G1124" s="75" t="s">
        <v>147</v>
      </c>
      <c r="H1124" s="90">
        <v>18.079999999999998</v>
      </c>
      <c r="I1124" s="90">
        <v>11.21</v>
      </c>
      <c r="J1124" s="76">
        <v>0.105</v>
      </c>
      <c r="K1124" s="306">
        <v>16.38</v>
      </c>
      <c r="L1124" s="78">
        <f t="shared" si="134"/>
        <v>6.1697562071604022</v>
      </c>
      <c r="M1124" s="58">
        <f>+VLOOKUP(F1124,Material!$H$2:$M$17,6,FALSE)*H1124*I1124*(1+Material!$K$14)</f>
        <v>45.936639396948806</v>
      </c>
      <c r="N1124" s="79" t="str">
        <f t="shared" si="147"/>
        <v>T5.0</v>
      </c>
      <c r="O1124" s="80">
        <f>+VLOOKUP(N1124,[3]Material!$A$3:$B$58,2,FALSE)</f>
        <v>5000</v>
      </c>
      <c r="P1124" s="79" t="s">
        <v>42</v>
      </c>
      <c r="Q1124" s="79" t="str">
        <f>+VLOOKUP(F1124,[3]Material!$C$2:$E$12,2,FALSE)</f>
        <v>Cal 16</v>
      </c>
      <c r="R1124" s="81">
        <f>+IF(P1124="ACERO A36",VLOOKUP(Q1124,'[3]Velocidades Std 1500 w'!$B$2:$F$15,5,FALSE),IF(P1124="INOXIDABLE",VLOOKUP(Q1124,'[3]Velocidades Std 1500 w'!$B$17:$F$28,5,FALSE),IF(P1124="ALUMINIO",VLOOKUP(Q1124,'[3]Velocidades Std 1500 w'!$B$30:$F$38,5,FALSE))))</f>
        <v>9.1575091575091579E-7</v>
      </c>
      <c r="S1124" s="82">
        <f t="shared" si="135"/>
        <v>4.578754578754579E-3</v>
      </c>
      <c r="T1124" s="83">
        <f t="shared" si="136"/>
        <v>44.715918461538458</v>
      </c>
      <c r="U1124" s="307">
        <f t="shared" si="150"/>
        <v>13563.828599999999</v>
      </c>
      <c r="V1124" s="80">
        <f t="shared" si="146"/>
        <v>62.105442307692307</v>
      </c>
      <c r="W1124" s="98">
        <v>300</v>
      </c>
      <c r="X1124" s="84">
        <f>+IF(P1124="ACERO A36",VLOOKUP(Q1124,'[3]Tiempo Objeto'!$B$2:$C$12,2,FALSE),IF(P1124="INOXIDABLE",VLOOKUP(Q1124,'[3]Tiempo Objeto'!$B$14:$C$22,2,FALSE),IF(P1124="ALUMINIO",VLOOKUP(Q1124,'[3]Tiempo Objeto'!$B$24:$C$32,2,FALSE))))</f>
        <v>0.24666666666666667</v>
      </c>
      <c r="Y1124" s="84">
        <f t="shared" si="137"/>
        <v>74</v>
      </c>
      <c r="Z1124" s="80">
        <f t="shared" si="138"/>
        <v>102.77777777777777</v>
      </c>
      <c r="AA1124" s="100">
        <v>6</v>
      </c>
      <c r="AB1124" s="86">
        <f>+AA1124*Analisis!$J$6</f>
        <v>150</v>
      </c>
      <c r="AC1124" s="100"/>
      <c r="AD1124" s="85">
        <f t="shared" si="139"/>
        <v>0</v>
      </c>
      <c r="AE1124" s="86">
        <f>+AC1124*Analisis!$J$7</f>
        <v>0</v>
      </c>
      <c r="AF1124" s="308">
        <f>+H1124*0.0254*I1124*0.0254*2*(1+[3]Analisis!$G$2)</f>
        <v>0.32689741071999989</v>
      </c>
      <c r="AG1124" s="86">
        <f>+AF1124*Analisis!$J$8</f>
        <v>34.830140785047618</v>
      </c>
      <c r="AH1124" s="309">
        <f t="shared" si="144"/>
        <v>395.65000026746651</v>
      </c>
      <c r="AI1124" s="86">
        <f>+AH1124/(1-Analisis!G1129)</f>
        <v>395.65000026746651</v>
      </c>
      <c r="AJ1124" s="86">
        <f t="shared" si="140"/>
        <v>425.43010781448015</v>
      </c>
      <c r="AK1124" s="86">
        <f t="shared" si="145"/>
        <v>0</v>
      </c>
      <c r="AL1124" s="310" t="e">
        <f>+VLOOKUP(B1124,#REF!,2,FALSE)</f>
        <v>#REF!</v>
      </c>
      <c r="AM1124" s="311" t="e">
        <f t="shared" si="149"/>
        <v>#REF!</v>
      </c>
      <c r="AN1124" s="312" t="e">
        <f t="shared" si="148"/>
        <v>#REF!</v>
      </c>
    </row>
    <row r="1125" spans="1:40" s="73" customFormat="1" x14ac:dyDescent="0.25">
      <c r="A1125" s="313"/>
      <c r="B1125" s="333" t="s">
        <v>1756</v>
      </c>
      <c r="D1125" s="74">
        <f>IFERROR(VLOOKUP(B1125,'REQ. PINTADO'!B:C,2,0),0)</f>
        <v>0</v>
      </c>
      <c r="E1125" s="305">
        <f t="shared" si="133"/>
        <v>455.82636548279612</v>
      </c>
      <c r="F1125" s="103" t="s">
        <v>166</v>
      </c>
      <c r="G1125" s="75" t="s">
        <v>147</v>
      </c>
      <c r="H1125" s="90">
        <v>24.08</v>
      </c>
      <c r="I1125" s="90">
        <v>11.21</v>
      </c>
      <c r="J1125" s="76">
        <v>0.105</v>
      </c>
      <c r="K1125" s="306">
        <v>16.38</v>
      </c>
      <c r="L1125" s="78">
        <f t="shared" si="134"/>
        <v>8.2172416741384122</v>
      </c>
      <c r="M1125" s="58">
        <f>+VLOOKUP(F1125,Material!$H$2:$M$17,6,FALSE)*H1125*I1125*(1+Material!$K$14)</f>
        <v>61.181099373812351</v>
      </c>
      <c r="N1125" s="79" t="str">
        <f t="shared" si="147"/>
        <v>T5.0</v>
      </c>
      <c r="O1125" s="80">
        <f>+VLOOKUP(N1125,[3]Material!$A$3:$B$58,2,FALSE)</f>
        <v>5000</v>
      </c>
      <c r="P1125" s="79" t="s">
        <v>42</v>
      </c>
      <c r="Q1125" s="79" t="str">
        <f>+VLOOKUP(F1125,[3]Material!$C$2:$E$12,2,FALSE)</f>
        <v>Cal 16</v>
      </c>
      <c r="R1125" s="81">
        <f>+IF(P1125="ACERO A36",VLOOKUP(Q1125,'[3]Velocidades Std 1500 w'!$B$2:$F$15,5,FALSE),IF(P1125="INOXIDABLE",VLOOKUP(Q1125,'[3]Velocidades Std 1500 w'!$B$17:$F$28,5,FALSE),IF(P1125="ALUMINIO",VLOOKUP(Q1125,'[3]Velocidades Std 1500 w'!$B$30:$F$38,5,FALSE))))</f>
        <v>9.1575091575091579E-7</v>
      </c>
      <c r="S1125" s="82">
        <f t="shared" si="135"/>
        <v>4.578754578754579E-3</v>
      </c>
      <c r="T1125" s="83">
        <f t="shared" si="136"/>
        <v>45.770995384615382</v>
      </c>
      <c r="U1125" s="307">
        <f t="shared" si="150"/>
        <v>13883.8686</v>
      </c>
      <c r="V1125" s="80">
        <f t="shared" si="146"/>
        <v>63.570826923076922</v>
      </c>
      <c r="W1125" s="98">
        <v>300</v>
      </c>
      <c r="X1125" s="84">
        <f>+IF(P1125="ACERO A36",VLOOKUP(Q1125,'[3]Tiempo Objeto'!$B$2:$C$12,2,FALSE),IF(P1125="INOXIDABLE",VLOOKUP(Q1125,'[3]Tiempo Objeto'!$B$14:$C$22,2,FALSE),IF(P1125="ALUMINIO",VLOOKUP(Q1125,'[3]Tiempo Objeto'!$B$24:$C$32,2,FALSE))))</f>
        <v>0.24666666666666667</v>
      </c>
      <c r="Y1125" s="84">
        <f t="shared" si="137"/>
        <v>74</v>
      </c>
      <c r="Z1125" s="80">
        <f t="shared" si="138"/>
        <v>102.77777777777777</v>
      </c>
      <c r="AA1125" s="100">
        <v>6</v>
      </c>
      <c r="AB1125" s="86">
        <f>+AA1125*Analisis!$J$6</f>
        <v>150</v>
      </c>
      <c r="AC1125" s="100"/>
      <c r="AD1125" s="85">
        <f t="shared" si="139"/>
        <v>0</v>
      </c>
      <c r="AE1125" s="86">
        <f>+AC1125*Analisis!$J$7</f>
        <v>0</v>
      </c>
      <c r="AF1125" s="308">
        <f>+H1125*0.0254*I1125*0.0254*2*(1+[3]Analisis!$G$2)</f>
        <v>0.43538106471999993</v>
      </c>
      <c r="AG1125" s="86">
        <f>+AF1125*Analisis!$J$8</f>
        <v>46.388815824333342</v>
      </c>
      <c r="AH1125" s="309">
        <f t="shared" si="144"/>
        <v>423.91851989900039</v>
      </c>
      <c r="AI1125" s="86">
        <f>+AH1125/(1-Analisis!G1130)</f>
        <v>423.91851989900039</v>
      </c>
      <c r="AJ1125" s="86">
        <f t="shared" si="140"/>
        <v>455.82636548279612</v>
      </c>
      <c r="AK1125" s="86">
        <f t="shared" si="145"/>
        <v>0</v>
      </c>
      <c r="AL1125" s="310" t="e">
        <f>+VLOOKUP(B1125,#REF!,2,FALSE)</f>
        <v>#REF!</v>
      </c>
      <c r="AM1125" s="311" t="e">
        <f t="shared" si="149"/>
        <v>#REF!</v>
      </c>
      <c r="AN1125" s="312" t="e">
        <f t="shared" si="148"/>
        <v>#REF!</v>
      </c>
    </row>
    <row r="1126" spans="1:40" s="73" customFormat="1" x14ac:dyDescent="0.25">
      <c r="A1126" s="313"/>
      <c r="B1126" s="333" t="s">
        <v>1757</v>
      </c>
      <c r="D1126" s="74">
        <f>IFERROR(VLOOKUP(B1126,'REQ. PINTADO'!B:C,2,0),0)</f>
        <v>0</v>
      </c>
      <c r="E1126" s="305">
        <f t="shared" si="133"/>
        <v>526.75096670886683</v>
      </c>
      <c r="F1126" s="103" t="s">
        <v>166</v>
      </c>
      <c r="G1126" s="75" t="s">
        <v>147</v>
      </c>
      <c r="H1126" s="90">
        <v>38.08</v>
      </c>
      <c r="I1126" s="90">
        <v>11.21</v>
      </c>
      <c r="J1126" s="76">
        <v>0.105</v>
      </c>
      <c r="K1126" s="306">
        <v>16.38</v>
      </c>
      <c r="L1126" s="78">
        <f t="shared" si="134"/>
        <v>12.99470776375377</v>
      </c>
      <c r="M1126" s="58">
        <f>+VLOOKUP(F1126,Material!$H$2:$M$17,6,FALSE)*H1126*I1126*(1+Material!$K$14)</f>
        <v>96.751505986493953</v>
      </c>
      <c r="N1126" s="79" t="str">
        <f t="shared" si="147"/>
        <v>T5.0</v>
      </c>
      <c r="O1126" s="80">
        <f>+VLOOKUP(N1126,[3]Material!$A$3:$B$58,2,FALSE)</f>
        <v>5000</v>
      </c>
      <c r="P1126" s="79" t="s">
        <v>42</v>
      </c>
      <c r="Q1126" s="79" t="str">
        <f>+VLOOKUP(F1126,[3]Material!$C$2:$E$12,2,FALSE)</f>
        <v>Cal 16</v>
      </c>
      <c r="R1126" s="81">
        <f>+IF(P1126="ACERO A36",VLOOKUP(Q1126,'[3]Velocidades Std 1500 w'!$B$2:$F$15,5,FALSE),IF(P1126="INOXIDABLE",VLOOKUP(Q1126,'[3]Velocidades Std 1500 w'!$B$17:$F$28,5,FALSE),IF(P1126="ALUMINIO",VLOOKUP(Q1126,'[3]Velocidades Std 1500 w'!$B$30:$F$38,5,FALSE))))</f>
        <v>9.1575091575091579E-7</v>
      </c>
      <c r="S1126" s="82">
        <f t="shared" si="135"/>
        <v>4.578754578754579E-3</v>
      </c>
      <c r="T1126" s="83">
        <f t="shared" si="136"/>
        <v>48.232841538461543</v>
      </c>
      <c r="U1126" s="307">
        <f t="shared" si="150"/>
        <v>14630.628600000002</v>
      </c>
      <c r="V1126" s="80">
        <f t="shared" si="146"/>
        <v>66.990057692307701</v>
      </c>
      <c r="W1126" s="98">
        <v>300</v>
      </c>
      <c r="X1126" s="84">
        <f>+IF(P1126="ACERO A36",VLOOKUP(Q1126,'[3]Tiempo Objeto'!$B$2:$C$12,2,FALSE),IF(P1126="INOXIDABLE",VLOOKUP(Q1126,'[3]Tiempo Objeto'!$B$14:$C$22,2,FALSE),IF(P1126="ALUMINIO",VLOOKUP(Q1126,'[3]Tiempo Objeto'!$B$24:$C$32,2,FALSE))))</f>
        <v>0.24666666666666667</v>
      </c>
      <c r="Y1126" s="84">
        <f t="shared" si="137"/>
        <v>74</v>
      </c>
      <c r="Z1126" s="80">
        <f t="shared" si="138"/>
        <v>102.77777777777777</v>
      </c>
      <c r="AA1126" s="100">
        <v>6</v>
      </c>
      <c r="AB1126" s="86">
        <f>+AA1126*Analisis!$J$6</f>
        <v>150</v>
      </c>
      <c r="AC1126" s="100"/>
      <c r="AD1126" s="85">
        <f t="shared" si="139"/>
        <v>0</v>
      </c>
      <c r="AE1126" s="86">
        <f>+AC1126*Analisis!$J$7</f>
        <v>0</v>
      </c>
      <c r="AF1126" s="308">
        <f>+H1126*0.0254*I1126*0.0254*2*(1+[3]Analisis!$G$2)</f>
        <v>0.68850959071999995</v>
      </c>
      <c r="AG1126" s="86">
        <f>+AF1126*Analisis!$J$8</f>
        <v>73.359057582666679</v>
      </c>
      <c r="AH1126" s="309">
        <f t="shared" si="144"/>
        <v>489.87839903924612</v>
      </c>
      <c r="AI1126" s="86">
        <f>+AH1126/(1-Analisis!G1131)</f>
        <v>489.87839903924612</v>
      </c>
      <c r="AJ1126" s="86">
        <f t="shared" si="140"/>
        <v>526.75096670886683</v>
      </c>
      <c r="AK1126" s="86">
        <f t="shared" si="145"/>
        <v>0</v>
      </c>
      <c r="AL1126" s="310" t="e">
        <f>+VLOOKUP(B1126,#REF!,2,FALSE)</f>
        <v>#REF!</v>
      </c>
      <c r="AM1126" s="311" t="e">
        <f t="shared" si="149"/>
        <v>#REF!</v>
      </c>
      <c r="AN1126" s="312" t="e">
        <f t="shared" si="148"/>
        <v>#REF!</v>
      </c>
    </row>
    <row r="1127" spans="1:40" s="73" customFormat="1" x14ac:dyDescent="0.25">
      <c r="A1127" s="313"/>
      <c r="B1127" s="333" t="s">
        <v>1758</v>
      </c>
      <c r="D1127" s="74">
        <f>IFERROR(VLOOKUP(B1127,'REQ. PINTADO'!B:C,2,0),0)</f>
        <v>0</v>
      </c>
      <c r="E1127" s="305">
        <f t="shared" si="133"/>
        <v>486.22262315111215</v>
      </c>
      <c r="F1127" s="103" t="s">
        <v>166</v>
      </c>
      <c r="G1127" s="75" t="s">
        <v>147</v>
      </c>
      <c r="H1127" s="90">
        <v>30.08</v>
      </c>
      <c r="I1127" s="90">
        <v>11.21</v>
      </c>
      <c r="J1127" s="76">
        <v>0.105</v>
      </c>
      <c r="K1127" s="306">
        <v>16.38</v>
      </c>
      <c r="L1127" s="78">
        <f t="shared" si="134"/>
        <v>10.264727141116422</v>
      </c>
      <c r="M1127" s="58">
        <f>+VLOOKUP(F1127,Material!$H$2:$M$17,6,FALSE)*H1127*I1127*(1+Material!$K$14)</f>
        <v>76.425559350675897</v>
      </c>
      <c r="N1127" s="79" t="str">
        <f t="shared" si="147"/>
        <v>T5.0</v>
      </c>
      <c r="O1127" s="80">
        <f>+VLOOKUP(N1127,[3]Material!$A$3:$B$58,2,FALSE)</f>
        <v>5000</v>
      </c>
      <c r="P1127" s="79" t="s">
        <v>42</v>
      </c>
      <c r="Q1127" s="79" t="str">
        <f>+VLOOKUP(F1127,[3]Material!$C$2:$E$12,2,FALSE)</f>
        <v>Cal 16</v>
      </c>
      <c r="R1127" s="81">
        <f>+IF(P1127="ACERO A36",VLOOKUP(Q1127,'[3]Velocidades Std 1500 w'!$B$2:$F$15,5,FALSE),IF(P1127="INOXIDABLE",VLOOKUP(Q1127,'[3]Velocidades Std 1500 w'!$B$17:$F$28,5,FALSE),IF(P1127="ALUMINIO",VLOOKUP(Q1127,'[3]Velocidades Std 1500 w'!$B$30:$F$38,5,FALSE))))</f>
        <v>9.1575091575091579E-7</v>
      </c>
      <c r="S1127" s="82">
        <f t="shared" si="135"/>
        <v>4.578754578754579E-3</v>
      </c>
      <c r="T1127" s="83">
        <f t="shared" si="136"/>
        <v>46.826072307692321</v>
      </c>
      <c r="U1127" s="307">
        <f t="shared" si="150"/>
        <v>14203.908600000002</v>
      </c>
      <c r="V1127" s="80">
        <f t="shared" si="146"/>
        <v>65.036211538461558</v>
      </c>
      <c r="W1127" s="98">
        <v>300</v>
      </c>
      <c r="X1127" s="84">
        <f>+IF(P1127="ACERO A36",VLOOKUP(Q1127,'[3]Tiempo Objeto'!$B$2:$C$12,2,FALSE),IF(P1127="INOXIDABLE",VLOOKUP(Q1127,'[3]Tiempo Objeto'!$B$14:$C$22,2,FALSE),IF(P1127="ALUMINIO",VLOOKUP(Q1127,'[3]Tiempo Objeto'!$B$24:$C$32,2,FALSE))))</f>
        <v>0.24666666666666667</v>
      </c>
      <c r="Y1127" s="84">
        <f t="shared" si="137"/>
        <v>74</v>
      </c>
      <c r="Z1127" s="80">
        <f t="shared" si="138"/>
        <v>102.77777777777777</v>
      </c>
      <c r="AA1127" s="100">
        <v>6</v>
      </c>
      <c r="AB1127" s="86">
        <f>+AA1127*Analisis!$J$6</f>
        <v>150</v>
      </c>
      <c r="AC1127" s="100"/>
      <c r="AD1127" s="85">
        <f t="shared" si="139"/>
        <v>0</v>
      </c>
      <c r="AE1127" s="86">
        <f>+AC1127*Analisis!$J$7</f>
        <v>0</v>
      </c>
      <c r="AF1127" s="308">
        <f>+H1127*0.0254*I1127*0.0254*2*(1+[3]Analisis!$G$2)</f>
        <v>0.54386471871999997</v>
      </c>
      <c r="AG1127" s="86">
        <f>+AF1127*Analisis!$J$8</f>
        <v>57.947490863619059</v>
      </c>
      <c r="AH1127" s="309">
        <f t="shared" si="144"/>
        <v>452.18703953053426</v>
      </c>
      <c r="AI1127" s="86">
        <f>+AH1127/(1-Analisis!G1132)</f>
        <v>452.18703953053426</v>
      </c>
      <c r="AJ1127" s="86">
        <f t="shared" si="140"/>
        <v>486.22262315111215</v>
      </c>
      <c r="AK1127" s="86">
        <f t="shared" si="145"/>
        <v>0</v>
      </c>
      <c r="AL1127" s="310" t="e">
        <f>+VLOOKUP(B1127,#REF!,2,FALSE)</f>
        <v>#REF!</v>
      </c>
      <c r="AM1127" s="311" t="e">
        <f t="shared" si="149"/>
        <v>#REF!</v>
      </c>
      <c r="AN1127" s="312" t="e">
        <f t="shared" si="148"/>
        <v>#REF!</v>
      </c>
    </row>
    <row r="1128" spans="1:40" s="73" customFormat="1" x14ac:dyDescent="0.25">
      <c r="A1128" s="313"/>
      <c r="B1128" s="333" t="s">
        <v>1759</v>
      </c>
      <c r="D1128" s="74">
        <f>IFERROR(VLOOKUP(B1128,'REQ. PINTADO'!B:C,2,0),0)</f>
        <v>0</v>
      </c>
      <c r="E1128" s="305">
        <f t="shared" si="133"/>
        <v>516.61888081942811</v>
      </c>
      <c r="F1128" s="103" t="s">
        <v>166</v>
      </c>
      <c r="G1128" s="75" t="s">
        <v>147</v>
      </c>
      <c r="H1128" s="90">
        <v>36.08</v>
      </c>
      <c r="I1128" s="90">
        <v>11.21</v>
      </c>
      <c r="J1128" s="76">
        <v>0.105</v>
      </c>
      <c r="K1128" s="306">
        <v>16.38</v>
      </c>
      <c r="L1128" s="78">
        <f t="shared" si="134"/>
        <v>12.312212608094431</v>
      </c>
      <c r="M1128" s="58">
        <f>+VLOOKUP(F1128,Material!$H$2:$M$17,6,FALSE)*H1128*I1128*(1+Material!$K$14)</f>
        <v>91.670019327539435</v>
      </c>
      <c r="N1128" s="79" t="str">
        <f t="shared" si="147"/>
        <v>T5.0</v>
      </c>
      <c r="O1128" s="80">
        <f>+VLOOKUP(N1128,[3]Material!$A$3:$B$58,2,FALSE)</f>
        <v>5000</v>
      </c>
      <c r="P1128" s="79" t="s">
        <v>42</v>
      </c>
      <c r="Q1128" s="79" t="str">
        <f>+VLOOKUP(F1128,[3]Material!$C$2:$E$12,2,FALSE)</f>
        <v>Cal 16</v>
      </c>
      <c r="R1128" s="81">
        <f>+IF(P1128="ACERO A36",VLOOKUP(Q1128,'[3]Velocidades Std 1500 w'!$B$2:$F$15,5,FALSE),IF(P1128="INOXIDABLE",VLOOKUP(Q1128,'[3]Velocidades Std 1500 w'!$B$17:$F$28,5,FALSE),IF(P1128="ALUMINIO",VLOOKUP(Q1128,'[3]Velocidades Std 1500 w'!$B$30:$F$38,5,FALSE))))</f>
        <v>9.1575091575091579E-7</v>
      </c>
      <c r="S1128" s="82">
        <f t="shared" si="135"/>
        <v>4.578754578754579E-3</v>
      </c>
      <c r="T1128" s="83">
        <f t="shared" si="136"/>
        <v>47.881149230769239</v>
      </c>
      <c r="U1128" s="307">
        <f t="shared" si="150"/>
        <v>14523.948600000002</v>
      </c>
      <c r="V1128" s="80">
        <f t="shared" si="146"/>
        <v>66.501596153846165</v>
      </c>
      <c r="W1128" s="98">
        <v>300</v>
      </c>
      <c r="X1128" s="84">
        <f>+IF(P1128="ACERO A36",VLOOKUP(Q1128,'[3]Tiempo Objeto'!$B$2:$C$12,2,FALSE),IF(P1128="INOXIDABLE",VLOOKUP(Q1128,'[3]Tiempo Objeto'!$B$14:$C$22,2,FALSE),IF(P1128="ALUMINIO",VLOOKUP(Q1128,'[3]Tiempo Objeto'!$B$24:$C$32,2,FALSE))))</f>
        <v>0.24666666666666667</v>
      </c>
      <c r="Y1128" s="84">
        <f t="shared" si="137"/>
        <v>74</v>
      </c>
      <c r="Z1128" s="80">
        <f t="shared" si="138"/>
        <v>102.77777777777777</v>
      </c>
      <c r="AA1128" s="100">
        <v>6</v>
      </c>
      <c r="AB1128" s="86">
        <f>+AA1128*Analisis!$J$6</f>
        <v>150</v>
      </c>
      <c r="AC1128" s="100"/>
      <c r="AD1128" s="85">
        <f t="shared" si="139"/>
        <v>0</v>
      </c>
      <c r="AE1128" s="86">
        <f>+AC1128*Analisis!$J$7</f>
        <v>0</v>
      </c>
      <c r="AF1128" s="308">
        <f>+H1128*0.0254*I1128*0.0254*2*(1+[3]Analisis!$G$2)</f>
        <v>0.6523483727199999</v>
      </c>
      <c r="AG1128" s="86">
        <f>+AF1128*Analisis!$J$8</f>
        <v>69.506165902904769</v>
      </c>
      <c r="AH1128" s="309">
        <f t="shared" si="144"/>
        <v>480.45555916206808</v>
      </c>
      <c r="AI1128" s="86">
        <f>+AH1128/(1-Analisis!G1133)</f>
        <v>480.45555916206808</v>
      </c>
      <c r="AJ1128" s="86">
        <f t="shared" si="140"/>
        <v>516.61888081942811</v>
      </c>
      <c r="AK1128" s="86">
        <f t="shared" si="145"/>
        <v>0</v>
      </c>
      <c r="AL1128" s="310" t="e">
        <f>+VLOOKUP(B1128,#REF!,2,FALSE)</f>
        <v>#REF!</v>
      </c>
      <c r="AM1128" s="311" t="e">
        <f t="shared" si="149"/>
        <v>#REF!</v>
      </c>
      <c r="AN1128" s="312" t="e">
        <f t="shared" si="148"/>
        <v>#REF!</v>
      </c>
    </row>
    <row r="1129" spans="1:40" s="73" customFormat="1" x14ac:dyDescent="0.25">
      <c r="A1129" s="313"/>
      <c r="B1129" s="333" t="s">
        <v>1760</v>
      </c>
      <c r="D1129" s="74">
        <f>IFERROR(VLOOKUP(B1129,'REQ. PINTADO'!B:C,2,0),0)</f>
        <v>0</v>
      </c>
      <c r="E1129" s="305">
        <f t="shared" si="133"/>
        <v>557.14722437718285</v>
      </c>
      <c r="F1129" s="103" t="s">
        <v>166</v>
      </c>
      <c r="G1129" s="75" t="s">
        <v>147</v>
      </c>
      <c r="H1129" s="90">
        <v>44.08</v>
      </c>
      <c r="I1129" s="90">
        <v>11.21</v>
      </c>
      <c r="J1129" s="76">
        <v>0.105</v>
      </c>
      <c r="K1129" s="306">
        <v>16.38</v>
      </c>
      <c r="L1129" s="78">
        <f t="shared" si="134"/>
        <v>15.042193230731778</v>
      </c>
      <c r="M1129" s="58">
        <f>+VLOOKUP(F1129,Material!$H$2:$M$17,6,FALSE)*H1129*I1129*(1+Material!$K$14)</f>
        <v>111.99596596335749</v>
      </c>
      <c r="N1129" s="79" t="str">
        <f t="shared" si="147"/>
        <v>T5.0</v>
      </c>
      <c r="O1129" s="80">
        <f>+VLOOKUP(N1129,[3]Material!$A$3:$B$58,2,FALSE)</f>
        <v>5000</v>
      </c>
      <c r="P1129" s="79" t="s">
        <v>42</v>
      </c>
      <c r="Q1129" s="79" t="str">
        <f>+VLOOKUP(F1129,[3]Material!$C$2:$E$12,2,FALSE)</f>
        <v>Cal 16</v>
      </c>
      <c r="R1129" s="81">
        <f>+IF(P1129="ACERO A36",VLOOKUP(Q1129,'[3]Velocidades Std 1500 w'!$B$2:$F$15,5,FALSE),IF(P1129="INOXIDABLE",VLOOKUP(Q1129,'[3]Velocidades Std 1500 w'!$B$17:$F$28,5,FALSE),IF(P1129="ALUMINIO",VLOOKUP(Q1129,'[3]Velocidades Std 1500 w'!$B$30:$F$38,5,FALSE))))</f>
        <v>9.1575091575091579E-7</v>
      </c>
      <c r="S1129" s="82">
        <f t="shared" si="135"/>
        <v>4.578754578754579E-3</v>
      </c>
      <c r="T1129" s="83">
        <f t="shared" si="136"/>
        <v>49.287918461538467</v>
      </c>
      <c r="U1129" s="307">
        <f t="shared" si="150"/>
        <v>14950.668600000001</v>
      </c>
      <c r="V1129" s="80">
        <f t="shared" si="146"/>
        <v>68.455442307692309</v>
      </c>
      <c r="W1129" s="98">
        <v>300</v>
      </c>
      <c r="X1129" s="84">
        <f>+IF(P1129="ACERO A36",VLOOKUP(Q1129,'[3]Tiempo Objeto'!$B$2:$C$12,2,FALSE),IF(P1129="INOXIDABLE",VLOOKUP(Q1129,'[3]Tiempo Objeto'!$B$14:$C$22,2,FALSE),IF(P1129="ALUMINIO",VLOOKUP(Q1129,'[3]Tiempo Objeto'!$B$24:$C$32,2,FALSE))))</f>
        <v>0.24666666666666667</v>
      </c>
      <c r="Y1129" s="84">
        <f t="shared" si="137"/>
        <v>74</v>
      </c>
      <c r="Z1129" s="80">
        <f t="shared" si="138"/>
        <v>102.77777777777777</v>
      </c>
      <c r="AA1129" s="100">
        <v>6</v>
      </c>
      <c r="AB1129" s="86">
        <f>+AA1129*Analisis!$J$6</f>
        <v>150</v>
      </c>
      <c r="AC1129" s="100"/>
      <c r="AD1129" s="85">
        <f t="shared" si="139"/>
        <v>0</v>
      </c>
      <c r="AE1129" s="86">
        <f>+AC1129*Analisis!$J$7</f>
        <v>0</v>
      </c>
      <c r="AF1129" s="308">
        <f>+H1129*0.0254*I1129*0.0254*2*(1+[3]Analisis!$G$2)</f>
        <v>0.79699324471999999</v>
      </c>
      <c r="AG1129" s="86">
        <f>+AF1129*Analisis!$J$8</f>
        <v>84.91773262195241</v>
      </c>
      <c r="AH1129" s="309">
        <f t="shared" si="144"/>
        <v>518.14691867078</v>
      </c>
      <c r="AI1129" s="86">
        <f>+AH1129/(1-Analisis!G1134)</f>
        <v>518.14691867078</v>
      </c>
      <c r="AJ1129" s="86">
        <f t="shared" si="140"/>
        <v>557.14722437718285</v>
      </c>
      <c r="AK1129" s="86">
        <f t="shared" si="145"/>
        <v>0</v>
      </c>
      <c r="AL1129" s="310" t="e">
        <f>+VLOOKUP(B1129,#REF!,2,FALSE)</f>
        <v>#REF!</v>
      </c>
      <c r="AM1129" s="311" t="e">
        <f t="shared" si="149"/>
        <v>#REF!</v>
      </c>
      <c r="AN1129" s="312" t="e">
        <f t="shared" si="148"/>
        <v>#REF!</v>
      </c>
    </row>
    <row r="1130" spans="1:40" s="73" customFormat="1" x14ac:dyDescent="0.25">
      <c r="A1130" s="313"/>
      <c r="B1130" s="333" t="s">
        <v>1761</v>
      </c>
      <c r="D1130" s="74">
        <f>IFERROR(VLOOKUP(B1130,'REQ. PINTADO'!B:C,2,0),0)</f>
        <v>0</v>
      </c>
      <c r="E1130" s="305">
        <f t="shared" si="133"/>
        <v>567.27931026662156</v>
      </c>
      <c r="F1130" s="103" t="s">
        <v>166</v>
      </c>
      <c r="G1130" s="75" t="s">
        <v>147</v>
      </c>
      <c r="H1130" s="90">
        <v>46.08</v>
      </c>
      <c r="I1130" s="90">
        <v>11.21</v>
      </c>
      <c r="J1130" s="76">
        <v>0.105</v>
      </c>
      <c r="K1130" s="306">
        <v>16.38</v>
      </c>
      <c r="L1130" s="78">
        <f t="shared" si="134"/>
        <v>15.724688386391113</v>
      </c>
      <c r="M1130" s="58">
        <f>+VLOOKUP(F1130,Material!$H$2:$M$17,6,FALSE)*H1130*I1130*(1+Material!$K$14)</f>
        <v>117.07745262231201</v>
      </c>
      <c r="N1130" s="79" t="str">
        <f t="shared" si="147"/>
        <v>T5.0</v>
      </c>
      <c r="O1130" s="80">
        <f>+VLOOKUP(N1130,[3]Material!$A$3:$B$58,2,FALSE)</f>
        <v>5000</v>
      </c>
      <c r="P1130" s="79" t="s">
        <v>42</v>
      </c>
      <c r="Q1130" s="79" t="str">
        <f>+VLOOKUP(F1130,[3]Material!$C$2:$E$12,2,FALSE)</f>
        <v>Cal 16</v>
      </c>
      <c r="R1130" s="81">
        <f>+IF(P1130="ACERO A36",VLOOKUP(Q1130,'[3]Velocidades Std 1500 w'!$B$2:$F$15,5,FALSE),IF(P1130="INOXIDABLE",VLOOKUP(Q1130,'[3]Velocidades Std 1500 w'!$B$17:$F$28,5,FALSE),IF(P1130="ALUMINIO",VLOOKUP(Q1130,'[3]Velocidades Std 1500 w'!$B$30:$F$38,5,FALSE))))</f>
        <v>9.1575091575091579E-7</v>
      </c>
      <c r="S1130" s="82">
        <f t="shared" si="135"/>
        <v>4.578754578754579E-3</v>
      </c>
      <c r="T1130" s="83">
        <f t="shared" si="136"/>
        <v>49.639610769230778</v>
      </c>
      <c r="U1130" s="307">
        <f t="shared" si="150"/>
        <v>15057.348600000001</v>
      </c>
      <c r="V1130" s="80">
        <f t="shared" si="146"/>
        <v>68.943903846153859</v>
      </c>
      <c r="W1130" s="98">
        <v>300</v>
      </c>
      <c r="X1130" s="84">
        <f>+IF(P1130="ACERO A36",VLOOKUP(Q1130,'[3]Tiempo Objeto'!$B$2:$C$12,2,FALSE),IF(P1130="INOXIDABLE",VLOOKUP(Q1130,'[3]Tiempo Objeto'!$B$14:$C$22,2,FALSE),IF(P1130="ALUMINIO",VLOOKUP(Q1130,'[3]Tiempo Objeto'!$B$24:$C$32,2,FALSE))))</f>
        <v>0.24666666666666667</v>
      </c>
      <c r="Y1130" s="84">
        <f t="shared" si="137"/>
        <v>74</v>
      </c>
      <c r="Z1130" s="80">
        <f t="shared" si="138"/>
        <v>102.77777777777777</v>
      </c>
      <c r="AA1130" s="100">
        <v>6</v>
      </c>
      <c r="AB1130" s="86">
        <f>+AA1130*Analisis!$J$6</f>
        <v>150</v>
      </c>
      <c r="AC1130" s="100"/>
      <c r="AD1130" s="85">
        <f t="shared" si="139"/>
        <v>0</v>
      </c>
      <c r="AE1130" s="86">
        <f>+AC1130*Analisis!$J$7</f>
        <v>0</v>
      </c>
      <c r="AF1130" s="308">
        <f>+H1130*0.0254*I1130*0.0254*2*(1+[3]Analisis!$G$2)</f>
        <v>0.83315446271999993</v>
      </c>
      <c r="AG1130" s="86">
        <f>+AF1130*Analisis!$J$8</f>
        <v>88.770624301714307</v>
      </c>
      <c r="AH1130" s="309">
        <f t="shared" si="144"/>
        <v>527.56975854795803</v>
      </c>
      <c r="AI1130" s="86">
        <f>+AH1130/(1-Analisis!G1135)</f>
        <v>527.56975854795803</v>
      </c>
      <c r="AJ1130" s="86">
        <f t="shared" si="140"/>
        <v>567.27931026662156</v>
      </c>
      <c r="AK1130" s="86">
        <f t="shared" si="145"/>
        <v>0</v>
      </c>
      <c r="AL1130" s="310" t="e">
        <f>+VLOOKUP(B1130,#REF!,2,FALSE)</f>
        <v>#REF!</v>
      </c>
      <c r="AM1130" s="311" t="e">
        <f t="shared" si="149"/>
        <v>#REF!</v>
      </c>
      <c r="AN1130" s="312" t="e">
        <f t="shared" si="148"/>
        <v>#REF!</v>
      </c>
    </row>
    <row r="1131" spans="1:40" s="73" customFormat="1" x14ac:dyDescent="0.25">
      <c r="A1131" s="313"/>
      <c r="B1131" s="333" t="s">
        <v>1762</v>
      </c>
      <c r="D1131" s="74">
        <f>IFERROR(VLOOKUP(B1131,'REQ. PINTADO'!B:C,2,0),0)</f>
        <v>0</v>
      </c>
      <c r="E1131" s="305">
        <f t="shared" si="133"/>
        <v>223.14172582378558</v>
      </c>
      <c r="F1131" s="397" t="s">
        <v>166</v>
      </c>
      <c r="G1131" s="75" t="s">
        <v>147</v>
      </c>
      <c r="H1131" s="90">
        <v>12.08</v>
      </c>
      <c r="I1131" s="90">
        <v>8.7100000000000009</v>
      </c>
      <c r="J1131" s="76">
        <v>0.105</v>
      </c>
      <c r="K1131" s="306">
        <v>16.38</v>
      </c>
      <c r="L1131" s="78">
        <f t="shared" si="134"/>
        <v>3.2029418507572389</v>
      </c>
      <c r="M1131" s="58">
        <f>+VLOOKUP(F1131,Material!$H$2:$M$17,6,FALSE)*H1131*I1131*(1+Material!$K$14)</f>
        <v>23.847357961547075</v>
      </c>
      <c r="N1131" s="79" t="str">
        <f t="shared" si="147"/>
        <v>T5.0</v>
      </c>
      <c r="O1131" s="80">
        <f>+VLOOKUP(N1131,[3]Material!$A$3:$B$58,2,FALSE)</f>
        <v>5000</v>
      </c>
      <c r="P1131" s="79" t="s">
        <v>42</v>
      </c>
      <c r="Q1131" s="79" t="str">
        <f>+VLOOKUP(F1131,[3]Material!$C$2:$E$12,2,FALSE)</f>
        <v>Cal 16</v>
      </c>
      <c r="R1131" s="81">
        <f>+IF(P1131="ACERO A36",VLOOKUP(Q1131,'[3]Velocidades Std 1500 w'!$B$2:$F$15,5,FALSE),IF(P1131="INOXIDABLE",VLOOKUP(Q1131,'[3]Velocidades Std 1500 w'!$B$17:$F$28,5,FALSE),IF(P1131="ALUMINIO",VLOOKUP(Q1131,'[3]Velocidades Std 1500 w'!$B$30:$F$38,5,FALSE))))</f>
        <v>9.1575091575091579E-7</v>
      </c>
      <c r="S1131" s="82">
        <f t="shared" si="135"/>
        <v>4.578754578754579E-3</v>
      </c>
      <c r="T1131" s="83">
        <f t="shared" si="136"/>
        <v>6.2935338461538457</v>
      </c>
      <c r="U1131" s="307">
        <f t="shared" si="150"/>
        <v>1909.0385999999999</v>
      </c>
      <c r="V1131" s="80">
        <f t="shared" si="146"/>
        <v>8.7410192307692309</v>
      </c>
      <c r="W1131" s="98">
        <v>20</v>
      </c>
      <c r="X1131" s="84">
        <f>+IF(P1131="ACERO A36",VLOOKUP(Q1131,'[3]Tiempo Objeto'!$B$2:$C$12,2,FALSE),IF(P1131="INOXIDABLE",VLOOKUP(Q1131,'[3]Tiempo Objeto'!$B$14:$C$22,2,FALSE),IF(P1131="ALUMINIO",VLOOKUP(Q1131,'[3]Tiempo Objeto'!$B$24:$C$32,2,FALSE))))</f>
        <v>0.24666666666666667</v>
      </c>
      <c r="Y1131" s="84">
        <f t="shared" si="137"/>
        <v>4.9333333333333336</v>
      </c>
      <c r="Z1131" s="80">
        <f t="shared" si="138"/>
        <v>6.8518518518518521</v>
      </c>
      <c r="AA1131" s="100">
        <v>6</v>
      </c>
      <c r="AB1131" s="86">
        <f>+AA1131*Analisis!$J$6</f>
        <v>150</v>
      </c>
      <c r="AC1131" s="100"/>
      <c r="AD1131" s="85">
        <f t="shared" si="139"/>
        <v>0</v>
      </c>
      <c r="AE1131" s="86">
        <f>+AC1131*Analisis!$J$7</f>
        <v>0</v>
      </c>
      <c r="AF1131" s="308">
        <f>+H1131*0.0254*I1131*0.0254*2*(1+[3]Analisis!$G$2)</f>
        <v>0.16970417672000002</v>
      </c>
      <c r="AG1131" s="86">
        <f>+AF1131*Analisis!$J$8</f>
        <v>18.08157597195239</v>
      </c>
      <c r="AH1131" s="309">
        <f t="shared" si="144"/>
        <v>207.52180501612057</v>
      </c>
      <c r="AI1131" s="86">
        <f>+AH1131/(1-Analisis!G1136)</f>
        <v>207.52180501612057</v>
      </c>
      <c r="AJ1131" s="86">
        <f t="shared" si="140"/>
        <v>223.14172582378558</v>
      </c>
      <c r="AK1131" s="86">
        <f t="shared" si="145"/>
        <v>0</v>
      </c>
      <c r="AL1131" s="310" t="e">
        <f>+VLOOKUP(B1131,#REF!,2,FALSE)</f>
        <v>#REF!</v>
      </c>
      <c r="AM1131" s="311" t="e">
        <f t="shared" si="149"/>
        <v>#REF!</v>
      </c>
      <c r="AN1131" s="312" t="e">
        <f t="shared" si="148"/>
        <v>#REF!</v>
      </c>
    </row>
    <row r="1132" spans="1:40" s="73" customFormat="1" x14ac:dyDescent="0.25">
      <c r="A1132" s="313"/>
      <c r="B1132" s="333" t="s">
        <v>1763</v>
      </c>
      <c r="D1132" s="74">
        <f>IFERROR(VLOOKUP(B1132,'REQ. PINTADO'!B:C,2,0),0)</f>
        <v>0</v>
      </c>
      <c r="E1132" s="305">
        <f t="shared" si="133"/>
        <v>239.12094736683446</v>
      </c>
      <c r="F1132" s="397" t="s">
        <v>166</v>
      </c>
      <c r="G1132" s="75" t="s">
        <v>147</v>
      </c>
      <c r="H1132" s="90">
        <v>16.079999999999998</v>
      </c>
      <c r="I1132" s="90">
        <v>8.7100000000000009</v>
      </c>
      <c r="J1132" s="76">
        <v>0.105</v>
      </c>
      <c r="K1132" s="306">
        <v>16.38</v>
      </c>
      <c r="L1132" s="78">
        <f t="shared" si="134"/>
        <v>4.2635186225311585</v>
      </c>
      <c r="M1132" s="58">
        <f>+VLOOKUP(F1132,Material!$H$2:$M$17,6,FALSE)*H1132*I1132*(1+Material!$K$14)</f>
        <v>31.743834107754708</v>
      </c>
      <c r="N1132" s="79" t="str">
        <f t="shared" si="147"/>
        <v>T5.0</v>
      </c>
      <c r="O1132" s="80">
        <f>+VLOOKUP(N1132,[3]Material!$A$3:$B$58,2,FALSE)</f>
        <v>5000</v>
      </c>
      <c r="P1132" s="79" t="s">
        <v>42</v>
      </c>
      <c r="Q1132" s="79" t="str">
        <f>+VLOOKUP(F1132,[3]Material!$C$2:$E$12,2,FALSE)</f>
        <v>Cal 16</v>
      </c>
      <c r="R1132" s="81">
        <f>+IF(P1132="ACERO A36",VLOOKUP(Q1132,'[3]Velocidades Std 1500 w'!$B$2:$F$15,5,FALSE),IF(P1132="INOXIDABLE",VLOOKUP(Q1132,'[3]Velocidades Std 1500 w'!$B$17:$F$28,5,FALSE),IF(P1132="ALUMINIO",VLOOKUP(Q1132,'[3]Velocidades Std 1500 w'!$B$30:$F$38,5,FALSE))))</f>
        <v>9.1575091575091579E-7</v>
      </c>
      <c r="S1132" s="82">
        <f t="shared" si="135"/>
        <v>4.578754578754579E-3</v>
      </c>
      <c r="T1132" s="83">
        <f t="shared" si="136"/>
        <v>6.9969184615384616</v>
      </c>
      <c r="U1132" s="307">
        <f t="shared" si="150"/>
        <v>2122.3986</v>
      </c>
      <c r="V1132" s="80">
        <f t="shared" si="146"/>
        <v>9.7179423076923079</v>
      </c>
      <c r="W1132" s="98">
        <v>20</v>
      </c>
      <c r="X1132" s="84">
        <f>+IF(P1132="ACERO A36",VLOOKUP(Q1132,'[3]Tiempo Objeto'!$B$2:$C$12,2,FALSE),IF(P1132="INOXIDABLE",VLOOKUP(Q1132,'[3]Tiempo Objeto'!$B$14:$C$22,2,FALSE),IF(P1132="ALUMINIO",VLOOKUP(Q1132,'[3]Tiempo Objeto'!$B$24:$C$32,2,FALSE))))</f>
        <v>0.24666666666666667</v>
      </c>
      <c r="Y1132" s="84">
        <f t="shared" si="137"/>
        <v>4.9333333333333336</v>
      </c>
      <c r="Z1132" s="80">
        <f t="shared" si="138"/>
        <v>6.8518518518518521</v>
      </c>
      <c r="AA1132" s="100">
        <v>6</v>
      </c>
      <c r="AB1132" s="86">
        <f>+AA1132*Analisis!$J$6</f>
        <v>150</v>
      </c>
      <c r="AC1132" s="100"/>
      <c r="AD1132" s="85">
        <f t="shared" si="139"/>
        <v>0</v>
      </c>
      <c r="AE1132" s="86">
        <f>+AC1132*Analisis!$J$7</f>
        <v>0</v>
      </c>
      <c r="AF1132" s="308">
        <f>+H1132*0.0254*I1132*0.0254*2*(1+[3]Analisis!$G$2)</f>
        <v>0.22589761271999997</v>
      </c>
      <c r="AG1132" s="86">
        <f>+AF1132*Analisis!$J$8</f>
        <v>24.068852783857146</v>
      </c>
      <c r="AH1132" s="309">
        <f t="shared" si="144"/>
        <v>222.38248105115602</v>
      </c>
      <c r="AI1132" s="86">
        <f>+AH1132/(1-Analisis!G1137)</f>
        <v>222.38248105115602</v>
      </c>
      <c r="AJ1132" s="86">
        <f t="shared" si="140"/>
        <v>239.12094736683446</v>
      </c>
      <c r="AK1132" s="86">
        <f t="shared" si="145"/>
        <v>0</v>
      </c>
      <c r="AL1132" s="310" t="e">
        <f>+VLOOKUP(B1132,#REF!,2,FALSE)</f>
        <v>#REF!</v>
      </c>
      <c r="AM1132" s="311" t="e">
        <f t="shared" si="149"/>
        <v>#REF!</v>
      </c>
      <c r="AN1132" s="312" t="e">
        <f t="shared" si="148"/>
        <v>#REF!</v>
      </c>
    </row>
    <row r="1133" spans="1:40" s="73" customFormat="1" x14ac:dyDescent="0.25">
      <c r="A1133" s="313"/>
      <c r="B1133" s="333" t="s">
        <v>1764</v>
      </c>
      <c r="D1133" s="74">
        <f>IFERROR(VLOOKUP(B1133,'REQ. PINTADO'!B:C,2,0),0)</f>
        <v>0</v>
      </c>
      <c r="E1133" s="305">
        <f t="shared" si="133"/>
        <v>247.1105581383589</v>
      </c>
      <c r="F1133" s="397" t="s">
        <v>166</v>
      </c>
      <c r="G1133" s="75" t="s">
        <v>147</v>
      </c>
      <c r="H1133" s="90">
        <v>18.079999999999998</v>
      </c>
      <c r="I1133" s="90">
        <v>8.7100000000000009</v>
      </c>
      <c r="J1133" s="76">
        <v>0.105</v>
      </c>
      <c r="K1133" s="306">
        <v>16.38</v>
      </c>
      <c r="L1133" s="78">
        <f t="shared" si="134"/>
        <v>4.7938070084181188</v>
      </c>
      <c r="M1133" s="58">
        <f>+VLOOKUP(F1133,Material!$H$2:$M$17,6,FALSE)*H1133*I1133*(1+Material!$K$14)</f>
        <v>35.692072180858531</v>
      </c>
      <c r="N1133" s="79" t="str">
        <f t="shared" si="147"/>
        <v>T5.0</v>
      </c>
      <c r="O1133" s="80">
        <f>+VLOOKUP(N1133,[3]Material!$A$3:$B$58,2,FALSE)</f>
        <v>5000</v>
      </c>
      <c r="P1133" s="79" t="s">
        <v>42</v>
      </c>
      <c r="Q1133" s="79" t="str">
        <f>+VLOOKUP(F1133,[3]Material!$C$2:$E$12,2,FALSE)</f>
        <v>Cal 16</v>
      </c>
      <c r="R1133" s="81">
        <f>+IF(P1133="ACERO A36",VLOOKUP(Q1133,'[3]Velocidades Std 1500 w'!$B$2:$F$15,5,FALSE),IF(P1133="INOXIDABLE",VLOOKUP(Q1133,'[3]Velocidades Std 1500 w'!$B$17:$F$28,5,FALSE),IF(P1133="ALUMINIO",VLOOKUP(Q1133,'[3]Velocidades Std 1500 w'!$B$30:$F$38,5,FALSE))))</f>
        <v>9.1575091575091579E-7</v>
      </c>
      <c r="S1133" s="82">
        <f t="shared" si="135"/>
        <v>4.578754578754579E-3</v>
      </c>
      <c r="T1133" s="83">
        <f t="shared" si="136"/>
        <v>7.3486107692307696</v>
      </c>
      <c r="U1133" s="307">
        <f t="shared" si="150"/>
        <v>2229.0785999999998</v>
      </c>
      <c r="V1133" s="80">
        <f t="shared" si="146"/>
        <v>10.206403846153846</v>
      </c>
      <c r="W1133" s="98">
        <v>20</v>
      </c>
      <c r="X1133" s="84">
        <f>+IF(P1133="ACERO A36",VLOOKUP(Q1133,'[3]Tiempo Objeto'!$B$2:$C$12,2,FALSE),IF(P1133="INOXIDABLE",VLOOKUP(Q1133,'[3]Tiempo Objeto'!$B$14:$C$22,2,FALSE),IF(P1133="ALUMINIO",VLOOKUP(Q1133,'[3]Tiempo Objeto'!$B$24:$C$32,2,FALSE))))</f>
        <v>0.24666666666666667</v>
      </c>
      <c r="Y1133" s="84">
        <f t="shared" si="137"/>
        <v>4.9333333333333336</v>
      </c>
      <c r="Z1133" s="80">
        <f t="shared" si="138"/>
        <v>6.8518518518518521</v>
      </c>
      <c r="AA1133" s="100">
        <v>6</v>
      </c>
      <c r="AB1133" s="86">
        <f>+AA1133*Analisis!$J$6</f>
        <v>150</v>
      </c>
      <c r="AC1133" s="100"/>
      <c r="AD1133" s="85">
        <f t="shared" si="139"/>
        <v>0</v>
      </c>
      <c r="AE1133" s="86">
        <f>+AC1133*Analisis!$J$7</f>
        <v>0</v>
      </c>
      <c r="AF1133" s="308">
        <f>+H1133*0.0254*I1133*0.0254*2*(1+[3]Analisis!$G$2)</f>
        <v>0.25399433071999994</v>
      </c>
      <c r="AG1133" s="86">
        <f>+AF1133*Analisis!$J$8</f>
        <v>27.062491189809524</v>
      </c>
      <c r="AH1133" s="309">
        <f t="shared" si="144"/>
        <v>229.81281906867375</v>
      </c>
      <c r="AI1133" s="86">
        <f>+AH1133/(1-Analisis!G1138)</f>
        <v>229.81281906867375</v>
      </c>
      <c r="AJ1133" s="86">
        <f t="shared" si="140"/>
        <v>247.1105581383589</v>
      </c>
      <c r="AK1133" s="86">
        <f t="shared" si="145"/>
        <v>0</v>
      </c>
      <c r="AL1133" s="310" t="e">
        <f>+VLOOKUP(B1133,#REF!,2,FALSE)</f>
        <v>#REF!</v>
      </c>
      <c r="AM1133" s="311" t="e">
        <f t="shared" si="149"/>
        <v>#REF!</v>
      </c>
      <c r="AN1133" s="312" t="e">
        <f t="shared" si="148"/>
        <v>#REF!</v>
      </c>
    </row>
    <row r="1134" spans="1:40" s="73" customFormat="1" x14ac:dyDescent="0.25">
      <c r="A1134" s="313"/>
      <c r="B1134" s="333" t="s">
        <v>1765</v>
      </c>
      <c r="D1134" s="74">
        <f>IFERROR(VLOOKUP(B1134,'REQ. PINTADO'!B:C,2,0),0)</f>
        <v>0</v>
      </c>
      <c r="E1134" s="305">
        <f t="shared" si="133"/>
        <v>271.07939045293222</v>
      </c>
      <c r="F1134" s="397" t="s">
        <v>166</v>
      </c>
      <c r="G1134" s="75" t="s">
        <v>147</v>
      </c>
      <c r="H1134" s="90">
        <v>24.08</v>
      </c>
      <c r="I1134" s="90">
        <v>8.7100000000000009</v>
      </c>
      <c r="J1134" s="76">
        <v>0.105</v>
      </c>
      <c r="K1134" s="306">
        <v>16.38</v>
      </c>
      <c r="L1134" s="78">
        <f t="shared" si="134"/>
        <v>6.3846721660789978</v>
      </c>
      <c r="M1134" s="58">
        <f>+VLOOKUP(F1134,Material!$H$2:$M$17,6,FALSE)*H1134*I1134*(1+Material!$K$14)</f>
        <v>47.536786400169987</v>
      </c>
      <c r="N1134" s="79" t="str">
        <f t="shared" si="147"/>
        <v>T5.0</v>
      </c>
      <c r="O1134" s="80">
        <f>+VLOOKUP(N1134,[3]Material!$A$3:$B$58,2,FALSE)</f>
        <v>5000</v>
      </c>
      <c r="P1134" s="79" t="s">
        <v>42</v>
      </c>
      <c r="Q1134" s="79" t="str">
        <f>+VLOOKUP(F1134,[3]Material!$C$2:$E$12,2,FALSE)</f>
        <v>Cal 16</v>
      </c>
      <c r="R1134" s="81">
        <f>+IF(P1134="ACERO A36",VLOOKUP(Q1134,'[3]Velocidades Std 1500 w'!$B$2:$F$15,5,FALSE),IF(P1134="INOXIDABLE",VLOOKUP(Q1134,'[3]Velocidades Std 1500 w'!$B$17:$F$28,5,FALSE),IF(P1134="ALUMINIO",VLOOKUP(Q1134,'[3]Velocidades Std 1500 w'!$B$30:$F$38,5,FALSE))))</f>
        <v>9.1575091575091579E-7</v>
      </c>
      <c r="S1134" s="82">
        <f t="shared" si="135"/>
        <v>4.578754578754579E-3</v>
      </c>
      <c r="T1134" s="83">
        <f t="shared" si="136"/>
        <v>8.4036876923076935</v>
      </c>
      <c r="U1134" s="307">
        <f t="shared" si="150"/>
        <v>2549.1186000000002</v>
      </c>
      <c r="V1134" s="80">
        <f t="shared" si="146"/>
        <v>11.671788461538464</v>
      </c>
      <c r="W1134" s="98">
        <v>20</v>
      </c>
      <c r="X1134" s="84">
        <f>+IF(P1134="ACERO A36",VLOOKUP(Q1134,'[3]Tiempo Objeto'!$B$2:$C$12,2,FALSE),IF(P1134="INOXIDABLE",VLOOKUP(Q1134,'[3]Tiempo Objeto'!$B$14:$C$22,2,FALSE),IF(P1134="ALUMINIO",VLOOKUP(Q1134,'[3]Tiempo Objeto'!$B$24:$C$32,2,FALSE))))</f>
        <v>0.24666666666666667</v>
      </c>
      <c r="Y1134" s="84">
        <f t="shared" si="137"/>
        <v>4.9333333333333336</v>
      </c>
      <c r="Z1134" s="80">
        <f t="shared" si="138"/>
        <v>6.8518518518518521</v>
      </c>
      <c r="AA1134" s="100">
        <v>6</v>
      </c>
      <c r="AB1134" s="86">
        <f>+AA1134*Analisis!$J$6</f>
        <v>150</v>
      </c>
      <c r="AC1134" s="100"/>
      <c r="AD1134" s="85">
        <f t="shared" si="139"/>
        <v>0</v>
      </c>
      <c r="AE1134" s="86">
        <f>+AC1134*Analisis!$J$7</f>
        <v>0</v>
      </c>
      <c r="AF1134" s="308">
        <f>+H1134*0.0254*I1134*0.0254*2*(1+[3]Analisis!$G$2)</f>
        <v>0.33828448472</v>
      </c>
      <c r="AG1134" s="86">
        <f>+AF1134*Analisis!$J$8</f>
        <v>36.04340640766668</v>
      </c>
      <c r="AH1134" s="309">
        <f t="shared" si="144"/>
        <v>252.10383312122696</v>
      </c>
      <c r="AI1134" s="86">
        <f>+AH1134/(1-Analisis!G1139)</f>
        <v>252.10383312122696</v>
      </c>
      <c r="AJ1134" s="86">
        <f t="shared" si="140"/>
        <v>271.07939045293222</v>
      </c>
      <c r="AK1134" s="86">
        <f t="shared" si="145"/>
        <v>0</v>
      </c>
      <c r="AL1134" s="310" t="e">
        <f>+VLOOKUP(B1134,#REF!,2,FALSE)</f>
        <v>#REF!</v>
      </c>
      <c r="AM1134" s="311" t="e">
        <f t="shared" si="149"/>
        <v>#REF!</v>
      </c>
      <c r="AN1134" s="312" t="e">
        <f t="shared" si="148"/>
        <v>#REF!</v>
      </c>
    </row>
    <row r="1135" spans="1:40" s="73" customFormat="1" x14ac:dyDescent="0.25">
      <c r="A1135" s="313"/>
      <c r="B1135" s="333" t="s">
        <v>1766</v>
      </c>
      <c r="D1135" s="74">
        <f>IFERROR(VLOOKUP(B1135,'REQ. PINTADO'!B:C,2,0),0)</f>
        <v>0</v>
      </c>
      <c r="E1135" s="305">
        <f t="shared" si="133"/>
        <v>295.04822276750559</v>
      </c>
      <c r="F1135" s="397" t="s">
        <v>166</v>
      </c>
      <c r="G1135" s="75" t="s">
        <v>147</v>
      </c>
      <c r="H1135" s="90">
        <v>30.08</v>
      </c>
      <c r="I1135" s="90">
        <v>8.7100000000000009</v>
      </c>
      <c r="J1135" s="76">
        <v>0.105</v>
      </c>
      <c r="K1135" s="306">
        <v>16.38</v>
      </c>
      <c r="L1135" s="78">
        <f t="shared" si="134"/>
        <v>7.9755373237398794</v>
      </c>
      <c r="M1135" s="58">
        <f>+VLOOKUP(F1135,Material!$H$2:$M$17,6,FALSE)*H1135*I1135*(1+Material!$K$14)</f>
        <v>59.38150061948145</v>
      </c>
      <c r="N1135" s="79" t="str">
        <f t="shared" si="147"/>
        <v>T5.0</v>
      </c>
      <c r="O1135" s="80">
        <f>+VLOOKUP(N1135,[3]Material!$A$3:$B$58,2,FALSE)</f>
        <v>5000</v>
      </c>
      <c r="P1135" s="79" t="s">
        <v>42</v>
      </c>
      <c r="Q1135" s="79" t="str">
        <f>+VLOOKUP(F1135,[3]Material!$C$2:$E$12,2,FALSE)</f>
        <v>Cal 16</v>
      </c>
      <c r="R1135" s="81">
        <f>+IF(P1135="ACERO A36",VLOOKUP(Q1135,'[3]Velocidades Std 1500 w'!$B$2:$F$15,5,FALSE),IF(P1135="INOXIDABLE",VLOOKUP(Q1135,'[3]Velocidades Std 1500 w'!$B$17:$F$28,5,FALSE),IF(P1135="ALUMINIO",VLOOKUP(Q1135,'[3]Velocidades Std 1500 w'!$B$30:$F$38,5,FALSE))))</f>
        <v>9.1575091575091579E-7</v>
      </c>
      <c r="S1135" s="82">
        <f t="shared" si="135"/>
        <v>4.578754578754579E-3</v>
      </c>
      <c r="T1135" s="83">
        <f t="shared" si="136"/>
        <v>9.4587646153846148</v>
      </c>
      <c r="U1135" s="307">
        <f t="shared" si="150"/>
        <v>2869.1585999999998</v>
      </c>
      <c r="V1135" s="80">
        <f t="shared" si="146"/>
        <v>13.137173076923077</v>
      </c>
      <c r="W1135" s="98">
        <v>20</v>
      </c>
      <c r="X1135" s="84">
        <f>+IF(P1135="ACERO A36",VLOOKUP(Q1135,'[3]Tiempo Objeto'!$B$2:$C$12,2,FALSE),IF(P1135="INOXIDABLE",VLOOKUP(Q1135,'[3]Tiempo Objeto'!$B$14:$C$22,2,FALSE),IF(P1135="ALUMINIO",VLOOKUP(Q1135,'[3]Tiempo Objeto'!$B$24:$C$32,2,FALSE))))</f>
        <v>0.24666666666666667</v>
      </c>
      <c r="Y1135" s="84">
        <f t="shared" si="137"/>
        <v>4.9333333333333336</v>
      </c>
      <c r="Z1135" s="80">
        <f t="shared" si="138"/>
        <v>6.8518518518518521</v>
      </c>
      <c r="AA1135" s="100">
        <v>6</v>
      </c>
      <c r="AB1135" s="86">
        <f>+AA1135*Analisis!$J$6</f>
        <v>150</v>
      </c>
      <c r="AC1135" s="100"/>
      <c r="AD1135" s="85">
        <f t="shared" si="139"/>
        <v>0</v>
      </c>
      <c r="AE1135" s="86">
        <f>+AC1135*Analisis!$J$7</f>
        <v>0</v>
      </c>
      <c r="AF1135" s="308">
        <f>+H1135*0.0254*I1135*0.0254*2*(1+[3]Analisis!$G$2)</f>
        <v>0.42257463871999995</v>
      </c>
      <c r="AG1135" s="86">
        <f>+AF1135*Analisis!$J$8</f>
        <v>45.024321625523818</v>
      </c>
      <c r="AH1135" s="309">
        <f t="shared" si="144"/>
        <v>274.39484717378019</v>
      </c>
      <c r="AI1135" s="86">
        <f>+AH1135/(1-Analisis!G1140)</f>
        <v>274.39484717378019</v>
      </c>
      <c r="AJ1135" s="86">
        <f t="shared" si="140"/>
        <v>295.04822276750559</v>
      </c>
      <c r="AK1135" s="86">
        <f t="shared" si="145"/>
        <v>0</v>
      </c>
      <c r="AL1135" s="310" t="e">
        <f>+VLOOKUP(B1135,#REF!,2,FALSE)</f>
        <v>#REF!</v>
      </c>
      <c r="AM1135" s="311" t="e">
        <f t="shared" si="149"/>
        <v>#REF!</v>
      </c>
      <c r="AN1135" s="312" t="e">
        <f t="shared" si="148"/>
        <v>#REF!</v>
      </c>
    </row>
    <row r="1136" spans="1:40" s="73" customFormat="1" x14ac:dyDescent="0.25">
      <c r="A1136" s="313"/>
      <c r="B1136" s="333" t="s">
        <v>1767</v>
      </c>
      <c r="D1136" s="74">
        <f>IFERROR(VLOOKUP(B1136,'REQ. PINTADO'!B:C,2,0),0)</f>
        <v>0</v>
      </c>
      <c r="E1136" s="305">
        <f t="shared" si="133"/>
        <v>319.01705508207897</v>
      </c>
      <c r="F1136" s="397" t="s">
        <v>166</v>
      </c>
      <c r="G1136" s="75" t="s">
        <v>147</v>
      </c>
      <c r="H1136" s="90">
        <v>36.08</v>
      </c>
      <c r="I1136" s="90">
        <v>8.7100000000000009</v>
      </c>
      <c r="J1136" s="76">
        <v>0.105</v>
      </c>
      <c r="K1136" s="306">
        <v>16.38</v>
      </c>
      <c r="L1136" s="78">
        <f t="shared" si="134"/>
        <v>9.5664024814007593</v>
      </c>
      <c r="M1136" s="58">
        <f>+VLOOKUP(F1136,Material!$H$2:$M$17,6,FALSE)*H1136*I1136*(1+Material!$K$14)</f>
        <v>71.226214838792913</v>
      </c>
      <c r="N1136" s="79" t="str">
        <f t="shared" si="147"/>
        <v>T5.0</v>
      </c>
      <c r="O1136" s="80">
        <f>+VLOOKUP(N1136,[3]Material!$A$3:$B$58,2,FALSE)</f>
        <v>5000</v>
      </c>
      <c r="P1136" s="79" t="s">
        <v>42</v>
      </c>
      <c r="Q1136" s="79" t="str">
        <f>+VLOOKUP(F1136,[3]Material!$C$2:$E$12,2,FALSE)</f>
        <v>Cal 16</v>
      </c>
      <c r="R1136" s="81">
        <f>+IF(P1136="ACERO A36",VLOOKUP(Q1136,'[3]Velocidades Std 1500 w'!$B$2:$F$15,5,FALSE),IF(P1136="INOXIDABLE",VLOOKUP(Q1136,'[3]Velocidades Std 1500 w'!$B$17:$F$28,5,FALSE),IF(P1136="ALUMINIO",VLOOKUP(Q1136,'[3]Velocidades Std 1500 w'!$B$30:$F$38,5,FALSE))))</f>
        <v>9.1575091575091579E-7</v>
      </c>
      <c r="S1136" s="82">
        <f t="shared" si="135"/>
        <v>4.578754578754579E-3</v>
      </c>
      <c r="T1136" s="83">
        <f t="shared" si="136"/>
        <v>10.51384153846154</v>
      </c>
      <c r="U1136" s="307">
        <f t="shared" si="150"/>
        <v>3189.1986000000002</v>
      </c>
      <c r="V1136" s="80">
        <f t="shared" si="146"/>
        <v>14.602557692307693</v>
      </c>
      <c r="W1136" s="98">
        <v>20</v>
      </c>
      <c r="X1136" s="84">
        <f>+IF(P1136="ACERO A36",VLOOKUP(Q1136,'[3]Tiempo Objeto'!$B$2:$C$12,2,FALSE),IF(P1136="INOXIDABLE",VLOOKUP(Q1136,'[3]Tiempo Objeto'!$B$14:$C$22,2,FALSE),IF(P1136="ALUMINIO",VLOOKUP(Q1136,'[3]Tiempo Objeto'!$B$24:$C$32,2,FALSE))))</f>
        <v>0.24666666666666667</v>
      </c>
      <c r="Y1136" s="84">
        <f t="shared" si="137"/>
        <v>4.9333333333333336</v>
      </c>
      <c r="Z1136" s="80">
        <f t="shared" si="138"/>
        <v>6.8518518518518521</v>
      </c>
      <c r="AA1136" s="100">
        <v>6</v>
      </c>
      <c r="AB1136" s="86">
        <f>+AA1136*Analisis!$J$6</f>
        <v>150</v>
      </c>
      <c r="AC1136" s="100"/>
      <c r="AD1136" s="85">
        <f t="shared" si="139"/>
        <v>0</v>
      </c>
      <c r="AE1136" s="86">
        <f>+AC1136*Analisis!$J$7</f>
        <v>0</v>
      </c>
      <c r="AF1136" s="308">
        <f>+H1136*0.0254*I1136*0.0254*2*(1+[3]Analisis!$G$2)</f>
        <v>0.50686479271999996</v>
      </c>
      <c r="AG1136" s="86">
        <f>+AF1136*Analisis!$J$8</f>
        <v>54.005236843380963</v>
      </c>
      <c r="AH1136" s="309">
        <f t="shared" si="144"/>
        <v>296.68586122633343</v>
      </c>
      <c r="AI1136" s="86">
        <f>+AH1136/(1-Analisis!G1141)</f>
        <v>296.68586122633343</v>
      </c>
      <c r="AJ1136" s="86">
        <f t="shared" si="140"/>
        <v>319.01705508207897</v>
      </c>
      <c r="AK1136" s="86">
        <f t="shared" si="145"/>
        <v>0</v>
      </c>
      <c r="AL1136" s="310" t="e">
        <f>+VLOOKUP(B1136,#REF!,2,FALSE)</f>
        <v>#REF!</v>
      </c>
      <c r="AM1136" s="311" t="e">
        <f t="shared" si="149"/>
        <v>#REF!</v>
      </c>
      <c r="AN1136" s="312" t="e">
        <f t="shared" si="148"/>
        <v>#REF!</v>
      </c>
    </row>
    <row r="1137" spans="1:40" s="73" customFormat="1" x14ac:dyDescent="0.25">
      <c r="A1137" s="313"/>
      <c r="B1137" s="333" t="s">
        <v>1768</v>
      </c>
      <c r="D1137" s="74">
        <f>IFERROR(VLOOKUP(B1137,'REQ. PINTADO'!B:C,2,0),0)</f>
        <v>0</v>
      </c>
      <c r="E1137" s="305">
        <f t="shared" si="133"/>
        <v>350.97549816817678</v>
      </c>
      <c r="F1137" s="397" t="s">
        <v>166</v>
      </c>
      <c r="G1137" s="75" t="s">
        <v>147</v>
      </c>
      <c r="H1137" s="90">
        <v>44.08</v>
      </c>
      <c r="I1137" s="90">
        <v>8.7100000000000009</v>
      </c>
      <c r="J1137" s="76">
        <v>0.105</v>
      </c>
      <c r="K1137" s="306">
        <v>16.38</v>
      </c>
      <c r="L1137" s="78">
        <f t="shared" si="134"/>
        <v>11.687556024948597</v>
      </c>
      <c r="M1137" s="58">
        <f>+VLOOKUP(F1137,Material!$H$2:$M$17,6,FALSE)*H1137*I1137*(1+Material!$K$14)</f>
        <v>87.019167131208178</v>
      </c>
      <c r="N1137" s="79" t="str">
        <f t="shared" si="147"/>
        <v>T5.0</v>
      </c>
      <c r="O1137" s="80">
        <f>+VLOOKUP(N1137,[3]Material!$A$3:$B$58,2,FALSE)</f>
        <v>5000</v>
      </c>
      <c r="P1137" s="79" t="s">
        <v>42</v>
      </c>
      <c r="Q1137" s="79" t="str">
        <f>+VLOOKUP(F1137,[3]Material!$C$2:$E$12,2,FALSE)</f>
        <v>Cal 16</v>
      </c>
      <c r="R1137" s="81">
        <f>+IF(P1137="ACERO A36",VLOOKUP(Q1137,'[3]Velocidades Std 1500 w'!$B$2:$F$15,5,FALSE),IF(P1137="INOXIDABLE",VLOOKUP(Q1137,'[3]Velocidades Std 1500 w'!$B$17:$F$28,5,FALSE),IF(P1137="ALUMINIO",VLOOKUP(Q1137,'[3]Velocidades Std 1500 w'!$B$30:$F$38,5,FALSE))))</f>
        <v>9.1575091575091579E-7</v>
      </c>
      <c r="S1137" s="82">
        <f t="shared" si="135"/>
        <v>4.578754578754579E-3</v>
      </c>
      <c r="T1137" s="83">
        <f t="shared" si="136"/>
        <v>11.92061076923077</v>
      </c>
      <c r="U1137" s="307">
        <f t="shared" si="150"/>
        <v>3615.9185999999995</v>
      </c>
      <c r="V1137" s="80">
        <f t="shared" si="146"/>
        <v>16.556403846153845</v>
      </c>
      <c r="W1137" s="98">
        <v>20</v>
      </c>
      <c r="X1137" s="84">
        <f>+IF(P1137="ACERO A36",VLOOKUP(Q1137,'[3]Tiempo Objeto'!$B$2:$C$12,2,FALSE),IF(P1137="INOXIDABLE",VLOOKUP(Q1137,'[3]Tiempo Objeto'!$B$14:$C$22,2,FALSE),IF(P1137="ALUMINIO",VLOOKUP(Q1137,'[3]Tiempo Objeto'!$B$24:$C$32,2,FALSE))))</f>
        <v>0.24666666666666667</v>
      </c>
      <c r="Y1137" s="84">
        <f t="shared" si="137"/>
        <v>4.9333333333333336</v>
      </c>
      <c r="Z1137" s="80">
        <f t="shared" si="138"/>
        <v>6.8518518518518521</v>
      </c>
      <c r="AA1137" s="100">
        <v>6</v>
      </c>
      <c r="AB1137" s="86">
        <f>+AA1137*Analisis!$J$6</f>
        <v>150</v>
      </c>
      <c r="AC1137" s="100"/>
      <c r="AD1137" s="85">
        <f t="shared" si="139"/>
        <v>0</v>
      </c>
      <c r="AE1137" s="86">
        <f>+AC1137*Analisis!$J$7</f>
        <v>0</v>
      </c>
      <c r="AF1137" s="308">
        <f>+H1137*0.0254*I1137*0.0254*2*(1+[3]Analisis!$G$2)</f>
        <v>0.61925166472000004</v>
      </c>
      <c r="AG1137" s="86">
        <f>+AF1137*Analisis!$J$8</f>
        <v>65.979790467190497</v>
      </c>
      <c r="AH1137" s="309">
        <f t="shared" si="144"/>
        <v>326.40721329640439</v>
      </c>
      <c r="AI1137" s="86">
        <f>+AH1137/(1-Analisis!G1142)</f>
        <v>326.40721329640439</v>
      </c>
      <c r="AJ1137" s="86">
        <f t="shared" si="140"/>
        <v>350.97549816817678</v>
      </c>
      <c r="AK1137" s="86">
        <f t="shared" si="145"/>
        <v>0</v>
      </c>
      <c r="AL1137" s="310" t="e">
        <f>+VLOOKUP(B1137,#REF!,2,FALSE)</f>
        <v>#REF!</v>
      </c>
      <c r="AM1137" s="311" t="e">
        <f t="shared" si="149"/>
        <v>#REF!</v>
      </c>
      <c r="AN1137" s="312" t="e">
        <f t="shared" si="148"/>
        <v>#REF!</v>
      </c>
    </row>
    <row r="1138" spans="1:40" s="73" customFormat="1" x14ac:dyDescent="0.25">
      <c r="A1138" s="313"/>
      <c r="B1138" s="333" t="s">
        <v>1769</v>
      </c>
      <c r="D1138" s="74">
        <f>IFERROR(VLOOKUP(B1138,'REQ. PINTADO'!B:C,2,0),0)</f>
        <v>0</v>
      </c>
      <c r="E1138" s="305">
        <f t="shared" si="133"/>
        <v>374.9443304827501</v>
      </c>
      <c r="F1138" s="397" t="s">
        <v>166</v>
      </c>
      <c r="G1138" s="75" t="s">
        <v>147</v>
      </c>
      <c r="H1138" s="90">
        <v>50.08</v>
      </c>
      <c r="I1138" s="90">
        <v>8.7100000000000009</v>
      </c>
      <c r="J1138" s="76">
        <v>0.105</v>
      </c>
      <c r="K1138" s="306">
        <v>16.38</v>
      </c>
      <c r="L1138" s="78">
        <f t="shared" si="134"/>
        <v>13.278421182609478</v>
      </c>
      <c r="M1138" s="58">
        <f>+VLOOKUP(F1138,Material!$H$2:$M$17,6,FALSE)*H1138*I1138*(1+Material!$K$14)</f>
        <v>98.863881350519648</v>
      </c>
      <c r="N1138" s="79" t="str">
        <f t="shared" si="147"/>
        <v>T5.0</v>
      </c>
      <c r="O1138" s="80">
        <f>+VLOOKUP(N1138,[3]Material!$A$3:$B$58,2,FALSE)</f>
        <v>5000</v>
      </c>
      <c r="P1138" s="79" t="s">
        <v>42</v>
      </c>
      <c r="Q1138" s="79" t="str">
        <f>+VLOOKUP(F1138,[3]Material!$C$2:$E$12,2,FALSE)</f>
        <v>Cal 16</v>
      </c>
      <c r="R1138" s="81">
        <f>+IF(P1138="ACERO A36",VLOOKUP(Q1138,'[3]Velocidades Std 1500 w'!$B$2:$F$15,5,FALSE),IF(P1138="INOXIDABLE",VLOOKUP(Q1138,'[3]Velocidades Std 1500 w'!$B$17:$F$28,5,FALSE),IF(P1138="ALUMINIO",VLOOKUP(Q1138,'[3]Velocidades Std 1500 w'!$B$30:$F$38,5,FALSE))))</f>
        <v>9.1575091575091579E-7</v>
      </c>
      <c r="S1138" s="82">
        <f t="shared" si="135"/>
        <v>4.578754578754579E-3</v>
      </c>
      <c r="T1138" s="83">
        <f t="shared" si="136"/>
        <v>12.975687692307691</v>
      </c>
      <c r="U1138" s="307">
        <f t="shared" si="150"/>
        <v>3935.9585999999995</v>
      </c>
      <c r="V1138" s="80">
        <f t="shared" si="146"/>
        <v>18.02178846153846</v>
      </c>
      <c r="W1138" s="98">
        <v>20</v>
      </c>
      <c r="X1138" s="84">
        <f>+IF(P1138="ACERO A36",VLOOKUP(Q1138,'[3]Tiempo Objeto'!$B$2:$C$12,2,FALSE),IF(P1138="INOXIDABLE",VLOOKUP(Q1138,'[3]Tiempo Objeto'!$B$14:$C$22,2,FALSE),IF(P1138="ALUMINIO",VLOOKUP(Q1138,'[3]Tiempo Objeto'!$B$24:$C$32,2,FALSE))))</f>
        <v>0.24666666666666667</v>
      </c>
      <c r="Y1138" s="84">
        <f t="shared" si="137"/>
        <v>4.9333333333333336</v>
      </c>
      <c r="Z1138" s="80">
        <f t="shared" si="138"/>
        <v>6.8518518518518521</v>
      </c>
      <c r="AA1138" s="100">
        <v>6</v>
      </c>
      <c r="AB1138" s="86">
        <f>+AA1138*Analisis!$J$6</f>
        <v>150</v>
      </c>
      <c r="AC1138" s="100"/>
      <c r="AD1138" s="85">
        <f t="shared" si="139"/>
        <v>0</v>
      </c>
      <c r="AE1138" s="86">
        <f>+AC1138*Analisis!$J$7</f>
        <v>0</v>
      </c>
      <c r="AF1138" s="308">
        <f>+H1138*0.0254*I1138*0.0254*2*(1+[3]Analisis!$G$2)</f>
        <v>0.70354181871999999</v>
      </c>
      <c r="AG1138" s="86">
        <f>+AF1138*Analisis!$J$8</f>
        <v>74.960705685047643</v>
      </c>
      <c r="AH1138" s="309">
        <f t="shared" ref="AH1138:AH1201" si="151">+AE1138+AB1138+Z1138+V1138+M1138+AG1138</f>
        <v>348.69822734895757</v>
      </c>
      <c r="AI1138" s="86">
        <f>+AH1138/(1-Analisis!G1143)</f>
        <v>348.69822734895757</v>
      </c>
      <c r="AJ1138" s="86">
        <f t="shared" si="140"/>
        <v>374.9443304827501</v>
      </c>
      <c r="AK1138" s="86">
        <f t="shared" ref="AK1138:AK1201" si="152">+AJ1138*D1138</f>
        <v>0</v>
      </c>
      <c r="AL1138" s="310" t="e">
        <f>+VLOOKUP(B1138,#REF!,2,FALSE)</f>
        <v>#REF!</v>
      </c>
      <c r="AM1138" s="311" t="e">
        <f t="shared" si="149"/>
        <v>#REF!</v>
      </c>
      <c r="AN1138" s="312" t="e">
        <f t="shared" si="148"/>
        <v>#REF!</v>
      </c>
    </row>
    <row r="1139" spans="1:40" s="73" customFormat="1" x14ac:dyDescent="0.25">
      <c r="A1139" s="313"/>
      <c r="B1139" s="333" t="s">
        <v>1770</v>
      </c>
      <c r="D1139" s="74">
        <f>IFERROR(VLOOKUP(B1139,'REQ. PINTADO'!B:C,2,0),0)</f>
        <v>0</v>
      </c>
      <c r="E1139" s="305">
        <f t="shared" si="133"/>
        <v>398.91316279732348</v>
      </c>
      <c r="F1139" s="397" t="s">
        <v>166</v>
      </c>
      <c r="G1139" s="75" t="s">
        <v>147</v>
      </c>
      <c r="H1139" s="90">
        <v>56.08</v>
      </c>
      <c r="I1139" s="90">
        <v>8.7100000000000009</v>
      </c>
      <c r="J1139" s="76">
        <v>0.105</v>
      </c>
      <c r="K1139" s="306">
        <v>16.38</v>
      </c>
      <c r="L1139" s="78">
        <f t="shared" si="134"/>
        <v>14.869286340270358</v>
      </c>
      <c r="M1139" s="58">
        <f>+VLOOKUP(F1139,Material!$H$2:$M$17,6,FALSE)*H1139*I1139*(1+Material!$K$14)</f>
        <v>110.7085955698311</v>
      </c>
      <c r="N1139" s="79" t="str">
        <f t="shared" si="147"/>
        <v>T5.0</v>
      </c>
      <c r="O1139" s="80">
        <f>+VLOOKUP(N1139,[3]Material!$A$3:$B$58,2,FALSE)</f>
        <v>5000</v>
      </c>
      <c r="P1139" s="79" t="s">
        <v>42</v>
      </c>
      <c r="Q1139" s="79" t="str">
        <f>+VLOOKUP(F1139,[3]Material!$C$2:$E$12,2,FALSE)</f>
        <v>Cal 16</v>
      </c>
      <c r="R1139" s="81">
        <f>+IF(P1139="ACERO A36",VLOOKUP(Q1139,'[3]Velocidades Std 1500 w'!$B$2:$F$15,5,FALSE),IF(P1139="INOXIDABLE",VLOOKUP(Q1139,'[3]Velocidades Std 1500 w'!$B$17:$F$28,5,FALSE),IF(P1139="ALUMINIO",VLOOKUP(Q1139,'[3]Velocidades Std 1500 w'!$B$30:$F$38,5,FALSE))))</f>
        <v>9.1575091575091579E-7</v>
      </c>
      <c r="S1139" s="82">
        <f t="shared" si="135"/>
        <v>4.578754578754579E-3</v>
      </c>
      <c r="T1139" s="83">
        <f t="shared" si="136"/>
        <v>14.030764615384616</v>
      </c>
      <c r="U1139" s="307">
        <f t="shared" si="150"/>
        <v>4255.9985999999999</v>
      </c>
      <c r="V1139" s="80">
        <f t="shared" si="146"/>
        <v>19.487173076923078</v>
      </c>
      <c r="W1139" s="98">
        <v>20</v>
      </c>
      <c r="X1139" s="84">
        <f>+IF(P1139="ACERO A36",VLOOKUP(Q1139,'[3]Tiempo Objeto'!$B$2:$C$12,2,FALSE),IF(P1139="INOXIDABLE",VLOOKUP(Q1139,'[3]Tiempo Objeto'!$B$14:$C$22,2,FALSE),IF(P1139="ALUMINIO",VLOOKUP(Q1139,'[3]Tiempo Objeto'!$B$24:$C$32,2,FALSE))))</f>
        <v>0.24666666666666667</v>
      </c>
      <c r="Y1139" s="84">
        <f t="shared" si="137"/>
        <v>4.9333333333333336</v>
      </c>
      <c r="Z1139" s="80">
        <f t="shared" si="138"/>
        <v>6.8518518518518521</v>
      </c>
      <c r="AA1139" s="100">
        <v>6</v>
      </c>
      <c r="AB1139" s="86">
        <f>+AA1139*Analisis!$J$6</f>
        <v>150</v>
      </c>
      <c r="AC1139" s="100"/>
      <c r="AD1139" s="85">
        <f t="shared" si="139"/>
        <v>0</v>
      </c>
      <c r="AE1139" s="86">
        <f>+AC1139*Analisis!$J$7</f>
        <v>0</v>
      </c>
      <c r="AF1139" s="308">
        <f>+H1139*0.0254*I1139*0.0254*2*(1+[3]Analisis!$G$2)</f>
        <v>0.78783197271999994</v>
      </c>
      <c r="AG1139" s="86">
        <f>+AF1139*Analisis!$J$8</f>
        <v>83.941620902904774</v>
      </c>
      <c r="AH1139" s="309">
        <f t="shared" si="151"/>
        <v>370.98924140151081</v>
      </c>
      <c r="AI1139" s="86">
        <f>+AH1139/(1-Analisis!G1144)</f>
        <v>370.98924140151081</v>
      </c>
      <c r="AJ1139" s="86">
        <f t="shared" si="140"/>
        <v>398.91316279732348</v>
      </c>
      <c r="AK1139" s="86">
        <f t="shared" si="152"/>
        <v>0</v>
      </c>
      <c r="AL1139" s="310" t="e">
        <f>+VLOOKUP(B1139,#REF!,2,FALSE)</f>
        <v>#REF!</v>
      </c>
      <c r="AM1139" s="311" t="e">
        <f t="shared" si="149"/>
        <v>#REF!</v>
      </c>
      <c r="AN1139" s="312" t="e">
        <f t="shared" si="148"/>
        <v>#REF!</v>
      </c>
    </row>
    <row r="1140" spans="1:40" s="73" customFormat="1" x14ac:dyDescent="0.25">
      <c r="A1140" s="313"/>
      <c r="B1140" s="333" t="s">
        <v>1771</v>
      </c>
      <c r="D1140" s="74">
        <f>IFERROR(VLOOKUP(B1140,'REQ. PINTADO'!B:C,2,0),0)</f>
        <v>0</v>
      </c>
      <c r="E1140" s="305">
        <f t="shared" si="133"/>
        <v>236.73880986187655</v>
      </c>
      <c r="F1140" s="397" t="s">
        <v>166</v>
      </c>
      <c r="G1140" s="75" t="s">
        <v>147</v>
      </c>
      <c r="H1140" s="90">
        <v>11.21</v>
      </c>
      <c r="I1140" s="90">
        <v>12.08</v>
      </c>
      <c r="J1140" s="76">
        <v>0.105</v>
      </c>
      <c r="K1140" s="306">
        <v>16.38</v>
      </c>
      <c r="L1140" s="78">
        <f t="shared" si="134"/>
        <v>4.122270740182393</v>
      </c>
      <c r="M1140" s="58">
        <f>+VLOOKUP(F1140,Material!$H$2:$M$17,6,FALSE)*H1140*I1140*(1+Material!$K$14)</f>
        <v>30.692179420085264</v>
      </c>
      <c r="N1140" s="79" t="str">
        <f t="shared" si="147"/>
        <v>T5.0</v>
      </c>
      <c r="O1140" s="80">
        <f>+VLOOKUP(N1140,[3]Material!$A$3:$B$58,2,FALSE)</f>
        <v>5000</v>
      </c>
      <c r="P1140" s="79" t="s">
        <v>42</v>
      </c>
      <c r="Q1140" s="79" t="str">
        <f>+VLOOKUP(F1140,[3]Material!$C$2:$E$12,2,FALSE)</f>
        <v>Cal 16</v>
      </c>
      <c r="R1140" s="81">
        <f>+IF(P1140="ACERO A36",VLOOKUP(Q1140,'[3]Velocidades Std 1500 w'!$B$2:$F$15,5,FALSE),IF(P1140="INOXIDABLE",VLOOKUP(Q1140,'[3]Velocidades Std 1500 w'!$B$17:$F$28,5,FALSE),IF(P1140="ALUMINIO",VLOOKUP(Q1140,'[3]Velocidades Std 1500 w'!$B$30:$F$38,5,FALSE))))</f>
        <v>9.1575091575091579E-7</v>
      </c>
      <c r="S1140" s="82">
        <f t="shared" si="135"/>
        <v>4.578754578754579E-3</v>
      </c>
      <c r="T1140" s="83">
        <f t="shared" si="136"/>
        <v>6.7331492307692313</v>
      </c>
      <c r="U1140" s="307">
        <f t="shared" si="150"/>
        <v>2042.3886</v>
      </c>
      <c r="V1140" s="80">
        <f t="shared" si="146"/>
        <v>9.3515961538461543</v>
      </c>
      <c r="W1140" s="98">
        <v>20</v>
      </c>
      <c r="X1140" s="84">
        <f>+IF(P1140="ACERO A36",VLOOKUP(Q1140,'[3]Tiempo Objeto'!$B$2:$C$12,2,FALSE),IF(P1140="INOXIDABLE",VLOOKUP(Q1140,'[3]Tiempo Objeto'!$B$14:$C$22,2,FALSE),IF(P1140="ALUMINIO",VLOOKUP(Q1140,'[3]Tiempo Objeto'!$B$24:$C$32,2,FALSE))))</f>
        <v>0.24666666666666667</v>
      </c>
      <c r="Y1140" s="84">
        <f t="shared" si="137"/>
        <v>4.9333333333333336</v>
      </c>
      <c r="Z1140" s="80">
        <f t="shared" si="138"/>
        <v>6.8518518518518521</v>
      </c>
      <c r="AA1140" s="100">
        <v>6</v>
      </c>
      <c r="AB1140" s="86">
        <f>+AA1140*Analisis!$J$6</f>
        <v>150</v>
      </c>
      <c r="AC1140" s="100"/>
      <c r="AD1140" s="85">
        <f t="shared" si="139"/>
        <v>0</v>
      </c>
      <c r="AE1140" s="86">
        <f>+AC1140*Analisis!$J$7</f>
        <v>0</v>
      </c>
      <c r="AF1140" s="308">
        <f>+H1140*0.0254*I1140*0.0254*2*(1+[3]Analisis!$G$2)</f>
        <v>0.21841375671999996</v>
      </c>
      <c r="AG1140" s="86">
        <f>+AF1140*Analisis!$J$8</f>
        <v>23.271465745761908</v>
      </c>
      <c r="AH1140" s="309">
        <f t="shared" si="151"/>
        <v>220.16709317154516</v>
      </c>
      <c r="AI1140" s="86">
        <f>+AH1140/(1-Analisis!G1145)</f>
        <v>220.16709317154516</v>
      </c>
      <c r="AJ1140" s="86">
        <f t="shared" si="140"/>
        <v>236.73880986187655</v>
      </c>
      <c r="AK1140" s="86">
        <f t="shared" si="152"/>
        <v>0</v>
      </c>
      <c r="AL1140" s="310" t="e">
        <f>+VLOOKUP(B1140,#REF!,2,FALSE)</f>
        <v>#REF!</v>
      </c>
      <c r="AM1140" s="311" t="e">
        <f t="shared" si="149"/>
        <v>#REF!</v>
      </c>
      <c r="AN1140" s="312" t="e">
        <f t="shared" si="148"/>
        <v>#REF!</v>
      </c>
    </row>
    <row r="1141" spans="1:40" s="73" customFormat="1" x14ac:dyDescent="0.25">
      <c r="A1141" s="313"/>
      <c r="B1141" s="333" t="s">
        <v>1772</v>
      </c>
      <c r="D1141" s="74">
        <f>IFERROR(VLOOKUP(B1141,'REQ. PINTADO'!B:C,2,0),0)</f>
        <v>0</v>
      </c>
      <c r="E1141" s="305">
        <f t="shared" si="133"/>
        <v>257.00298164075389</v>
      </c>
      <c r="F1141" s="397" t="s">
        <v>166</v>
      </c>
      <c r="G1141" s="75" t="s">
        <v>147</v>
      </c>
      <c r="H1141" s="90">
        <v>11.21</v>
      </c>
      <c r="I1141" s="90">
        <v>16.079999999999998</v>
      </c>
      <c r="J1141" s="76">
        <v>0.105</v>
      </c>
      <c r="K1141" s="306">
        <v>16.38</v>
      </c>
      <c r="L1141" s="78">
        <f t="shared" si="134"/>
        <v>5.4872610515010649</v>
      </c>
      <c r="M1141" s="58">
        <f>+VLOOKUP(F1141,Material!$H$2:$M$17,6,FALSE)*H1141*I1141*(1+Material!$K$14)</f>
        <v>40.855152737994288</v>
      </c>
      <c r="N1141" s="79" t="str">
        <f t="shared" si="147"/>
        <v>T5.0</v>
      </c>
      <c r="O1141" s="80">
        <f>+VLOOKUP(N1141,[3]Material!$A$3:$B$58,2,FALSE)</f>
        <v>5000</v>
      </c>
      <c r="P1141" s="79" t="s">
        <v>42</v>
      </c>
      <c r="Q1141" s="79" t="str">
        <f>+VLOOKUP(F1141,[3]Material!$C$2:$E$12,2,FALSE)</f>
        <v>Cal 16</v>
      </c>
      <c r="R1141" s="81">
        <f>+IF(P1141="ACERO A36",VLOOKUP(Q1141,'[3]Velocidades Std 1500 w'!$B$2:$F$15,5,FALSE),IF(P1141="INOXIDABLE",VLOOKUP(Q1141,'[3]Velocidades Std 1500 w'!$B$17:$F$28,5,FALSE),IF(P1141="ALUMINIO",VLOOKUP(Q1141,'[3]Velocidades Std 1500 w'!$B$30:$F$38,5,FALSE))))</f>
        <v>9.1575091575091579E-7</v>
      </c>
      <c r="S1141" s="82">
        <f t="shared" si="135"/>
        <v>4.578754578754579E-3</v>
      </c>
      <c r="T1141" s="83">
        <f t="shared" si="136"/>
        <v>7.4365338461538464</v>
      </c>
      <c r="U1141" s="307">
        <f t="shared" si="150"/>
        <v>2255.7485999999999</v>
      </c>
      <c r="V1141" s="80">
        <f t="shared" si="146"/>
        <v>10.328519230769231</v>
      </c>
      <c r="W1141" s="98">
        <v>20</v>
      </c>
      <c r="X1141" s="84">
        <f>+IF(P1141="ACERO A36",VLOOKUP(Q1141,'[3]Tiempo Objeto'!$B$2:$C$12,2,FALSE),IF(P1141="INOXIDABLE",VLOOKUP(Q1141,'[3]Tiempo Objeto'!$B$14:$C$22,2,FALSE),IF(P1141="ALUMINIO",VLOOKUP(Q1141,'[3]Tiempo Objeto'!$B$24:$C$32,2,FALSE))))</f>
        <v>0.24666666666666667</v>
      </c>
      <c r="Y1141" s="84">
        <f t="shared" si="137"/>
        <v>4.9333333333333336</v>
      </c>
      <c r="Z1141" s="80">
        <f t="shared" si="138"/>
        <v>6.8518518518518521</v>
      </c>
      <c r="AA1141" s="100">
        <v>6</v>
      </c>
      <c r="AB1141" s="86">
        <f>+AA1141*Analisis!$J$6</f>
        <v>150</v>
      </c>
      <c r="AC1141" s="100"/>
      <c r="AD1141" s="85">
        <f t="shared" si="139"/>
        <v>0</v>
      </c>
      <c r="AE1141" s="86">
        <f>+AC1141*Analisis!$J$7</f>
        <v>0</v>
      </c>
      <c r="AF1141" s="308">
        <f>+H1141*0.0254*I1141*0.0254*2*(1+[3]Analisis!$G$2)</f>
        <v>0.29073619271999995</v>
      </c>
      <c r="AG1141" s="86">
        <f>+AF1141*Analisis!$J$8</f>
        <v>30.977249105285718</v>
      </c>
      <c r="AH1141" s="309">
        <f t="shared" si="151"/>
        <v>239.01277292590109</v>
      </c>
      <c r="AI1141" s="86">
        <f>+AH1141/(1-Analisis!G1146)</f>
        <v>239.01277292590109</v>
      </c>
      <c r="AJ1141" s="86">
        <f t="shared" si="140"/>
        <v>257.00298164075389</v>
      </c>
      <c r="AK1141" s="86">
        <f t="shared" si="152"/>
        <v>0</v>
      </c>
      <c r="AL1141" s="310" t="e">
        <f>+VLOOKUP(B1141,#REF!,2,FALSE)</f>
        <v>#REF!</v>
      </c>
      <c r="AM1141" s="311" t="e">
        <f t="shared" si="149"/>
        <v>#REF!</v>
      </c>
      <c r="AN1141" s="312" t="e">
        <f t="shared" si="148"/>
        <v>#REF!</v>
      </c>
    </row>
    <row r="1142" spans="1:40" s="73" customFormat="1" x14ac:dyDescent="0.25">
      <c r="A1142" s="313"/>
      <c r="B1142" s="333" t="s">
        <v>1773</v>
      </c>
      <c r="D1142" s="74">
        <f>IFERROR(VLOOKUP(B1142,'REQ. PINTADO'!B:C,2,0),0)</f>
        <v>0</v>
      </c>
      <c r="E1142" s="305">
        <f t="shared" si="133"/>
        <v>267.13506753019254</v>
      </c>
      <c r="F1142" s="397" t="s">
        <v>166</v>
      </c>
      <c r="G1142" s="75" t="s">
        <v>147</v>
      </c>
      <c r="H1142" s="90">
        <v>11.21</v>
      </c>
      <c r="I1142" s="90">
        <v>18.079999999999998</v>
      </c>
      <c r="J1142" s="76">
        <v>0.105</v>
      </c>
      <c r="K1142" s="306">
        <v>16.38</v>
      </c>
      <c r="L1142" s="78">
        <f t="shared" si="134"/>
        <v>6.1697562071604022</v>
      </c>
      <c r="M1142" s="58">
        <f>+VLOOKUP(F1142,Material!$H$2:$M$17,6,FALSE)*H1142*I1142*(1+Material!$K$14)</f>
        <v>45.936639396948806</v>
      </c>
      <c r="N1142" s="79" t="str">
        <f t="shared" si="147"/>
        <v>T5.0</v>
      </c>
      <c r="O1142" s="80">
        <f>+VLOOKUP(N1142,[3]Material!$A$3:$B$58,2,FALSE)</f>
        <v>5000</v>
      </c>
      <c r="P1142" s="79" t="s">
        <v>42</v>
      </c>
      <c r="Q1142" s="79" t="str">
        <f>+VLOOKUP(F1142,[3]Material!$C$2:$E$12,2,FALSE)</f>
        <v>Cal 16</v>
      </c>
      <c r="R1142" s="81">
        <f>+IF(P1142="ACERO A36",VLOOKUP(Q1142,'[3]Velocidades Std 1500 w'!$B$2:$F$15,5,FALSE),IF(P1142="INOXIDABLE",VLOOKUP(Q1142,'[3]Velocidades Std 1500 w'!$B$17:$F$28,5,FALSE),IF(P1142="ALUMINIO",VLOOKUP(Q1142,'[3]Velocidades Std 1500 w'!$B$30:$F$38,5,FALSE))))</f>
        <v>9.1575091575091579E-7</v>
      </c>
      <c r="S1142" s="82">
        <f t="shared" si="135"/>
        <v>4.578754578754579E-3</v>
      </c>
      <c r="T1142" s="83">
        <f t="shared" si="136"/>
        <v>7.7882261538461535</v>
      </c>
      <c r="U1142" s="307">
        <f t="shared" si="150"/>
        <v>2362.4285999999997</v>
      </c>
      <c r="V1142" s="80">
        <f t="shared" si="146"/>
        <v>10.816980769230769</v>
      </c>
      <c r="W1142" s="98">
        <v>20</v>
      </c>
      <c r="X1142" s="84">
        <f>+IF(P1142="ACERO A36",VLOOKUP(Q1142,'[3]Tiempo Objeto'!$B$2:$C$12,2,FALSE),IF(P1142="INOXIDABLE",VLOOKUP(Q1142,'[3]Tiempo Objeto'!$B$14:$C$22,2,FALSE),IF(P1142="ALUMINIO",VLOOKUP(Q1142,'[3]Tiempo Objeto'!$B$24:$C$32,2,FALSE))))</f>
        <v>0.24666666666666667</v>
      </c>
      <c r="Y1142" s="84">
        <f t="shared" si="137"/>
        <v>4.9333333333333336</v>
      </c>
      <c r="Z1142" s="80">
        <f t="shared" si="138"/>
        <v>6.8518518518518521</v>
      </c>
      <c r="AA1142" s="100">
        <v>6</v>
      </c>
      <c r="AB1142" s="86">
        <f>+AA1142*Analisis!$J$6</f>
        <v>150</v>
      </c>
      <c r="AC1142" s="100"/>
      <c r="AD1142" s="85">
        <f t="shared" si="139"/>
        <v>0</v>
      </c>
      <c r="AE1142" s="86">
        <f>+AC1142*Analisis!$J$7</f>
        <v>0</v>
      </c>
      <c r="AF1142" s="308">
        <f>+H1142*0.0254*I1142*0.0254*2*(1+[3]Analisis!$G$2)</f>
        <v>0.32689741071999989</v>
      </c>
      <c r="AG1142" s="86">
        <f>+AF1142*Analisis!$J$8</f>
        <v>34.830140785047618</v>
      </c>
      <c r="AH1142" s="309">
        <f t="shared" si="151"/>
        <v>248.43561280307904</v>
      </c>
      <c r="AI1142" s="86">
        <f>+AH1142/(1-Analisis!G1147)</f>
        <v>248.43561280307904</v>
      </c>
      <c r="AJ1142" s="86">
        <f t="shared" si="140"/>
        <v>267.13506753019254</v>
      </c>
      <c r="AK1142" s="86">
        <f t="shared" si="152"/>
        <v>0</v>
      </c>
      <c r="AL1142" s="310" t="e">
        <f>+VLOOKUP(B1142,#REF!,2,FALSE)</f>
        <v>#REF!</v>
      </c>
      <c r="AM1142" s="311" t="e">
        <f t="shared" si="149"/>
        <v>#REF!</v>
      </c>
      <c r="AN1142" s="312" t="e">
        <f t="shared" si="148"/>
        <v>#REF!</v>
      </c>
    </row>
    <row r="1143" spans="1:40" s="73" customFormat="1" x14ac:dyDescent="0.25">
      <c r="A1143" s="313"/>
      <c r="B1143" s="333" t="s">
        <v>1774</v>
      </c>
      <c r="D1143" s="74">
        <f>IFERROR(VLOOKUP(B1143,'REQ. PINTADO'!B:C,2,0),0)</f>
        <v>0</v>
      </c>
      <c r="E1143" s="305">
        <f t="shared" si="133"/>
        <v>297.53132519850851</v>
      </c>
      <c r="F1143" s="397" t="s">
        <v>166</v>
      </c>
      <c r="G1143" s="75" t="s">
        <v>147</v>
      </c>
      <c r="H1143" s="90">
        <v>11.21</v>
      </c>
      <c r="I1143" s="90">
        <v>24.08</v>
      </c>
      <c r="J1143" s="76">
        <v>0.105</v>
      </c>
      <c r="K1143" s="306">
        <v>16.38</v>
      </c>
      <c r="L1143" s="78">
        <f t="shared" si="134"/>
        <v>8.2172416741384104</v>
      </c>
      <c r="M1143" s="58">
        <f>+VLOOKUP(F1143,Material!$H$2:$M$17,6,FALSE)*H1143*I1143*(1+Material!$K$14)</f>
        <v>61.181099373812344</v>
      </c>
      <c r="N1143" s="79" t="str">
        <f t="shared" si="147"/>
        <v>T5.0</v>
      </c>
      <c r="O1143" s="80">
        <f>+VLOOKUP(N1143,[3]Material!$A$3:$B$58,2,FALSE)</f>
        <v>5000</v>
      </c>
      <c r="P1143" s="79" t="s">
        <v>42</v>
      </c>
      <c r="Q1143" s="79" t="str">
        <f>+VLOOKUP(F1143,[3]Material!$C$2:$E$12,2,FALSE)</f>
        <v>Cal 16</v>
      </c>
      <c r="R1143" s="81">
        <f>+IF(P1143="ACERO A36",VLOOKUP(Q1143,'[3]Velocidades Std 1500 w'!$B$2:$F$15,5,FALSE),IF(P1143="INOXIDABLE",VLOOKUP(Q1143,'[3]Velocidades Std 1500 w'!$B$17:$F$28,5,FALSE),IF(P1143="ALUMINIO",VLOOKUP(Q1143,'[3]Velocidades Std 1500 w'!$B$30:$F$38,5,FALSE))))</f>
        <v>9.1575091575091579E-7</v>
      </c>
      <c r="S1143" s="82">
        <f t="shared" si="135"/>
        <v>4.578754578754579E-3</v>
      </c>
      <c r="T1143" s="83">
        <f t="shared" si="136"/>
        <v>8.8433030769230783</v>
      </c>
      <c r="U1143" s="307">
        <f t="shared" si="150"/>
        <v>2682.4686000000002</v>
      </c>
      <c r="V1143" s="80">
        <f t="shared" si="146"/>
        <v>12.282365384615385</v>
      </c>
      <c r="W1143" s="98">
        <v>20</v>
      </c>
      <c r="X1143" s="84">
        <f>+IF(P1143="ACERO A36",VLOOKUP(Q1143,'[3]Tiempo Objeto'!$B$2:$C$12,2,FALSE),IF(P1143="INOXIDABLE",VLOOKUP(Q1143,'[3]Tiempo Objeto'!$B$14:$C$22,2,FALSE),IF(P1143="ALUMINIO",VLOOKUP(Q1143,'[3]Tiempo Objeto'!$B$24:$C$32,2,FALSE))))</f>
        <v>0.24666666666666667</v>
      </c>
      <c r="Y1143" s="84">
        <f t="shared" si="137"/>
        <v>4.9333333333333336</v>
      </c>
      <c r="Z1143" s="80">
        <f t="shared" si="138"/>
        <v>6.8518518518518521</v>
      </c>
      <c r="AA1143" s="100">
        <v>6</v>
      </c>
      <c r="AB1143" s="86">
        <f>+AA1143*Analisis!$J$6</f>
        <v>150</v>
      </c>
      <c r="AC1143" s="100"/>
      <c r="AD1143" s="85">
        <f t="shared" si="139"/>
        <v>0</v>
      </c>
      <c r="AE1143" s="86">
        <f>+AC1143*Analisis!$J$7</f>
        <v>0</v>
      </c>
      <c r="AF1143" s="308">
        <f>+H1143*0.0254*I1143*0.0254*2*(1+[3]Analisis!$G$2)</f>
        <v>0.43538106471999993</v>
      </c>
      <c r="AG1143" s="86">
        <f>+AF1143*Analisis!$J$8</f>
        <v>46.388815824333342</v>
      </c>
      <c r="AH1143" s="309">
        <f t="shared" si="151"/>
        <v>276.70413243461292</v>
      </c>
      <c r="AI1143" s="86">
        <f>+AH1143/(1-Analisis!G1148)</f>
        <v>276.70413243461292</v>
      </c>
      <c r="AJ1143" s="86">
        <f t="shared" si="140"/>
        <v>297.53132519850851</v>
      </c>
      <c r="AK1143" s="86">
        <f t="shared" si="152"/>
        <v>0</v>
      </c>
      <c r="AL1143" s="310" t="e">
        <f>+VLOOKUP(B1143,#REF!,2,FALSE)</f>
        <v>#REF!</v>
      </c>
      <c r="AM1143" s="311" t="e">
        <f t="shared" si="149"/>
        <v>#REF!</v>
      </c>
      <c r="AN1143" s="312" t="e">
        <f t="shared" si="148"/>
        <v>#REF!</v>
      </c>
    </row>
    <row r="1144" spans="1:40" s="73" customFormat="1" x14ac:dyDescent="0.25">
      <c r="A1144" s="313"/>
      <c r="B1144" s="333" t="s">
        <v>1775</v>
      </c>
      <c r="D1144" s="74">
        <f>IFERROR(VLOOKUP(B1144,'REQ. PINTADO'!B:C,2,0),0)</f>
        <v>0</v>
      </c>
      <c r="E1144" s="305">
        <f t="shared" si="133"/>
        <v>327.92758286682454</v>
      </c>
      <c r="F1144" s="397" t="s">
        <v>166</v>
      </c>
      <c r="G1144" s="75" t="s">
        <v>147</v>
      </c>
      <c r="H1144" s="90">
        <v>11.21</v>
      </c>
      <c r="I1144" s="90">
        <v>30.08</v>
      </c>
      <c r="J1144" s="76">
        <v>0.105</v>
      </c>
      <c r="K1144" s="306">
        <v>16.38</v>
      </c>
      <c r="L1144" s="78">
        <f t="shared" si="134"/>
        <v>10.26472714111642</v>
      </c>
      <c r="M1144" s="58">
        <f>+VLOOKUP(F1144,Material!$H$2:$M$17,6,FALSE)*H1144*I1144*(1+Material!$K$14)</f>
        <v>76.425559350675883</v>
      </c>
      <c r="N1144" s="79" t="str">
        <f t="shared" si="147"/>
        <v>T5.0</v>
      </c>
      <c r="O1144" s="80">
        <f>+VLOOKUP(N1144,[3]Material!$A$3:$B$58,2,FALSE)</f>
        <v>5000</v>
      </c>
      <c r="P1144" s="79" t="s">
        <v>42</v>
      </c>
      <c r="Q1144" s="79" t="str">
        <f>+VLOOKUP(F1144,[3]Material!$C$2:$E$12,2,FALSE)</f>
        <v>Cal 16</v>
      </c>
      <c r="R1144" s="81">
        <f>+IF(P1144="ACERO A36",VLOOKUP(Q1144,'[3]Velocidades Std 1500 w'!$B$2:$F$15,5,FALSE),IF(P1144="INOXIDABLE",VLOOKUP(Q1144,'[3]Velocidades Std 1500 w'!$B$17:$F$28,5,FALSE),IF(P1144="ALUMINIO",VLOOKUP(Q1144,'[3]Velocidades Std 1500 w'!$B$30:$F$38,5,FALSE))))</f>
        <v>9.1575091575091579E-7</v>
      </c>
      <c r="S1144" s="82">
        <f t="shared" si="135"/>
        <v>4.578754578754579E-3</v>
      </c>
      <c r="T1144" s="83">
        <f t="shared" si="136"/>
        <v>9.8983799999999995</v>
      </c>
      <c r="U1144" s="307">
        <f t="shared" si="150"/>
        <v>3002.5085999999997</v>
      </c>
      <c r="V1144" s="80">
        <f t="shared" si="146"/>
        <v>13.74775</v>
      </c>
      <c r="W1144" s="98">
        <v>20</v>
      </c>
      <c r="X1144" s="84">
        <f>+IF(P1144="ACERO A36",VLOOKUP(Q1144,'[3]Tiempo Objeto'!$B$2:$C$12,2,FALSE),IF(P1144="INOXIDABLE",VLOOKUP(Q1144,'[3]Tiempo Objeto'!$B$14:$C$22,2,FALSE),IF(P1144="ALUMINIO",VLOOKUP(Q1144,'[3]Tiempo Objeto'!$B$24:$C$32,2,FALSE))))</f>
        <v>0.24666666666666667</v>
      </c>
      <c r="Y1144" s="84">
        <f t="shared" si="137"/>
        <v>4.9333333333333336</v>
      </c>
      <c r="Z1144" s="80">
        <f t="shared" si="138"/>
        <v>6.8518518518518521</v>
      </c>
      <c r="AA1144" s="100">
        <v>6</v>
      </c>
      <c r="AB1144" s="86">
        <f>+AA1144*Analisis!$J$6</f>
        <v>150</v>
      </c>
      <c r="AC1144" s="100"/>
      <c r="AD1144" s="85">
        <f t="shared" si="139"/>
        <v>0</v>
      </c>
      <c r="AE1144" s="86">
        <f>+AC1144*Analisis!$J$7</f>
        <v>0</v>
      </c>
      <c r="AF1144" s="308">
        <f>+H1144*0.0254*I1144*0.0254*2*(1+[3]Analisis!$G$2)</f>
        <v>0.54386471871999986</v>
      </c>
      <c r="AG1144" s="86">
        <f>+AF1144*Analisis!$J$8</f>
        <v>57.947490863619052</v>
      </c>
      <c r="AH1144" s="309">
        <f t="shared" si="151"/>
        <v>304.97265206614679</v>
      </c>
      <c r="AI1144" s="86">
        <f>+AH1144/(1-Analisis!G1149)</f>
        <v>304.97265206614679</v>
      </c>
      <c r="AJ1144" s="86">
        <f t="shared" si="140"/>
        <v>327.92758286682454</v>
      </c>
      <c r="AK1144" s="86">
        <f t="shared" si="152"/>
        <v>0</v>
      </c>
      <c r="AL1144" s="310" t="e">
        <f>+VLOOKUP(B1144,#REF!,2,FALSE)</f>
        <v>#REF!</v>
      </c>
      <c r="AM1144" s="311" t="e">
        <f t="shared" si="149"/>
        <v>#REF!</v>
      </c>
      <c r="AN1144" s="312" t="e">
        <f t="shared" si="148"/>
        <v>#REF!</v>
      </c>
    </row>
    <row r="1145" spans="1:40" s="73" customFormat="1" x14ac:dyDescent="0.25">
      <c r="A1145" s="313"/>
      <c r="B1145" s="333" t="s">
        <v>1776</v>
      </c>
      <c r="D1145" s="74">
        <f>IFERROR(VLOOKUP(B1145,'REQ. PINTADO'!B:C,2,0),0)</f>
        <v>0</v>
      </c>
      <c r="E1145" s="305">
        <f t="shared" si="133"/>
        <v>358.3238405351405</v>
      </c>
      <c r="F1145" s="397" t="s">
        <v>166</v>
      </c>
      <c r="G1145" s="75" t="s">
        <v>147</v>
      </c>
      <c r="H1145" s="90">
        <v>11.21</v>
      </c>
      <c r="I1145" s="90">
        <v>36.08</v>
      </c>
      <c r="J1145" s="76">
        <v>0.105</v>
      </c>
      <c r="K1145" s="306">
        <v>16.38</v>
      </c>
      <c r="L1145" s="78">
        <f t="shared" si="134"/>
        <v>12.312212608094431</v>
      </c>
      <c r="M1145" s="58">
        <f>+VLOOKUP(F1145,Material!$H$2:$M$17,6,FALSE)*H1145*I1145*(1+Material!$K$14)</f>
        <v>91.670019327539435</v>
      </c>
      <c r="N1145" s="79" t="str">
        <f t="shared" si="147"/>
        <v>T5.0</v>
      </c>
      <c r="O1145" s="80">
        <f>+VLOOKUP(N1145,[3]Material!$A$3:$B$58,2,FALSE)</f>
        <v>5000</v>
      </c>
      <c r="P1145" s="79" t="s">
        <v>42</v>
      </c>
      <c r="Q1145" s="79" t="str">
        <f>+VLOOKUP(F1145,[3]Material!$C$2:$E$12,2,FALSE)</f>
        <v>Cal 16</v>
      </c>
      <c r="R1145" s="81">
        <f>+IF(P1145="ACERO A36",VLOOKUP(Q1145,'[3]Velocidades Std 1500 w'!$B$2:$F$15,5,FALSE),IF(P1145="INOXIDABLE",VLOOKUP(Q1145,'[3]Velocidades Std 1500 w'!$B$17:$F$28,5,FALSE),IF(P1145="ALUMINIO",VLOOKUP(Q1145,'[3]Velocidades Std 1500 w'!$B$30:$F$38,5,FALSE))))</f>
        <v>9.1575091575091579E-7</v>
      </c>
      <c r="S1145" s="82">
        <f t="shared" si="135"/>
        <v>4.578754578754579E-3</v>
      </c>
      <c r="T1145" s="83">
        <f t="shared" si="136"/>
        <v>10.953456923076923</v>
      </c>
      <c r="U1145" s="307">
        <f t="shared" si="150"/>
        <v>3322.5486000000001</v>
      </c>
      <c r="V1145" s="80">
        <f t="shared" si="146"/>
        <v>15.213134615384616</v>
      </c>
      <c r="W1145" s="98">
        <v>20</v>
      </c>
      <c r="X1145" s="84">
        <f>+IF(P1145="ACERO A36",VLOOKUP(Q1145,'[3]Tiempo Objeto'!$B$2:$C$12,2,FALSE),IF(P1145="INOXIDABLE",VLOOKUP(Q1145,'[3]Tiempo Objeto'!$B$14:$C$22,2,FALSE),IF(P1145="ALUMINIO",VLOOKUP(Q1145,'[3]Tiempo Objeto'!$B$24:$C$32,2,FALSE))))</f>
        <v>0.24666666666666667</v>
      </c>
      <c r="Y1145" s="84">
        <f t="shared" si="137"/>
        <v>4.9333333333333336</v>
      </c>
      <c r="Z1145" s="80">
        <f t="shared" si="138"/>
        <v>6.8518518518518521</v>
      </c>
      <c r="AA1145" s="100">
        <v>6</v>
      </c>
      <c r="AB1145" s="86">
        <f>+AA1145*Analisis!$J$6</f>
        <v>150</v>
      </c>
      <c r="AC1145" s="100"/>
      <c r="AD1145" s="85">
        <f t="shared" si="139"/>
        <v>0</v>
      </c>
      <c r="AE1145" s="86">
        <f>+AC1145*Analisis!$J$7</f>
        <v>0</v>
      </c>
      <c r="AF1145" s="308">
        <f>+H1145*0.0254*I1145*0.0254*2*(1+[3]Analisis!$G$2)</f>
        <v>0.6523483727199999</v>
      </c>
      <c r="AG1145" s="86">
        <f>+AF1145*Analisis!$J$8</f>
        <v>69.506165902904769</v>
      </c>
      <c r="AH1145" s="309">
        <f t="shared" si="151"/>
        <v>333.24117169768067</v>
      </c>
      <c r="AI1145" s="86">
        <f>+AH1145/(1-Analisis!G1150)</f>
        <v>333.24117169768067</v>
      </c>
      <c r="AJ1145" s="86">
        <f t="shared" si="140"/>
        <v>358.3238405351405</v>
      </c>
      <c r="AK1145" s="86">
        <f t="shared" si="152"/>
        <v>0</v>
      </c>
      <c r="AL1145" s="310" t="e">
        <f>+VLOOKUP(B1145,#REF!,2,FALSE)</f>
        <v>#REF!</v>
      </c>
      <c r="AM1145" s="311" t="e">
        <f t="shared" si="149"/>
        <v>#REF!</v>
      </c>
      <c r="AN1145" s="312" t="e">
        <f t="shared" si="148"/>
        <v>#REF!</v>
      </c>
    </row>
    <row r="1146" spans="1:40" s="73" customFormat="1" x14ac:dyDescent="0.25">
      <c r="A1146" s="313"/>
      <c r="B1146" s="333" t="s">
        <v>1777</v>
      </c>
      <c r="D1146" s="74">
        <f>IFERROR(VLOOKUP(B1146,'REQ. PINTADO'!B:C,2,0),0)</f>
        <v>0</v>
      </c>
      <c r="E1146" s="305">
        <f t="shared" si="133"/>
        <v>398.85218409289513</v>
      </c>
      <c r="F1146" s="397" t="s">
        <v>166</v>
      </c>
      <c r="G1146" s="75" t="s">
        <v>147</v>
      </c>
      <c r="H1146" s="90">
        <v>11.21</v>
      </c>
      <c r="I1146" s="90">
        <v>44.08</v>
      </c>
      <c r="J1146" s="76">
        <v>0.105</v>
      </c>
      <c r="K1146" s="306">
        <v>16.38</v>
      </c>
      <c r="L1146" s="78">
        <f t="shared" si="134"/>
        <v>15.042193230731778</v>
      </c>
      <c r="M1146" s="58">
        <f>+VLOOKUP(F1146,Material!$H$2:$M$17,6,FALSE)*H1146*I1146*(1+Material!$K$14)</f>
        <v>111.99596596335749</v>
      </c>
      <c r="N1146" s="79" t="str">
        <f t="shared" si="147"/>
        <v>T5.0</v>
      </c>
      <c r="O1146" s="80">
        <f>+VLOOKUP(N1146,[3]Material!$A$3:$B$58,2,FALSE)</f>
        <v>5000</v>
      </c>
      <c r="P1146" s="79" t="s">
        <v>42</v>
      </c>
      <c r="Q1146" s="79" t="str">
        <f>+VLOOKUP(F1146,[3]Material!$C$2:$E$12,2,FALSE)</f>
        <v>Cal 16</v>
      </c>
      <c r="R1146" s="81">
        <f>+IF(P1146="ACERO A36",VLOOKUP(Q1146,'[3]Velocidades Std 1500 w'!$B$2:$F$15,5,FALSE),IF(P1146="INOXIDABLE",VLOOKUP(Q1146,'[3]Velocidades Std 1500 w'!$B$17:$F$28,5,FALSE),IF(P1146="ALUMINIO",VLOOKUP(Q1146,'[3]Velocidades Std 1500 w'!$B$30:$F$38,5,FALSE))))</f>
        <v>9.1575091575091579E-7</v>
      </c>
      <c r="S1146" s="82">
        <f t="shared" si="135"/>
        <v>4.578754578754579E-3</v>
      </c>
      <c r="T1146" s="83">
        <f t="shared" si="136"/>
        <v>12.360226153846153</v>
      </c>
      <c r="U1146" s="307">
        <f t="shared" si="150"/>
        <v>3749.2685999999994</v>
      </c>
      <c r="V1146" s="80">
        <f t="shared" si="146"/>
        <v>17.166980769230769</v>
      </c>
      <c r="W1146" s="98">
        <v>20</v>
      </c>
      <c r="X1146" s="84">
        <f>+IF(P1146="ACERO A36",VLOOKUP(Q1146,'[3]Tiempo Objeto'!$B$2:$C$12,2,FALSE),IF(P1146="INOXIDABLE",VLOOKUP(Q1146,'[3]Tiempo Objeto'!$B$14:$C$22,2,FALSE),IF(P1146="ALUMINIO",VLOOKUP(Q1146,'[3]Tiempo Objeto'!$B$24:$C$32,2,FALSE))))</f>
        <v>0.24666666666666667</v>
      </c>
      <c r="Y1146" s="84">
        <f t="shared" si="137"/>
        <v>4.9333333333333336</v>
      </c>
      <c r="Z1146" s="80">
        <f t="shared" si="138"/>
        <v>6.8518518518518521</v>
      </c>
      <c r="AA1146" s="100">
        <v>6</v>
      </c>
      <c r="AB1146" s="86">
        <f>+AA1146*Analisis!$J$6</f>
        <v>150</v>
      </c>
      <c r="AC1146" s="100"/>
      <c r="AD1146" s="85">
        <f t="shared" si="139"/>
        <v>0</v>
      </c>
      <c r="AE1146" s="86">
        <f>+AC1146*Analisis!$J$7</f>
        <v>0</v>
      </c>
      <c r="AF1146" s="308">
        <f>+H1146*0.0254*I1146*0.0254*2*(1+[3]Analisis!$G$2)</f>
        <v>0.79699324471999999</v>
      </c>
      <c r="AG1146" s="86">
        <f>+AF1146*Analisis!$J$8</f>
        <v>84.91773262195241</v>
      </c>
      <c r="AH1146" s="309">
        <f t="shared" si="151"/>
        <v>370.93253120639247</v>
      </c>
      <c r="AI1146" s="86">
        <f>+AH1146/(1-Analisis!G1151)</f>
        <v>370.93253120639247</v>
      </c>
      <c r="AJ1146" s="86">
        <f t="shared" si="140"/>
        <v>398.85218409289513</v>
      </c>
      <c r="AK1146" s="86">
        <f t="shared" si="152"/>
        <v>0</v>
      </c>
      <c r="AL1146" s="310" t="e">
        <f>+VLOOKUP(B1146,#REF!,2,FALSE)</f>
        <v>#REF!</v>
      </c>
      <c r="AM1146" s="311" t="e">
        <f t="shared" si="149"/>
        <v>#REF!</v>
      </c>
      <c r="AN1146" s="312" t="e">
        <f t="shared" si="148"/>
        <v>#REF!</v>
      </c>
    </row>
    <row r="1147" spans="1:40" s="73" customFormat="1" x14ac:dyDescent="0.25">
      <c r="A1147" s="313"/>
      <c r="B1147" s="333" t="s">
        <v>1778</v>
      </c>
      <c r="D1147" s="74">
        <f>IFERROR(VLOOKUP(B1147,'REQ. PINTADO'!B:C,2,0),0)</f>
        <v>0</v>
      </c>
      <c r="E1147" s="305">
        <f t="shared" si="133"/>
        <v>429.24844176121115</v>
      </c>
      <c r="F1147" s="397" t="s">
        <v>166</v>
      </c>
      <c r="G1147" s="75" t="s">
        <v>147</v>
      </c>
      <c r="H1147" s="90">
        <v>11.21</v>
      </c>
      <c r="I1147" s="90">
        <v>50.08</v>
      </c>
      <c r="J1147" s="76">
        <v>0.105</v>
      </c>
      <c r="K1147" s="306">
        <v>16.38</v>
      </c>
      <c r="L1147" s="78">
        <f t="shared" si="134"/>
        <v>17.089678697709786</v>
      </c>
      <c r="M1147" s="58">
        <f>+VLOOKUP(F1147,Material!$H$2:$M$17,6,FALSE)*H1147*I1147*(1+Material!$K$14)</f>
        <v>127.24042594022102</v>
      </c>
      <c r="N1147" s="79" t="str">
        <f t="shared" si="147"/>
        <v>T5.0</v>
      </c>
      <c r="O1147" s="80">
        <f>+VLOOKUP(N1147,[3]Material!$A$3:$B$58,2,FALSE)</f>
        <v>5000</v>
      </c>
      <c r="P1147" s="79" t="s">
        <v>42</v>
      </c>
      <c r="Q1147" s="79" t="str">
        <f>+VLOOKUP(F1147,[3]Material!$C$2:$E$12,2,FALSE)</f>
        <v>Cal 16</v>
      </c>
      <c r="R1147" s="81">
        <f>+IF(P1147="ACERO A36",VLOOKUP(Q1147,'[3]Velocidades Std 1500 w'!$B$2:$F$15,5,FALSE),IF(P1147="INOXIDABLE",VLOOKUP(Q1147,'[3]Velocidades Std 1500 w'!$B$17:$F$28,5,FALSE),IF(P1147="ALUMINIO",VLOOKUP(Q1147,'[3]Velocidades Std 1500 w'!$B$30:$F$38,5,FALSE))))</f>
        <v>9.1575091575091579E-7</v>
      </c>
      <c r="S1147" s="82">
        <f t="shared" si="135"/>
        <v>4.578754578754579E-3</v>
      </c>
      <c r="T1147" s="83">
        <f t="shared" si="136"/>
        <v>13.415303076923076</v>
      </c>
      <c r="U1147" s="307">
        <f t="shared" si="150"/>
        <v>4069.3085999999994</v>
      </c>
      <c r="V1147" s="80">
        <f t="shared" si="146"/>
        <v>18.632365384615383</v>
      </c>
      <c r="W1147" s="98">
        <v>20</v>
      </c>
      <c r="X1147" s="84">
        <f>+IF(P1147="ACERO A36",VLOOKUP(Q1147,'[3]Tiempo Objeto'!$B$2:$C$12,2,FALSE),IF(P1147="INOXIDABLE",VLOOKUP(Q1147,'[3]Tiempo Objeto'!$B$14:$C$22,2,FALSE),IF(P1147="ALUMINIO",VLOOKUP(Q1147,'[3]Tiempo Objeto'!$B$24:$C$32,2,FALSE))))</f>
        <v>0.24666666666666667</v>
      </c>
      <c r="Y1147" s="84">
        <f t="shared" si="137"/>
        <v>4.9333333333333336</v>
      </c>
      <c r="Z1147" s="80">
        <f t="shared" si="138"/>
        <v>6.8518518518518521</v>
      </c>
      <c r="AA1147" s="100">
        <v>6</v>
      </c>
      <c r="AB1147" s="86">
        <f>+AA1147*Analisis!$J$6</f>
        <v>150</v>
      </c>
      <c r="AC1147" s="100"/>
      <c r="AD1147" s="85">
        <f t="shared" si="139"/>
        <v>0</v>
      </c>
      <c r="AE1147" s="86">
        <f>+AC1147*Analisis!$J$7</f>
        <v>0</v>
      </c>
      <c r="AF1147" s="308">
        <f>+H1147*0.0254*I1147*0.0254*2*(1+[3]Analisis!$G$2)</f>
        <v>0.90547689871999992</v>
      </c>
      <c r="AG1147" s="86">
        <f>+AF1147*Analisis!$J$8</f>
        <v>96.476407661238113</v>
      </c>
      <c r="AH1147" s="309">
        <f t="shared" si="151"/>
        <v>399.20105083792635</v>
      </c>
      <c r="AI1147" s="86">
        <f>+AH1147/(1-Analisis!G1152)</f>
        <v>399.20105083792635</v>
      </c>
      <c r="AJ1147" s="86">
        <f t="shared" si="140"/>
        <v>429.24844176121115</v>
      </c>
      <c r="AK1147" s="86">
        <f t="shared" si="152"/>
        <v>0</v>
      </c>
      <c r="AL1147" s="310" t="e">
        <f>+VLOOKUP(B1147,#REF!,2,FALSE)</f>
        <v>#REF!</v>
      </c>
      <c r="AM1147" s="311" t="e">
        <f t="shared" si="149"/>
        <v>#REF!</v>
      </c>
      <c r="AN1147" s="312" t="e">
        <f t="shared" si="148"/>
        <v>#REF!</v>
      </c>
    </row>
    <row r="1148" spans="1:40" s="73" customFormat="1" x14ac:dyDescent="0.25">
      <c r="A1148" s="313"/>
      <c r="B1148" s="333" t="s">
        <v>1779</v>
      </c>
      <c r="D1148" s="74">
        <f>IFERROR(VLOOKUP(B1148,'REQ. PINTADO'!B:C,2,0),0)</f>
        <v>0</v>
      </c>
      <c r="E1148" s="305">
        <f t="shared" si="133"/>
        <v>459.64469942952718</v>
      </c>
      <c r="F1148" s="397" t="s">
        <v>166</v>
      </c>
      <c r="G1148" s="75" t="s">
        <v>147</v>
      </c>
      <c r="H1148" s="90">
        <v>11.21</v>
      </c>
      <c r="I1148" s="90">
        <v>56.08</v>
      </c>
      <c r="J1148" s="76">
        <v>0.105</v>
      </c>
      <c r="K1148" s="306">
        <v>16.38</v>
      </c>
      <c r="L1148" s="78">
        <f t="shared" si="134"/>
        <v>19.137164164687796</v>
      </c>
      <c r="M1148" s="58">
        <f>+VLOOKUP(F1148,Material!$H$2:$M$17,6,FALSE)*H1148*I1148*(1+Material!$K$14)</f>
        <v>142.48488591708457</v>
      </c>
      <c r="N1148" s="79" t="str">
        <f t="shared" si="147"/>
        <v>T5.0</v>
      </c>
      <c r="O1148" s="80">
        <f>+VLOOKUP(N1148,[3]Material!$A$3:$B$58,2,FALSE)</f>
        <v>5000</v>
      </c>
      <c r="P1148" s="79" t="s">
        <v>42</v>
      </c>
      <c r="Q1148" s="79" t="str">
        <f>+VLOOKUP(F1148,[3]Material!$C$2:$E$12,2,FALSE)</f>
        <v>Cal 16</v>
      </c>
      <c r="R1148" s="81">
        <f>+IF(P1148="ACERO A36",VLOOKUP(Q1148,'[3]Velocidades Std 1500 w'!$B$2:$F$15,5,FALSE),IF(P1148="INOXIDABLE",VLOOKUP(Q1148,'[3]Velocidades Std 1500 w'!$B$17:$F$28,5,FALSE),IF(P1148="ALUMINIO",VLOOKUP(Q1148,'[3]Velocidades Std 1500 w'!$B$30:$F$38,5,FALSE))))</f>
        <v>9.1575091575091579E-7</v>
      </c>
      <c r="S1148" s="82">
        <f t="shared" si="135"/>
        <v>4.578754578754579E-3</v>
      </c>
      <c r="T1148" s="83">
        <f t="shared" si="136"/>
        <v>14.470379999999997</v>
      </c>
      <c r="U1148" s="307">
        <f t="shared" si="150"/>
        <v>4389.3485999999994</v>
      </c>
      <c r="V1148" s="80">
        <f t="shared" si="146"/>
        <v>20.097749999999998</v>
      </c>
      <c r="W1148" s="98">
        <v>20</v>
      </c>
      <c r="X1148" s="84">
        <f>+IF(P1148="ACERO A36",VLOOKUP(Q1148,'[3]Tiempo Objeto'!$B$2:$C$12,2,FALSE),IF(P1148="INOXIDABLE",VLOOKUP(Q1148,'[3]Tiempo Objeto'!$B$14:$C$22,2,FALSE),IF(P1148="ALUMINIO",VLOOKUP(Q1148,'[3]Tiempo Objeto'!$B$24:$C$32,2,FALSE))))</f>
        <v>0.24666666666666667</v>
      </c>
      <c r="Y1148" s="84">
        <f t="shared" si="137"/>
        <v>4.9333333333333336</v>
      </c>
      <c r="Z1148" s="80">
        <f t="shared" si="138"/>
        <v>6.8518518518518521</v>
      </c>
      <c r="AA1148" s="100">
        <v>6</v>
      </c>
      <c r="AB1148" s="86">
        <f>+AA1148*Analisis!$J$6</f>
        <v>150</v>
      </c>
      <c r="AC1148" s="100"/>
      <c r="AD1148" s="85">
        <f t="shared" si="139"/>
        <v>0</v>
      </c>
      <c r="AE1148" s="86">
        <f>+AC1148*Analisis!$J$7</f>
        <v>0</v>
      </c>
      <c r="AF1148" s="308">
        <f>+H1148*0.0254*I1148*0.0254*2*(1+[3]Analisis!$G$2)</f>
        <v>1.01396055272</v>
      </c>
      <c r="AG1148" s="86">
        <f>+AF1148*Analisis!$J$8</f>
        <v>108.03508270052384</v>
      </c>
      <c r="AH1148" s="309">
        <f t="shared" si="151"/>
        <v>427.46957046946022</v>
      </c>
      <c r="AI1148" s="86">
        <f>+AH1148/(1-Analisis!G1153)</f>
        <v>427.46957046946022</v>
      </c>
      <c r="AJ1148" s="86">
        <f t="shared" si="140"/>
        <v>459.64469942952718</v>
      </c>
      <c r="AK1148" s="86">
        <f t="shared" si="152"/>
        <v>0</v>
      </c>
      <c r="AL1148" s="310" t="e">
        <f>+VLOOKUP(B1148,#REF!,2,FALSE)</f>
        <v>#REF!</v>
      </c>
      <c r="AM1148" s="311" t="e">
        <f t="shared" si="149"/>
        <v>#REF!</v>
      </c>
      <c r="AN1148" s="312" t="e">
        <f t="shared" si="148"/>
        <v>#REF!</v>
      </c>
    </row>
    <row r="1149" spans="1:40" s="73" customFormat="1" x14ac:dyDescent="0.25">
      <c r="A1149" s="313"/>
      <c r="B1149" s="333" t="s">
        <v>1780</v>
      </c>
      <c r="D1149" s="74">
        <f>IFERROR(VLOOKUP(B1149,'REQ. PINTADO'!B:C,2,0),0)</f>
        <v>0</v>
      </c>
      <c r="E1149" s="305">
        <f t="shared" si="133"/>
        <v>368.45592642457916</v>
      </c>
      <c r="F1149" s="397" t="s">
        <v>166</v>
      </c>
      <c r="G1149" s="75" t="s">
        <v>147</v>
      </c>
      <c r="H1149" s="90">
        <v>11.21</v>
      </c>
      <c r="I1149" s="90">
        <v>38.08</v>
      </c>
      <c r="J1149" s="76">
        <v>0.105</v>
      </c>
      <c r="K1149" s="306">
        <v>16.38</v>
      </c>
      <c r="L1149" s="78">
        <f t="shared" si="134"/>
        <v>12.99470776375377</v>
      </c>
      <c r="M1149" s="58">
        <f>+VLOOKUP(F1149,Material!$H$2:$M$17,6,FALSE)*H1149*I1149*(1+Material!$K$14)</f>
        <v>96.751505986493953</v>
      </c>
      <c r="N1149" s="79" t="str">
        <f t="shared" si="147"/>
        <v>T5.0</v>
      </c>
      <c r="O1149" s="80">
        <f>+VLOOKUP(N1149,[3]Material!$A$3:$B$58,2,FALSE)</f>
        <v>5000</v>
      </c>
      <c r="P1149" s="79" t="s">
        <v>42</v>
      </c>
      <c r="Q1149" s="79" t="str">
        <f>+VLOOKUP(F1149,[3]Material!$C$2:$E$12,2,FALSE)</f>
        <v>Cal 16</v>
      </c>
      <c r="R1149" s="81">
        <f>+IF(P1149="ACERO A36",VLOOKUP(Q1149,'[3]Velocidades Std 1500 w'!$B$2:$F$15,5,FALSE),IF(P1149="INOXIDABLE",VLOOKUP(Q1149,'[3]Velocidades Std 1500 w'!$B$17:$F$28,5,FALSE),IF(P1149="ALUMINIO",VLOOKUP(Q1149,'[3]Velocidades Std 1500 w'!$B$30:$F$38,5,FALSE))))</f>
        <v>9.1575091575091579E-7</v>
      </c>
      <c r="S1149" s="82">
        <f t="shared" si="135"/>
        <v>4.578754578754579E-3</v>
      </c>
      <c r="T1149" s="83">
        <f t="shared" si="136"/>
        <v>11.30514923076923</v>
      </c>
      <c r="U1149" s="307">
        <f t="shared" si="150"/>
        <v>3429.2285999999995</v>
      </c>
      <c r="V1149" s="80">
        <f t="shared" si="146"/>
        <v>15.701596153846152</v>
      </c>
      <c r="W1149" s="98">
        <v>20</v>
      </c>
      <c r="X1149" s="84">
        <f>+IF(P1149="ACERO A36",VLOOKUP(Q1149,'[3]Tiempo Objeto'!$B$2:$C$12,2,FALSE),IF(P1149="INOXIDABLE",VLOOKUP(Q1149,'[3]Tiempo Objeto'!$B$14:$C$22,2,FALSE),IF(P1149="ALUMINIO",VLOOKUP(Q1149,'[3]Tiempo Objeto'!$B$24:$C$32,2,FALSE))))</f>
        <v>0.24666666666666667</v>
      </c>
      <c r="Y1149" s="84">
        <f t="shared" si="137"/>
        <v>4.9333333333333336</v>
      </c>
      <c r="Z1149" s="80">
        <f t="shared" si="138"/>
        <v>6.8518518518518521</v>
      </c>
      <c r="AA1149" s="100">
        <v>6</v>
      </c>
      <c r="AB1149" s="86">
        <f>+AA1149*Analisis!$J$6</f>
        <v>150</v>
      </c>
      <c r="AC1149" s="100"/>
      <c r="AD1149" s="85">
        <f t="shared" si="139"/>
        <v>0</v>
      </c>
      <c r="AE1149" s="86">
        <f>+AC1149*Analisis!$J$7</f>
        <v>0</v>
      </c>
      <c r="AF1149" s="308">
        <f>+H1149*0.0254*I1149*0.0254*2*(1+[3]Analisis!$G$2)</f>
        <v>0.68850959071999995</v>
      </c>
      <c r="AG1149" s="86">
        <f>+AF1149*Analisis!$J$8</f>
        <v>73.359057582666679</v>
      </c>
      <c r="AH1149" s="309">
        <f t="shared" si="151"/>
        <v>342.66401157485859</v>
      </c>
      <c r="AI1149" s="86">
        <f>+AH1149/(1-Analisis!G1154)</f>
        <v>342.66401157485859</v>
      </c>
      <c r="AJ1149" s="86">
        <f t="shared" si="140"/>
        <v>368.45592642457916</v>
      </c>
      <c r="AK1149" s="86">
        <f t="shared" si="152"/>
        <v>0</v>
      </c>
      <c r="AL1149" s="310" t="e">
        <f>+VLOOKUP(B1149,#REF!,2,FALSE)</f>
        <v>#REF!</v>
      </c>
      <c r="AM1149" s="311" t="e">
        <f t="shared" si="149"/>
        <v>#REF!</v>
      </c>
      <c r="AN1149" s="312" t="e">
        <f t="shared" si="148"/>
        <v>#REF!</v>
      </c>
    </row>
    <row r="1150" spans="1:40" s="73" customFormat="1" x14ac:dyDescent="0.25">
      <c r="A1150" s="313"/>
      <c r="B1150" s="333" t="s">
        <v>1781</v>
      </c>
      <c r="D1150" s="74">
        <f>IFERROR(VLOOKUP(B1150,'REQ. PINTADO'!B:C,2,0),0)</f>
        <v>0</v>
      </c>
      <c r="E1150" s="305">
        <f t="shared" si="133"/>
        <v>408.98426998233384</v>
      </c>
      <c r="F1150" s="397" t="s">
        <v>166</v>
      </c>
      <c r="G1150" s="75" t="s">
        <v>147</v>
      </c>
      <c r="H1150" s="90">
        <v>11.21</v>
      </c>
      <c r="I1150" s="90">
        <v>46.08</v>
      </c>
      <c r="J1150" s="76">
        <v>0.105</v>
      </c>
      <c r="K1150" s="306">
        <v>16.38</v>
      </c>
      <c r="L1150" s="78">
        <f t="shared" si="134"/>
        <v>15.724688386391113</v>
      </c>
      <c r="M1150" s="58">
        <f>+VLOOKUP(F1150,Material!$H$2:$M$17,6,FALSE)*H1150*I1150*(1+Material!$K$14)</f>
        <v>117.07745262231199</v>
      </c>
      <c r="N1150" s="79" t="str">
        <f t="shared" si="147"/>
        <v>T5.0</v>
      </c>
      <c r="O1150" s="80">
        <f>+VLOOKUP(N1150,[3]Material!$A$3:$B$58,2,FALSE)</f>
        <v>5000</v>
      </c>
      <c r="P1150" s="79" t="s">
        <v>42</v>
      </c>
      <c r="Q1150" s="79" t="str">
        <f>+VLOOKUP(F1150,[3]Material!$C$2:$E$12,2,FALSE)</f>
        <v>Cal 16</v>
      </c>
      <c r="R1150" s="81">
        <f>+IF(P1150="ACERO A36",VLOOKUP(Q1150,'[3]Velocidades Std 1500 w'!$B$2:$F$15,5,FALSE),IF(P1150="INOXIDABLE",VLOOKUP(Q1150,'[3]Velocidades Std 1500 w'!$B$17:$F$28,5,FALSE),IF(P1150="ALUMINIO",VLOOKUP(Q1150,'[3]Velocidades Std 1500 w'!$B$30:$F$38,5,FALSE))))</f>
        <v>9.1575091575091579E-7</v>
      </c>
      <c r="S1150" s="82">
        <f t="shared" si="135"/>
        <v>4.578754578754579E-3</v>
      </c>
      <c r="T1150" s="83">
        <f t="shared" si="136"/>
        <v>12.711918461538462</v>
      </c>
      <c r="U1150" s="307">
        <f t="shared" si="150"/>
        <v>3855.9485999999997</v>
      </c>
      <c r="V1150" s="80">
        <f t="shared" si="146"/>
        <v>17.655442307692308</v>
      </c>
      <c r="W1150" s="98">
        <v>20</v>
      </c>
      <c r="X1150" s="84">
        <f>+IF(P1150="ACERO A36",VLOOKUP(Q1150,'[3]Tiempo Objeto'!$B$2:$C$12,2,FALSE),IF(P1150="INOXIDABLE",VLOOKUP(Q1150,'[3]Tiempo Objeto'!$B$14:$C$22,2,FALSE),IF(P1150="ALUMINIO",VLOOKUP(Q1150,'[3]Tiempo Objeto'!$B$24:$C$32,2,FALSE))))</f>
        <v>0.24666666666666667</v>
      </c>
      <c r="Y1150" s="84">
        <f t="shared" si="137"/>
        <v>4.9333333333333336</v>
      </c>
      <c r="Z1150" s="80">
        <f t="shared" si="138"/>
        <v>6.8518518518518521</v>
      </c>
      <c r="AA1150" s="100">
        <v>6</v>
      </c>
      <c r="AB1150" s="86">
        <f>+AA1150*Analisis!$J$6</f>
        <v>150</v>
      </c>
      <c r="AC1150" s="100"/>
      <c r="AD1150" s="85">
        <f t="shared" si="139"/>
        <v>0</v>
      </c>
      <c r="AE1150" s="86">
        <f>+AC1150*Analisis!$J$7</f>
        <v>0</v>
      </c>
      <c r="AF1150" s="308">
        <f>+H1150*0.0254*I1150*0.0254*2*(1+[3]Analisis!$G$2)</f>
        <v>0.83315446271999993</v>
      </c>
      <c r="AG1150" s="86">
        <f>+AF1150*Analisis!$J$8</f>
        <v>88.770624301714307</v>
      </c>
      <c r="AH1150" s="309">
        <f t="shared" si="151"/>
        <v>380.35537108357045</v>
      </c>
      <c r="AI1150" s="86">
        <f>+AH1150/(1-Analisis!G1155)</f>
        <v>380.35537108357045</v>
      </c>
      <c r="AJ1150" s="86">
        <f t="shared" si="140"/>
        <v>408.98426998233384</v>
      </c>
      <c r="AK1150" s="86">
        <f t="shared" si="152"/>
        <v>0</v>
      </c>
      <c r="AL1150" s="310" t="e">
        <f>+VLOOKUP(B1150,#REF!,2,FALSE)</f>
        <v>#REF!</v>
      </c>
      <c r="AM1150" s="311" t="e">
        <f t="shared" si="149"/>
        <v>#REF!</v>
      </c>
      <c r="AN1150" s="312" t="e">
        <f t="shared" si="148"/>
        <v>#REF!</v>
      </c>
    </row>
    <row r="1151" spans="1:40" s="73" customFormat="1" x14ac:dyDescent="0.25">
      <c r="A1151" s="313"/>
      <c r="B1151" s="333" t="s">
        <v>1782</v>
      </c>
      <c r="D1151" s="74">
        <f>IFERROR(VLOOKUP(B1151,'REQ. PINTADO'!B:C,2,0),0)</f>
        <v>0</v>
      </c>
      <c r="E1151" s="305">
        <f t="shared" si="133"/>
        <v>292.46528225378921</v>
      </c>
      <c r="F1151" s="397" t="s">
        <v>166</v>
      </c>
      <c r="G1151" s="75" t="s">
        <v>147</v>
      </c>
      <c r="H1151" s="90">
        <v>11.21</v>
      </c>
      <c r="I1151" s="90">
        <v>23.08</v>
      </c>
      <c r="J1151" s="76">
        <v>0.105</v>
      </c>
      <c r="K1151" s="306">
        <v>16.38</v>
      </c>
      <c r="L1151" s="78">
        <f t="shared" si="134"/>
        <v>7.8759940963087436</v>
      </c>
      <c r="M1151" s="58">
        <f>+VLOOKUP(F1151,Material!$H$2:$M$17,6,FALSE)*H1151*I1151*(1+Material!$K$14)</f>
        <v>58.640356044335086</v>
      </c>
      <c r="N1151" s="79" t="str">
        <f t="shared" si="147"/>
        <v>T5.0</v>
      </c>
      <c r="O1151" s="80">
        <f>+VLOOKUP(N1151,[3]Material!$A$3:$B$58,2,FALSE)</f>
        <v>5000</v>
      </c>
      <c r="P1151" s="79" t="s">
        <v>42</v>
      </c>
      <c r="Q1151" s="79" t="str">
        <f>+VLOOKUP(F1151,[3]Material!$C$2:$E$12,2,FALSE)</f>
        <v>Cal 16</v>
      </c>
      <c r="R1151" s="81">
        <f>+IF(P1151="ACERO A36",VLOOKUP(Q1151,'[3]Velocidades Std 1500 w'!$B$2:$F$15,5,FALSE),IF(P1151="INOXIDABLE",VLOOKUP(Q1151,'[3]Velocidades Std 1500 w'!$B$17:$F$28,5,FALSE),IF(P1151="ALUMINIO",VLOOKUP(Q1151,'[3]Velocidades Std 1500 w'!$B$30:$F$38,5,FALSE))))</f>
        <v>9.1575091575091579E-7</v>
      </c>
      <c r="S1151" s="82">
        <f t="shared" si="135"/>
        <v>4.578754578754579E-3</v>
      </c>
      <c r="T1151" s="83">
        <f t="shared" si="136"/>
        <v>8.6674569230769229</v>
      </c>
      <c r="U1151" s="307">
        <f t="shared" si="150"/>
        <v>2629.1286</v>
      </c>
      <c r="V1151" s="80">
        <f t="shared" si="146"/>
        <v>12.038134615384616</v>
      </c>
      <c r="W1151" s="98">
        <v>20</v>
      </c>
      <c r="X1151" s="84">
        <f>+IF(P1151="ACERO A36",VLOOKUP(Q1151,'[3]Tiempo Objeto'!$B$2:$C$12,2,FALSE),IF(P1151="INOXIDABLE",VLOOKUP(Q1151,'[3]Tiempo Objeto'!$B$14:$C$22,2,FALSE),IF(P1151="ALUMINIO",VLOOKUP(Q1151,'[3]Tiempo Objeto'!$B$24:$C$32,2,FALSE))))</f>
        <v>0.24666666666666667</v>
      </c>
      <c r="Y1151" s="84">
        <f t="shared" si="137"/>
        <v>4.9333333333333336</v>
      </c>
      <c r="Z1151" s="80">
        <f t="shared" si="138"/>
        <v>6.8518518518518521</v>
      </c>
      <c r="AA1151" s="100">
        <v>6</v>
      </c>
      <c r="AB1151" s="86">
        <f>+AA1151*Analisis!$J$6</f>
        <v>150</v>
      </c>
      <c r="AC1151" s="100"/>
      <c r="AD1151" s="85">
        <f t="shared" si="139"/>
        <v>0</v>
      </c>
      <c r="AE1151" s="86">
        <f>+AC1151*Analisis!$J$7</f>
        <v>0</v>
      </c>
      <c r="AF1151" s="308">
        <f>+H1151*0.0254*I1151*0.0254*2*(1+[3]Analisis!$G$2)</f>
        <v>0.41730045571999991</v>
      </c>
      <c r="AG1151" s="86">
        <f>+AF1151*Analisis!$J$8</f>
        <v>44.462369984452387</v>
      </c>
      <c r="AH1151" s="309">
        <f t="shared" si="151"/>
        <v>271.99271249602396</v>
      </c>
      <c r="AI1151" s="86">
        <f>+AH1151/(1-Analisis!G1156)</f>
        <v>271.99271249602396</v>
      </c>
      <c r="AJ1151" s="86">
        <f t="shared" si="140"/>
        <v>292.46528225378921</v>
      </c>
      <c r="AK1151" s="86">
        <f t="shared" si="152"/>
        <v>0</v>
      </c>
      <c r="AL1151" s="310" t="e">
        <f>+VLOOKUP(B1151,#REF!,2,FALSE)</f>
        <v>#REF!</v>
      </c>
      <c r="AM1151" s="311" t="e">
        <f t="shared" si="149"/>
        <v>#REF!</v>
      </c>
      <c r="AN1151" s="312" t="e">
        <f t="shared" si="148"/>
        <v>#REF!</v>
      </c>
    </row>
    <row r="1152" spans="1:40" s="73" customFormat="1" x14ac:dyDescent="0.25">
      <c r="A1152" s="313"/>
      <c r="B1152" s="333" t="s">
        <v>1783</v>
      </c>
      <c r="D1152" s="74">
        <f>IFERROR(VLOOKUP(B1152,'REQ. PINTADO'!B:C,2,0),0)</f>
        <v>0</v>
      </c>
      <c r="E1152" s="305">
        <f t="shared" si="133"/>
        <v>263.93297793805857</v>
      </c>
      <c r="F1152" s="103" t="s">
        <v>166</v>
      </c>
      <c r="G1152" s="75" t="s">
        <v>147</v>
      </c>
      <c r="H1152" s="90">
        <v>16.21</v>
      </c>
      <c r="I1152" s="90">
        <v>12.08</v>
      </c>
      <c r="J1152" s="76">
        <v>0.105</v>
      </c>
      <c r="K1152" s="306">
        <v>16.38</v>
      </c>
      <c r="L1152" s="78">
        <f t="shared" si="134"/>
        <v>5.9609285190327022</v>
      </c>
      <c r="M1152" s="58">
        <f>+VLOOKUP(F1152,Material!$H$2:$M$17,6,FALSE)*H1152*I1152*(1+Material!$K$14)</f>
        <v>44.381822337161658</v>
      </c>
      <c r="N1152" s="79" t="str">
        <f t="shared" si="147"/>
        <v>T5.0</v>
      </c>
      <c r="O1152" s="80">
        <f>+VLOOKUP(N1152,[3]Material!$A$3:$B$58,2,FALSE)</f>
        <v>5000</v>
      </c>
      <c r="P1152" s="79" t="s">
        <v>42</v>
      </c>
      <c r="Q1152" s="79" t="str">
        <f>+VLOOKUP(F1152,[3]Material!$C$2:$E$12,2,FALSE)</f>
        <v>Cal 16</v>
      </c>
      <c r="R1152" s="81">
        <f>+IF(P1152="ACERO A36",VLOOKUP(Q1152,'[3]Velocidades Std 1500 w'!$B$2:$F$15,5,FALSE),IF(P1152="INOXIDABLE",VLOOKUP(Q1152,'[3]Velocidades Std 1500 w'!$B$17:$F$28,5,FALSE),IF(P1152="ALUMINIO",VLOOKUP(Q1152,'[3]Velocidades Std 1500 w'!$B$30:$F$38,5,FALSE))))</f>
        <v>9.1575091575091579E-7</v>
      </c>
      <c r="S1152" s="82">
        <f t="shared" si="135"/>
        <v>4.578754578754579E-3</v>
      </c>
      <c r="T1152" s="83">
        <f t="shared" si="136"/>
        <v>7.612379999999999</v>
      </c>
      <c r="U1152" s="307">
        <f t="shared" si="150"/>
        <v>2309.0885999999996</v>
      </c>
      <c r="V1152" s="80">
        <f t="shared" ref="V1152:V1731" si="153">+U1152*S1152</f>
        <v>10.572749999999999</v>
      </c>
      <c r="W1152" s="98">
        <v>20</v>
      </c>
      <c r="X1152" s="84">
        <f>+IF(P1152="ACERO A36",VLOOKUP(Q1152,'[3]Tiempo Objeto'!$B$2:$C$12,2,FALSE),IF(P1152="INOXIDABLE",VLOOKUP(Q1152,'[3]Tiempo Objeto'!$B$14:$C$22,2,FALSE),IF(P1152="ALUMINIO",VLOOKUP(Q1152,'[3]Tiempo Objeto'!$B$24:$C$32,2,FALSE))))</f>
        <v>0.24666666666666667</v>
      </c>
      <c r="Y1152" s="84">
        <f t="shared" si="137"/>
        <v>4.9333333333333336</v>
      </c>
      <c r="Z1152" s="80">
        <f t="shared" si="138"/>
        <v>6.8518518518518521</v>
      </c>
      <c r="AA1152" s="100">
        <v>6</v>
      </c>
      <c r="AB1152" s="86">
        <f>+AA1152*Analisis!$J$6</f>
        <v>150</v>
      </c>
      <c r="AC1152" s="100"/>
      <c r="AD1152" s="85">
        <f t="shared" si="139"/>
        <v>0</v>
      </c>
      <c r="AE1152" s="86">
        <f>+AC1152*Analisis!$J$7</f>
        <v>0</v>
      </c>
      <c r="AF1152" s="308">
        <f>+H1152*0.0254*I1152*0.0254*2*(1+[3]Analisis!$G$2)</f>
        <v>0.31583291672000002</v>
      </c>
      <c r="AG1152" s="86">
        <f>+AF1152*Analisis!$J$8</f>
        <v>33.651245293380967</v>
      </c>
      <c r="AH1152" s="309">
        <f t="shared" si="151"/>
        <v>245.45766948239446</v>
      </c>
      <c r="AI1152" s="86">
        <f>+AH1152/(1-Analisis!G1157)</f>
        <v>245.45766948239446</v>
      </c>
      <c r="AJ1152" s="86">
        <f t="shared" si="140"/>
        <v>263.93297793805857</v>
      </c>
      <c r="AK1152" s="86">
        <f t="shared" si="152"/>
        <v>0</v>
      </c>
      <c r="AL1152" s="310" t="e">
        <f>+VLOOKUP(B1152,#REF!,2,FALSE)</f>
        <v>#REF!</v>
      </c>
      <c r="AM1152" s="311" t="e">
        <f t="shared" si="149"/>
        <v>#REF!</v>
      </c>
      <c r="AN1152" s="312" t="e">
        <f t="shared" si="148"/>
        <v>#REF!</v>
      </c>
    </row>
    <row r="1153" spans="1:40" s="73" customFormat="1" x14ac:dyDescent="0.25">
      <c r="A1153" s="313"/>
      <c r="B1153" s="333" t="s">
        <v>1784</v>
      </c>
      <c r="D1153" s="74">
        <f>IFERROR(VLOOKUP(B1153,'REQ. PINTADO'!B:C,2,0),0)</f>
        <v>0</v>
      </c>
      <c r="E1153" s="305">
        <f t="shared" si="133"/>
        <v>292.76705018859275</v>
      </c>
      <c r="F1153" s="103" t="s">
        <v>166</v>
      </c>
      <c r="G1153" s="75" t="s">
        <v>147</v>
      </c>
      <c r="H1153" s="90">
        <v>16.21</v>
      </c>
      <c r="I1153" s="90">
        <v>16.079999999999998</v>
      </c>
      <c r="J1153" s="76">
        <v>0.105</v>
      </c>
      <c r="K1153" s="306">
        <v>16.38</v>
      </c>
      <c r="L1153" s="78">
        <f t="shared" si="134"/>
        <v>7.9347459094408794</v>
      </c>
      <c r="M1153" s="58">
        <f>+VLOOKUP(F1153,Material!$H$2:$M$17,6,FALSE)*H1153*I1153*(1+Material!$K$14)</f>
        <v>59.077789998473456</v>
      </c>
      <c r="N1153" s="79" t="str">
        <f t="shared" si="147"/>
        <v>T5.0</v>
      </c>
      <c r="O1153" s="80">
        <f>+VLOOKUP(N1153,[3]Material!$A$3:$B$58,2,FALSE)</f>
        <v>5000</v>
      </c>
      <c r="P1153" s="79" t="s">
        <v>42</v>
      </c>
      <c r="Q1153" s="79" t="str">
        <f>+VLOOKUP(F1153,[3]Material!$C$2:$E$12,2,FALSE)</f>
        <v>Cal 16</v>
      </c>
      <c r="R1153" s="81">
        <f>+IF(P1153="ACERO A36",VLOOKUP(Q1153,'[3]Velocidades Std 1500 w'!$B$2:$F$15,5,FALSE),IF(P1153="INOXIDABLE",VLOOKUP(Q1153,'[3]Velocidades Std 1500 w'!$B$17:$F$28,5,FALSE),IF(P1153="ALUMINIO",VLOOKUP(Q1153,'[3]Velocidades Std 1500 w'!$B$30:$F$38,5,FALSE))))</f>
        <v>9.1575091575091579E-7</v>
      </c>
      <c r="S1153" s="82">
        <f t="shared" si="135"/>
        <v>4.578754578754579E-3</v>
      </c>
      <c r="T1153" s="83">
        <f t="shared" si="136"/>
        <v>8.3157646153846159</v>
      </c>
      <c r="U1153" s="307">
        <f t="shared" si="150"/>
        <v>2522.4486000000002</v>
      </c>
      <c r="V1153" s="80">
        <f t="shared" si="153"/>
        <v>11.549673076923078</v>
      </c>
      <c r="W1153" s="98">
        <v>20</v>
      </c>
      <c r="X1153" s="84">
        <f>+IF(P1153="ACERO A36",VLOOKUP(Q1153,'[3]Tiempo Objeto'!$B$2:$C$12,2,FALSE),IF(P1153="INOXIDABLE",VLOOKUP(Q1153,'[3]Tiempo Objeto'!$B$14:$C$22,2,FALSE),IF(P1153="ALUMINIO",VLOOKUP(Q1153,'[3]Tiempo Objeto'!$B$24:$C$32,2,FALSE))))</f>
        <v>0.24666666666666667</v>
      </c>
      <c r="Y1153" s="84">
        <f t="shared" si="137"/>
        <v>4.9333333333333336</v>
      </c>
      <c r="Z1153" s="80">
        <f t="shared" si="138"/>
        <v>6.8518518518518521</v>
      </c>
      <c r="AA1153" s="100">
        <v>6</v>
      </c>
      <c r="AB1153" s="86">
        <f>+AA1153*Analisis!$J$6</f>
        <v>150</v>
      </c>
      <c r="AC1153" s="100"/>
      <c r="AD1153" s="85">
        <f t="shared" si="139"/>
        <v>0</v>
      </c>
      <c r="AE1153" s="86">
        <f>+AC1153*Analisis!$J$7</f>
        <v>0</v>
      </c>
      <c r="AF1153" s="308">
        <f>+H1153*0.0254*I1153*0.0254*2*(1+[3]Analisis!$G$2)</f>
        <v>0.42041335271999991</v>
      </c>
      <c r="AG1153" s="86">
        <f>+AF1153*Analisis!$J$8</f>
        <v>44.79404174814286</v>
      </c>
      <c r="AH1153" s="309">
        <f t="shared" si="151"/>
        <v>272.27335667539126</v>
      </c>
      <c r="AI1153" s="86">
        <f>+AH1153/(1-Analisis!G1158)</f>
        <v>272.27335667539126</v>
      </c>
      <c r="AJ1153" s="86">
        <f t="shared" si="140"/>
        <v>292.76705018859275</v>
      </c>
      <c r="AK1153" s="86">
        <f t="shared" si="152"/>
        <v>0</v>
      </c>
      <c r="AL1153" s="310" t="e">
        <f>+VLOOKUP(B1153,#REF!,2,FALSE)</f>
        <v>#REF!</v>
      </c>
      <c r="AM1153" s="311" t="e">
        <f t="shared" si="149"/>
        <v>#REF!</v>
      </c>
      <c r="AN1153" s="312" t="e">
        <f t="shared" si="148"/>
        <v>#REF!</v>
      </c>
    </row>
    <row r="1154" spans="1:40" s="73" customFormat="1" x14ac:dyDescent="0.25">
      <c r="A1154" s="313"/>
      <c r="B1154" s="333" t="s">
        <v>1785</v>
      </c>
      <c r="D1154" s="74">
        <f>IFERROR(VLOOKUP(B1154,'REQ. PINTADO'!B:C,2,0),0)</f>
        <v>0</v>
      </c>
      <c r="E1154" s="305">
        <f t="shared" si="133"/>
        <v>307.18408631385984</v>
      </c>
      <c r="F1154" s="103" t="s">
        <v>166</v>
      </c>
      <c r="G1154" s="75" t="s">
        <v>147</v>
      </c>
      <c r="H1154" s="90">
        <v>16.21</v>
      </c>
      <c r="I1154" s="90">
        <v>18.079999999999998</v>
      </c>
      <c r="J1154" s="76">
        <v>0.105</v>
      </c>
      <c r="K1154" s="306">
        <v>16.38</v>
      </c>
      <c r="L1154" s="78">
        <f t="shared" si="134"/>
        <v>8.9216546046449707</v>
      </c>
      <c r="M1154" s="58">
        <f>+VLOOKUP(F1154,Material!$H$2:$M$17,6,FALSE)*H1154*I1154*(1+Material!$K$14)</f>
        <v>66.425773829129355</v>
      </c>
      <c r="N1154" s="79" t="str">
        <f t="shared" si="147"/>
        <v>T5.0</v>
      </c>
      <c r="O1154" s="80">
        <f>+VLOOKUP(N1154,[3]Material!$A$3:$B$58,2,FALSE)</f>
        <v>5000</v>
      </c>
      <c r="P1154" s="79" t="s">
        <v>42</v>
      </c>
      <c r="Q1154" s="79" t="str">
        <f>+VLOOKUP(F1154,[3]Material!$C$2:$E$12,2,FALSE)</f>
        <v>Cal 16</v>
      </c>
      <c r="R1154" s="81">
        <f>+IF(P1154="ACERO A36",VLOOKUP(Q1154,'[3]Velocidades Std 1500 w'!$B$2:$F$15,5,FALSE),IF(P1154="INOXIDABLE",VLOOKUP(Q1154,'[3]Velocidades Std 1500 w'!$B$17:$F$28,5,FALSE),IF(P1154="ALUMINIO",VLOOKUP(Q1154,'[3]Velocidades Std 1500 w'!$B$30:$F$38,5,FALSE))))</f>
        <v>9.1575091575091579E-7</v>
      </c>
      <c r="S1154" s="82">
        <f t="shared" si="135"/>
        <v>4.578754578754579E-3</v>
      </c>
      <c r="T1154" s="83">
        <f t="shared" si="136"/>
        <v>8.6674569230769229</v>
      </c>
      <c r="U1154" s="307">
        <f t="shared" si="150"/>
        <v>2629.1286</v>
      </c>
      <c r="V1154" s="80">
        <f t="shared" si="153"/>
        <v>12.038134615384616</v>
      </c>
      <c r="W1154" s="98">
        <v>20</v>
      </c>
      <c r="X1154" s="84">
        <f>+IF(P1154="ACERO A36",VLOOKUP(Q1154,'[3]Tiempo Objeto'!$B$2:$C$12,2,FALSE),IF(P1154="INOXIDABLE",VLOOKUP(Q1154,'[3]Tiempo Objeto'!$B$14:$C$22,2,FALSE),IF(P1154="ALUMINIO",VLOOKUP(Q1154,'[3]Tiempo Objeto'!$B$24:$C$32,2,FALSE))))</f>
        <v>0.24666666666666667</v>
      </c>
      <c r="Y1154" s="84">
        <f t="shared" si="137"/>
        <v>4.9333333333333336</v>
      </c>
      <c r="Z1154" s="80">
        <f t="shared" si="138"/>
        <v>6.8518518518518521</v>
      </c>
      <c r="AA1154" s="100">
        <v>6</v>
      </c>
      <c r="AB1154" s="86">
        <f>+AA1154*Analisis!$J$6</f>
        <v>150</v>
      </c>
      <c r="AC1154" s="100"/>
      <c r="AD1154" s="85">
        <f t="shared" si="139"/>
        <v>0</v>
      </c>
      <c r="AE1154" s="86">
        <f>+AC1154*Analisis!$J$7</f>
        <v>0</v>
      </c>
      <c r="AF1154" s="308">
        <f>+H1154*0.0254*I1154*0.0254*2*(1+[3]Analisis!$G$2)</f>
        <v>0.47270357071999991</v>
      </c>
      <c r="AG1154" s="86">
        <f>+AF1154*Analisis!$J$8</f>
        <v>50.365439975523813</v>
      </c>
      <c r="AH1154" s="309">
        <f t="shared" si="151"/>
        <v>285.68120027188962</v>
      </c>
      <c r="AI1154" s="86">
        <f>+AH1154/(1-Analisis!G1159)</f>
        <v>285.68120027188962</v>
      </c>
      <c r="AJ1154" s="86">
        <f t="shared" si="140"/>
        <v>307.18408631385984</v>
      </c>
      <c r="AK1154" s="86">
        <f t="shared" si="152"/>
        <v>0</v>
      </c>
      <c r="AL1154" s="310" t="e">
        <f>+VLOOKUP(B1154,#REF!,2,FALSE)</f>
        <v>#REF!</v>
      </c>
      <c r="AM1154" s="311" t="e">
        <f t="shared" si="149"/>
        <v>#REF!</v>
      </c>
      <c r="AN1154" s="312" t="e">
        <f t="shared" si="148"/>
        <v>#REF!</v>
      </c>
    </row>
    <row r="1155" spans="1:40" s="73" customFormat="1" x14ac:dyDescent="0.25">
      <c r="A1155" s="313"/>
      <c r="B1155" s="333" t="s">
        <v>1786</v>
      </c>
      <c r="D1155" s="74">
        <f>IFERROR(VLOOKUP(B1155,'REQ. PINTADO'!B:C,2,0),0)</f>
        <v>0</v>
      </c>
      <c r="E1155" s="305">
        <f t="shared" si="133"/>
        <v>350.4351946896611</v>
      </c>
      <c r="F1155" s="103" t="s">
        <v>166</v>
      </c>
      <c r="G1155" s="75" t="s">
        <v>147</v>
      </c>
      <c r="H1155" s="90">
        <v>16.21</v>
      </c>
      <c r="I1155" s="90">
        <v>24.08</v>
      </c>
      <c r="J1155" s="76">
        <v>0.105</v>
      </c>
      <c r="K1155" s="306">
        <v>16.38</v>
      </c>
      <c r="L1155" s="78">
        <f t="shared" si="134"/>
        <v>11.882380690257239</v>
      </c>
      <c r="M1155" s="58">
        <f>+VLOOKUP(F1155,Material!$H$2:$M$17,6,FALSE)*H1155*I1155*(1+Material!$K$14)</f>
        <v>88.469725321097073</v>
      </c>
      <c r="N1155" s="79" t="str">
        <f t="shared" si="147"/>
        <v>T5.0</v>
      </c>
      <c r="O1155" s="80">
        <f>+VLOOKUP(N1155,[3]Material!$A$3:$B$58,2,FALSE)</f>
        <v>5000</v>
      </c>
      <c r="P1155" s="79" t="s">
        <v>42</v>
      </c>
      <c r="Q1155" s="79" t="str">
        <f>+VLOOKUP(F1155,[3]Material!$C$2:$E$12,2,FALSE)</f>
        <v>Cal 16</v>
      </c>
      <c r="R1155" s="81">
        <f>+IF(P1155="ACERO A36",VLOOKUP(Q1155,'[3]Velocidades Std 1500 w'!$B$2:$F$15,5,FALSE),IF(P1155="INOXIDABLE",VLOOKUP(Q1155,'[3]Velocidades Std 1500 w'!$B$17:$F$28,5,FALSE),IF(P1155="ALUMINIO",VLOOKUP(Q1155,'[3]Velocidades Std 1500 w'!$B$30:$F$38,5,FALSE))))</f>
        <v>9.1575091575091579E-7</v>
      </c>
      <c r="S1155" s="82">
        <f t="shared" si="135"/>
        <v>4.578754578754579E-3</v>
      </c>
      <c r="T1155" s="83">
        <f t="shared" si="136"/>
        <v>9.722533846153846</v>
      </c>
      <c r="U1155" s="307">
        <f t="shared" si="150"/>
        <v>2949.1686</v>
      </c>
      <c r="V1155" s="80">
        <f t="shared" si="153"/>
        <v>13.503519230769232</v>
      </c>
      <c r="W1155" s="98">
        <v>20</v>
      </c>
      <c r="X1155" s="84">
        <f>+IF(P1155="ACERO A36",VLOOKUP(Q1155,'[3]Tiempo Objeto'!$B$2:$C$12,2,FALSE),IF(P1155="INOXIDABLE",VLOOKUP(Q1155,'[3]Tiempo Objeto'!$B$14:$C$22,2,FALSE),IF(P1155="ALUMINIO",VLOOKUP(Q1155,'[3]Tiempo Objeto'!$B$24:$C$32,2,FALSE))))</f>
        <v>0.24666666666666667</v>
      </c>
      <c r="Y1155" s="84">
        <f t="shared" si="137"/>
        <v>4.9333333333333336</v>
      </c>
      <c r="Z1155" s="80">
        <f t="shared" si="138"/>
        <v>6.8518518518518521</v>
      </c>
      <c r="AA1155" s="100">
        <v>6</v>
      </c>
      <c r="AB1155" s="86">
        <f>+AA1155*Analisis!$J$6</f>
        <v>150</v>
      </c>
      <c r="AC1155" s="100"/>
      <c r="AD1155" s="85">
        <f t="shared" si="139"/>
        <v>0</v>
      </c>
      <c r="AE1155" s="86">
        <f>+AC1155*Analisis!$J$7</f>
        <v>0</v>
      </c>
      <c r="AF1155" s="308">
        <f>+H1155*0.0254*I1155*0.0254*2*(1+[3]Analisis!$G$2)</f>
        <v>0.6295742247199998</v>
      </c>
      <c r="AG1155" s="86">
        <f>+AF1155*Analisis!$J$8</f>
        <v>67.079634657666659</v>
      </c>
      <c r="AH1155" s="309">
        <f t="shared" si="151"/>
        <v>325.90473106138478</v>
      </c>
      <c r="AI1155" s="86">
        <f>+AH1155/(1-Analisis!G1160)</f>
        <v>325.90473106138478</v>
      </c>
      <c r="AJ1155" s="86">
        <f t="shared" si="140"/>
        <v>350.4351946896611</v>
      </c>
      <c r="AK1155" s="86">
        <f t="shared" si="152"/>
        <v>0</v>
      </c>
      <c r="AL1155" s="310" t="e">
        <f>+VLOOKUP(B1155,#REF!,2,FALSE)</f>
        <v>#REF!</v>
      </c>
      <c r="AM1155" s="311" t="e">
        <f t="shared" si="149"/>
        <v>#REF!</v>
      </c>
      <c r="AN1155" s="312" t="e">
        <f t="shared" si="148"/>
        <v>#REF!</v>
      </c>
    </row>
    <row r="1156" spans="1:40" s="73" customFormat="1" x14ac:dyDescent="0.25">
      <c r="A1156" s="313"/>
      <c r="B1156" s="333" t="s">
        <v>1787</v>
      </c>
      <c r="D1156" s="74">
        <f>IFERROR(VLOOKUP(B1156,'REQ. PINTADO'!B:C,2,0),0)</f>
        <v>0</v>
      </c>
      <c r="E1156" s="305">
        <f t="shared" si="133"/>
        <v>393.68630306546237</v>
      </c>
      <c r="F1156" s="103" t="s">
        <v>166</v>
      </c>
      <c r="G1156" s="75" t="s">
        <v>147</v>
      </c>
      <c r="H1156" s="90">
        <v>16.21</v>
      </c>
      <c r="I1156" s="90">
        <v>30.08</v>
      </c>
      <c r="J1156" s="76">
        <v>0.105</v>
      </c>
      <c r="K1156" s="306">
        <v>16.38</v>
      </c>
      <c r="L1156" s="78">
        <f t="shared" si="134"/>
        <v>14.843106775869508</v>
      </c>
      <c r="M1156" s="58">
        <f>+VLOOKUP(F1156,Material!$H$2:$M$17,6,FALSE)*H1156*I1156*(1+Material!$K$14)</f>
        <v>110.51367681306478</v>
      </c>
      <c r="N1156" s="79" t="str">
        <f t="shared" ref="N1156:N1219" si="154">+N1155</f>
        <v>T5.0</v>
      </c>
      <c r="O1156" s="80">
        <f>+VLOOKUP(N1156,[3]Material!$A$3:$B$58,2,FALSE)</f>
        <v>5000</v>
      </c>
      <c r="P1156" s="79" t="s">
        <v>42</v>
      </c>
      <c r="Q1156" s="79" t="str">
        <f>+VLOOKUP(F1156,[3]Material!$C$2:$E$12,2,FALSE)</f>
        <v>Cal 16</v>
      </c>
      <c r="R1156" s="81">
        <f>+IF(P1156="ACERO A36",VLOOKUP(Q1156,'[3]Velocidades Std 1500 w'!$B$2:$F$15,5,FALSE),IF(P1156="INOXIDABLE",VLOOKUP(Q1156,'[3]Velocidades Std 1500 w'!$B$17:$F$28,5,FALSE),IF(P1156="ALUMINIO",VLOOKUP(Q1156,'[3]Velocidades Std 1500 w'!$B$30:$F$38,5,FALSE))))</f>
        <v>9.1575091575091579E-7</v>
      </c>
      <c r="S1156" s="82">
        <f t="shared" si="135"/>
        <v>4.578754578754579E-3</v>
      </c>
      <c r="T1156" s="83">
        <f t="shared" si="136"/>
        <v>10.777610769230771</v>
      </c>
      <c r="U1156" s="307">
        <f t="shared" si="150"/>
        <v>3269.2085999999999</v>
      </c>
      <c r="V1156" s="80">
        <f t="shared" si="153"/>
        <v>14.968903846153847</v>
      </c>
      <c r="W1156" s="98">
        <v>20</v>
      </c>
      <c r="X1156" s="84">
        <f>+IF(P1156="ACERO A36",VLOOKUP(Q1156,'[3]Tiempo Objeto'!$B$2:$C$12,2,FALSE),IF(P1156="INOXIDABLE",VLOOKUP(Q1156,'[3]Tiempo Objeto'!$B$14:$C$22,2,FALSE),IF(P1156="ALUMINIO",VLOOKUP(Q1156,'[3]Tiempo Objeto'!$B$24:$C$32,2,FALSE))))</f>
        <v>0.24666666666666667</v>
      </c>
      <c r="Y1156" s="84">
        <f t="shared" si="137"/>
        <v>4.9333333333333336</v>
      </c>
      <c r="Z1156" s="80">
        <f t="shared" si="138"/>
        <v>6.8518518518518521</v>
      </c>
      <c r="AA1156" s="100">
        <v>6</v>
      </c>
      <c r="AB1156" s="86">
        <f>+AA1156*Analisis!$J$6</f>
        <v>150</v>
      </c>
      <c r="AC1156" s="100"/>
      <c r="AD1156" s="85">
        <f t="shared" si="139"/>
        <v>0</v>
      </c>
      <c r="AE1156" s="86">
        <f>+AC1156*Analisis!$J$7</f>
        <v>0</v>
      </c>
      <c r="AF1156" s="308">
        <f>+H1156*0.0254*I1156*0.0254*2*(1+[3]Analisis!$G$2)</f>
        <v>0.7864448787199998</v>
      </c>
      <c r="AG1156" s="86">
        <f>+AF1156*Analisis!$J$8</f>
        <v>83.793829339809534</v>
      </c>
      <c r="AH1156" s="309">
        <f t="shared" si="151"/>
        <v>366.12826185087999</v>
      </c>
      <c r="AI1156" s="86">
        <f>+AH1156/(1-Analisis!G1161)</f>
        <v>366.12826185087999</v>
      </c>
      <c r="AJ1156" s="86">
        <f t="shared" si="140"/>
        <v>393.68630306546237</v>
      </c>
      <c r="AK1156" s="86">
        <f t="shared" si="152"/>
        <v>0</v>
      </c>
      <c r="AL1156" s="310" t="e">
        <f>+VLOOKUP(B1156,#REF!,2,FALSE)</f>
        <v>#REF!</v>
      </c>
      <c r="AM1156" s="311" t="e">
        <f t="shared" si="149"/>
        <v>#REF!</v>
      </c>
      <c r="AN1156" s="312" t="e">
        <f t="shared" si="148"/>
        <v>#REF!</v>
      </c>
    </row>
    <row r="1157" spans="1:40" s="73" customFormat="1" x14ac:dyDescent="0.25">
      <c r="A1157" s="313"/>
      <c r="B1157" s="333" t="s">
        <v>1788</v>
      </c>
      <c r="D1157" s="74">
        <f>IFERROR(VLOOKUP(B1157,'REQ. PINTADO'!B:C,2,0),0)</f>
        <v>0</v>
      </c>
      <c r="E1157" s="305">
        <f t="shared" si="133"/>
        <v>436.93741144126369</v>
      </c>
      <c r="F1157" s="103" t="s">
        <v>166</v>
      </c>
      <c r="G1157" s="75" t="s">
        <v>147</v>
      </c>
      <c r="H1157" s="90">
        <v>16.21</v>
      </c>
      <c r="I1157" s="90">
        <v>36.08</v>
      </c>
      <c r="J1157" s="76">
        <v>0.105</v>
      </c>
      <c r="K1157" s="306">
        <v>16.38</v>
      </c>
      <c r="L1157" s="78">
        <f t="shared" si="134"/>
        <v>17.80383286148178</v>
      </c>
      <c r="M1157" s="58">
        <f>+VLOOKUP(F1157,Material!$H$2:$M$17,6,FALSE)*H1157*I1157*(1+Material!$K$14)</f>
        <v>132.55762830503249</v>
      </c>
      <c r="N1157" s="79" t="str">
        <f t="shared" si="154"/>
        <v>T5.0</v>
      </c>
      <c r="O1157" s="80">
        <f>+VLOOKUP(N1157,[3]Material!$A$3:$B$58,2,FALSE)</f>
        <v>5000</v>
      </c>
      <c r="P1157" s="79" t="s">
        <v>42</v>
      </c>
      <c r="Q1157" s="79" t="str">
        <f>+VLOOKUP(F1157,[3]Material!$C$2:$E$12,2,FALSE)</f>
        <v>Cal 16</v>
      </c>
      <c r="R1157" s="81">
        <f>+IF(P1157="ACERO A36",VLOOKUP(Q1157,'[3]Velocidades Std 1500 w'!$B$2:$F$15,5,FALSE),IF(P1157="INOXIDABLE",VLOOKUP(Q1157,'[3]Velocidades Std 1500 w'!$B$17:$F$28,5,FALSE),IF(P1157="ALUMINIO",VLOOKUP(Q1157,'[3]Velocidades Std 1500 w'!$B$30:$F$38,5,FALSE))))</f>
        <v>9.1575091575091579E-7</v>
      </c>
      <c r="S1157" s="82">
        <f t="shared" si="135"/>
        <v>4.578754578754579E-3</v>
      </c>
      <c r="T1157" s="83">
        <f t="shared" si="136"/>
        <v>11.83268769230769</v>
      </c>
      <c r="U1157" s="307">
        <f t="shared" si="150"/>
        <v>3589.2485999999994</v>
      </c>
      <c r="V1157" s="80">
        <f t="shared" si="153"/>
        <v>16.434288461538461</v>
      </c>
      <c r="W1157" s="98">
        <v>20</v>
      </c>
      <c r="X1157" s="84">
        <f>+IF(P1157="ACERO A36",VLOOKUP(Q1157,'[3]Tiempo Objeto'!$B$2:$C$12,2,FALSE),IF(P1157="INOXIDABLE",VLOOKUP(Q1157,'[3]Tiempo Objeto'!$B$14:$C$22,2,FALSE),IF(P1157="ALUMINIO",VLOOKUP(Q1157,'[3]Tiempo Objeto'!$B$24:$C$32,2,FALSE))))</f>
        <v>0.24666666666666667</v>
      </c>
      <c r="Y1157" s="84">
        <f t="shared" si="137"/>
        <v>4.9333333333333336</v>
      </c>
      <c r="Z1157" s="80">
        <f t="shared" si="138"/>
        <v>6.8518518518518521</v>
      </c>
      <c r="AA1157" s="100">
        <v>6</v>
      </c>
      <c r="AB1157" s="86">
        <f>+AA1157*Analisis!$J$6</f>
        <v>150</v>
      </c>
      <c r="AC1157" s="100"/>
      <c r="AD1157" s="85">
        <f t="shared" si="139"/>
        <v>0</v>
      </c>
      <c r="AE1157" s="86">
        <f>+AC1157*Analisis!$J$7</f>
        <v>0</v>
      </c>
      <c r="AF1157" s="308">
        <f>+H1157*0.0254*I1157*0.0254*2*(1+[3]Analisis!$G$2)</f>
        <v>0.94331553271999991</v>
      </c>
      <c r="AG1157" s="86">
        <f>+AF1157*Analisis!$J$8</f>
        <v>100.50802402195239</v>
      </c>
      <c r="AH1157" s="309">
        <f t="shared" si="151"/>
        <v>406.35179264037521</v>
      </c>
      <c r="AI1157" s="86">
        <f>+AH1157/(1-Analisis!G1162)</f>
        <v>406.35179264037521</v>
      </c>
      <c r="AJ1157" s="86">
        <f t="shared" si="140"/>
        <v>436.93741144126369</v>
      </c>
      <c r="AK1157" s="86">
        <f t="shared" si="152"/>
        <v>0</v>
      </c>
      <c r="AL1157" s="310" t="e">
        <f>+VLOOKUP(B1157,#REF!,2,FALSE)</f>
        <v>#REF!</v>
      </c>
      <c r="AM1157" s="311" t="e">
        <f t="shared" si="149"/>
        <v>#REF!</v>
      </c>
      <c r="AN1157" s="312" t="e">
        <f t="shared" si="148"/>
        <v>#REF!</v>
      </c>
    </row>
    <row r="1158" spans="1:40" s="73" customFormat="1" x14ac:dyDescent="0.25">
      <c r="A1158" s="313"/>
      <c r="B1158" s="333" t="s">
        <v>1789</v>
      </c>
      <c r="D1158" s="74">
        <f>IFERROR(VLOOKUP(B1158,'REQ. PINTADO'!B:C,2,0),0)</f>
        <v>0</v>
      </c>
      <c r="E1158" s="305">
        <f t="shared" si="133"/>
        <v>494.60555594233205</v>
      </c>
      <c r="F1158" s="103" t="s">
        <v>166</v>
      </c>
      <c r="G1158" s="75" t="s">
        <v>147</v>
      </c>
      <c r="H1158" s="90">
        <v>16.21</v>
      </c>
      <c r="I1158" s="90">
        <v>44.08</v>
      </c>
      <c r="J1158" s="76">
        <v>0.105</v>
      </c>
      <c r="K1158" s="306">
        <v>16.38</v>
      </c>
      <c r="L1158" s="78">
        <f t="shared" si="134"/>
        <v>21.751467642298138</v>
      </c>
      <c r="M1158" s="58">
        <f>+VLOOKUP(F1158,Material!$H$2:$M$17,6,FALSE)*H1158*I1158*(1+Material!$K$14)</f>
        <v>161.94956362765612</v>
      </c>
      <c r="N1158" s="79" t="str">
        <f t="shared" si="154"/>
        <v>T5.0</v>
      </c>
      <c r="O1158" s="80">
        <f>+VLOOKUP(N1158,[3]Material!$A$3:$B$58,2,FALSE)</f>
        <v>5000</v>
      </c>
      <c r="P1158" s="79" t="s">
        <v>42</v>
      </c>
      <c r="Q1158" s="79" t="str">
        <f>+VLOOKUP(F1158,[3]Material!$C$2:$E$12,2,FALSE)</f>
        <v>Cal 16</v>
      </c>
      <c r="R1158" s="81">
        <f>+IF(P1158="ACERO A36",VLOOKUP(Q1158,'[3]Velocidades Std 1500 w'!$B$2:$F$15,5,FALSE),IF(P1158="INOXIDABLE",VLOOKUP(Q1158,'[3]Velocidades Std 1500 w'!$B$17:$F$28,5,FALSE),IF(P1158="ALUMINIO",VLOOKUP(Q1158,'[3]Velocidades Std 1500 w'!$B$30:$F$38,5,FALSE))))</f>
        <v>9.1575091575091579E-7</v>
      </c>
      <c r="S1158" s="82">
        <f t="shared" si="135"/>
        <v>4.578754578754579E-3</v>
      </c>
      <c r="T1158" s="83">
        <f t="shared" si="136"/>
        <v>13.239456923076922</v>
      </c>
      <c r="U1158" s="307">
        <f t="shared" si="150"/>
        <v>4015.9685999999997</v>
      </c>
      <c r="V1158" s="80">
        <f t="shared" si="153"/>
        <v>18.388134615384615</v>
      </c>
      <c r="W1158" s="98">
        <v>20</v>
      </c>
      <c r="X1158" s="84">
        <f>+IF(P1158="ACERO A36",VLOOKUP(Q1158,'[3]Tiempo Objeto'!$B$2:$C$12,2,FALSE),IF(P1158="INOXIDABLE",VLOOKUP(Q1158,'[3]Tiempo Objeto'!$B$14:$C$22,2,FALSE),IF(P1158="ALUMINIO",VLOOKUP(Q1158,'[3]Tiempo Objeto'!$B$24:$C$32,2,FALSE))))</f>
        <v>0.24666666666666667</v>
      </c>
      <c r="Y1158" s="84">
        <f t="shared" si="137"/>
        <v>4.9333333333333336</v>
      </c>
      <c r="Z1158" s="80">
        <f t="shared" si="138"/>
        <v>6.8518518518518521</v>
      </c>
      <c r="AA1158" s="100">
        <v>6</v>
      </c>
      <c r="AB1158" s="86">
        <f>+AA1158*Analisis!$J$6</f>
        <v>150</v>
      </c>
      <c r="AC1158" s="100"/>
      <c r="AD1158" s="85">
        <f t="shared" si="139"/>
        <v>0</v>
      </c>
      <c r="AE1158" s="86">
        <f>+AC1158*Analisis!$J$7</f>
        <v>0</v>
      </c>
      <c r="AF1158" s="308">
        <f>+H1158*0.0254*I1158*0.0254*2*(1+[3]Analisis!$G$2)</f>
        <v>1.15247640472</v>
      </c>
      <c r="AG1158" s="86">
        <f>+AF1158*Analisis!$J$8</f>
        <v>122.79361693147622</v>
      </c>
      <c r="AH1158" s="309">
        <f t="shared" si="151"/>
        <v>459.98316702636879</v>
      </c>
      <c r="AI1158" s="86">
        <f>+AH1158/(1-Analisis!G1163)</f>
        <v>459.98316702636879</v>
      </c>
      <c r="AJ1158" s="86">
        <f t="shared" si="140"/>
        <v>494.60555594233205</v>
      </c>
      <c r="AK1158" s="86">
        <f t="shared" si="152"/>
        <v>0</v>
      </c>
      <c r="AL1158" s="310" t="e">
        <f>+VLOOKUP(B1158,#REF!,2,FALSE)</f>
        <v>#REF!</v>
      </c>
      <c r="AM1158" s="311" t="e">
        <f t="shared" si="149"/>
        <v>#REF!</v>
      </c>
      <c r="AN1158" s="312" t="e">
        <f t="shared" si="148"/>
        <v>#REF!</v>
      </c>
    </row>
    <row r="1159" spans="1:40" s="73" customFormat="1" x14ac:dyDescent="0.25">
      <c r="A1159" s="313"/>
      <c r="B1159" s="333" t="s">
        <v>1790</v>
      </c>
      <c r="D1159" s="74">
        <f>IFERROR(VLOOKUP(B1159,'REQ. PINTADO'!B:C,2,0),0)</f>
        <v>0</v>
      </c>
      <c r="E1159" s="305">
        <f t="shared" si="133"/>
        <v>537.85666431813343</v>
      </c>
      <c r="F1159" s="103" t="s">
        <v>166</v>
      </c>
      <c r="G1159" s="75" t="s">
        <v>147</v>
      </c>
      <c r="H1159" s="90">
        <v>16.21</v>
      </c>
      <c r="I1159" s="90">
        <v>50.08</v>
      </c>
      <c r="J1159" s="76">
        <v>0.105</v>
      </c>
      <c r="K1159" s="306">
        <v>16.38</v>
      </c>
      <c r="L1159" s="78">
        <f t="shared" si="134"/>
        <v>24.712193727910407</v>
      </c>
      <c r="M1159" s="58">
        <f>+VLOOKUP(F1159,Material!$H$2:$M$17,6,FALSE)*H1159*I1159*(1+Material!$K$14)</f>
        <v>183.99351511962382</v>
      </c>
      <c r="N1159" s="79" t="str">
        <f t="shared" si="154"/>
        <v>T5.0</v>
      </c>
      <c r="O1159" s="80">
        <f>+VLOOKUP(N1159,[3]Material!$A$3:$B$58,2,FALSE)</f>
        <v>5000</v>
      </c>
      <c r="P1159" s="79" t="s">
        <v>42</v>
      </c>
      <c r="Q1159" s="79" t="str">
        <f>+VLOOKUP(F1159,[3]Material!$C$2:$E$12,2,FALSE)</f>
        <v>Cal 16</v>
      </c>
      <c r="R1159" s="81">
        <f>+IF(P1159="ACERO A36",VLOOKUP(Q1159,'[3]Velocidades Std 1500 w'!$B$2:$F$15,5,FALSE),IF(P1159="INOXIDABLE",VLOOKUP(Q1159,'[3]Velocidades Std 1500 w'!$B$17:$F$28,5,FALSE),IF(P1159="ALUMINIO",VLOOKUP(Q1159,'[3]Velocidades Std 1500 w'!$B$30:$F$38,5,FALSE))))</f>
        <v>9.1575091575091579E-7</v>
      </c>
      <c r="S1159" s="82">
        <f t="shared" si="135"/>
        <v>4.578754578754579E-3</v>
      </c>
      <c r="T1159" s="83">
        <f t="shared" si="136"/>
        <v>14.294533846153845</v>
      </c>
      <c r="U1159" s="307">
        <f t="shared" si="150"/>
        <v>4336.0085999999992</v>
      </c>
      <c r="V1159" s="80">
        <f t="shared" si="153"/>
        <v>19.853519230769226</v>
      </c>
      <c r="W1159" s="98">
        <v>20</v>
      </c>
      <c r="X1159" s="84">
        <f>+IF(P1159="ACERO A36",VLOOKUP(Q1159,'[3]Tiempo Objeto'!$B$2:$C$12,2,FALSE),IF(P1159="INOXIDABLE",VLOOKUP(Q1159,'[3]Tiempo Objeto'!$B$14:$C$22,2,FALSE),IF(P1159="ALUMINIO",VLOOKUP(Q1159,'[3]Tiempo Objeto'!$B$24:$C$32,2,FALSE))))</f>
        <v>0.24666666666666667</v>
      </c>
      <c r="Y1159" s="84">
        <f t="shared" si="137"/>
        <v>4.9333333333333336</v>
      </c>
      <c r="Z1159" s="80">
        <f t="shared" si="138"/>
        <v>6.8518518518518521</v>
      </c>
      <c r="AA1159" s="100">
        <v>6</v>
      </c>
      <c r="AB1159" s="86">
        <f>+AA1159*Analisis!$J$6</f>
        <v>150</v>
      </c>
      <c r="AC1159" s="100"/>
      <c r="AD1159" s="85">
        <f t="shared" si="139"/>
        <v>0</v>
      </c>
      <c r="AE1159" s="86">
        <f>+AC1159*Analisis!$J$7</f>
        <v>0</v>
      </c>
      <c r="AF1159" s="308">
        <f>+H1159*0.0254*I1159*0.0254*2*(1+[3]Analisis!$G$2)</f>
        <v>1.3093470587199998</v>
      </c>
      <c r="AG1159" s="86">
        <f>+AF1159*Analisis!$J$8</f>
        <v>139.50781161361905</v>
      </c>
      <c r="AH1159" s="309">
        <f t="shared" si="151"/>
        <v>500.206697815864</v>
      </c>
      <c r="AI1159" s="86">
        <f>+AH1159/(1-Analisis!G1164)</f>
        <v>500.206697815864</v>
      </c>
      <c r="AJ1159" s="86">
        <f t="shared" si="140"/>
        <v>537.85666431813343</v>
      </c>
      <c r="AK1159" s="86">
        <f t="shared" si="152"/>
        <v>0</v>
      </c>
      <c r="AL1159" s="310" t="e">
        <f>+VLOOKUP(B1159,#REF!,2,FALSE)</f>
        <v>#REF!</v>
      </c>
      <c r="AM1159" s="311" t="e">
        <f t="shared" si="149"/>
        <v>#REF!</v>
      </c>
      <c r="AN1159" s="312" t="e">
        <f t="shared" si="148"/>
        <v>#REF!</v>
      </c>
    </row>
    <row r="1160" spans="1:40" s="73" customFormat="1" x14ac:dyDescent="0.25">
      <c r="A1160" s="313"/>
      <c r="B1160" s="333" t="s">
        <v>1791</v>
      </c>
      <c r="D1160" s="74">
        <f>IFERROR(VLOOKUP(B1160,'REQ. PINTADO'!B:C,2,0),0)</f>
        <v>0</v>
      </c>
      <c r="E1160" s="305">
        <f t="shared" si="133"/>
        <v>581.10777269393463</v>
      </c>
      <c r="F1160" s="103" t="s">
        <v>166</v>
      </c>
      <c r="G1160" s="75" t="s">
        <v>147</v>
      </c>
      <c r="H1160" s="90">
        <v>16.21</v>
      </c>
      <c r="I1160" s="90">
        <v>56.08</v>
      </c>
      <c r="J1160" s="76">
        <v>0.105</v>
      </c>
      <c r="K1160" s="306">
        <v>16.38</v>
      </c>
      <c r="L1160" s="78">
        <f t="shared" si="134"/>
        <v>27.672919813522675</v>
      </c>
      <c r="M1160" s="58">
        <f>+VLOOKUP(F1160,Material!$H$2:$M$17,6,FALSE)*H1160*I1160*(1+Material!$K$14)</f>
        <v>206.03746661159153</v>
      </c>
      <c r="N1160" s="79" t="str">
        <f t="shared" si="154"/>
        <v>T5.0</v>
      </c>
      <c r="O1160" s="80">
        <f>+VLOOKUP(N1160,[3]Material!$A$3:$B$58,2,FALSE)</f>
        <v>5000</v>
      </c>
      <c r="P1160" s="79" t="s">
        <v>42</v>
      </c>
      <c r="Q1160" s="79" t="str">
        <f>+VLOOKUP(F1160,[3]Material!$C$2:$E$12,2,FALSE)</f>
        <v>Cal 16</v>
      </c>
      <c r="R1160" s="81">
        <f>+IF(P1160="ACERO A36",VLOOKUP(Q1160,'[3]Velocidades Std 1500 w'!$B$2:$F$15,5,FALSE),IF(P1160="INOXIDABLE",VLOOKUP(Q1160,'[3]Velocidades Std 1500 w'!$B$17:$F$28,5,FALSE),IF(P1160="ALUMINIO",VLOOKUP(Q1160,'[3]Velocidades Std 1500 w'!$B$30:$F$38,5,FALSE))))</f>
        <v>9.1575091575091579E-7</v>
      </c>
      <c r="S1160" s="82">
        <f t="shared" si="135"/>
        <v>4.578754578754579E-3</v>
      </c>
      <c r="T1160" s="83">
        <f t="shared" si="136"/>
        <v>15.349610769230766</v>
      </c>
      <c r="U1160" s="307">
        <f t="shared" si="150"/>
        <v>4656.0485999999992</v>
      </c>
      <c r="V1160" s="80">
        <f t="shared" si="153"/>
        <v>21.318903846153844</v>
      </c>
      <c r="W1160" s="98">
        <v>20</v>
      </c>
      <c r="X1160" s="84">
        <f>+IF(P1160="ACERO A36",VLOOKUP(Q1160,'[3]Tiempo Objeto'!$B$2:$C$12,2,FALSE),IF(P1160="INOXIDABLE",VLOOKUP(Q1160,'[3]Tiempo Objeto'!$B$14:$C$22,2,FALSE),IF(P1160="ALUMINIO",VLOOKUP(Q1160,'[3]Tiempo Objeto'!$B$24:$C$32,2,FALSE))))</f>
        <v>0.24666666666666667</v>
      </c>
      <c r="Y1160" s="84">
        <f t="shared" si="137"/>
        <v>4.9333333333333336</v>
      </c>
      <c r="Z1160" s="80">
        <f t="shared" si="138"/>
        <v>6.8518518518518521</v>
      </c>
      <c r="AA1160" s="100">
        <v>6</v>
      </c>
      <c r="AB1160" s="86">
        <f>+AA1160*Analisis!$J$6</f>
        <v>150</v>
      </c>
      <c r="AC1160" s="100"/>
      <c r="AD1160" s="85">
        <f t="shared" si="139"/>
        <v>0</v>
      </c>
      <c r="AE1160" s="86">
        <f>+AC1160*Analisis!$J$7</f>
        <v>0</v>
      </c>
      <c r="AF1160" s="308">
        <f>+H1160*0.0254*I1160*0.0254*2*(1+[3]Analisis!$G$2)</f>
        <v>1.4662177127199998</v>
      </c>
      <c r="AG1160" s="86">
        <f>+AF1160*Analisis!$J$8</f>
        <v>156.22200629576193</v>
      </c>
      <c r="AH1160" s="309">
        <f t="shared" si="151"/>
        <v>540.43022860535916</v>
      </c>
      <c r="AI1160" s="86">
        <f>+AH1160/(1-Analisis!G1165)</f>
        <v>540.43022860535916</v>
      </c>
      <c r="AJ1160" s="86">
        <f t="shared" si="140"/>
        <v>581.10777269393463</v>
      </c>
      <c r="AK1160" s="86">
        <f t="shared" si="152"/>
        <v>0</v>
      </c>
      <c r="AL1160" s="310" t="e">
        <f>+VLOOKUP(B1160,#REF!,2,FALSE)</f>
        <v>#REF!</v>
      </c>
      <c r="AM1160" s="311" t="e">
        <f t="shared" si="149"/>
        <v>#REF!</v>
      </c>
      <c r="AN1160" s="312" t="e">
        <f t="shared" si="148"/>
        <v>#REF!</v>
      </c>
    </row>
    <row r="1161" spans="1:40" s="73" customFormat="1" x14ac:dyDescent="0.25">
      <c r="A1161" s="313"/>
      <c r="B1161" s="333" t="s">
        <v>1792</v>
      </c>
      <c r="D1161" s="74">
        <f>IFERROR(VLOOKUP(B1161,'REQ. PINTADO'!B:C,2,0),0)</f>
        <v>0</v>
      </c>
      <c r="E1161" s="305">
        <f t="shared" si="133"/>
        <v>451.35444756653078</v>
      </c>
      <c r="F1161" s="103" t="s">
        <v>166</v>
      </c>
      <c r="G1161" s="75" t="s">
        <v>147</v>
      </c>
      <c r="H1161" s="90">
        <v>16.21</v>
      </c>
      <c r="I1161" s="90">
        <v>38.08</v>
      </c>
      <c r="J1161" s="76">
        <v>0.105</v>
      </c>
      <c r="K1161" s="306">
        <v>16.38</v>
      </c>
      <c r="L1161" s="78">
        <f t="shared" si="134"/>
        <v>18.790741556685866</v>
      </c>
      <c r="M1161" s="58">
        <f>+VLOOKUP(F1161,Material!$H$2:$M$17,6,FALSE)*H1161*I1161*(1+Material!$K$14)</f>
        <v>139.90561213568839</v>
      </c>
      <c r="N1161" s="79" t="str">
        <f t="shared" si="154"/>
        <v>T5.0</v>
      </c>
      <c r="O1161" s="80">
        <f>+VLOOKUP(N1161,[3]Material!$A$3:$B$58,2,FALSE)</f>
        <v>5000</v>
      </c>
      <c r="P1161" s="79" t="s">
        <v>42</v>
      </c>
      <c r="Q1161" s="79" t="str">
        <f>+VLOOKUP(F1161,[3]Material!$C$2:$E$12,2,FALSE)</f>
        <v>Cal 16</v>
      </c>
      <c r="R1161" s="81">
        <f>+IF(P1161="ACERO A36",VLOOKUP(Q1161,'[3]Velocidades Std 1500 w'!$B$2:$F$15,5,FALSE),IF(P1161="INOXIDABLE",VLOOKUP(Q1161,'[3]Velocidades Std 1500 w'!$B$17:$F$28,5,FALSE),IF(P1161="ALUMINIO",VLOOKUP(Q1161,'[3]Velocidades Std 1500 w'!$B$30:$F$38,5,FALSE))))</f>
        <v>9.1575091575091579E-7</v>
      </c>
      <c r="S1161" s="82">
        <f t="shared" si="135"/>
        <v>4.578754578754579E-3</v>
      </c>
      <c r="T1161" s="83">
        <f t="shared" si="136"/>
        <v>12.184379999999999</v>
      </c>
      <c r="U1161" s="307">
        <f t="shared" si="150"/>
        <v>3695.9285999999993</v>
      </c>
      <c r="V1161" s="80">
        <f t="shared" si="153"/>
        <v>16.922749999999997</v>
      </c>
      <c r="W1161" s="98">
        <v>20</v>
      </c>
      <c r="X1161" s="84">
        <f>+IF(P1161="ACERO A36",VLOOKUP(Q1161,'[3]Tiempo Objeto'!$B$2:$C$12,2,FALSE),IF(P1161="INOXIDABLE",VLOOKUP(Q1161,'[3]Tiempo Objeto'!$B$14:$C$22,2,FALSE),IF(P1161="ALUMINIO",VLOOKUP(Q1161,'[3]Tiempo Objeto'!$B$24:$C$32,2,FALSE))))</f>
        <v>0.24666666666666667</v>
      </c>
      <c r="Y1161" s="84">
        <f t="shared" si="137"/>
        <v>4.9333333333333336</v>
      </c>
      <c r="Z1161" s="80">
        <f t="shared" si="138"/>
        <v>6.8518518518518521</v>
      </c>
      <c r="AA1161" s="100">
        <v>6</v>
      </c>
      <c r="AB1161" s="86">
        <f>+AA1161*Analisis!$J$6</f>
        <v>150</v>
      </c>
      <c r="AC1161" s="100"/>
      <c r="AD1161" s="85">
        <f t="shared" si="139"/>
        <v>0</v>
      </c>
      <c r="AE1161" s="86">
        <f>+AC1161*Analisis!$J$7</f>
        <v>0</v>
      </c>
      <c r="AF1161" s="308">
        <f>+H1161*0.0254*I1161*0.0254*2*(1+[3]Analisis!$G$2)</f>
        <v>0.9956057507199999</v>
      </c>
      <c r="AG1161" s="86">
        <f>+AF1161*Analisis!$J$8</f>
        <v>106.07942224933335</v>
      </c>
      <c r="AH1161" s="309">
        <f t="shared" si="151"/>
        <v>419.75963623687358</v>
      </c>
      <c r="AI1161" s="86">
        <f>+AH1161/(1-Analisis!G1166)</f>
        <v>419.75963623687358</v>
      </c>
      <c r="AJ1161" s="86">
        <f t="shared" si="140"/>
        <v>451.35444756653078</v>
      </c>
      <c r="AK1161" s="86">
        <f t="shared" si="152"/>
        <v>0</v>
      </c>
      <c r="AL1161" s="310" t="e">
        <f>+VLOOKUP(B1161,#REF!,2,FALSE)</f>
        <v>#REF!</v>
      </c>
      <c r="AM1161" s="311" t="e">
        <f t="shared" si="149"/>
        <v>#REF!</v>
      </c>
      <c r="AN1161" s="312" t="e">
        <f t="shared" si="148"/>
        <v>#REF!</v>
      </c>
    </row>
    <row r="1162" spans="1:40" s="73" customFormat="1" x14ac:dyDescent="0.25">
      <c r="A1162" s="313"/>
      <c r="B1162" s="333" t="s">
        <v>1793</v>
      </c>
      <c r="D1162" s="74">
        <f>IFERROR(VLOOKUP(B1162,'REQ. PINTADO'!B:C,2,0),0)</f>
        <v>0</v>
      </c>
      <c r="E1162" s="305">
        <f t="shared" si="133"/>
        <v>509.02259206759913</v>
      </c>
      <c r="F1162" s="103" t="s">
        <v>166</v>
      </c>
      <c r="G1162" s="75" t="s">
        <v>147</v>
      </c>
      <c r="H1162" s="90">
        <v>16.21</v>
      </c>
      <c r="I1162" s="90">
        <v>46.08</v>
      </c>
      <c r="J1162" s="76">
        <v>0.105</v>
      </c>
      <c r="K1162" s="306">
        <v>16.38</v>
      </c>
      <c r="L1162" s="78">
        <f t="shared" si="134"/>
        <v>22.738376337502228</v>
      </c>
      <c r="M1162" s="58">
        <f>+VLOOKUP(F1162,Material!$H$2:$M$17,6,FALSE)*H1162*I1162*(1+Material!$K$14)</f>
        <v>169.29754745831201</v>
      </c>
      <c r="N1162" s="79" t="str">
        <f t="shared" si="154"/>
        <v>T5.0</v>
      </c>
      <c r="O1162" s="80">
        <f>+VLOOKUP(N1162,[3]Material!$A$3:$B$58,2,FALSE)</f>
        <v>5000</v>
      </c>
      <c r="P1162" s="79" t="s">
        <v>42</v>
      </c>
      <c r="Q1162" s="79" t="str">
        <f>+VLOOKUP(F1162,[3]Material!$C$2:$E$12,2,FALSE)</f>
        <v>Cal 16</v>
      </c>
      <c r="R1162" s="81">
        <f>+IF(P1162="ACERO A36",VLOOKUP(Q1162,'[3]Velocidades Std 1500 w'!$B$2:$F$15,5,FALSE),IF(P1162="INOXIDABLE",VLOOKUP(Q1162,'[3]Velocidades Std 1500 w'!$B$17:$F$28,5,FALSE),IF(P1162="ALUMINIO",VLOOKUP(Q1162,'[3]Velocidades Std 1500 w'!$B$30:$F$38,5,FALSE))))</f>
        <v>9.1575091575091579E-7</v>
      </c>
      <c r="S1162" s="82">
        <f t="shared" si="135"/>
        <v>4.578754578754579E-3</v>
      </c>
      <c r="T1162" s="83">
        <f t="shared" si="136"/>
        <v>13.591149230769231</v>
      </c>
      <c r="U1162" s="307">
        <f t="shared" si="150"/>
        <v>4122.6485999999995</v>
      </c>
      <c r="V1162" s="80">
        <f t="shared" si="153"/>
        <v>18.876596153846151</v>
      </c>
      <c r="W1162" s="98">
        <v>20</v>
      </c>
      <c r="X1162" s="84">
        <f>+IF(P1162="ACERO A36",VLOOKUP(Q1162,'[3]Tiempo Objeto'!$B$2:$C$12,2,FALSE),IF(P1162="INOXIDABLE",VLOOKUP(Q1162,'[3]Tiempo Objeto'!$B$14:$C$22,2,FALSE),IF(P1162="ALUMINIO",VLOOKUP(Q1162,'[3]Tiempo Objeto'!$B$24:$C$32,2,FALSE))))</f>
        <v>0.24666666666666667</v>
      </c>
      <c r="Y1162" s="84">
        <f t="shared" si="137"/>
        <v>4.9333333333333336</v>
      </c>
      <c r="Z1162" s="80">
        <f t="shared" si="138"/>
        <v>6.8518518518518521</v>
      </c>
      <c r="AA1162" s="100">
        <v>6</v>
      </c>
      <c r="AB1162" s="86">
        <f>+AA1162*Analisis!$J$6</f>
        <v>150</v>
      </c>
      <c r="AC1162" s="100"/>
      <c r="AD1162" s="85">
        <f t="shared" si="139"/>
        <v>0</v>
      </c>
      <c r="AE1162" s="86">
        <f>+AC1162*Analisis!$J$7</f>
        <v>0</v>
      </c>
      <c r="AF1162" s="308">
        <f>+H1162*0.0254*I1162*0.0254*2*(1+[3]Analisis!$G$2)</f>
        <v>1.2047666227199998</v>
      </c>
      <c r="AG1162" s="86">
        <f>+AF1162*Analisis!$J$8</f>
        <v>128.36501515885715</v>
      </c>
      <c r="AH1162" s="309">
        <f t="shared" si="151"/>
        <v>473.39101062286716</v>
      </c>
      <c r="AI1162" s="86">
        <f>+AH1162/(1-Analisis!G1167)</f>
        <v>473.39101062286716</v>
      </c>
      <c r="AJ1162" s="86">
        <f t="shared" si="140"/>
        <v>509.02259206759913</v>
      </c>
      <c r="AK1162" s="86">
        <f t="shared" si="152"/>
        <v>0</v>
      </c>
      <c r="AL1162" s="310" t="e">
        <f>+VLOOKUP(B1162,#REF!,2,FALSE)</f>
        <v>#REF!</v>
      </c>
      <c r="AM1162" s="311" t="e">
        <f t="shared" si="149"/>
        <v>#REF!</v>
      </c>
      <c r="AN1162" s="312" t="e">
        <f t="shared" si="148"/>
        <v>#REF!</v>
      </c>
    </row>
    <row r="1163" spans="1:40" s="73" customFormat="1" x14ac:dyDescent="0.25">
      <c r="A1163" s="313"/>
      <c r="B1163" s="333" t="s">
        <v>1794</v>
      </c>
      <c r="D1163" s="74">
        <f>IFERROR(VLOOKUP(B1163,'REQ. PINTADO'!B:C,2,0),0)</f>
        <v>0</v>
      </c>
      <c r="E1163" s="305">
        <f t="shared" si="133"/>
        <v>339.79091094033191</v>
      </c>
      <c r="F1163" s="103" t="s">
        <v>165</v>
      </c>
      <c r="G1163" s="75" t="s">
        <v>147</v>
      </c>
      <c r="H1163" s="90">
        <v>18.71</v>
      </c>
      <c r="I1163" s="90">
        <v>12.08</v>
      </c>
      <c r="J1163" s="76">
        <v>0.105</v>
      </c>
      <c r="K1163" s="306">
        <v>16.38</v>
      </c>
      <c r="L1163" s="78">
        <f t="shared" si="134"/>
        <v>12.616856623931628</v>
      </c>
      <c r="M1163" s="58">
        <f>+VLOOKUP(F1163,Material!$H$2:$M$17,6,FALSE)*H1163*I1163*(1+Material!$K$14)</f>
        <v>93.938232500000012</v>
      </c>
      <c r="N1163" s="79" t="str">
        <f t="shared" si="154"/>
        <v>T5.0</v>
      </c>
      <c r="O1163" s="80">
        <f>+VLOOKUP(N1163,[3]Material!$A$3:$B$58,2,FALSE)</f>
        <v>5000</v>
      </c>
      <c r="P1163" s="79" t="s">
        <v>42</v>
      </c>
      <c r="Q1163" s="79" t="str">
        <f>+VLOOKUP(F1163,[3]Material!$C$2:$E$12,2,FALSE)</f>
        <v>Cal 14</v>
      </c>
      <c r="R1163" s="81">
        <f>+IF(P1163="ACERO A36",VLOOKUP(Q1163,'[3]Velocidades Std 1500 w'!$B$2:$F$15,5,FALSE),IF(P1163="INOXIDABLE",VLOOKUP(Q1163,'[3]Velocidades Std 1500 w'!$B$17:$F$28,5,FALSE),IF(P1163="ALUMINIO",VLOOKUP(Q1163,'[3]Velocidades Std 1500 w'!$B$30:$F$38,5,FALSE))))</f>
        <v>2.0080321285140564E-6</v>
      </c>
      <c r="S1163" s="82">
        <f t="shared" si="135"/>
        <v>1.0040160642570283E-2</v>
      </c>
      <c r="T1163" s="83">
        <f t="shared" si="136"/>
        <v>17.656182650602407</v>
      </c>
      <c r="U1163" s="307">
        <f t="shared" si="150"/>
        <v>2442.4385999999995</v>
      </c>
      <c r="V1163" s="80">
        <f t="shared" si="153"/>
        <v>24.522475903614456</v>
      </c>
      <c r="W1163" s="98">
        <v>20</v>
      </c>
      <c r="X1163" s="84">
        <f>+IF(P1163="ACERO A36",VLOOKUP(Q1163,'[3]Tiempo Objeto'!$B$2:$C$12,2,FALSE),IF(P1163="INOXIDABLE",VLOOKUP(Q1163,'[3]Tiempo Objeto'!$B$14:$C$22,2,FALSE),IF(P1163="ALUMINIO",VLOOKUP(Q1163,'[3]Tiempo Objeto'!$B$24:$C$32,2,FALSE))))</f>
        <v>0.3133333333333333</v>
      </c>
      <c r="Y1163" s="84">
        <f t="shared" si="137"/>
        <v>6.2666666666666657</v>
      </c>
      <c r="Z1163" s="80">
        <f t="shared" si="138"/>
        <v>8.7037037037037024</v>
      </c>
      <c r="AA1163" s="100">
        <v>6</v>
      </c>
      <c r="AB1163" s="86">
        <f>+AA1163*Analisis!$J$6</f>
        <v>150</v>
      </c>
      <c r="AC1163" s="100"/>
      <c r="AD1163" s="85">
        <f t="shared" si="139"/>
        <v>0</v>
      </c>
      <c r="AE1163" s="86">
        <f>+AC1163*Analisis!$J$7</f>
        <v>0</v>
      </c>
      <c r="AF1163" s="308">
        <f>+H1163*0.0254*I1163*0.0254*2*(1+[3]Analisis!$G$2)</f>
        <v>0.36454249672</v>
      </c>
      <c r="AG1163" s="86">
        <f>+AF1163*Analisis!$J$8</f>
        <v>38.841135067190486</v>
      </c>
      <c r="AH1163" s="309">
        <f t="shared" si="151"/>
        <v>316.00554717450865</v>
      </c>
      <c r="AI1163" s="86">
        <f>+AH1163/(1-Analisis!G1168)</f>
        <v>316.00554717450865</v>
      </c>
      <c r="AJ1163" s="86">
        <f t="shared" si="140"/>
        <v>339.79091094033191</v>
      </c>
      <c r="AK1163" s="86">
        <f t="shared" si="152"/>
        <v>0</v>
      </c>
      <c r="AL1163" s="310" t="e">
        <f>+VLOOKUP(B1163,#REF!,2,FALSE)</f>
        <v>#REF!</v>
      </c>
      <c r="AM1163" s="311" t="e">
        <f t="shared" si="149"/>
        <v>#REF!</v>
      </c>
      <c r="AN1163" s="312" t="e">
        <f t="shared" si="148"/>
        <v>#REF!</v>
      </c>
    </row>
    <row r="1164" spans="1:40" s="73" customFormat="1" x14ac:dyDescent="0.25">
      <c r="A1164" s="313"/>
      <c r="B1164" s="333" t="s">
        <v>1795</v>
      </c>
      <c r="D1164" s="74">
        <f>IFERROR(VLOOKUP(B1164,'REQ. PINTADO'!B:C,2,0),0)</f>
        <v>0</v>
      </c>
      <c r="E1164" s="305">
        <f t="shared" si="133"/>
        <v>389.3703159694499</v>
      </c>
      <c r="F1164" s="103" t="s">
        <v>165</v>
      </c>
      <c r="G1164" s="75" t="s">
        <v>147</v>
      </c>
      <c r="H1164" s="90">
        <v>18.71</v>
      </c>
      <c r="I1164" s="90">
        <v>16.079999999999998</v>
      </c>
      <c r="J1164" s="76">
        <v>0.105</v>
      </c>
      <c r="K1164" s="306">
        <v>16.38</v>
      </c>
      <c r="L1164" s="78">
        <f t="shared" si="134"/>
        <v>16.794623717948721</v>
      </c>
      <c r="M1164" s="58">
        <f>+VLOOKUP(F1164,Material!$H$2:$M$17,6,FALSE)*H1164*I1164*(1+Material!$K$14)</f>
        <v>125.04360750000002</v>
      </c>
      <c r="N1164" s="79" t="str">
        <f t="shared" si="154"/>
        <v>T5.0</v>
      </c>
      <c r="O1164" s="80">
        <f>+VLOOKUP(N1164,[3]Material!$A$3:$B$58,2,FALSE)</f>
        <v>5000</v>
      </c>
      <c r="P1164" s="79" t="s">
        <v>42</v>
      </c>
      <c r="Q1164" s="79" t="str">
        <f>+VLOOKUP(F1164,[3]Material!$C$2:$E$12,2,FALSE)</f>
        <v>Cal 14</v>
      </c>
      <c r="R1164" s="81">
        <f>+IF(P1164="ACERO A36",VLOOKUP(Q1164,'[3]Velocidades Std 1500 w'!$B$2:$F$15,5,FALSE),IF(P1164="INOXIDABLE",VLOOKUP(Q1164,'[3]Velocidades Std 1500 w'!$B$17:$F$28,5,FALSE),IF(P1164="ALUMINIO",VLOOKUP(Q1164,'[3]Velocidades Std 1500 w'!$B$30:$F$38,5,FALSE))))</f>
        <v>2.0080321285140564E-6</v>
      </c>
      <c r="S1164" s="82">
        <f t="shared" si="135"/>
        <v>1.0040160642570283E-2</v>
      </c>
      <c r="T1164" s="83">
        <f t="shared" si="136"/>
        <v>19.198544096385547</v>
      </c>
      <c r="U1164" s="307">
        <f t="shared" si="150"/>
        <v>2655.7986000000001</v>
      </c>
      <c r="V1164" s="80">
        <f t="shared" si="153"/>
        <v>26.664644578313258</v>
      </c>
      <c r="W1164" s="98">
        <v>20</v>
      </c>
      <c r="X1164" s="84">
        <f>+IF(P1164="ACERO A36",VLOOKUP(Q1164,'[3]Tiempo Objeto'!$B$2:$C$12,2,FALSE),IF(P1164="INOXIDABLE",VLOOKUP(Q1164,'[3]Tiempo Objeto'!$B$14:$C$22,2,FALSE),IF(P1164="ALUMINIO",VLOOKUP(Q1164,'[3]Tiempo Objeto'!$B$24:$C$32,2,FALSE))))</f>
        <v>0.3133333333333333</v>
      </c>
      <c r="Y1164" s="84">
        <f t="shared" si="137"/>
        <v>6.2666666666666657</v>
      </c>
      <c r="Z1164" s="80">
        <f t="shared" si="138"/>
        <v>8.7037037037037024</v>
      </c>
      <c r="AA1164" s="100">
        <v>6</v>
      </c>
      <c r="AB1164" s="86">
        <f>+AA1164*Analisis!$J$6</f>
        <v>150</v>
      </c>
      <c r="AC1164" s="100"/>
      <c r="AD1164" s="85">
        <f t="shared" si="139"/>
        <v>0</v>
      </c>
      <c r="AE1164" s="86">
        <f>+AC1164*Analisis!$J$7</f>
        <v>0</v>
      </c>
      <c r="AF1164" s="308">
        <f>+H1164*0.0254*I1164*0.0254*2*(1+[3]Analisis!$G$2)</f>
        <v>0.48525193271999995</v>
      </c>
      <c r="AG1164" s="86">
        <f>+AF1164*Analisis!$J$8</f>
        <v>51.702438069571436</v>
      </c>
      <c r="AH1164" s="309">
        <f t="shared" si="151"/>
        <v>362.11439385158837</v>
      </c>
      <c r="AI1164" s="86">
        <f>+AH1164/(1-Analisis!G1169)</f>
        <v>362.11439385158837</v>
      </c>
      <c r="AJ1164" s="86">
        <f t="shared" si="140"/>
        <v>389.3703159694499</v>
      </c>
      <c r="AK1164" s="86">
        <f t="shared" si="152"/>
        <v>0</v>
      </c>
      <c r="AL1164" s="310" t="e">
        <f>+VLOOKUP(B1164,#REF!,2,FALSE)</f>
        <v>#REF!</v>
      </c>
      <c r="AM1164" s="311" t="e">
        <f t="shared" si="149"/>
        <v>#REF!</v>
      </c>
      <c r="AN1164" s="312" t="e">
        <f t="shared" si="148"/>
        <v>#REF!</v>
      </c>
    </row>
    <row r="1165" spans="1:40" s="73" customFormat="1" x14ac:dyDescent="0.25">
      <c r="A1165" s="313"/>
      <c r="B1165" s="333" t="s">
        <v>1796</v>
      </c>
      <c r="D1165" s="74">
        <f>IFERROR(VLOOKUP(B1165,'REQ. PINTADO'!B:C,2,0),0)</f>
        <v>0</v>
      </c>
      <c r="E1165" s="305">
        <f t="shared" si="133"/>
        <v>414.1600184840089</v>
      </c>
      <c r="F1165" s="103" t="s">
        <v>165</v>
      </c>
      <c r="G1165" s="75" t="s">
        <v>147</v>
      </c>
      <c r="H1165" s="90">
        <v>18.71</v>
      </c>
      <c r="I1165" s="90">
        <v>18.079999999999998</v>
      </c>
      <c r="J1165" s="76">
        <v>0.105</v>
      </c>
      <c r="K1165" s="306">
        <v>16.38</v>
      </c>
      <c r="L1165" s="78">
        <f t="shared" si="134"/>
        <v>18.883507264957267</v>
      </c>
      <c r="M1165" s="58">
        <f>+VLOOKUP(F1165,Material!$H$2:$M$17,6,FALSE)*H1165*I1165*(1+Material!$K$14)</f>
        <v>140.596295</v>
      </c>
      <c r="N1165" s="79" t="str">
        <f t="shared" si="154"/>
        <v>T5.0</v>
      </c>
      <c r="O1165" s="80">
        <f>+VLOOKUP(N1165,[3]Material!$A$3:$B$58,2,FALSE)</f>
        <v>5000</v>
      </c>
      <c r="P1165" s="79" t="s">
        <v>42</v>
      </c>
      <c r="Q1165" s="79" t="str">
        <f>+VLOOKUP(F1165,[3]Material!$C$2:$E$12,2,FALSE)</f>
        <v>Cal 14</v>
      </c>
      <c r="R1165" s="81">
        <f>+IF(P1165="ACERO A36",VLOOKUP(Q1165,'[3]Velocidades Std 1500 w'!$B$2:$F$15,5,FALSE),IF(P1165="INOXIDABLE",VLOOKUP(Q1165,'[3]Velocidades Std 1500 w'!$B$17:$F$28,5,FALSE),IF(P1165="ALUMINIO",VLOOKUP(Q1165,'[3]Velocidades Std 1500 w'!$B$30:$F$38,5,FALSE))))</f>
        <v>2.0080321285140564E-6</v>
      </c>
      <c r="S1165" s="82">
        <f t="shared" si="135"/>
        <v>1.0040160642570283E-2</v>
      </c>
      <c r="T1165" s="83">
        <f t="shared" si="136"/>
        <v>19.969724819277111</v>
      </c>
      <c r="U1165" s="307">
        <f t="shared" si="150"/>
        <v>2762.4785999999999</v>
      </c>
      <c r="V1165" s="80">
        <f t="shared" si="153"/>
        <v>27.735728915662655</v>
      </c>
      <c r="W1165" s="98">
        <v>20</v>
      </c>
      <c r="X1165" s="84">
        <f>+IF(P1165="ACERO A36",VLOOKUP(Q1165,'[3]Tiempo Objeto'!$B$2:$C$12,2,FALSE),IF(P1165="INOXIDABLE",VLOOKUP(Q1165,'[3]Tiempo Objeto'!$B$14:$C$22,2,FALSE),IF(P1165="ALUMINIO",VLOOKUP(Q1165,'[3]Tiempo Objeto'!$B$24:$C$32,2,FALSE))))</f>
        <v>0.3133333333333333</v>
      </c>
      <c r="Y1165" s="84">
        <f t="shared" si="137"/>
        <v>6.2666666666666657</v>
      </c>
      <c r="Z1165" s="80">
        <f t="shared" si="138"/>
        <v>8.7037037037037024</v>
      </c>
      <c r="AA1165" s="100">
        <v>6</v>
      </c>
      <c r="AB1165" s="86">
        <f>+AA1165*Analisis!$J$6</f>
        <v>150</v>
      </c>
      <c r="AC1165" s="100"/>
      <c r="AD1165" s="85">
        <f t="shared" si="139"/>
        <v>0</v>
      </c>
      <c r="AE1165" s="86">
        <f>+AC1165*Analisis!$J$7</f>
        <v>0</v>
      </c>
      <c r="AF1165" s="308">
        <f>+H1165*0.0254*I1165*0.0254*2*(1+[3]Analisis!$G$2)</f>
        <v>0.54560665071999992</v>
      </c>
      <c r="AG1165" s="86">
        <f>+AF1165*Analisis!$J$8</f>
        <v>58.133089570761911</v>
      </c>
      <c r="AH1165" s="309">
        <f t="shared" si="151"/>
        <v>385.16881719012827</v>
      </c>
      <c r="AI1165" s="86">
        <f>+AH1165/(1-Analisis!G1170)</f>
        <v>385.16881719012827</v>
      </c>
      <c r="AJ1165" s="86">
        <f t="shared" si="140"/>
        <v>414.1600184840089</v>
      </c>
      <c r="AK1165" s="86">
        <f t="shared" si="152"/>
        <v>0</v>
      </c>
      <c r="AL1165" s="310" t="e">
        <f>+VLOOKUP(B1165,#REF!,2,FALSE)</f>
        <v>#REF!</v>
      </c>
      <c r="AM1165" s="311" t="e">
        <f t="shared" si="149"/>
        <v>#REF!</v>
      </c>
      <c r="AN1165" s="312" t="e">
        <f t="shared" si="148"/>
        <v>#REF!</v>
      </c>
    </row>
    <row r="1166" spans="1:40" s="73" customFormat="1" x14ac:dyDescent="0.25">
      <c r="A1166" s="313"/>
      <c r="B1166" s="333" t="s">
        <v>1797</v>
      </c>
      <c r="D1166" s="74">
        <f>IFERROR(VLOOKUP(B1166,'REQ. PINTADO'!B:C,2,0),0)</f>
        <v>0</v>
      </c>
      <c r="E1166" s="305">
        <f t="shared" si="133"/>
        <v>488.529126027686</v>
      </c>
      <c r="F1166" s="103" t="s">
        <v>165</v>
      </c>
      <c r="G1166" s="75" t="s">
        <v>147</v>
      </c>
      <c r="H1166" s="90">
        <v>18.71</v>
      </c>
      <c r="I1166" s="90">
        <v>24.08</v>
      </c>
      <c r="J1166" s="76">
        <v>0.105</v>
      </c>
      <c r="K1166" s="306">
        <v>16.38</v>
      </c>
      <c r="L1166" s="78">
        <f t="shared" si="134"/>
        <v>25.150157905982915</v>
      </c>
      <c r="M1166" s="58">
        <f>+VLOOKUP(F1166,Material!$H$2:$M$17,6,FALSE)*H1166*I1166*(1+Material!$K$14)</f>
        <v>187.25435750000003</v>
      </c>
      <c r="N1166" s="79" t="str">
        <f t="shared" si="154"/>
        <v>T5.0</v>
      </c>
      <c r="O1166" s="80">
        <f>+VLOOKUP(N1166,[3]Material!$A$3:$B$58,2,FALSE)</f>
        <v>5000</v>
      </c>
      <c r="P1166" s="79" t="s">
        <v>42</v>
      </c>
      <c r="Q1166" s="79" t="str">
        <f>+VLOOKUP(F1166,[3]Material!$C$2:$E$12,2,FALSE)</f>
        <v>Cal 14</v>
      </c>
      <c r="R1166" s="81">
        <f>+IF(P1166="ACERO A36",VLOOKUP(Q1166,'[3]Velocidades Std 1500 w'!$B$2:$F$15,5,FALSE),IF(P1166="INOXIDABLE",VLOOKUP(Q1166,'[3]Velocidades Std 1500 w'!$B$17:$F$28,5,FALSE),IF(P1166="ALUMINIO",VLOOKUP(Q1166,'[3]Velocidades Std 1500 w'!$B$30:$F$38,5,FALSE))))</f>
        <v>2.0080321285140564E-6</v>
      </c>
      <c r="S1166" s="82">
        <f t="shared" si="135"/>
        <v>1.0040160642570283E-2</v>
      </c>
      <c r="T1166" s="83">
        <f t="shared" si="136"/>
        <v>22.283266987951809</v>
      </c>
      <c r="U1166" s="307">
        <f t="shared" si="150"/>
        <v>3082.5185999999999</v>
      </c>
      <c r="V1166" s="80">
        <f t="shared" si="153"/>
        <v>30.948981927710847</v>
      </c>
      <c r="W1166" s="98">
        <v>20</v>
      </c>
      <c r="X1166" s="84">
        <f>+IF(P1166="ACERO A36",VLOOKUP(Q1166,'[3]Tiempo Objeto'!$B$2:$C$12,2,FALSE),IF(P1166="INOXIDABLE",VLOOKUP(Q1166,'[3]Tiempo Objeto'!$B$14:$C$22,2,FALSE),IF(P1166="ALUMINIO",VLOOKUP(Q1166,'[3]Tiempo Objeto'!$B$24:$C$32,2,FALSE))))</f>
        <v>0.3133333333333333</v>
      </c>
      <c r="Y1166" s="84">
        <f t="shared" si="137"/>
        <v>6.2666666666666657</v>
      </c>
      <c r="Z1166" s="80">
        <f t="shared" si="138"/>
        <v>8.7037037037037024</v>
      </c>
      <c r="AA1166" s="100">
        <v>6</v>
      </c>
      <c r="AB1166" s="86">
        <f>+AA1166*Analisis!$J$6</f>
        <v>150</v>
      </c>
      <c r="AC1166" s="100"/>
      <c r="AD1166" s="85">
        <f t="shared" si="139"/>
        <v>0</v>
      </c>
      <c r="AE1166" s="86">
        <f>+AC1166*Analisis!$J$7</f>
        <v>0</v>
      </c>
      <c r="AF1166" s="308">
        <f>+H1166*0.0254*I1166*0.0254*2*(1+[3]Analisis!$G$2)</f>
        <v>0.7266708047199999</v>
      </c>
      <c r="AG1166" s="86">
        <f>+AF1166*Analisis!$J$8</f>
        <v>77.425044074333343</v>
      </c>
      <c r="AH1166" s="309">
        <f t="shared" si="151"/>
        <v>454.33208720574794</v>
      </c>
      <c r="AI1166" s="86">
        <f>+AH1166/(1-Analisis!G1171)</f>
        <v>454.33208720574794</v>
      </c>
      <c r="AJ1166" s="86">
        <f t="shared" si="140"/>
        <v>488.529126027686</v>
      </c>
      <c r="AK1166" s="86">
        <f t="shared" si="152"/>
        <v>0</v>
      </c>
      <c r="AL1166" s="310" t="e">
        <f>+VLOOKUP(B1166,#REF!,2,FALSE)</f>
        <v>#REF!</v>
      </c>
      <c r="AM1166" s="311" t="e">
        <f t="shared" si="149"/>
        <v>#REF!</v>
      </c>
      <c r="AN1166" s="312" t="e">
        <f t="shared" si="148"/>
        <v>#REF!</v>
      </c>
    </row>
    <row r="1167" spans="1:40" s="73" customFormat="1" x14ac:dyDescent="0.25">
      <c r="A1167" s="313"/>
      <c r="B1167" s="333" t="s">
        <v>1798</v>
      </c>
      <c r="D1167" s="74">
        <f>IFERROR(VLOOKUP(B1167,'REQ. PINTADO'!B:C,2,0),0)</f>
        <v>0</v>
      </c>
      <c r="E1167" s="305">
        <f t="shared" si="133"/>
        <v>562.89823357136299</v>
      </c>
      <c r="F1167" s="103" t="s">
        <v>165</v>
      </c>
      <c r="G1167" s="75" t="s">
        <v>147</v>
      </c>
      <c r="H1167" s="90">
        <v>18.71</v>
      </c>
      <c r="I1167" s="90">
        <v>30.08</v>
      </c>
      <c r="J1167" s="76">
        <v>0.105</v>
      </c>
      <c r="K1167" s="306">
        <v>16.38</v>
      </c>
      <c r="L1167" s="78">
        <f t="shared" si="134"/>
        <v>31.416808547008561</v>
      </c>
      <c r="M1167" s="58">
        <f>+VLOOKUP(F1167,Material!$H$2:$M$17,6,FALSE)*H1167*I1167*(1+Material!$K$14)</f>
        <v>233.91242000000005</v>
      </c>
      <c r="N1167" s="79" t="str">
        <f t="shared" si="154"/>
        <v>T5.0</v>
      </c>
      <c r="O1167" s="80">
        <f>+VLOOKUP(N1167,[3]Material!$A$3:$B$58,2,FALSE)</f>
        <v>5000</v>
      </c>
      <c r="P1167" s="79" t="s">
        <v>42</v>
      </c>
      <c r="Q1167" s="79" t="str">
        <f>+VLOOKUP(F1167,[3]Material!$C$2:$E$12,2,FALSE)</f>
        <v>Cal 14</v>
      </c>
      <c r="R1167" s="81">
        <f>+IF(P1167="ACERO A36",VLOOKUP(Q1167,'[3]Velocidades Std 1500 w'!$B$2:$F$15,5,FALSE),IF(P1167="INOXIDABLE",VLOOKUP(Q1167,'[3]Velocidades Std 1500 w'!$B$17:$F$28,5,FALSE),IF(P1167="ALUMINIO",VLOOKUP(Q1167,'[3]Velocidades Std 1500 w'!$B$30:$F$38,5,FALSE))))</f>
        <v>2.0080321285140564E-6</v>
      </c>
      <c r="S1167" s="82">
        <f t="shared" si="135"/>
        <v>1.0040160642570283E-2</v>
      </c>
      <c r="T1167" s="83">
        <f t="shared" si="136"/>
        <v>24.596809156626509</v>
      </c>
      <c r="U1167" s="307">
        <f t="shared" si="150"/>
        <v>3402.5585999999998</v>
      </c>
      <c r="V1167" s="80">
        <f t="shared" si="153"/>
        <v>34.162234939759038</v>
      </c>
      <c r="W1167" s="98">
        <v>20</v>
      </c>
      <c r="X1167" s="84">
        <f>+IF(P1167="ACERO A36",VLOOKUP(Q1167,'[3]Tiempo Objeto'!$B$2:$C$12,2,FALSE),IF(P1167="INOXIDABLE",VLOOKUP(Q1167,'[3]Tiempo Objeto'!$B$14:$C$22,2,FALSE),IF(P1167="ALUMINIO",VLOOKUP(Q1167,'[3]Tiempo Objeto'!$B$24:$C$32,2,FALSE))))</f>
        <v>0.3133333333333333</v>
      </c>
      <c r="Y1167" s="84">
        <f t="shared" si="137"/>
        <v>6.2666666666666657</v>
      </c>
      <c r="Z1167" s="80">
        <f t="shared" si="138"/>
        <v>8.7037037037037024</v>
      </c>
      <c r="AA1167" s="100">
        <v>6</v>
      </c>
      <c r="AB1167" s="86">
        <f>+AA1167*Analisis!$J$6</f>
        <v>150</v>
      </c>
      <c r="AC1167" s="100"/>
      <c r="AD1167" s="85">
        <f t="shared" si="139"/>
        <v>0</v>
      </c>
      <c r="AE1167" s="86">
        <f>+AC1167*Analisis!$J$7</f>
        <v>0</v>
      </c>
      <c r="AF1167" s="308">
        <f>+H1167*0.0254*I1167*0.0254*2*(1+[3]Analisis!$G$2)</f>
        <v>0.90773495871999998</v>
      </c>
      <c r="AG1167" s="86">
        <f>+AF1167*Analisis!$J$8</f>
        <v>96.716998577904789</v>
      </c>
      <c r="AH1167" s="309">
        <f t="shared" si="151"/>
        <v>523.4953572213675</v>
      </c>
      <c r="AI1167" s="86">
        <f>+AH1167/(1-Analisis!G1172)</f>
        <v>523.4953572213675</v>
      </c>
      <c r="AJ1167" s="86">
        <f t="shared" si="140"/>
        <v>562.89823357136299</v>
      </c>
      <c r="AK1167" s="86">
        <f t="shared" si="152"/>
        <v>0</v>
      </c>
      <c r="AL1167" s="310" t="e">
        <f>+VLOOKUP(B1167,#REF!,2,FALSE)</f>
        <v>#REF!</v>
      </c>
      <c r="AM1167" s="311" t="e">
        <f t="shared" si="149"/>
        <v>#REF!</v>
      </c>
      <c r="AN1167" s="312" t="e">
        <f t="shared" si="148"/>
        <v>#REF!</v>
      </c>
    </row>
    <row r="1168" spans="1:40" s="73" customFormat="1" x14ac:dyDescent="0.25">
      <c r="A1168" s="313"/>
      <c r="B1168" s="333" t="s">
        <v>1799</v>
      </c>
      <c r="D1168" s="74">
        <f>IFERROR(VLOOKUP(B1168,'REQ. PINTADO'!B:C,2,0),0)</f>
        <v>0</v>
      </c>
      <c r="E1168" s="305">
        <f t="shared" si="133"/>
        <v>637.26734111504004</v>
      </c>
      <c r="F1168" s="103" t="s">
        <v>165</v>
      </c>
      <c r="G1168" s="75" t="s">
        <v>147</v>
      </c>
      <c r="H1168" s="90">
        <v>18.71</v>
      </c>
      <c r="I1168" s="90">
        <v>36.08</v>
      </c>
      <c r="J1168" s="76">
        <v>0.105</v>
      </c>
      <c r="K1168" s="306">
        <v>16.38</v>
      </c>
      <c r="L1168" s="78">
        <f t="shared" si="134"/>
        <v>37.683459188034199</v>
      </c>
      <c r="M1168" s="58">
        <f>+VLOOKUP(F1168,Material!$H$2:$M$17,6,FALSE)*H1168*I1168*(1+Material!$K$14)</f>
        <v>280.57048250000003</v>
      </c>
      <c r="N1168" s="79" t="str">
        <f t="shared" si="154"/>
        <v>T5.0</v>
      </c>
      <c r="O1168" s="80">
        <f>+VLOOKUP(N1168,[3]Material!$A$3:$B$58,2,FALSE)</f>
        <v>5000</v>
      </c>
      <c r="P1168" s="79" t="s">
        <v>42</v>
      </c>
      <c r="Q1168" s="79" t="str">
        <f>+VLOOKUP(F1168,[3]Material!$C$2:$E$12,2,FALSE)</f>
        <v>Cal 14</v>
      </c>
      <c r="R1168" s="81">
        <f>+IF(P1168="ACERO A36",VLOOKUP(Q1168,'[3]Velocidades Std 1500 w'!$B$2:$F$15,5,FALSE),IF(P1168="INOXIDABLE",VLOOKUP(Q1168,'[3]Velocidades Std 1500 w'!$B$17:$F$28,5,FALSE),IF(P1168="ALUMINIO",VLOOKUP(Q1168,'[3]Velocidades Std 1500 w'!$B$30:$F$38,5,FALSE))))</f>
        <v>2.0080321285140564E-6</v>
      </c>
      <c r="S1168" s="82">
        <f t="shared" si="135"/>
        <v>1.0040160642570283E-2</v>
      </c>
      <c r="T1168" s="83">
        <f t="shared" si="136"/>
        <v>26.910351325301203</v>
      </c>
      <c r="U1168" s="307">
        <f t="shared" si="150"/>
        <v>3722.5985999999994</v>
      </c>
      <c r="V1168" s="80">
        <f t="shared" si="153"/>
        <v>37.37548795180723</v>
      </c>
      <c r="W1168" s="98">
        <v>20</v>
      </c>
      <c r="X1168" s="84">
        <f>+IF(P1168="ACERO A36",VLOOKUP(Q1168,'[3]Tiempo Objeto'!$B$2:$C$12,2,FALSE),IF(P1168="INOXIDABLE",VLOOKUP(Q1168,'[3]Tiempo Objeto'!$B$14:$C$22,2,FALSE),IF(P1168="ALUMINIO",VLOOKUP(Q1168,'[3]Tiempo Objeto'!$B$24:$C$32,2,FALSE))))</f>
        <v>0.3133333333333333</v>
      </c>
      <c r="Y1168" s="84">
        <f t="shared" si="137"/>
        <v>6.2666666666666657</v>
      </c>
      <c r="Z1168" s="80">
        <f t="shared" si="138"/>
        <v>8.7037037037037024</v>
      </c>
      <c r="AA1168" s="100">
        <v>6</v>
      </c>
      <c r="AB1168" s="86">
        <f>+AA1168*Analisis!$J$6</f>
        <v>150</v>
      </c>
      <c r="AC1168" s="100"/>
      <c r="AD1168" s="85">
        <f t="shared" si="139"/>
        <v>0</v>
      </c>
      <c r="AE1168" s="86">
        <f>+AC1168*Analisis!$J$7</f>
        <v>0</v>
      </c>
      <c r="AF1168" s="308">
        <f>+H1168*0.0254*I1168*0.0254*2*(1+[3]Analisis!$G$2)</f>
        <v>1.0887991127199999</v>
      </c>
      <c r="AG1168" s="86">
        <f>+AF1168*Analisis!$J$8</f>
        <v>116.00895308147621</v>
      </c>
      <c r="AH1168" s="309">
        <f t="shared" si="151"/>
        <v>592.65862723698717</v>
      </c>
      <c r="AI1168" s="86">
        <f>+AH1168/(1-Analisis!G1173)</f>
        <v>592.65862723698717</v>
      </c>
      <c r="AJ1168" s="86">
        <f t="shared" si="140"/>
        <v>637.26734111504004</v>
      </c>
      <c r="AK1168" s="86">
        <f t="shared" si="152"/>
        <v>0</v>
      </c>
      <c r="AL1168" s="310" t="e">
        <f>+VLOOKUP(B1168,#REF!,2,FALSE)</f>
        <v>#REF!</v>
      </c>
      <c r="AM1168" s="311" t="e">
        <f t="shared" si="149"/>
        <v>#REF!</v>
      </c>
      <c r="AN1168" s="312" t="e">
        <f t="shared" si="148"/>
        <v>#REF!</v>
      </c>
    </row>
    <row r="1169" spans="1:40" s="73" customFormat="1" x14ac:dyDescent="0.25">
      <c r="A1169" s="313"/>
      <c r="B1169" s="333" t="s">
        <v>1800</v>
      </c>
      <c r="D1169" s="74">
        <f>IFERROR(VLOOKUP(B1169,'REQ. PINTADO'!B:C,2,0),0)</f>
        <v>0</v>
      </c>
      <c r="E1169" s="305">
        <f t="shared" si="133"/>
        <v>736.42615117327603</v>
      </c>
      <c r="F1169" s="103" t="s">
        <v>165</v>
      </c>
      <c r="G1169" s="75" t="s">
        <v>147</v>
      </c>
      <c r="H1169" s="90">
        <v>18.71</v>
      </c>
      <c r="I1169" s="90">
        <v>44.08</v>
      </c>
      <c r="J1169" s="76">
        <v>0.105</v>
      </c>
      <c r="K1169" s="306">
        <v>16.38</v>
      </c>
      <c r="L1169" s="78">
        <f t="shared" si="134"/>
        <v>46.03899337606839</v>
      </c>
      <c r="M1169" s="58">
        <f>+VLOOKUP(F1169,Material!$H$2:$M$17,6,FALSE)*H1169*I1169*(1+Material!$K$14)</f>
        <v>342.78123250000004</v>
      </c>
      <c r="N1169" s="79" t="str">
        <f t="shared" si="154"/>
        <v>T5.0</v>
      </c>
      <c r="O1169" s="80">
        <f>+VLOOKUP(N1169,[3]Material!$A$3:$B$58,2,FALSE)</f>
        <v>5000</v>
      </c>
      <c r="P1169" s="79" t="s">
        <v>42</v>
      </c>
      <c r="Q1169" s="79" t="str">
        <f>+VLOOKUP(F1169,[3]Material!$C$2:$E$12,2,FALSE)</f>
        <v>Cal 14</v>
      </c>
      <c r="R1169" s="81">
        <f>+IF(P1169="ACERO A36",VLOOKUP(Q1169,'[3]Velocidades Std 1500 w'!$B$2:$F$15,5,FALSE),IF(P1169="INOXIDABLE",VLOOKUP(Q1169,'[3]Velocidades Std 1500 w'!$B$17:$F$28,5,FALSE),IF(P1169="ALUMINIO",VLOOKUP(Q1169,'[3]Velocidades Std 1500 w'!$B$30:$F$38,5,FALSE))))</f>
        <v>2.0080321285140564E-6</v>
      </c>
      <c r="S1169" s="82">
        <f t="shared" si="135"/>
        <v>1.0040160642570283E-2</v>
      </c>
      <c r="T1169" s="83">
        <f t="shared" si="136"/>
        <v>29.995074216867469</v>
      </c>
      <c r="U1169" s="307">
        <f t="shared" si="150"/>
        <v>4149.3185999999996</v>
      </c>
      <c r="V1169" s="80">
        <f t="shared" si="153"/>
        <v>41.659825301204819</v>
      </c>
      <c r="W1169" s="98">
        <v>20</v>
      </c>
      <c r="X1169" s="84">
        <f>+IF(P1169="ACERO A36",VLOOKUP(Q1169,'[3]Tiempo Objeto'!$B$2:$C$12,2,FALSE),IF(P1169="INOXIDABLE",VLOOKUP(Q1169,'[3]Tiempo Objeto'!$B$14:$C$22,2,FALSE),IF(P1169="ALUMINIO",VLOOKUP(Q1169,'[3]Tiempo Objeto'!$B$24:$C$32,2,FALSE))))</f>
        <v>0.3133333333333333</v>
      </c>
      <c r="Y1169" s="84">
        <f t="shared" si="137"/>
        <v>6.2666666666666657</v>
      </c>
      <c r="Z1169" s="80">
        <f t="shared" si="138"/>
        <v>8.7037037037037024</v>
      </c>
      <c r="AA1169" s="100">
        <v>6</v>
      </c>
      <c r="AB1169" s="86">
        <f>+AA1169*Analisis!$J$6</f>
        <v>150</v>
      </c>
      <c r="AC1169" s="100"/>
      <c r="AD1169" s="85">
        <f t="shared" si="139"/>
        <v>0</v>
      </c>
      <c r="AE1169" s="86">
        <f>+AC1169*Analisis!$J$7</f>
        <v>0</v>
      </c>
      <c r="AF1169" s="308">
        <f>+H1169*0.0254*I1169*0.0254*2*(1+[3]Analisis!$G$2)</f>
        <v>1.33021798472</v>
      </c>
      <c r="AG1169" s="86">
        <f>+AF1169*Analisis!$J$8</f>
        <v>141.73155908623812</v>
      </c>
      <c r="AH1169" s="309">
        <f t="shared" si="151"/>
        <v>684.87632059114662</v>
      </c>
      <c r="AI1169" s="86">
        <f>+AH1169/(1-Analisis!G1174)</f>
        <v>684.87632059114662</v>
      </c>
      <c r="AJ1169" s="86">
        <f t="shared" si="140"/>
        <v>736.42615117327603</v>
      </c>
      <c r="AK1169" s="86">
        <f t="shared" si="152"/>
        <v>0</v>
      </c>
      <c r="AL1169" s="310" t="e">
        <f>+VLOOKUP(B1169,#REF!,2,FALSE)</f>
        <v>#REF!</v>
      </c>
      <c r="AM1169" s="311" t="e">
        <f t="shared" si="149"/>
        <v>#REF!</v>
      </c>
      <c r="AN1169" s="312" t="e">
        <f t="shared" si="148"/>
        <v>#REF!</v>
      </c>
    </row>
    <row r="1170" spans="1:40" s="73" customFormat="1" x14ac:dyDescent="0.25">
      <c r="A1170" s="313"/>
      <c r="B1170" s="333" t="s">
        <v>1801</v>
      </c>
      <c r="D1170" s="74">
        <f>IFERROR(VLOOKUP(B1170,'REQ. PINTADO'!B:C,2,0),0)</f>
        <v>0</v>
      </c>
      <c r="E1170" s="305">
        <f t="shared" si="133"/>
        <v>810.79525871695319</v>
      </c>
      <c r="F1170" s="103" t="s">
        <v>165</v>
      </c>
      <c r="G1170" s="75" t="s">
        <v>147</v>
      </c>
      <c r="H1170" s="90">
        <v>18.71</v>
      </c>
      <c r="I1170" s="90">
        <v>50.08</v>
      </c>
      <c r="J1170" s="76">
        <v>0.105</v>
      </c>
      <c r="K1170" s="306">
        <v>16.38</v>
      </c>
      <c r="L1170" s="78">
        <f t="shared" si="134"/>
        <v>52.305644017094032</v>
      </c>
      <c r="M1170" s="58">
        <f>+VLOOKUP(F1170,Material!$H$2:$M$17,6,FALSE)*H1170*I1170*(1+Material!$K$14)</f>
        <v>389.43929500000007</v>
      </c>
      <c r="N1170" s="79" t="str">
        <f t="shared" si="154"/>
        <v>T5.0</v>
      </c>
      <c r="O1170" s="80">
        <f>+VLOOKUP(N1170,[3]Material!$A$3:$B$58,2,FALSE)</f>
        <v>5000</v>
      </c>
      <c r="P1170" s="79" t="s">
        <v>42</v>
      </c>
      <c r="Q1170" s="79" t="str">
        <f>+VLOOKUP(F1170,[3]Material!$C$2:$E$12,2,FALSE)</f>
        <v>Cal 14</v>
      </c>
      <c r="R1170" s="81">
        <f>+IF(P1170="ACERO A36",VLOOKUP(Q1170,'[3]Velocidades Std 1500 w'!$B$2:$F$15,5,FALSE),IF(P1170="INOXIDABLE",VLOOKUP(Q1170,'[3]Velocidades Std 1500 w'!$B$17:$F$28,5,FALSE),IF(P1170="ALUMINIO",VLOOKUP(Q1170,'[3]Velocidades Std 1500 w'!$B$30:$F$38,5,FALSE))))</f>
        <v>2.0080321285140564E-6</v>
      </c>
      <c r="S1170" s="82">
        <f t="shared" si="135"/>
        <v>1.0040160642570283E-2</v>
      </c>
      <c r="T1170" s="83">
        <f t="shared" si="136"/>
        <v>32.308616385542173</v>
      </c>
      <c r="U1170" s="307">
        <f t="shared" si="150"/>
        <v>4469.3585999999996</v>
      </c>
      <c r="V1170" s="80">
        <f t="shared" si="153"/>
        <v>44.873078313253018</v>
      </c>
      <c r="W1170" s="98">
        <v>20</v>
      </c>
      <c r="X1170" s="84">
        <f>+IF(P1170="ACERO A36",VLOOKUP(Q1170,'[3]Tiempo Objeto'!$B$2:$C$12,2,FALSE),IF(P1170="INOXIDABLE",VLOOKUP(Q1170,'[3]Tiempo Objeto'!$B$14:$C$22,2,FALSE),IF(P1170="ALUMINIO",VLOOKUP(Q1170,'[3]Tiempo Objeto'!$B$24:$C$32,2,FALSE))))</f>
        <v>0.3133333333333333</v>
      </c>
      <c r="Y1170" s="84">
        <f t="shared" si="137"/>
        <v>6.2666666666666657</v>
      </c>
      <c r="Z1170" s="80">
        <f t="shared" si="138"/>
        <v>8.7037037037037024</v>
      </c>
      <c r="AA1170" s="100">
        <v>6</v>
      </c>
      <c r="AB1170" s="86">
        <f>+AA1170*Analisis!$J$6</f>
        <v>150</v>
      </c>
      <c r="AC1170" s="100"/>
      <c r="AD1170" s="85">
        <f t="shared" si="139"/>
        <v>0</v>
      </c>
      <c r="AE1170" s="86">
        <f>+AC1170*Analisis!$J$7</f>
        <v>0</v>
      </c>
      <c r="AF1170" s="308">
        <f>+H1170*0.0254*I1170*0.0254*2*(1+[3]Analisis!$G$2)</f>
        <v>1.5112821387199999</v>
      </c>
      <c r="AG1170" s="86">
        <f>+AF1170*Analisis!$J$8</f>
        <v>161.02351358980957</v>
      </c>
      <c r="AH1170" s="309">
        <f t="shared" si="151"/>
        <v>754.03959060676641</v>
      </c>
      <c r="AI1170" s="86">
        <f>+AH1170/(1-Analisis!G1175)</f>
        <v>754.03959060676641</v>
      </c>
      <c r="AJ1170" s="86">
        <f t="shared" si="140"/>
        <v>810.79525871695319</v>
      </c>
      <c r="AK1170" s="86">
        <f t="shared" si="152"/>
        <v>0</v>
      </c>
      <c r="AL1170" s="310" t="e">
        <f>+VLOOKUP(B1170,#REF!,2,FALSE)</f>
        <v>#REF!</v>
      </c>
      <c r="AM1170" s="311" t="e">
        <f t="shared" si="149"/>
        <v>#REF!</v>
      </c>
      <c r="AN1170" s="312" t="e">
        <f t="shared" si="148"/>
        <v>#REF!</v>
      </c>
    </row>
    <row r="1171" spans="1:40" s="73" customFormat="1" x14ac:dyDescent="0.25">
      <c r="A1171" s="313"/>
      <c r="B1171" s="333" t="s">
        <v>1802</v>
      </c>
      <c r="D1171" s="74">
        <f>IFERROR(VLOOKUP(B1171,'REQ. PINTADO'!B:C,2,0),0)</f>
        <v>0</v>
      </c>
      <c r="E1171" s="305">
        <f t="shared" si="133"/>
        <v>885.16436626063012</v>
      </c>
      <c r="F1171" s="103" t="s">
        <v>165</v>
      </c>
      <c r="G1171" s="75" t="s">
        <v>147</v>
      </c>
      <c r="H1171" s="90">
        <v>18.71</v>
      </c>
      <c r="I1171" s="90">
        <v>56.08</v>
      </c>
      <c r="J1171" s="76">
        <v>0.105</v>
      </c>
      <c r="K1171" s="306">
        <v>16.38</v>
      </c>
      <c r="L1171" s="78">
        <f t="shared" si="134"/>
        <v>58.572294658119674</v>
      </c>
      <c r="M1171" s="58">
        <f>+VLOOKUP(F1171,Material!$H$2:$M$17,6,FALSE)*H1171*I1171*(1+Material!$K$14)</f>
        <v>436.09735750000004</v>
      </c>
      <c r="N1171" s="79" t="str">
        <f t="shared" si="154"/>
        <v>T5.0</v>
      </c>
      <c r="O1171" s="80">
        <f>+VLOOKUP(N1171,[3]Material!$A$3:$B$58,2,FALSE)</f>
        <v>5000</v>
      </c>
      <c r="P1171" s="79" t="s">
        <v>42</v>
      </c>
      <c r="Q1171" s="79" t="str">
        <f>+VLOOKUP(F1171,[3]Material!$C$2:$E$12,2,FALSE)</f>
        <v>Cal 14</v>
      </c>
      <c r="R1171" s="81">
        <f>+IF(P1171="ACERO A36",VLOOKUP(Q1171,'[3]Velocidades Std 1500 w'!$B$2:$F$15,5,FALSE),IF(P1171="INOXIDABLE",VLOOKUP(Q1171,'[3]Velocidades Std 1500 w'!$B$17:$F$28,5,FALSE),IF(P1171="ALUMINIO",VLOOKUP(Q1171,'[3]Velocidades Std 1500 w'!$B$30:$F$38,5,FALSE))))</f>
        <v>2.0080321285140564E-6</v>
      </c>
      <c r="S1171" s="82">
        <f t="shared" si="135"/>
        <v>1.0040160642570283E-2</v>
      </c>
      <c r="T1171" s="83">
        <f t="shared" si="136"/>
        <v>34.622158554216867</v>
      </c>
      <c r="U1171" s="307">
        <f t="shared" si="150"/>
        <v>4789.3985999999995</v>
      </c>
      <c r="V1171" s="80">
        <f t="shared" si="153"/>
        <v>48.086331325301209</v>
      </c>
      <c r="W1171" s="98">
        <v>20</v>
      </c>
      <c r="X1171" s="84">
        <f>+IF(P1171="ACERO A36",VLOOKUP(Q1171,'[3]Tiempo Objeto'!$B$2:$C$12,2,FALSE),IF(P1171="INOXIDABLE",VLOOKUP(Q1171,'[3]Tiempo Objeto'!$B$14:$C$22,2,FALSE),IF(P1171="ALUMINIO",VLOOKUP(Q1171,'[3]Tiempo Objeto'!$B$24:$C$32,2,FALSE))))</f>
        <v>0.3133333333333333</v>
      </c>
      <c r="Y1171" s="84">
        <f t="shared" si="137"/>
        <v>6.2666666666666657</v>
      </c>
      <c r="Z1171" s="80">
        <f t="shared" si="138"/>
        <v>8.7037037037037024</v>
      </c>
      <c r="AA1171" s="100">
        <v>6</v>
      </c>
      <c r="AB1171" s="86">
        <f>+AA1171*Analisis!$J$6</f>
        <v>150</v>
      </c>
      <c r="AC1171" s="100"/>
      <c r="AD1171" s="85">
        <f t="shared" si="139"/>
        <v>0</v>
      </c>
      <c r="AE1171" s="86">
        <f>+AC1171*Analisis!$J$7</f>
        <v>0</v>
      </c>
      <c r="AF1171" s="308">
        <f>+H1171*0.0254*I1171*0.0254*2*(1+[3]Analisis!$G$2)</f>
        <v>1.6923462927199999</v>
      </c>
      <c r="AG1171" s="86">
        <f>+AF1171*Analisis!$J$8</f>
        <v>180.31546809338099</v>
      </c>
      <c r="AH1171" s="309">
        <f t="shared" si="151"/>
        <v>823.20286062238597</v>
      </c>
      <c r="AI1171" s="86">
        <f>+AH1171/(1-Analisis!G1176)</f>
        <v>823.20286062238597</v>
      </c>
      <c r="AJ1171" s="86">
        <f t="shared" si="140"/>
        <v>885.16436626063012</v>
      </c>
      <c r="AK1171" s="86">
        <f t="shared" si="152"/>
        <v>0</v>
      </c>
      <c r="AL1171" s="310" t="e">
        <f>+VLOOKUP(B1171,#REF!,2,FALSE)</f>
        <v>#REF!</v>
      </c>
      <c r="AM1171" s="311" t="e">
        <f t="shared" si="149"/>
        <v>#REF!</v>
      </c>
      <c r="AN1171" s="312" t="e">
        <f t="shared" si="148"/>
        <v>#REF!</v>
      </c>
    </row>
    <row r="1172" spans="1:40" s="73" customFormat="1" x14ac:dyDescent="0.25">
      <c r="A1172" s="313"/>
      <c r="B1172" s="333" t="s">
        <v>1803</v>
      </c>
      <c r="D1172" s="74">
        <f>IFERROR(VLOOKUP(B1172,'REQ. PINTADO'!B:C,2,0),0)</f>
        <v>0</v>
      </c>
      <c r="E1172" s="305">
        <f t="shared" si="133"/>
        <v>360.30770684946771</v>
      </c>
      <c r="F1172" s="103" t="s">
        <v>165</v>
      </c>
      <c r="G1172" s="75" t="s">
        <v>147</v>
      </c>
      <c r="H1172" s="90">
        <v>21.21</v>
      </c>
      <c r="I1172" s="90">
        <v>12.08</v>
      </c>
      <c r="J1172" s="76">
        <v>0.105</v>
      </c>
      <c r="K1172" s="306">
        <v>16.38</v>
      </c>
      <c r="L1172" s="78">
        <f t="shared" si="134"/>
        <v>14.302700641025645</v>
      </c>
      <c r="M1172" s="58">
        <f>+VLOOKUP(F1172,Material!$H$2:$M$17,6,FALSE)*H1172*I1172*(1+Material!$K$14)</f>
        <v>106.49010750000001</v>
      </c>
      <c r="N1172" s="79" t="str">
        <f t="shared" si="154"/>
        <v>T5.0</v>
      </c>
      <c r="O1172" s="80">
        <f>+VLOOKUP(N1172,[3]Material!$A$3:$B$58,2,FALSE)</f>
        <v>5000</v>
      </c>
      <c r="P1172" s="79" t="s">
        <v>42</v>
      </c>
      <c r="Q1172" s="79" t="str">
        <f>+VLOOKUP(F1172,[3]Material!$C$2:$E$12,2,FALSE)</f>
        <v>Cal 14</v>
      </c>
      <c r="R1172" s="81">
        <f>+IF(P1172="ACERO A36",VLOOKUP(Q1172,'[3]Velocidades Std 1500 w'!$B$2:$F$15,5,FALSE),IF(P1172="INOXIDABLE",VLOOKUP(Q1172,'[3]Velocidades Std 1500 w'!$B$17:$F$28,5,FALSE),IF(P1172="ALUMINIO",VLOOKUP(Q1172,'[3]Velocidades Std 1500 w'!$B$30:$F$38,5,FALSE))))</f>
        <v>2.0080321285140564E-6</v>
      </c>
      <c r="S1172" s="82">
        <f t="shared" si="135"/>
        <v>1.0040160642570283E-2</v>
      </c>
      <c r="T1172" s="83">
        <f t="shared" si="136"/>
        <v>18.620158554216868</v>
      </c>
      <c r="U1172" s="307">
        <f t="shared" si="150"/>
        <v>2575.7885999999999</v>
      </c>
      <c r="V1172" s="80">
        <f t="shared" si="153"/>
        <v>25.861331325301208</v>
      </c>
      <c r="W1172" s="98">
        <v>20</v>
      </c>
      <c r="X1172" s="84">
        <f>+IF(P1172="ACERO A36",VLOOKUP(Q1172,'[3]Tiempo Objeto'!$B$2:$C$12,2,FALSE),IF(P1172="INOXIDABLE",VLOOKUP(Q1172,'[3]Tiempo Objeto'!$B$14:$C$22,2,FALSE),IF(P1172="ALUMINIO",VLOOKUP(Q1172,'[3]Tiempo Objeto'!$B$24:$C$32,2,FALSE))))</f>
        <v>0.3133333333333333</v>
      </c>
      <c r="Y1172" s="84">
        <f t="shared" si="137"/>
        <v>6.2666666666666657</v>
      </c>
      <c r="Z1172" s="80">
        <f t="shared" si="138"/>
        <v>8.7037037037037024</v>
      </c>
      <c r="AA1172" s="100">
        <v>6</v>
      </c>
      <c r="AB1172" s="86">
        <f>+AA1172*Analisis!$J$6</f>
        <v>150</v>
      </c>
      <c r="AC1172" s="100"/>
      <c r="AD1172" s="85">
        <f t="shared" si="139"/>
        <v>0</v>
      </c>
      <c r="AE1172" s="86">
        <f>+AC1172*Analisis!$J$7</f>
        <v>0</v>
      </c>
      <c r="AF1172" s="308">
        <f>+H1172*0.0254*I1172*0.0254*2*(1+[3]Analisis!$G$2)</f>
        <v>0.41325207671999997</v>
      </c>
      <c r="AG1172" s="86">
        <f>+AF1172*Analisis!$J$8</f>
        <v>44.031024841000011</v>
      </c>
      <c r="AH1172" s="309">
        <f t="shared" si="151"/>
        <v>335.08616737000494</v>
      </c>
      <c r="AI1172" s="86">
        <f>+AH1172/(1-Analisis!G1177)</f>
        <v>335.08616737000494</v>
      </c>
      <c r="AJ1172" s="86">
        <f t="shared" si="140"/>
        <v>360.30770684946771</v>
      </c>
      <c r="AK1172" s="86">
        <f t="shared" si="152"/>
        <v>0</v>
      </c>
      <c r="AL1172" s="310" t="e">
        <f>+VLOOKUP(B1172,#REF!,2,FALSE)</f>
        <v>#REF!</v>
      </c>
      <c r="AM1172" s="311" t="e">
        <f t="shared" si="149"/>
        <v>#REF!</v>
      </c>
      <c r="AN1172" s="312" t="e">
        <f t="shared" si="148"/>
        <v>#REF!</v>
      </c>
    </row>
    <row r="1173" spans="1:40" s="73" customFormat="1" x14ac:dyDescent="0.25">
      <c r="A1173" s="313"/>
      <c r="B1173" s="333" t="s">
        <v>1804</v>
      </c>
      <c r="D1173" s="74">
        <f>IFERROR(VLOOKUP(B1173,'REQ. PINTADO'!B:C,2,0),0)</f>
        <v>0</v>
      </c>
      <c r="E1173" s="305">
        <f t="shared" si="133"/>
        <v>416.20405440290727</v>
      </c>
      <c r="F1173" s="103" t="s">
        <v>165</v>
      </c>
      <c r="G1173" s="75" t="s">
        <v>147</v>
      </c>
      <c r="H1173" s="90">
        <v>21.21</v>
      </c>
      <c r="I1173" s="90">
        <v>16.079999999999998</v>
      </c>
      <c r="J1173" s="76">
        <v>0.105</v>
      </c>
      <c r="K1173" s="306">
        <v>16.38</v>
      </c>
      <c r="L1173" s="78">
        <f t="shared" si="134"/>
        <v>19.038694230769231</v>
      </c>
      <c r="M1173" s="58">
        <f>+VLOOKUP(F1173,Material!$H$2:$M$17,6,FALSE)*H1173*I1173*(1+Material!$K$14)</f>
        <v>141.7517325</v>
      </c>
      <c r="N1173" s="79" t="str">
        <f t="shared" si="154"/>
        <v>T5.0</v>
      </c>
      <c r="O1173" s="80">
        <f>+VLOOKUP(N1173,[3]Material!$A$3:$B$58,2,FALSE)</f>
        <v>5000</v>
      </c>
      <c r="P1173" s="79" t="s">
        <v>42</v>
      </c>
      <c r="Q1173" s="79" t="str">
        <f>+VLOOKUP(F1173,[3]Material!$C$2:$E$12,2,FALSE)</f>
        <v>Cal 14</v>
      </c>
      <c r="R1173" s="81">
        <f>+IF(P1173="ACERO A36",VLOOKUP(Q1173,'[3]Velocidades Std 1500 w'!$B$2:$F$15,5,FALSE),IF(P1173="INOXIDABLE",VLOOKUP(Q1173,'[3]Velocidades Std 1500 w'!$B$17:$F$28,5,FALSE),IF(P1173="ALUMINIO",VLOOKUP(Q1173,'[3]Velocidades Std 1500 w'!$B$30:$F$38,5,FALSE))))</f>
        <v>2.0080321285140564E-6</v>
      </c>
      <c r="S1173" s="82">
        <f t="shared" si="135"/>
        <v>1.0040160642570283E-2</v>
      </c>
      <c r="T1173" s="83">
        <f t="shared" si="136"/>
        <v>20.162520000000001</v>
      </c>
      <c r="U1173" s="307">
        <f t="shared" si="150"/>
        <v>2789.1486</v>
      </c>
      <c r="V1173" s="80">
        <f t="shared" si="153"/>
        <v>28.003500000000006</v>
      </c>
      <c r="W1173" s="98">
        <v>20</v>
      </c>
      <c r="X1173" s="84">
        <f>+IF(P1173="ACERO A36",VLOOKUP(Q1173,'[3]Tiempo Objeto'!$B$2:$C$12,2,FALSE),IF(P1173="INOXIDABLE",VLOOKUP(Q1173,'[3]Tiempo Objeto'!$B$14:$C$22,2,FALSE),IF(P1173="ALUMINIO",VLOOKUP(Q1173,'[3]Tiempo Objeto'!$B$24:$C$32,2,FALSE))))</f>
        <v>0.3133333333333333</v>
      </c>
      <c r="Y1173" s="84">
        <f t="shared" si="137"/>
        <v>6.2666666666666657</v>
      </c>
      <c r="Z1173" s="80">
        <f t="shared" si="138"/>
        <v>8.7037037037037024</v>
      </c>
      <c r="AA1173" s="100">
        <v>6</v>
      </c>
      <c r="AB1173" s="86">
        <f>+AA1173*Analisis!$J$6</f>
        <v>150</v>
      </c>
      <c r="AC1173" s="100"/>
      <c r="AD1173" s="85">
        <f t="shared" si="139"/>
        <v>0</v>
      </c>
      <c r="AE1173" s="86">
        <f>+AC1173*Analisis!$J$7</f>
        <v>0</v>
      </c>
      <c r="AF1173" s="308">
        <f>+H1173*0.0254*I1173*0.0254*2*(1+[3]Analisis!$G$2)</f>
        <v>0.55009051271999998</v>
      </c>
      <c r="AG1173" s="86">
        <f>+AF1173*Analisis!$J$8</f>
        <v>58.610834391000019</v>
      </c>
      <c r="AH1173" s="309">
        <f t="shared" si="151"/>
        <v>387.06977059470375</v>
      </c>
      <c r="AI1173" s="86">
        <f>+AH1173/(1-Analisis!G1178)</f>
        <v>387.06977059470375</v>
      </c>
      <c r="AJ1173" s="86">
        <f t="shared" si="140"/>
        <v>416.20405440290727</v>
      </c>
      <c r="AK1173" s="86">
        <f t="shared" si="152"/>
        <v>0</v>
      </c>
      <c r="AL1173" s="310" t="e">
        <f>+VLOOKUP(B1173,#REF!,2,FALSE)</f>
        <v>#REF!</v>
      </c>
      <c r="AM1173" s="311" t="e">
        <f t="shared" si="149"/>
        <v>#REF!</v>
      </c>
      <c r="AN1173" s="312" t="e">
        <f t="shared" si="148"/>
        <v>#REF!</v>
      </c>
    </row>
    <row r="1174" spans="1:40" s="73" customFormat="1" x14ac:dyDescent="0.25">
      <c r="A1174" s="313"/>
      <c r="B1174" s="333" t="s">
        <v>1805</v>
      </c>
      <c r="D1174" s="74">
        <f>IFERROR(VLOOKUP(B1174,'REQ. PINTADO'!B:C,2,0),0)</f>
        <v>0</v>
      </c>
      <c r="E1174" s="305">
        <f t="shared" si="133"/>
        <v>444.15222817962706</v>
      </c>
      <c r="F1174" s="103" t="s">
        <v>165</v>
      </c>
      <c r="G1174" s="75" t="s">
        <v>147</v>
      </c>
      <c r="H1174" s="90">
        <v>21.21</v>
      </c>
      <c r="I1174" s="90">
        <v>18.079999999999998</v>
      </c>
      <c r="J1174" s="76">
        <v>0.105</v>
      </c>
      <c r="K1174" s="306">
        <v>16.38</v>
      </c>
      <c r="L1174" s="78">
        <f t="shared" si="134"/>
        <v>21.406691025641035</v>
      </c>
      <c r="M1174" s="58">
        <f>+VLOOKUP(F1174,Material!$H$2:$M$17,6,FALSE)*H1174*I1174*(1+Material!$K$14)</f>
        <v>159.38254500000002</v>
      </c>
      <c r="N1174" s="79" t="str">
        <f t="shared" si="154"/>
        <v>T5.0</v>
      </c>
      <c r="O1174" s="80">
        <f>+VLOOKUP(N1174,[3]Material!$A$3:$B$58,2,FALSE)</f>
        <v>5000</v>
      </c>
      <c r="P1174" s="79" t="s">
        <v>42</v>
      </c>
      <c r="Q1174" s="79" t="str">
        <f>+VLOOKUP(F1174,[3]Material!$C$2:$E$12,2,FALSE)</f>
        <v>Cal 14</v>
      </c>
      <c r="R1174" s="81">
        <f>+IF(P1174="ACERO A36",VLOOKUP(Q1174,'[3]Velocidades Std 1500 w'!$B$2:$F$15,5,FALSE),IF(P1174="INOXIDABLE",VLOOKUP(Q1174,'[3]Velocidades Std 1500 w'!$B$17:$F$28,5,FALSE),IF(P1174="ALUMINIO",VLOOKUP(Q1174,'[3]Velocidades Std 1500 w'!$B$30:$F$38,5,FALSE))))</f>
        <v>2.0080321285140564E-6</v>
      </c>
      <c r="S1174" s="82">
        <f t="shared" si="135"/>
        <v>1.0040160642570283E-2</v>
      </c>
      <c r="T1174" s="83">
        <f t="shared" si="136"/>
        <v>20.933700722891565</v>
      </c>
      <c r="U1174" s="307">
        <f t="shared" si="150"/>
        <v>2895.8285999999998</v>
      </c>
      <c r="V1174" s="80">
        <f t="shared" si="153"/>
        <v>29.0745843373494</v>
      </c>
      <c r="W1174" s="98">
        <v>20</v>
      </c>
      <c r="X1174" s="84">
        <f>+IF(P1174="ACERO A36",VLOOKUP(Q1174,'[3]Tiempo Objeto'!$B$2:$C$12,2,FALSE),IF(P1174="INOXIDABLE",VLOOKUP(Q1174,'[3]Tiempo Objeto'!$B$14:$C$22,2,FALSE),IF(P1174="ALUMINIO",VLOOKUP(Q1174,'[3]Tiempo Objeto'!$B$24:$C$32,2,FALSE))))</f>
        <v>0.3133333333333333</v>
      </c>
      <c r="Y1174" s="84">
        <f t="shared" si="137"/>
        <v>6.2666666666666657</v>
      </c>
      <c r="Z1174" s="80">
        <f t="shared" si="138"/>
        <v>8.7037037037037024</v>
      </c>
      <c r="AA1174" s="100">
        <v>6</v>
      </c>
      <c r="AB1174" s="86">
        <f>+AA1174*Analisis!$J$6</f>
        <v>150</v>
      </c>
      <c r="AC1174" s="100"/>
      <c r="AD1174" s="85">
        <f t="shared" si="139"/>
        <v>0</v>
      </c>
      <c r="AE1174" s="86">
        <f>+AC1174*Analisis!$J$7</f>
        <v>0</v>
      </c>
      <c r="AF1174" s="308">
        <f>+H1174*0.0254*I1174*0.0254*2*(1+[3]Analisis!$G$2)</f>
        <v>0.61850973072000004</v>
      </c>
      <c r="AG1174" s="86">
        <f>+AF1174*Analisis!$J$8</f>
        <v>65.900739166000022</v>
      </c>
      <c r="AH1174" s="309">
        <f t="shared" si="151"/>
        <v>413.06157220705313</v>
      </c>
      <c r="AI1174" s="86">
        <f>+AH1174/(1-Analisis!G1179)</f>
        <v>413.06157220705313</v>
      </c>
      <c r="AJ1174" s="86">
        <f t="shared" si="140"/>
        <v>444.15222817962706</v>
      </c>
      <c r="AK1174" s="86">
        <f t="shared" si="152"/>
        <v>0</v>
      </c>
      <c r="AL1174" s="310" t="e">
        <f>+VLOOKUP(B1174,#REF!,2,FALSE)</f>
        <v>#REF!</v>
      </c>
      <c r="AM1174" s="311" t="e">
        <f t="shared" si="149"/>
        <v>#REF!</v>
      </c>
      <c r="AN1174" s="312" t="e">
        <f t="shared" si="148"/>
        <v>#REF!</v>
      </c>
    </row>
    <row r="1175" spans="1:40" s="73" customFormat="1" x14ac:dyDescent="0.25">
      <c r="A1175" s="313"/>
      <c r="B1175" s="333" t="s">
        <v>1806</v>
      </c>
      <c r="D1175" s="74">
        <f>IFERROR(VLOOKUP(B1175,'REQ. PINTADO'!B:C,2,0),0)</f>
        <v>0</v>
      </c>
      <c r="E1175" s="305">
        <f t="shared" si="133"/>
        <v>514.02266262142655</v>
      </c>
      <c r="F1175" s="103" t="s">
        <v>165</v>
      </c>
      <c r="G1175" s="75" t="s">
        <v>147</v>
      </c>
      <c r="H1175" s="90">
        <v>21.21</v>
      </c>
      <c r="I1175" s="90">
        <v>23.08</v>
      </c>
      <c r="J1175" s="76">
        <v>0.105</v>
      </c>
      <c r="K1175" s="306">
        <v>16.38</v>
      </c>
      <c r="L1175" s="78">
        <f t="shared" si="134"/>
        <v>27.326683012820521</v>
      </c>
      <c r="M1175" s="58">
        <f>+VLOOKUP(F1175,Material!$H$2:$M$17,6,FALSE)*H1175*I1175*(1+Material!$K$14)</f>
        <v>203.45957625000003</v>
      </c>
      <c r="N1175" s="79" t="str">
        <f t="shared" si="154"/>
        <v>T5.0</v>
      </c>
      <c r="O1175" s="80">
        <f>+VLOOKUP(N1175,[3]Material!$A$3:$B$58,2,FALSE)</f>
        <v>5000</v>
      </c>
      <c r="P1175" s="79" t="s">
        <v>42</v>
      </c>
      <c r="Q1175" s="79" t="str">
        <f>+VLOOKUP(F1175,[3]Material!$C$2:$E$12,2,FALSE)</f>
        <v>Cal 14</v>
      </c>
      <c r="R1175" s="81">
        <f>+IF(P1175="ACERO A36",VLOOKUP(Q1175,'[3]Velocidades Std 1500 w'!$B$2:$F$15,5,FALSE),IF(P1175="INOXIDABLE",VLOOKUP(Q1175,'[3]Velocidades Std 1500 w'!$B$17:$F$28,5,FALSE),IF(P1175="ALUMINIO",VLOOKUP(Q1175,'[3]Velocidades Std 1500 w'!$B$30:$F$38,5,FALSE))))</f>
        <v>2.0080321285140564E-6</v>
      </c>
      <c r="S1175" s="82">
        <f t="shared" si="135"/>
        <v>1.0040160642570283E-2</v>
      </c>
      <c r="T1175" s="83">
        <f t="shared" si="136"/>
        <v>22.861652530120484</v>
      </c>
      <c r="U1175" s="307">
        <f t="shared" si="150"/>
        <v>3162.5286000000001</v>
      </c>
      <c r="V1175" s="80">
        <f t="shared" si="153"/>
        <v>31.752295180722896</v>
      </c>
      <c r="W1175" s="98">
        <v>20</v>
      </c>
      <c r="X1175" s="84">
        <f>+IF(P1175="ACERO A36",VLOOKUP(Q1175,'[3]Tiempo Objeto'!$B$2:$C$12,2,FALSE),IF(P1175="INOXIDABLE",VLOOKUP(Q1175,'[3]Tiempo Objeto'!$B$14:$C$22,2,FALSE),IF(P1175="ALUMINIO",VLOOKUP(Q1175,'[3]Tiempo Objeto'!$B$24:$C$32,2,FALSE))))</f>
        <v>0.3133333333333333</v>
      </c>
      <c r="Y1175" s="84">
        <f t="shared" si="137"/>
        <v>6.2666666666666657</v>
      </c>
      <c r="Z1175" s="80">
        <f t="shared" si="138"/>
        <v>8.7037037037037024</v>
      </c>
      <c r="AA1175" s="100">
        <v>6</v>
      </c>
      <c r="AB1175" s="86">
        <f>+AA1175*Analisis!$J$6</f>
        <v>150</v>
      </c>
      <c r="AC1175" s="100"/>
      <c r="AD1175" s="85">
        <f t="shared" si="139"/>
        <v>0</v>
      </c>
      <c r="AE1175" s="86">
        <f>+AC1175*Analisis!$J$7</f>
        <v>0</v>
      </c>
      <c r="AF1175" s="308">
        <f>+H1175*0.0254*I1175*0.0254*2*(1+[3]Analisis!$G$2)</f>
        <v>0.78955777572000008</v>
      </c>
      <c r="AG1175" s="86">
        <f>+AF1175*Analisis!$J$8</f>
        <v>84.125501103500028</v>
      </c>
      <c r="AH1175" s="309">
        <f t="shared" si="151"/>
        <v>478.04107623792663</v>
      </c>
      <c r="AI1175" s="86">
        <f>+AH1175/(1-Analisis!G1180)</f>
        <v>478.04107623792663</v>
      </c>
      <c r="AJ1175" s="86">
        <f t="shared" si="140"/>
        <v>514.02266262142655</v>
      </c>
      <c r="AK1175" s="86">
        <f t="shared" si="152"/>
        <v>0</v>
      </c>
      <c r="AL1175" s="310" t="e">
        <f>+VLOOKUP(B1175,#REF!,2,FALSE)</f>
        <v>#REF!</v>
      </c>
      <c r="AM1175" s="311" t="e">
        <f t="shared" si="149"/>
        <v>#REF!</v>
      </c>
      <c r="AN1175" s="312" t="e">
        <f t="shared" si="148"/>
        <v>#REF!</v>
      </c>
    </row>
    <row r="1176" spans="1:40" s="73" customFormat="1" x14ac:dyDescent="0.25">
      <c r="A1176" s="313"/>
      <c r="B1176" s="333" t="s">
        <v>1807</v>
      </c>
      <c r="D1176" s="74">
        <f>IFERROR(VLOOKUP(B1176,'REQ. PINTADO'!B:C,2,0),0)</f>
        <v>0</v>
      </c>
      <c r="E1176" s="305">
        <f t="shared" si="133"/>
        <v>527.99674950978635</v>
      </c>
      <c r="F1176" s="103" t="s">
        <v>165</v>
      </c>
      <c r="G1176" s="75" t="s">
        <v>147</v>
      </c>
      <c r="H1176" s="90">
        <v>21.21</v>
      </c>
      <c r="I1176" s="90">
        <v>24.08</v>
      </c>
      <c r="J1176" s="76">
        <v>0.105</v>
      </c>
      <c r="K1176" s="306">
        <v>16.38</v>
      </c>
      <c r="L1176" s="78">
        <f t="shared" si="134"/>
        <v>28.510681410256417</v>
      </c>
      <c r="M1176" s="58">
        <f>+VLOOKUP(F1176,Material!$H$2:$M$17,6,FALSE)*H1176*I1176*(1+Material!$K$14)</f>
        <v>212.27498250000002</v>
      </c>
      <c r="N1176" s="79" t="str">
        <f t="shared" si="154"/>
        <v>T5.0</v>
      </c>
      <c r="O1176" s="80">
        <f>+VLOOKUP(N1176,[3]Material!$A$3:$B$58,2,FALSE)</f>
        <v>5000</v>
      </c>
      <c r="P1176" s="79" t="s">
        <v>42</v>
      </c>
      <c r="Q1176" s="79" t="str">
        <f>+VLOOKUP(F1176,[3]Material!$C$2:$E$12,2,FALSE)</f>
        <v>Cal 14</v>
      </c>
      <c r="R1176" s="81">
        <f>+IF(P1176="ACERO A36",VLOOKUP(Q1176,'[3]Velocidades Std 1500 w'!$B$2:$F$15,5,FALSE),IF(P1176="INOXIDABLE",VLOOKUP(Q1176,'[3]Velocidades Std 1500 w'!$B$17:$F$28,5,FALSE),IF(P1176="ALUMINIO",VLOOKUP(Q1176,'[3]Velocidades Std 1500 w'!$B$30:$F$38,5,FALSE))))</f>
        <v>2.0080321285140564E-6</v>
      </c>
      <c r="S1176" s="82">
        <f t="shared" si="135"/>
        <v>1.0040160642570283E-2</v>
      </c>
      <c r="T1176" s="83">
        <f t="shared" si="136"/>
        <v>23.24724289156627</v>
      </c>
      <c r="U1176" s="307">
        <f t="shared" si="150"/>
        <v>3215.8686000000002</v>
      </c>
      <c r="V1176" s="80">
        <f t="shared" si="153"/>
        <v>32.287837349397599</v>
      </c>
      <c r="W1176" s="98">
        <v>20</v>
      </c>
      <c r="X1176" s="84">
        <f>+IF(P1176="ACERO A36",VLOOKUP(Q1176,'[3]Tiempo Objeto'!$B$2:$C$12,2,FALSE),IF(P1176="INOXIDABLE",VLOOKUP(Q1176,'[3]Tiempo Objeto'!$B$14:$C$22,2,FALSE),IF(P1176="ALUMINIO",VLOOKUP(Q1176,'[3]Tiempo Objeto'!$B$24:$C$32,2,FALSE))))</f>
        <v>0.3133333333333333</v>
      </c>
      <c r="Y1176" s="84">
        <f t="shared" si="137"/>
        <v>6.2666666666666657</v>
      </c>
      <c r="Z1176" s="80">
        <f t="shared" si="138"/>
        <v>8.7037037037037024</v>
      </c>
      <c r="AA1176" s="100">
        <v>6</v>
      </c>
      <c r="AB1176" s="86">
        <f>+AA1176*Analisis!$J$6</f>
        <v>150</v>
      </c>
      <c r="AC1176" s="100"/>
      <c r="AD1176" s="85">
        <f t="shared" si="139"/>
        <v>0</v>
      </c>
      <c r="AE1176" s="86">
        <f>+AC1176*Analisis!$J$7</f>
        <v>0</v>
      </c>
      <c r="AF1176" s="308">
        <f>+H1176*0.0254*I1176*0.0254*2*(1+[3]Analisis!$G$2)</f>
        <v>0.82376738472</v>
      </c>
      <c r="AG1176" s="86">
        <f>+AF1176*Analisis!$J$8</f>
        <v>87.770453491000026</v>
      </c>
      <c r="AH1176" s="309">
        <f t="shared" si="151"/>
        <v>491.03697704410132</v>
      </c>
      <c r="AI1176" s="86">
        <f>+AH1176/(1-Analisis!G1181)</f>
        <v>491.03697704410132</v>
      </c>
      <c r="AJ1176" s="86">
        <f t="shared" si="140"/>
        <v>527.99674950978635</v>
      </c>
      <c r="AK1176" s="86">
        <f t="shared" si="152"/>
        <v>0</v>
      </c>
      <c r="AL1176" s="310" t="e">
        <f>+VLOOKUP(B1176,#REF!,2,FALSE)</f>
        <v>#REF!</v>
      </c>
      <c r="AM1176" s="311" t="e">
        <f t="shared" si="149"/>
        <v>#REF!</v>
      </c>
      <c r="AN1176" s="312" t="e">
        <f t="shared" si="148"/>
        <v>#REF!</v>
      </c>
    </row>
    <row r="1177" spans="1:40" s="73" customFormat="1" x14ac:dyDescent="0.25">
      <c r="A1177" s="313"/>
      <c r="B1177" s="333" t="s">
        <v>1808</v>
      </c>
      <c r="D1177" s="74">
        <f>IFERROR(VLOOKUP(B1177,'REQ. PINTADO'!B:C,2,0),0)</f>
        <v>0</v>
      </c>
      <c r="E1177" s="305">
        <f t="shared" si="133"/>
        <v>611.84127083994588</v>
      </c>
      <c r="F1177" s="103" t="s">
        <v>165</v>
      </c>
      <c r="G1177" s="75" t="s">
        <v>147</v>
      </c>
      <c r="H1177" s="90">
        <v>21.21</v>
      </c>
      <c r="I1177" s="90">
        <v>30.08</v>
      </c>
      <c r="J1177" s="76">
        <v>0.105</v>
      </c>
      <c r="K1177" s="306">
        <v>16.38</v>
      </c>
      <c r="L1177" s="78">
        <f t="shared" si="134"/>
        <v>35.614671794871803</v>
      </c>
      <c r="M1177" s="58">
        <f>+VLOOKUP(F1177,Material!$H$2:$M$17,6,FALSE)*H1177*I1177*(1+Material!$K$14)</f>
        <v>265.16742000000005</v>
      </c>
      <c r="N1177" s="79" t="str">
        <f t="shared" si="154"/>
        <v>T5.0</v>
      </c>
      <c r="O1177" s="80">
        <f>+VLOOKUP(N1177,[3]Material!$A$3:$B$58,2,FALSE)</f>
        <v>5000</v>
      </c>
      <c r="P1177" s="79" t="s">
        <v>42</v>
      </c>
      <c r="Q1177" s="79" t="str">
        <f>+VLOOKUP(F1177,[3]Material!$C$2:$E$12,2,FALSE)</f>
        <v>Cal 14</v>
      </c>
      <c r="R1177" s="81">
        <f>+IF(P1177="ACERO A36",VLOOKUP(Q1177,'[3]Velocidades Std 1500 w'!$B$2:$F$15,5,FALSE),IF(P1177="INOXIDABLE",VLOOKUP(Q1177,'[3]Velocidades Std 1500 w'!$B$17:$F$28,5,FALSE),IF(P1177="ALUMINIO",VLOOKUP(Q1177,'[3]Velocidades Std 1500 w'!$B$30:$F$38,5,FALSE))))</f>
        <v>2.0080321285140564E-6</v>
      </c>
      <c r="S1177" s="82">
        <f t="shared" si="135"/>
        <v>1.0040160642570283E-2</v>
      </c>
      <c r="T1177" s="83">
        <f t="shared" si="136"/>
        <v>25.56078506024096</v>
      </c>
      <c r="U1177" s="307">
        <f t="shared" si="150"/>
        <v>3535.9085999999993</v>
      </c>
      <c r="V1177" s="80">
        <f t="shared" si="153"/>
        <v>35.501090361445783</v>
      </c>
      <c r="W1177" s="98">
        <v>20</v>
      </c>
      <c r="X1177" s="84">
        <f>+IF(P1177="ACERO A36",VLOOKUP(Q1177,'[3]Tiempo Objeto'!$B$2:$C$12,2,FALSE),IF(P1177="INOXIDABLE",VLOOKUP(Q1177,'[3]Tiempo Objeto'!$B$14:$C$22,2,FALSE),IF(P1177="ALUMINIO",VLOOKUP(Q1177,'[3]Tiempo Objeto'!$B$24:$C$32,2,FALSE))))</f>
        <v>0.3133333333333333</v>
      </c>
      <c r="Y1177" s="84">
        <f t="shared" si="137"/>
        <v>6.2666666666666657</v>
      </c>
      <c r="Z1177" s="80">
        <f t="shared" si="138"/>
        <v>8.7037037037037024</v>
      </c>
      <c r="AA1177" s="100">
        <v>6</v>
      </c>
      <c r="AB1177" s="86">
        <f>+AA1177*Analisis!$J$6</f>
        <v>150</v>
      </c>
      <c r="AC1177" s="100"/>
      <c r="AD1177" s="85">
        <f t="shared" si="139"/>
        <v>0</v>
      </c>
      <c r="AE1177" s="86">
        <f>+AC1177*Analisis!$J$7</f>
        <v>0</v>
      </c>
      <c r="AF1177" s="308">
        <f>+H1177*0.0254*I1177*0.0254*2*(1+[3]Analisis!$G$2)</f>
        <v>1.02902503872</v>
      </c>
      <c r="AG1177" s="86">
        <f>+AF1177*Analisis!$J$8</f>
        <v>109.64016781600003</v>
      </c>
      <c r="AH1177" s="309">
        <f t="shared" si="151"/>
        <v>569.01238188114962</v>
      </c>
      <c r="AI1177" s="86">
        <f>+AH1177/(1-Analisis!G1182)</f>
        <v>569.01238188114962</v>
      </c>
      <c r="AJ1177" s="86">
        <f t="shared" si="140"/>
        <v>611.84127083994588</v>
      </c>
      <c r="AK1177" s="86">
        <f t="shared" si="152"/>
        <v>0</v>
      </c>
      <c r="AL1177" s="310" t="e">
        <f>+VLOOKUP(B1177,#REF!,2,FALSE)</f>
        <v>#REF!</v>
      </c>
      <c r="AM1177" s="311" t="e">
        <f t="shared" si="149"/>
        <v>#REF!</v>
      </c>
      <c r="AN1177" s="312" t="e">
        <f t="shared" si="148"/>
        <v>#REF!</v>
      </c>
    </row>
    <row r="1178" spans="1:40" s="73" customFormat="1" x14ac:dyDescent="0.25">
      <c r="A1178" s="313"/>
      <c r="B1178" s="333" t="s">
        <v>1809</v>
      </c>
      <c r="D1178" s="74">
        <f>IFERROR(VLOOKUP(B1178,'REQ. PINTADO'!B:C,2,0),0)</f>
        <v>0</v>
      </c>
      <c r="E1178" s="305">
        <f t="shared" si="133"/>
        <v>653.76353150502541</v>
      </c>
      <c r="F1178" s="103" t="s">
        <v>165</v>
      </c>
      <c r="G1178" s="75" t="s">
        <v>147</v>
      </c>
      <c r="H1178" s="90">
        <v>21.21</v>
      </c>
      <c r="I1178" s="90">
        <v>33.08</v>
      </c>
      <c r="J1178" s="76">
        <v>0.105</v>
      </c>
      <c r="K1178" s="306">
        <v>16.38</v>
      </c>
      <c r="L1178" s="78">
        <f t="shared" si="134"/>
        <v>39.166666987179489</v>
      </c>
      <c r="M1178" s="58">
        <f>+VLOOKUP(F1178,Material!$H$2:$M$17,6,FALSE)*H1178*I1178*(1+Material!$K$14)</f>
        <v>291.61363875000001</v>
      </c>
      <c r="N1178" s="79" t="str">
        <f t="shared" si="154"/>
        <v>T5.0</v>
      </c>
      <c r="O1178" s="80">
        <f>+VLOOKUP(N1178,[3]Material!$A$3:$B$58,2,FALSE)</f>
        <v>5000</v>
      </c>
      <c r="P1178" s="79" t="s">
        <v>42</v>
      </c>
      <c r="Q1178" s="79" t="str">
        <f>+VLOOKUP(F1178,[3]Material!$C$2:$E$12,2,FALSE)</f>
        <v>Cal 14</v>
      </c>
      <c r="R1178" s="81">
        <f>+IF(P1178="ACERO A36",VLOOKUP(Q1178,'[3]Velocidades Std 1500 w'!$B$2:$F$15,5,FALSE),IF(P1178="INOXIDABLE",VLOOKUP(Q1178,'[3]Velocidades Std 1500 w'!$B$17:$F$28,5,FALSE),IF(P1178="ALUMINIO",VLOOKUP(Q1178,'[3]Velocidades Std 1500 w'!$B$30:$F$38,5,FALSE))))</f>
        <v>2.0080321285140564E-6</v>
      </c>
      <c r="S1178" s="82">
        <f t="shared" si="135"/>
        <v>1.0040160642570283E-2</v>
      </c>
      <c r="T1178" s="83">
        <f t="shared" si="136"/>
        <v>26.71755614457831</v>
      </c>
      <c r="U1178" s="307">
        <f t="shared" si="150"/>
        <v>3695.9285999999993</v>
      </c>
      <c r="V1178" s="80">
        <f t="shared" si="153"/>
        <v>37.107716867469875</v>
      </c>
      <c r="W1178" s="98">
        <v>20</v>
      </c>
      <c r="X1178" s="84">
        <f>+IF(P1178="ACERO A36",VLOOKUP(Q1178,'[3]Tiempo Objeto'!$B$2:$C$12,2,FALSE),IF(P1178="INOXIDABLE",VLOOKUP(Q1178,'[3]Tiempo Objeto'!$B$14:$C$22,2,FALSE),IF(P1178="ALUMINIO",VLOOKUP(Q1178,'[3]Tiempo Objeto'!$B$24:$C$32,2,FALSE))))</f>
        <v>0.3133333333333333</v>
      </c>
      <c r="Y1178" s="84">
        <f t="shared" si="137"/>
        <v>6.2666666666666657</v>
      </c>
      <c r="Z1178" s="80">
        <f t="shared" si="138"/>
        <v>8.7037037037037024</v>
      </c>
      <c r="AA1178" s="100">
        <v>6</v>
      </c>
      <c r="AB1178" s="86">
        <f>+AA1178*Analisis!$J$6</f>
        <v>150</v>
      </c>
      <c r="AC1178" s="100"/>
      <c r="AD1178" s="85">
        <f t="shared" si="139"/>
        <v>0</v>
      </c>
      <c r="AE1178" s="86">
        <f>+AC1178*Analisis!$J$7</f>
        <v>0</v>
      </c>
      <c r="AF1178" s="308">
        <f>+H1178*0.0254*I1178*0.0254*2*(1+[3]Analisis!$G$2)</f>
        <v>1.1316538657199999</v>
      </c>
      <c r="AG1178" s="86">
        <f>+AF1178*Analisis!$J$8</f>
        <v>120.57502497850002</v>
      </c>
      <c r="AH1178" s="309">
        <f t="shared" si="151"/>
        <v>608.00008429967363</v>
      </c>
      <c r="AI1178" s="86">
        <f>+AH1178/(1-Analisis!G1183)</f>
        <v>608.00008429967363</v>
      </c>
      <c r="AJ1178" s="86">
        <f t="shared" si="140"/>
        <v>653.76353150502541</v>
      </c>
      <c r="AK1178" s="86">
        <f t="shared" si="152"/>
        <v>0</v>
      </c>
      <c r="AL1178" s="310" t="e">
        <f>+VLOOKUP(B1178,#REF!,2,FALSE)</f>
        <v>#REF!</v>
      </c>
      <c r="AM1178" s="311" t="e">
        <f t="shared" si="149"/>
        <v>#REF!</v>
      </c>
      <c r="AN1178" s="312" t="e">
        <f t="shared" si="148"/>
        <v>#REF!</v>
      </c>
    </row>
    <row r="1179" spans="1:40" s="73" customFormat="1" x14ac:dyDescent="0.25">
      <c r="A1179" s="313"/>
      <c r="B1179" s="333" t="s">
        <v>1810</v>
      </c>
      <c r="D1179" s="74">
        <f>IFERROR(VLOOKUP(B1179,'REQ. PINTADO'!B:C,2,0),0)</f>
        <v>0</v>
      </c>
      <c r="E1179" s="305">
        <f t="shared" si="133"/>
        <v>695.68579217010517</v>
      </c>
      <c r="F1179" s="103" t="s">
        <v>165</v>
      </c>
      <c r="G1179" s="75" t="s">
        <v>147</v>
      </c>
      <c r="H1179" s="90">
        <v>21.21</v>
      </c>
      <c r="I1179" s="90">
        <v>36.08</v>
      </c>
      <c r="J1179" s="76">
        <v>0.105</v>
      </c>
      <c r="K1179" s="306">
        <v>16.38</v>
      </c>
      <c r="L1179" s="78">
        <f t="shared" si="134"/>
        <v>42.71866217948719</v>
      </c>
      <c r="M1179" s="58">
        <f>+VLOOKUP(F1179,Material!$H$2:$M$17,6,FALSE)*H1179*I1179*(1+Material!$K$14)</f>
        <v>318.05985750000002</v>
      </c>
      <c r="N1179" s="79" t="str">
        <f t="shared" si="154"/>
        <v>T5.0</v>
      </c>
      <c r="O1179" s="80">
        <f>+VLOOKUP(N1179,[3]Material!$A$3:$B$58,2,FALSE)</f>
        <v>5000</v>
      </c>
      <c r="P1179" s="79" t="s">
        <v>42</v>
      </c>
      <c r="Q1179" s="79" t="str">
        <f>+VLOOKUP(F1179,[3]Material!$C$2:$E$12,2,FALSE)</f>
        <v>Cal 14</v>
      </c>
      <c r="R1179" s="81">
        <f>+IF(P1179="ACERO A36",VLOOKUP(Q1179,'[3]Velocidades Std 1500 w'!$B$2:$F$15,5,FALSE),IF(P1179="INOXIDABLE",VLOOKUP(Q1179,'[3]Velocidades Std 1500 w'!$B$17:$F$28,5,FALSE),IF(P1179="ALUMINIO",VLOOKUP(Q1179,'[3]Velocidades Std 1500 w'!$B$30:$F$38,5,FALSE))))</f>
        <v>2.0080321285140564E-6</v>
      </c>
      <c r="S1179" s="82">
        <f t="shared" si="135"/>
        <v>1.0040160642570283E-2</v>
      </c>
      <c r="T1179" s="83">
        <f t="shared" si="136"/>
        <v>27.874327228915661</v>
      </c>
      <c r="U1179" s="307">
        <f t="shared" si="150"/>
        <v>3855.9485999999997</v>
      </c>
      <c r="V1179" s="80">
        <f t="shared" si="153"/>
        <v>38.714343373493982</v>
      </c>
      <c r="W1179" s="98">
        <v>20</v>
      </c>
      <c r="X1179" s="84">
        <f>+IF(P1179="ACERO A36",VLOOKUP(Q1179,'[3]Tiempo Objeto'!$B$2:$C$12,2,FALSE),IF(P1179="INOXIDABLE",VLOOKUP(Q1179,'[3]Tiempo Objeto'!$B$14:$C$22,2,FALSE),IF(P1179="ALUMINIO",VLOOKUP(Q1179,'[3]Tiempo Objeto'!$B$24:$C$32,2,FALSE))))</f>
        <v>0.3133333333333333</v>
      </c>
      <c r="Y1179" s="84">
        <f t="shared" si="137"/>
        <v>6.2666666666666657</v>
      </c>
      <c r="Z1179" s="80">
        <f t="shared" si="138"/>
        <v>8.7037037037037024</v>
      </c>
      <c r="AA1179" s="100">
        <v>6</v>
      </c>
      <c r="AB1179" s="86">
        <f>+AA1179*Analisis!$J$6</f>
        <v>150</v>
      </c>
      <c r="AC1179" s="100"/>
      <c r="AD1179" s="85">
        <f t="shared" si="139"/>
        <v>0</v>
      </c>
      <c r="AE1179" s="86">
        <f>+AC1179*Analisis!$J$7</f>
        <v>0</v>
      </c>
      <c r="AF1179" s="308">
        <f>+H1179*0.0254*I1179*0.0254*2*(1+[3]Analisis!$G$2)</f>
        <v>1.2342826927199999</v>
      </c>
      <c r="AG1179" s="86">
        <f>+AF1179*Analisis!$J$8</f>
        <v>131.50988214100002</v>
      </c>
      <c r="AH1179" s="309">
        <f t="shared" si="151"/>
        <v>646.98778671819775</v>
      </c>
      <c r="AI1179" s="86">
        <f>+AH1179/(1-Analisis!G1184)</f>
        <v>646.98778671819775</v>
      </c>
      <c r="AJ1179" s="86">
        <f t="shared" si="140"/>
        <v>695.68579217010517</v>
      </c>
      <c r="AK1179" s="86">
        <f t="shared" si="152"/>
        <v>0</v>
      </c>
      <c r="AL1179" s="310" t="e">
        <f>+VLOOKUP(B1179,#REF!,2,FALSE)</f>
        <v>#REF!</v>
      </c>
      <c r="AM1179" s="311" t="e">
        <f t="shared" si="149"/>
        <v>#REF!</v>
      </c>
      <c r="AN1179" s="312" t="e">
        <f t="shared" si="148"/>
        <v>#REF!</v>
      </c>
    </row>
    <row r="1180" spans="1:40" s="73" customFormat="1" x14ac:dyDescent="0.25">
      <c r="A1180" s="313"/>
      <c r="B1180" s="333" t="s">
        <v>1811</v>
      </c>
      <c r="D1180" s="74">
        <f>IFERROR(VLOOKUP(B1180,'REQ. PINTADO'!B:C,2,0),0)</f>
        <v>0</v>
      </c>
      <c r="E1180" s="305">
        <f t="shared" si="133"/>
        <v>807.47848727698431</v>
      </c>
      <c r="F1180" s="103" t="s">
        <v>165</v>
      </c>
      <c r="G1180" s="75" t="s">
        <v>147</v>
      </c>
      <c r="H1180" s="90">
        <v>21.21</v>
      </c>
      <c r="I1180" s="90">
        <v>44.08</v>
      </c>
      <c r="J1180" s="76">
        <v>0.105</v>
      </c>
      <c r="K1180" s="306">
        <v>16.38</v>
      </c>
      <c r="L1180" s="78">
        <f t="shared" si="134"/>
        <v>52.190649358974369</v>
      </c>
      <c r="M1180" s="58">
        <f>+VLOOKUP(F1180,Material!$H$2:$M$17,6,FALSE)*H1180*I1180*(1+Material!$K$14)</f>
        <v>388.58310750000004</v>
      </c>
      <c r="N1180" s="79" t="str">
        <f t="shared" si="154"/>
        <v>T5.0</v>
      </c>
      <c r="O1180" s="80">
        <f>+VLOOKUP(N1180,[3]Material!$A$3:$B$58,2,FALSE)</f>
        <v>5000</v>
      </c>
      <c r="P1180" s="79" t="s">
        <v>42</v>
      </c>
      <c r="Q1180" s="79" t="str">
        <f>+VLOOKUP(F1180,[3]Material!$C$2:$E$12,2,FALSE)</f>
        <v>Cal 14</v>
      </c>
      <c r="R1180" s="81">
        <f>+IF(P1180="ACERO A36",VLOOKUP(Q1180,'[3]Velocidades Std 1500 w'!$B$2:$F$15,5,FALSE),IF(P1180="INOXIDABLE",VLOOKUP(Q1180,'[3]Velocidades Std 1500 w'!$B$17:$F$28,5,FALSE),IF(P1180="ALUMINIO",VLOOKUP(Q1180,'[3]Velocidades Std 1500 w'!$B$30:$F$38,5,FALSE))))</f>
        <v>2.0080321285140564E-6</v>
      </c>
      <c r="S1180" s="82">
        <f t="shared" si="135"/>
        <v>1.0040160642570283E-2</v>
      </c>
      <c r="T1180" s="83">
        <f t="shared" si="136"/>
        <v>30.959050120481933</v>
      </c>
      <c r="U1180" s="307">
        <f t="shared" ref="U1180:U1243" si="155">(+I1180*2+H1180*2+W1180*1.5)*25.4*1.05</f>
        <v>4282.6686</v>
      </c>
      <c r="V1180" s="80">
        <f t="shared" si="153"/>
        <v>42.998680722891571</v>
      </c>
      <c r="W1180" s="98">
        <v>20</v>
      </c>
      <c r="X1180" s="84">
        <f>+IF(P1180="ACERO A36",VLOOKUP(Q1180,'[3]Tiempo Objeto'!$B$2:$C$12,2,FALSE),IF(P1180="INOXIDABLE",VLOOKUP(Q1180,'[3]Tiempo Objeto'!$B$14:$C$22,2,FALSE),IF(P1180="ALUMINIO",VLOOKUP(Q1180,'[3]Tiempo Objeto'!$B$24:$C$32,2,FALSE))))</f>
        <v>0.3133333333333333</v>
      </c>
      <c r="Y1180" s="84">
        <f t="shared" si="137"/>
        <v>6.2666666666666657</v>
      </c>
      <c r="Z1180" s="80">
        <f t="shared" si="138"/>
        <v>8.7037037037037024</v>
      </c>
      <c r="AA1180" s="100">
        <v>6</v>
      </c>
      <c r="AB1180" s="86">
        <f>+AA1180*Analisis!$J$6</f>
        <v>150</v>
      </c>
      <c r="AC1180" s="100"/>
      <c r="AD1180" s="85">
        <f t="shared" si="139"/>
        <v>0</v>
      </c>
      <c r="AE1180" s="86">
        <f>+AC1180*Analisis!$J$7</f>
        <v>0</v>
      </c>
      <c r="AF1180" s="308">
        <f>+H1180*0.0254*I1180*0.0254*2*(1+[3]Analisis!$G$2)</f>
        <v>1.5079595647200001</v>
      </c>
      <c r="AG1180" s="86">
        <f>+AF1180*Analisis!$J$8</f>
        <v>160.66950124100006</v>
      </c>
      <c r="AH1180" s="309">
        <f t="shared" si="151"/>
        <v>750.95499316759538</v>
      </c>
      <c r="AI1180" s="86">
        <f>+AH1180/(1-Analisis!G1185)</f>
        <v>750.95499316759538</v>
      </c>
      <c r="AJ1180" s="86">
        <f t="shared" si="140"/>
        <v>807.47848727698431</v>
      </c>
      <c r="AK1180" s="86">
        <f t="shared" si="152"/>
        <v>0</v>
      </c>
      <c r="AL1180" s="310" t="e">
        <f>+VLOOKUP(B1180,#REF!,2,FALSE)</f>
        <v>#REF!</v>
      </c>
      <c r="AM1180" s="311" t="e">
        <f t="shared" si="149"/>
        <v>#REF!</v>
      </c>
      <c r="AN1180" s="312" t="e">
        <f t="shared" si="148"/>
        <v>#REF!</v>
      </c>
    </row>
    <row r="1181" spans="1:40" s="73" customFormat="1" x14ac:dyDescent="0.25">
      <c r="A1181" s="313"/>
      <c r="B1181" s="333" t="s">
        <v>1812</v>
      </c>
      <c r="D1181" s="74">
        <f>IFERROR(VLOOKUP(B1181,'REQ. PINTADO'!B:C,2,0),0)</f>
        <v>0</v>
      </c>
      <c r="E1181" s="305">
        <f t="shared" si="133"/>
        <v>891.32300860714361</v>
      </c>
      <c r="F1181" s="103" t="s">
        <v>165</v>
      </c>
      <c r="G1181" s="75" t="s">
        <v>147</v>
      </c>
      <c r="H1181" s="90">
        <v>21.21</v>
      </c>
      <c r="I1181" s="90">
        <v>50.08</v>
      </c>
      <c r="J1181" s="76">
        <v>0.105</v>
      </c>
      <c r="K1181" s="306">
        <v>16.38</v>
      </c>
      <c r="L1181" s="78">
        <f t="shared" si="134"/>
        <v>59.294639743589762</v>
      </c>
      <c r="M1181" s="58">
        <f>+VLOOKUP(F1181,Material!$H$2:$M$17,6,FALSE)*H1181*I1181*(1+Material!$K$14)</f>
        <v>441.47554500000007</v>
      </c>
      <c r="N1181" s="79" t="str">
        <f t="shared" si="154"/>
        <v>T5.0</v>
      </c>
      <c r="O1181" s="80">
        <f>+VLOOKUP(N1181,[3]Material!$A$3:$B$58,2,FALSE)</f>
        <v>5000</v>
      </c>
      <c r="P1181" s="79" t="s">
        <v>42</v>
      </c>
      <c r="Q1181" s="79" t="str">
        <f>+VLOOKUP(F1181,[3]Material!$C$2:$E$12,2,FALSE)</f>
        <v>Cal 14</v>
      </c>
      <c r="R1181" s="81">
        <f>+IF(P1181="ACERO A36",VLOOKUP(Q1181,'[3]Velocidades Std 1500 w'!$B$2:$F$15,5,FALSE),IF(P1181="INOXIDABLE",VLOOKUP(Q1181,'[3]Velocidades Std 1500 w'!$B$17:$F$28,5,FALSE),IF(P1181="ALUMINIO",VLOOKUP(Q1181,'[3]Velocidades Std 1500 w'!$B$30:$F$38,5,FALSE))))</f>
        <v>2.0080321285140564E-6</v>
      </c>
      <c r="S1181" s="82">
        <f t="shared" si="135"/>
        <v>1.0040160642570283E-2</v>
      </c>
      <c r="T1181" s="83">
        <f t="shared" si="136"/>
        <v>33.27259228915662</v>
      </c>
      <c r="U1181" s="307">
        <f t="shared" si="155"/>
        <v>4602.708599999999</v>
      </c>
      <c r="V1181" s="80">
        <f t="shared" si="153"/>
        <v>46.211933734939755</v>
      </c>
      <c r="W1181" s="98">
        <v>20</v>
      </c>
      <c r="X1181" s="84">
        <f>+IF(P1181="ACERO A36",VLOOKUP(Q1181,'[3]Tiempo Objeto'!$B$2:$C$12,2,FALSE),IF(P1181="INOXIDABLE",VLOOKUP(Q1181,'[3]Tiempo Objeto'!$B$14:$C$22,2,FALSE),IF(P1181="ALUMINIO",VLOOKUP(Q1181,'[3]Tiempo Objeto'!$B$24:$C$32,2,FALSE))))</f>
        <v>0.3133333333333333</v>
      </c>
      <c r="Y1181" s="84">
        <f t="shared" si="137"/>
        <v>6.2666666666666657</v>
      </c>
      <c r="Z1181" s="80">
        <f t="shared" si="138"/>
        <v>8.7037037037037024</v>
      </c>
      <c r="AA1181" s="100">
        <v>6</v>
      </c>
      <c r="AB1181" s="86">
        <f>+AA1181*Analisis!$J$6</f>
        <v>150</v>
      </c>
      <c r="AC1181" s="100"/>
      <c r="AD1181" s="85">
        <f t="shared" si="139"/>
        <v>0</v>
      </c>
      <c r="AE1181" s="86">
        <f>+AC1181*Analisis!$J$7</f>
        <v>0</v>
      </c>
      <c r="AF1181" s="308">
        <f>+H1181*0.0254*I1181*0.0254*2*(1+[3]Analisis!$G$2)</f>
        <v>1.7132172187200001</v>
      </c>
      <c r="AG1181" s="86">
        <f>+AF1181*Analisis!$J$8</f>
        <v>182.53921556600005</v>
      </c>
      <c r="AH1181" s="309">
        <f t="shared" si="151"/>
        <v>828.93039800464351</v>
      </c>
      <c r="AI1181" s="86">
        <f>+AH1181/(1-Analisis!G1186)</f>
        <v>828.93039800464351</v>
      </c>
      <c r="AJ1181" s="86">
        <f t="shared" si="140"/>
        <v>891.32300860714361</v>
      </c>
      <c r="AK1181" s="86">
        <f t="shared" si="152"/>
        <v>0</v>
      </c>
      <c r="AL1181" s="310" t="e">
        <f>+VLOOKUP(B1181,#REF!,2,FALSE)</f>
        <v>#REF!</v>
      </c>
      <c r="AM1181" s="311" t="e">
        <f t="shared" si="149"/>
        <v>#REF!</v>
      </c>
      <c r="AN1181" s="312" t="e">
        <f t="shared" si="148"/>
        <v>#REF!</v>
      </c>
    </row>
    <row r="1182" spans="1:40" s="73" customFormat="1" x14ac:dyDescent="0.25">
      <c r="A1182" s="313"/>
      <c r="B1182" s="333" t="s">
        <v>1813</v>
      </c>
      <c r="D1182" s="74">
        <f>IFERROR(VLOOKUP(B1182,'REQ. PINTADO'!B:C,2,0),0)</f>
        <v>0</v>
      </c>
      <c r="E1182" s="305">
        <f t="shared" si="133"/>
        <v>975.16752993730313</v>
      </c>
      <c r="F1182" s="103" t="s">
        <v>165</v>
      </c>
      <c r="G1182" s="75" t="s">
        <v>147</v>
      </c>
      <c r="H1182" s="90">
        <v>21.21</v>
      </c>
      <c r="I1182" s="90">
        <v>56.08</v>
      </c>
      <c r="J1182" s="76">
        <v>0.105</v>
      </c>
      <c r="K1182" s="306">
        <v>16.38</v>
      </c>
      <c r="L1182" s="78">
        <f t="shared" si="134"/>
        <v>66.398630128205156</v>
      </c>
      <c r="M1182" s="58">
        <f>+VLOOKUP(F1182,Material!$H$2:$M$17,6,FALSE)*H1182*I1182*(1+Material!$K$14)</f>
        <v>494.3679825000001</v>
      </c>
      <c r="N1182" s="79" t="str">
        <f t="shared" si="154"/>
        <v>T5.0</v>
      </c>
      <c r="O1182" s="80">
        <f>+VLOOKUP(N1182,[3]Material!$A$3:$B$58,2,FALSE)</f>
        <v>5000</v>
      </c>
      <c r="P1182" s="79" t="s">
        <v>42</v>
      </c>
      <c r="Q1182" s="79" t="str">
        <f>+VLOOKUP(F1182,[3]Material!$C$2:$E$12,2,FALSE)</f>
        <v>Cal 14</v>
      </c>
      <c r="R1182" s="81">
        <f>+IF(P1182="ACERO A36",VLOOKUP(Q1182,'[3]Velocidades Std 1500 w'!$B$2:$F$15,5,FALSE),IF(P1182="INOXIDABLE",VLOOKUP(Q1182,'[3]Velocidades Std 1500 w'!$B$17:$F$28,5,FALSE),IF(P1182="ALUMINIO",VLOOKUP(Q1182,'[3]Velocidades Std 1500 w'!$B$30:$F$38,5,FALSE))))</f>
        <v>2.0080321285140564E-6</v>
      </c>
      <c r="S1182" s="82">
        <f t="shared" si="135"/>
        <v>1.0040160642570283E-2</v>
      </c>
      <c r="T1182" s="83">
        <f t="shared" si="136"/>
        <v>35.586134457831328</v>
      </c>
      <c r="U1182" s="307">
        <f t="shared" si="155"/>
        <v>4922.7485999999999</v>
      </c>
      <c r="V1182" s="80">
        <f t="shared" si="153"/>
        <v>49.425186746987961</v>
      </c>
      <c r="W1182" s="98">
        <v>20</v>
      </c>
      <c r="X1182" s="84">
        <f>+IF(P1182="ACERO A36",VLOOKUP(Q1182,'[3]Tiempo Objeto'!$B$2:$C$12,2,FALSE),IF(P1182="INOXIDABLE",VLOOKUP(Q1182,'[3]Tiempo Objeto'!$B$14:$C$22,2,FALSE),IF(P1182="ALUMINIO",VLOOKUP(Q1182,'[3]Tiempo Objeto'!$B$24:$C$32,2,FALSE))))</f>
        <v>0.3133333333333333</v>
      </c>
      <c r="Y1182" s="84">
        <f t="shared" si="137"/>
        <v>6.2666666666666657</v>
      </c>
      <c r="Z1182" s="80">
        <f t="shared" si="138"/>
        <v>8.7037037037037024</v>
      </c>
      <c r="AA1182" s="100">
        <v>6</v>
      </c>
      <c r="AB1182" s="86">
        <f>+AA1182*Analisis!$J$6</f>
        <v>150</v>
      </c>
      <c r="AC1182" s="100"/>
      <c r="AD1182" s="85">
        <f t="shared" si="139"/>
        <v>0</v>
      </c>
      <c r="AE1182" s="86">
        <f>+AC1182*Analisis!$J$7</f>
        <v>0</v>
      </c>
      <c r="AF1182" s="308">
        <f>+H1182*0.0254*I1182*0.0254*2*(1+[3]Analisis!$G$2)</f>
        <v>1.9184748727199998</v>
      </c>
      <c r="AG1182" s="86">
        <f>+AF1182*Analisis!$J$8</f>
        <v>204.40892989100004</v>
      </c>
      <c r="AH1182" s="309">
        <f t="shared" si="151"/>
        <v>906.90580284169187</v>
      </c>
      <c r="AI1182" s="86">
        <f>+AH1182/(1-Analisis!G1187)</f>
        <v>906.90580284169187</v>
      </c>
      <c r="AJ1182" s="86">
        <f t="shared" si="140"/>
        <v>975.16752993730313</v>
      </c>
      <c r="AK1182" s="86">
        <f t="shared" si="152"/>
        <v>0</v>
      </c>
      <c r="AL1182" s="310" t="e">
        <f>+VLOOKUP(B1182,#REF!,2,FALSE)</f>
        <v>#REF!</v>
      </c>
      <c r="AM1182" s="311" t="e">
        <f t="shared" si="149"/>
        <v>#REF!</v>
      </c>
      <c r="AN1182" s="312" t="e">
        <f t="shared" si="148"/>
        <v>#REF!</v>
      </c>
    </row>
    <row r="1183" spans="1:40" s="73" customFormat="1" x14ac:dyDescent="0.25">
      <c r="A1183" s="313"/>
      <c r="B1183" s="333" t="s">
        <v>1814</v>
      </c>
      <c r="D1183" s="74">
        <f>IFERROR(VLOOKUP(B1183,'REQ. PINTADO'!B:C,2,0),0)</f>
        <v>0</v>
      </c>
      <c r="E1183" s="305">
        <f t="shared" si="133"/>
        <v>723.6339659468249</v>
      </c>
      <c r="F1183" s="103" t="s">
        <v>165</v>
      </c>
      <c r="G1183" s="75" t="s">
        <v>147</v>
      </c>
      <c r="H1183" s="90">
        <v>21.21</v>
      </c>
      <c r="I1183" s="90">
        <v>38.08</v>
      </c>
      <c r="J1183" s="76">
        <v>0.105</v>
      </c>
      <c r="K1183" s="306">
        <v>16.38</v>
      </c>
      <c r="L1183" s="78">
        <f t="shared" si="134"/>
        <v>45.08665897435899</v>
      </c>
      <c r="M1183" s="58">
        <f>+VLOOKUP(F1183,Material!$H$2:$M$17,6,FALSE)*H1183*I1183*(1+Material!$K$14)</f>
        <v>335.69067000000007</v>
      </c>
      <c r="N1183" s="79" t="str">
        <f t="shared" si="154"/>
        <v>T5.0</v>
      </c>
      <c r="O1183" s="80">
        <f>+VLOOKUP(N1183,[3]Material!$A$3:$B$58,2,FALSE)</f>
        <v>5000</v>
      </c>
      <c r="P1183" s="79" t="s">
        <v>42</v>
      </c>
      <c r="Q1183" s="79" t="str">
        <f>+VLOOKUP(F1183,[3]Material!$C$2:$E$12,2,FALSE)</f>
        <v>Cal 14</v>
      </c>
      <c r="R1183" s="81">
        <f>+IF(P1183="ACERO A36",VLOOKUP(Q1183,'[3]Velocidades Std 1500 w'!$B$2:$F$15,5,FALSE),IF(P1183="INOXIDABLE",VLOOKUP(Q1183,'[3]Velocidades Std 1500 w'!$B$17:$F$28,5,FALSE),IF(P1183="ALUMINIO",VLOOKUP(Q1183,'[3]Velocidades Std 1500 w'!$B$30:$F$38,5,FALSE))))</f>
        <v>2.0080321285140564E-6</v>
      </c>
      <c r="S1183" s="82">
        <f t="shared" si="135"/>
        <v>1.0040160642570283E-2</v>
      </c>
      <c r="T1183" s="83">
        <f t="shared" si="136"/>
        <v>28.645507951807225</v>
      </c>
      <c r="U1183" s="307">
        <f t="shared" si="155"/>
        <v>3962.6285999999996</v>
      </c>
      <c r="V1183" s="80">
        <f t="shared" si="153"/>
        <v>39.785427710843379</v>
      </c>
      <c r="W1183" s="98">
        <v>20</v>
      </c>
      <c r="X1183" s="84">
        <f>+IF(P1183="ACERO A36",VLOOKUP(Q1183,'[3]Tiempo Objeto'!$B$2:$C$12,2,FALSE),IF(P1183="INOXIDABLE",VLOOKUP(Q1183,'[3]Tiempo Objeto'!$B$14:$C$22,2,FALSE),IF(P1183="ALUMINIO",VLOOKUP(Q1183,'[3]Tiempo Objeto'!$B$24:$C$32,2,FALSE))))</f>
        <v>0.3133333333333333</v>
      </c>
      <c r="Y1183" s="84">
        <f t="shared" si="137"/>
        <v>6.2666666666666657</v>
      </c>
      <c r="Z1183" s="80">
        <f t="shared" si="138"/>
        <v>8.7037037037037024</v>
      </c>
      <c r="AA1183" s="100">
        <v>6</v>
      </c>
      <c r="AB1183" s="86">
        <f>+AA1183*Analisis!$J$6</f>
        <v>150</v>
      </c>
      <c r="AC1183" s="100"/>
      <c r="AD1183" s="85">
        <f t="shared" si="139"/>
        <v>0</v>
      </c>
      <c r="AE1183" s="86">
        <f>+AC1183*Analisis!$J$7</f>
        <v>0</v>
      </c>
      <c r="AF1183" s="308">
        <f>+H1183*0.0254*I1183*0.0254*2*(1+[3]Analisis!$G$2)</f>
        <v>1.30270191072</v>
      </c>
      <c r="AG1183" s="86">
        <f>+AF1183*Analisis!$J$8</f>
        <v>138.79978691600004</v>
      </c>
      <c r="AH1183" s="309">
        <f t="shared" si="151"/>
        <v>672.97958833054713</v>
      </c>
      <c r="AI1183" s="86">
        <f>+AH1183/(1-Analisis!G1188)</f>
        <v>672.97958833054713</v>
      </c>
      <c r="AJ1183" s="86">
        <f t="shared" si="140"/>
        <v>723.6339659468249</v>
      </c>
      <c r="AK1183" s="86">
        <f t="shared" si="152"/>
        <v>0</v>
      </c>
      <c r="AL1183" s="310" t="e">
        <f>+VLOOKUP(B1183,#REF!,2,FALSE)</f>
        <v>#REF!</v>
      </c>
      <c r="AM1183" s="311" t="e">
        <f t="shared" si="149"/>
        <v>#REF!</v>
      </c>
      <c r="AN1183" s="312" t="e">
        <f t="shared" si="148"/>
        <v>#REF!</v>
      </c>
    </row>
    <row r="1184" spans="1:40" s="73" customFormat="1" x14ac:dyDescent="0.25">
      <c r="A1184" s="313"/>
      <c r="B1184" s="333" t="s">
        <v>1815</v>
      </c>
      <c r="D1184" s="74">
        <f>IFERROR(VLOOKUP(B1184,'REQ. PINTADO'!B:C,2,0),0)</f>
        <v>0</v>
      </c>
      <c r="E1184" s="305">
        <f t="shared" si="133"/>
        <v>835.42666105370427</v>
      </c>
      <c r="F1184" s="103" t="s">
        <v>165</v>
      </c>
      <c r="G1184" s="75" t="s">
        <v>147</v>
      </c>
      <c r="H1184" s="90">
        <v>21.21</v>
      </c>
      <c r="I1184" s="90">
        <v>46.08</v>
      </c>
      <c r="J1184" s="76">
        <v>0.105</v>
      </c>
      <c r="K1184" s="306">
        <v>16.38</v>
      </c>
      <c r="L1184" s="78">
        <f t="shared" si="134"/>
        <v>54.558646153846176</v>
      </c>
      <c r="M1184" s="58">
        <f>+VLOOKUP(F1184,Material!$H$2:$M$17,6,FALSE)*H1184*I1184*(1+Material!$K$14)</f>
        <v>406.21392000000009</v>
      </c>
      <c r="N1184" s="79" t="str">
        <f t="shared" si="154"/>
        <v>T5.0</v>
      </c>
      <c r="O1184" s="80">
        <f>+VLOOKUP(N1184,[3]Material!$A$3:$B$58,2,FALSE)</f>
        <v>5000</v>
      </c>
      <c r="P1184" s="79" t="s">
        <v>42</v>
      </c>
      <c r="Q1184" s="79" t="str">
        <f>+VLOOKUP(F1184,[3]Material!$C$2:$E$12,2,FALSE)</f>
        <v>Cal 14</v>
      </c>
      <c r="R1184" s="81">
        <f>+IF(P1184="ACERO A36",VLOOKUP(Q1184,'[3]Velocidades Std 1500 w'!$B$2:$F$15,5,FALSE),IF(P1184="INOXIDABLE",VLOOKUP(Q1184,'[3]Velocidades Std 1500 w'!$B$17:$F$28,5,FALSE),IF(P1184="ALUMINIO",VLOOKUP(Q1184,'[3]Velocidades Std 1500 w'!$B$30:$F$38,5,FALSE))))</f>
        <v>2.0080321285140564E-6</v>
      </c>
      <c r="S1184" s="82">
        <f t="shared" si="135"/>
        <v>1.0040160642570283E-2</v>
      </c>
      <c r="T1184" s="83">
        <f t="shared" si="136"/>
        <v>31.730230843373491</v>
      </c>
      <c r="U1184" s="307">
        <f t="shared" si="155"/>
        <v>4389.3485999999994</v>
      </c>
      <c r="V1184" s="80">
        <f t="shared" si="153"/>
        <v>44.069765060240968</v>
      </c>
      <c r="W1184" s="98">
        <v>20</v>
      </c>
      <c r="X1184" s="84">
        <f>+IF(P1184="ACERO A36",VLOOKUP(Q1184,'[3]Tiempo Objeto'!$B$2:$C$12,2,FALSE),IF(P1184="INOXIDABLE",VLOOKUP(Q1184,'[3]Tiempo Objeto'!$B$14:$C$22,2,FALSE),IF(P1184="ALUMINIO",VLOOKUP(Q1184,'[3]Tiempo Objeto'!$B$24:$C$32,2,FALSE))))</f>
        <v>0.3133333333333333</v>
      </c>
      <c r="Y1184" s="84">
        <f t="shared" si="137"/>
        <v>6.2666666666666657</v>
      </c>
      <c r="Z1184" s="80">
        <f t="shared" si="138"/>
        <v>8.7037037037037024</v>
      </c>
      <c r="AA1184" s="100">
        <v>6</v>
      </c>
      <c r="AB1184" s="86">
        <f>+AA1184*Analisis!$J$6</f>
        <v>150</v>
      </c>
      <c r="AC1184" s="100"/>
      <c r="AD1184" s="85">
        <f t="shared" si="139"/>
        <v>0</v>
      </c>
      <c r="AE1184" s="86">
        <f>+AC1184*Analisis!$J$7</f>
        <v>0</v>
      </c>
      <c r="AF1184" s="308">
        <f>+H1184*0.0254*I1184*0.0254*2*(1+[3]Analisis!$G$2)</f>
        <v>1.5763787827200002</v>
      </c>
      <c r="AG1184" s="86">
        <f>+AF1184*Analisis!$J$8</f>
        <v>167.95940601600006</v>
      </c>
      <c r="AH1184" s="309">
        <f t="shared" si="151"/>
        <v>776.94679477994487</v>
      </c>
      <c r="AI1184" s="86">
        <f>+AH1184/(1-Analisis!G1189)</f>
        <v>776.94679477994487</v>
      </c>
      <c r="AJ1184" s="86">
        <f t="shared" si="140"/>
        <v>835.42666105370427</v>
      </c>
      <c r="AK1184" s="86">
        <f t="shared" si="152"/>
        <v>0</v>
      </c>
      <c r="AL1184" s="310" t="e">
        <f>+VLOOKUP(B1184,#REF!,2,FALSE)</f>
        <v>#REF!</v>
      </c>
      <c r="AM1184" s="311" t="e">
        <f t="shared" si="149"/>
        <v>#REF!</v>
      </c>
      <c r="AN1184" s="312" t="e">
        <f t="shared" si="148"/>
        <v>#REF!</v>
      </c>
    </row>
    <row r="1185" spans="1:40" s="73" customFormat="1" x14ac:dyDescent="0.25">
      <c r="A1185" s="313"/>
      <c r="B1185" s="333" t="s">
        <v>1516</v>
      </c>
      <c r="D1185" s="74">
        <f>IFERROR(VLOOKUP(B1185,'REQ. PINTADO'!B:C,2,0),0)</f>
        <v>0</v>
      </c>
      <c r="E1185" s="305">
        <f t="shared" si="133"/>
        <v>345.70627278642309</v>
      </c>
      <c r="F1185" s="397" t="s">
        <v>166</v>
      </c>
      <c r="G1185" s="75" t="s">
        <v>147</v>
      </c>
      <c r="H1185" s="90">
        <v>12.09</v>
      </c>
      <c r="I1185" s="90">
        <v>31.22</v>
      </c>
      <c r="J1185" s="76">
        <v>0.105</v>
      </c>
      <c r="K1185" s="306">
        <v>16.38</v>
      </c>
      <c r="L1185" s="78">
        <f t="shared" si="134"/>
        <v>11.490082961845916</v>
      </c>
      <c r="M1185" s="58">
        <f>+VLOOKUP(F1185,Material!$H$2:$M$17,6,FALSE)*H1185*I1185*(1+Material!$K$14)</f>
        <v>85.548890415925484</v>
      </c>
      <c r="N1185" s="79" t="str">
        <f t="shared" si="154"/>
        <v>T5.0</v>
      </c>
      <c r="O1185" s="80">
        <f>+VLOOKUP(N1185,[3]Material!$A$3:$B$58,2,FALSE)</f>
        <v>5000</v>
      </c>
      <c r="P1185" s="79" t="s">
        <v>42</v>
      </c>
      <c r="Q1185" s="79" t="str">
        <f>+VLOOKUP(F1185,[3]Material!$C$2:$E$12,2,FALSE)</f>
        <v>Cal 16</v>
      </c>
      <c r="R1185" s="81">
        <f>+IF(P1185="ACERO A36",VLOOKUP(Q1185,'[3]Velocidades Std 1500 w'!$B$2:$F$15,5,FALSE),IF(P1185="INOXIDABLE",VLOOKUP(Q1185,'[3]Velocidades Std 1500 w'!$B$17:$F$28,5,FALSE),IF(P1185="ALUMINIO",VLOOKUP(Q1185,'[3]Velocidades Std 1500 w'!$B$30:$F$38,5,FALSE))))</f>
        <v>9.1575091575091579E-7</v>
      </c>
      <c r="S1185" s="82">
        <f t="shared" si="135"/>
        <v>4.578754578754579E-3</v>
      </c>
      <c r="T1185" s="83">
        <f t="shared" si="136"/>
        <v>10.253589230769233</v>
      </c>
      <c r="U1185" s="307">
        <f t="shared" si="155"/>
        <v>3110.2554000000005</v>
      </c>
      <c r="V1185" s="80">
        <f t="shared" si="153"/>
        <v>14.241096153846156</v>
      </c>
      <c r="W1185" s="98">
        <v>20</v>
      </c>
      <c r="X1185" s="84">
        <f>+IF(P1185="ACERO A36",VLOOKUP(Q1185,'[3]Tiempo Objeto'!$B$2:$C$12,2,FALSE),IF(P1185="INOXIDABLE",VLOOKUP(Q1185,'[3]Tiempo Objeto'!$B$14:$C$22,2,FALSE),IF(P1185="ALUMINIO",VLOOKUP(Q1185,'[3]Tiempo Objeto'!$B$24:$C$32,2,FALSE))))</f>
        <v>0.24666666666666667</v>
      </c>
      <c r="Y1185" s="84">
        <f t="shared" si="137"/>
        <v>4.9333333333333336</v>
      </c>
      <c r="Z1185" s="80">
        <f t="shared" si="138"/>
        <v>6.8518518518518521</v>
      </c>
      <c r="AA1185" s="100">
        <v>6</v>
      </c>
      <c r="AB1185" s="86">
        <f>+AA1185*Analisis!$J$6</f>
        <v>150</v>
      </c>
      <c r="AC1185" s="100"/>
      <c r="AD1185" s="85">
        <f t="shared" si="139"/>
        <v>0</v>
      </c>
      <c r="AE1185" s="86">
        <f>+AC1185*Analisis!$J$7</f>
        <v>0</v>
      </c>
      <c r="AF1185" s="308">
        <f>+H1185*0.0254*I1185*0.0254*2*(1+[3]Analisis!$G$2)</f>
        <v>0.6087887824199999</v>
      </c>
      <c r="AG1185" s="86">
        <f>+AF1185*Analisis!$J$8</f>
        <v>64.864995269750011</v>
      </c>
      <c r="AH1185" s="309">
        <f t="shared" si="151"/>
        <v>321.50683369137346</v>
      </c>
      <c r="AI1185" s="86">
        <f>+AH1185/(1-Analisis!G1190)</f>
        <v>321.50683369137346</v>
      </c>
      <c r="AJ1185" s="86">
        <f t="shared" si="140"/>
        <v>345.70627278642309</v>
      </c>
      <c r="AK1185" s="86">
        <f t="shared" si="152"/>
        <v>0</v>
      </c>
      <c r="AL1185" s="310" t="e">
        <f>+VLOOKUP(B1185,#REF!,2,FALSE)</f>
        <v>#REF!</v>
      </c>
      <c r="AM1185" s="311" t="e">
        <f t="shared" si="149"/>
        <v>#REF!</v>
      </c>
      <c r="AN1185" s="312" t="e">
        <f t="shared" si="148"/>
        <v>#REF!</v>
      </c>
    </row>
    <row r="1186" spans="1:40" s="73" customFormat="1" x14ac:dyDescent="0.25">
      <c r="A1186" s="313"/>
      <c r="B1186" s="333" t="s">
        <v>1517</v>
      </c>
      <c r="D1186" s="74">
        <f>IFERROR(VLOOKUP(B1186,'REQ. PINTADO'!B:C,2,0),0)</f>
        <v>0</v>
      </c>
      <c r="E1186" s="305">
        <f t="shared" si="133"/>
        <v>400.26718625287117</v>
      </c>
      <c r="F1186" s="397" t="s">
        <v>166</v>
      </c>
      <c r="G1186" s="75" t="s">
        <v>147</v>
      </c>
      <c r="H1186" s="90">
        <v>16.09</v>
      </c>
      <c r="I1186" s="90">
        <v>31.22</v>
      </c>
      <c r="J1186" s="76">
        <v>0.105</v>
      </c>
      <c r="K1186" s="306">
        <v>16.38</v>
      </c>
      <c r="L1186" s="78">
        <f t="shared" si="134"/>
        <v>15.291599243680793</v>
      </c>
      <c r="M1186" s="58">
        <f>+VLOOKUP(F1186,Material!$H$2:$M$17,6,FALSE)*H1186*I1186*(1+Material!$K$14)</f>
        <v>113.85290709613243</v>
      </c>
      <c r="N1186" s="79" t="str">
        <f t="shared" si="154"/>
        <v>T5.0</v>
      </c>
      <c r="O1186" s="80">
        <f>+VLOOKUP(N1186,[3]Material!$A$3:$B$58,2,FALSE)</f>
        <v>5000</v>
      </c>
      <c r="P1186" s="79" t="s">
        <v>42</v>
      </c>
      <c r="Q1186" s="79" t="str">
        <f>+VLOOKUP(F1186,[3]Material!$C$2:$E$12,2,FALSE)</f>
        <v>Cal 16</v>
      </c>
      <c r="R1186" s="81">
        <f>+IF(P1186="ACERO A36",VLOOKUP(Q1186,'[3]Velocidades Std 1500 w'!$B$2:$F$15,5,FALSE),IF(P1186="INOXIDABLE",VLOOKUP(Q1186,'[3]Velocidades Std 1500 w'!$B$17:$F$28,5,FALSE),IF(P1186="ALUMINIO",VLOOKUP(Q1186,'[3]Velocidades Std 1500 w'!$B$30:$F$38,5,FALSE))))</f>
        <v>9.1575091575091579E-7</v>
      </c>
      <c r="S1186" s="82">
        <f t="shared" si="135"/>
        <v>4.578754578754579E-3</v>
      </c>
      <c r="T1186" s="83">
        <f t="shared" si="136"/>
        <v>10.956973846153847</v>
      </c>
      <c r="U1186" s="307">
        <f t="shared" si="155"/>
        <v>3323.6154000000001</v>
      </c>
      <c r="V1186" s="80">
        <f t="shared" si="153"/>
        <v>15.218019230769231</v>
      </c>
      <c r="W1186" s="98">
        <v>20</v>
      </c>
      <c r="X1186" s="84">
        <f>+IF(P1186="ACERO A36",VLOOKUP(Q1186,'[3]Tiempo Objeto'!$B$2:$C$12,2,FALSE),IF(P1186="INOXIDABLE",VLOOKUP(Q1186,'[3]Tiempo Objeto'!$B$14:$C$22,2,FALSE),IF(P1186="ALUMINIO",VLOOKUP(Q1186,'[3]Tiempo Objeto'!$B$24:$C$32,2,FALSE))))</f>
        <v>0.24666666666666667</v>
      </c>
      <c r="Y1186" s="84">
        <f t="shared" si="137"/>
        <v>4.9333333333333336</v>
      </c>
      <c r="Z1186" s="80">
        <f t="shared" si="138"/>
        <v>6.8518518518518521</v>
      </c>
      <c r="AA1186" s="100">
        <v>6</v>
      </c>
      <c r="AB1186" s="86">
        <f>+AA1186*Analisis!$J$6</f>
        <v>150</v>
      </c>
      <c r="AC1186" s="100"/>
      <c r="AD1186" s="85">
        <f t="shared" si="139"/>
        <v>0</v>
      </c>
      <c r="AE1186" s="86">
        <f>+AC1186*Analisis!$J$7</f>
        <v>0</v>
      </c>
      <c r="AF1186" s="308">
        <f>+H1186*0.0254*I1186*0.0254*2*(1+[3]Analisis!$G$2)</f>
        <v>0.81020773441999994</v>
      </c>
      <c r="AG1186" s="86">
        <f>+AF1186*Analisis!$J$8</f>
        <v>86.325705036416679</v>
      </c>
      <c r="AH1186" s="309">
        <f t="shared" si="151"/>
        <v>372.24848321517015</v>
      </c>
      <c r="AI1186" s="86">
        <f>+AH1186/(1-Analisis!G1191)</f>
        <v>372.24848321517015</v>
      </c>
      <c r="AJ1186" s="86">
        <f t="shared" si="140"/>
        <v>400.26718625287117</v>
      </c>
      <c r="AK1186" s="86">
        <f t="shared" si="152"/>
        <v>0</v>
      </c>
      <c r="AL1186" s="310" t="e">
        <f>+VLOOKUP(B1186,#REF!,2,FALSE)</f>
        <v>#REF!</v>
      </c>
      <c r="AM1186" s="311" t="e">
        <f t="shared" si="149"/>
        <v>#REF!</v>
      </c>
      <c r="AN1186" s="312" t="e">
        <f t="shared" si="148"/>
        <v>#REF!</v>
      </c>
    </row>
    <row r="1187" spans="1:40" s="73" customFormat="1" x14ac:dyDescent="0.25">
      <c r="A1187" s="313"/>
      <c r="B1187" s="333" t="s">
        <v>1518</v>
      </c>
      <c r="D1187" s="74">
        <f>IFERROR(VLOOKUP(B1187,'REQ. PINTADO'!B:C,2,0),0)</f>
        <v>0</v>
      </c>
      <c r="E1187" s="305">
        <f t="shared" si="133"/>
        <v>427.54764298609524</v>
      </c>
      <c r="F1187" s="397" t="s">
        <v>166</v>
      </c>
      <c r="G1187" s="75" t="s">
        <v>147</v>
      </c>
      <c r="H1187" s="90">
        <v>18.09</v>
      </c>
      <c r="I1187" s="90">
        <v>31.22</v>
      </c>
      <c r="J1187" s="76">
        <v>0.105</v>
      </c>
      <c r="K1187" s="306">
        <v>16.38</v>
      </c>
      <c r="L1187" s="78">
        <f t="shared" si="134"/>
        <v>17.192357384598232</v>
      </c>
      <c r="M1187" s="58">
        <f>+VLOOKUP(F1187,Material!$H$2:$M$17,6,FALSE)*H1187*I1187*(1+Material!$K$14)</f>
        <v>128.0049154362359</v>
      </c>
      <c r="N1187" s="79" t="str">
        <f t="shared" si="154"/>
        <v>T5.0</v>
      </c>
      <c r="O1187" s="80">
        <f>+VLOOKUP(N1187,[3]Material!$A$3:$B$58,2,FALSE)</f>
        <v>5000</v>
      </c>
      <c r="P1187" s="79" t="s">
        <v>42</v>
      </c>
      <c r="Q1187" s="79" t="str">
        <f>+VLOOKUP(F1187,[3]Material!$C$2:$E$12,2,FALSE)</f>
        <v>Cal 16</v>
      </c>
      <c r="R1187" s="81">
        <f>+IF(P1187="ACERO A36",VLOOKUP(Q1187,'[3]Velocidades Std 1500 w'!$B$2:$F$15,5,FALSE),IF(P1187="INOXIDABLE",VLOOKUP(Q1187,'[3]Velocidades Std 1500 w'!$B$17:$F$28,5,FALSE),IF(P1187="ALUMINIO",VLOOKUP(Q1187,'[3]Velocidades Std 1500 w'!$B$30:$F$38,5,FALSE))))</f>
        <v>9.1575091575091579E-7</v>
      </c>
      <c r="S1187" s="82">
        <f t="shared" si="135"/>
        <v>4.578754578754579E-3</v>
      </c>
      <c r="T1187" s="83">
        <f t="shared" si="136"/>
        <v>11.308666153846154</v>
      </c>
      <c r="U1187" s="307">
        <f t="shared" si="155"/>
        <v>3430.2954</v>
      </c>
      <c r="V1187" s="80">
        <f t="shared" si="153"/>
        <v>15.706480769230771</v>
      </c>
      <c r="W1187" s="98">
        <v>20</v>
      </c>
      <c r="X1187" s="84">
        <f>+IF(P1187="ACERO A36",VLOOKUP(Q1187,'[3]Tiempo Objeto'!$B$2:$C$12,2,FALSE),IF(P1187="INOXIDABLE",VLOOKUP(Q1187,'[3]Tiempo Objeto'!$B$14:$C$22,2,FALSE),IF(P1187="ALUMINIO",VLOOKUP(Q1187,'[3]Tiempo Objeto'!$B$24:$C$32,2,FALSE))))</f>
        <v>0.24666666666666667</v>
      </c>
      <c r="Y1187" s="84">
        <f t="shared" si="137"/>
        <v>4.9333333333333336</v>
      </c>
      <c r="Z1187" s="80">
        <f t="shared" si="138"/>
        <v>6.8518518518518521</v>
      </c>
      <c r="AA1187" s="100">
        <v>6</v>
      </c>
      <c r="AB1187" s="86">
        <f>+AA1187*Analisis!$J$6</f>
        <v>150</v>
      </c>
      <c r="AC1187" s="100"/>
      <c r="AD1187" s="85">
        <f t="shared" si="139"/>
        <v>0</v>
      </c>
      <c r="AE1187" s="86">
        <f>+AC1187*Analisis!$J$7</f>
        <v>0</v>
      </c>
      <c r="AF1187" s="308">
        <f>+H1187*0.0254*I1187*0.0254*2*(1+[3]Analisis!$G$2)</f>
        <v>0.91091721041999985</v>
      </c>
      <c r="AG1187" s="86">
        <f>+AF1187*Analisis!$J$8</f>
        <v>97.056059919750012</v>
      </c>
      <c r="AH1187" s="309">
        <f t="shared" si="151"/>
        <v>397.61930797706856</v>
      </c>
      <c r="AI1187" s="86">
        <f>+AH1187/(1-Analisis!G1192)</f>
        <v>397.61930797706856</v>
      </c>
      <c r="AJ1187" s="86">
        <f t="shared" si="140"/>
        <v>427.54764298609524</v>
      </c>
      <c r="AK1187" s="86">
        <f t="shared" si="152"/>
        <v>0</v>
      </c>
      <c r="AL1187" s="310" t="e">
        <f>+VLOOKUP(B1187,#REF!,2,FALSE)</f>
        <v>#REF!</v>
      </c>
      <c r="AM1187" s="311" t="e">
        <f t="shared" si="149"/>
        <v>#REF!</v>
      </c>
      <c r="AN1187" s="312" t="e">
        <f t="shared" si="148"/>
        <v>#REF!</v>
      </c>
    </row>
    <row r="1188" spans="1:40" s="73" customFormat="1" x14ac:dyDescent="0.25">
      <c r="A1188" s="313"/>
      <c r="B1188" s="333" t="s">
        <v>1519</v>
      </c>
      <c r="D1188" s="74">
        <f>IFERROR(VLOOKUP(B1188,'REQ. PINTADO'!B:C,2,0),0)</f>
        <v>0</v>
      </c>
      <c r="E1188" s="305">
        <f t="shared" si="133"/>
        <v>495.74878481915533</v>
      </c>
      <c r="F1188" s="397" t="s">
        <v>166</v>
      </c>
      <c r="G1188" s="75" t="s">
        <v>147</v>
      </c>
      <c r="H1188" s="90">
        <v>23.09</v>
      </c>
      <c r="I1188" s="90">
        <v>31.22</v>
      </c>
      <c r="J1188" s="76">
        <v>0.105</v>
      </c>
      <c r="K1188" s="306">
        <v>16.38</v>
      </c>
      <c r="L1188" s="78">
        <f t="shared" si="134"/>
        <v>21.944252736891826</v>
      </c>
      <c r="M1188" s="58">
        <f>+VLOOKUP(F1188,Material!$H$2:$M$17,6,FALSE)*H1188*I1188*(1+Material!$K$14)</f>
        <v>163.38493628649456</v>
      </c>
      <c r="N1188" s="79" t="str">
        <f t="shared" si="154"/>
        <v>T5.0</v>
      </c>
      <c r="O1188" s="80">
        <f>+VLOOKUP(N1188,[3]Material!$A$3:$B$58,2,FALSE)</f>
        <v>5000</v>
      </c>
      <c r="P1188" s="79" t="s">
        <v>42</v>
      </c>
      <c r="Q1188" s="79" t="str">
        <f>+VLOOKUP(F1188,[3]Material!$C$2:$E$12,2,FALSE)</f>
        <v>Cal 16</v>
      </c>
      <c r="R1188" s="81">
        <f>+IF(P1188="ACERO A36",VLOOKUP(Q1188,'[3]Velocidades Std 1500 w'!$B$2:$F$15,5,FALSE),IF(P1188="INOXIDABLE",VLOOKUP(Q1188,'[3]Velocidades Std 1500 w'!$B$17:$F$28,5,FALSE),IF(P1188="ALUMINIO",VLOOKUP(Q1188,'[3]Velocidades Std 1500 w'!$B$30:$F$38,5,FALSE))))</f>
        <v>9.1575091575091579E-7</v>
      </c>
      <c r="S1188" s="82">
        <f t="shared" si="135"/>
        <v>4.578754578754579E-3</v>
      </c>
      <c r="T1188" s="83">
        <f t="shared" si="136"/>
        <v>12.187896923076922</v>
      </c>
      <c r="U1188" s="307">
        <f t="shared" si="155"/>
        <v>3696.9953999999998</v>
      </c>
      <c r="V1188" s="80">
        <f t="shared" si="153"/>
        <v>16.927634615384616</v>
      </c>
      <c r="W1188" s="98">
        <v>20</v>
      </c>
      <c r="X1188" s="84">
        <f>+IF(P1188="ACERO A36",VLOOKUP(Q1188,'[3]Tiempo Objeto'!$B$2:$C$12,2,FALSE),IF(P1188="INOXIDABLE",VLOOKUP(Q1188,'[3]Tiempo Objeto'!$B$14:$C$22,2,FALSE),IF(P1188="ALUMINIO",VLOOKUP(Q1188,'[3]Tiempo Objeto'!$B$24:$C$32,2,FALSE))))</f>
        <v>0.24666666666666667</v>
      </c>
      <c r="Y1188" s="84">
        <f t="shared" si="137"/>
        <v>4.9333333333333336</v>
      </c>
      <c r="Z1188" s="80">
        <f t="shared" si="138"/>
        <v>6.8518518518518521</v>
      </c>
      <c r="AA1188" s="100">
        <v>6</v>
      </c>
      <c r="AB1188" s="86">
        <f>+AA1188*Analisis!$J$6</f>
        <v>150</v>
      </c>
      <c r="AC1188" s="100"/>
      <c r="AD1188" s="85">
        <f t="shared" si="139"/>
        <v>0</v>
      </c>
      <c r="AE1188" s="86">
        <f>+AC1188*Analisis!$J$7</f>
        <v>0</v>
      </c>
      <c r="AF1188" s="308">
        <f>+H1188*0.0254*I1188*0.0254*2*(1+[3]Analisis!$G$2)</f>
        <v>1.1626909004199999</v>
      </c>
      <c r="AG1188" s="86">
        <f>+AF1188*Analisis!$J$8</f>
        <v>123.88194712808335</v>
      </c>
      <c r="AH1188" s="309">
        <f t="shared" si="151"/>
        <v>461.04636988181443</v>
      </c>
      <c r="AI1188" s="86">
        <f>+AH1188/(1-Analisis!G1193)</f>
        <v>461.04636988181443</v>
      </c>
      <c r="AJ1188" s="86">
        <f t="shared" si="140"/>
        <v>495.74878481915533</v>
      </c>
      <c r="AK1188" s="86">
        <f t="shared" si="152"/>
        <v>0</v>
      </c>
      <c r="AL1188" s="310" t="e">
        <f>+VLOOKUP(B1188,#REF!,2,FALSE)</f>
        <v>#REF!</v>
      </c>
      <c r="AM1188" s="311" t="e">
        <f t="shared" si="149"/>
        <v>#REF!</v>
      </c>
      <c r="AN1188" s="312" t="e">
        <f t="shared" si="148"/>
        <v>#REF!</v>
      </c>
    </row>
    <row r="1189" spans="1:40" s="73" customFormat="1" x14ac:dyDescent="0.25">
      <c r="A1189" s="313"/>
      <c r="B1189" s="333" t="s">
        <v>1520</v>
      </c>
      <c r="D1189" s="74">
        <f>IFERROR(VLOOKUP(B1189,'REQ. PINTADO'!B:C,2,0),0)</f>
        <v>0</v>
      </c>
      <c r="E1189" s="305">
        <f t="shared" si="133"/>
        <v>509.38901318576728</v>
      </c>
      <c r="F1189" s="397" t="s">
        <v>166</v>
      </c>
      <c r="G1189" s="75" t="s">
        <v>147</v>
      </c>
      <c r="H1189" s="90">
        <v>24.09</v>
      </c>
      <c r="I1189" s="90">
        <v>31.22</v>
      </c>
      <c r="J1189" s="76">
        <v>0.105</v>
      </c>
      <c r="K1189" s="306">
        <v>16.38</v>
      </c>
      <c r="L1189" s="78">
        <f t="shared" si="134"/>
        <v>22.894631807350546</v>
      </c>
      <c r="M1189" s="58">
        <f>+VLOOKUP(F1189,Material!$H$2:$M$17,6,FALSE)*H1189*I1189*(1+Material!$K$14)</f>
        <v>170.4609404565463</v>
      </c>
      <c r="N1189" s="79" t="str">
        <f t="shared" si="154"/>
        <v>T5.0</v>
      </c>
      <c r="O1189" s="80">
        <f>+VLOOKUP(N1189,[3]Material!$A$3:$B$58,2,FALSE)</f>
        <v>5000</v>
      </c>
      <c r="P1189" s="79" t="s">
        <v>42</v>
      </c>
      <c r="Q1189" s="79" t="str">
        <f>+VLOOKUP(F1189,[3]Material!$C$2:$E$12,2,FALSE)</f>
        <v>Cal 16</v>
      </c>
      <c r="R1189" s="81">
        <f>+IF(P1189="ACERO A36",VLOOKUP(Q1189,'[3]Velocidades Std 1500 w'!$B$2:$F$15,5,FALSE),IF(P1189="INOXIDABLE",VLOOKUP(Q1189,'[3]Velocidades Std 1500 w'!$B$17:$F$28,5,FALSE),IF(P1189="ALUMINIO",VLOOKUP(Q1189,'[3]Velocidades Std 1500 w'!$B$30:$F$38,5,FALSE))))</f>
        <v>9.1575091575091579E-7</v>
      </c>
      <c r="S1189" s="82">
        <f t="shared" si="135"/>
        <v>4.578754578754579E-3</v>
      </c>
      <c r="T1189" s="83">
        <f t="shared" si="136"/>
        <v>12.363743076923079</v>
      </c>
      <c r="U1189" s="307">
        <f t="shared" si="155"/>
        <v>3750.3354000000004</v>
      </c>
      <c r="V1189" s="80">
        <f t="shared" si="153"/>
        <v>17.171865384615387</v>
      </c>
      <c r="W1189" s="98">
        <v>20</v>
      </c>
      <c r="X1189" s="84">
        <f>+IF(P1189="ACERO A36",VLOOKUP(Q1189,'[3]Tiempo Objeto'!$B$2:$C$12,2,FALSE),IF(P1189="INOXIDABLE",VLOOKUP(Q1189,'[3]Tiempo Objeto'!$B$14:$C$22,2,FALSE),IF(P1189="ALUMINIO",VLOOKUP(Q1189,'[3]Tiempo Objeto'!$B$24:$C$32,2,FALSE))))</f>
        <v>0.24666666666666667</v>
      </c>
      <c r="Y1189" s="84">
        <f t="shared" si="137"/>
        <v>4.9333333333333336</v>
      </c>
      <c r="Z1189" s="80">
        <f t="shared" si="138"/>
        <v>6.8518518518518521</v>
      </c>
      <c r="AA1189" s="100">
        <v>6</v>
      </c>
      <c r="AB1189" s="86">
        <f>+AA1189*Analisis!$J$6</f>
        <v>150</v>
      </c>
      <c r="AC1189" s="100"/>
      <c r="AD1189" s="85">
        <f t="shared" si="139"/>
        <v>0</v>
      </c>
      <c r="AE1189" s="86">
        <f>+AC1189*Analisis!$J$7</f>
        <v>0</v>
      </c>
      <c r="AF1189" s="308">
        <f>+H1189*0.0254*I1189*0.0254*2*(1+[3]Analisis!$G$2)</f>
        <v>1.2130456384199997</v>
      </c>
      <c r="AG1189" s="86">
        <f>+AF1189*Analisis!$J$8</f>
        <v>129.24712456975001</v>
      </c>
      <c r="AH1189" s="309">
        <f t="shared" si="151"/>
        <v>473.73178226276355</v>
      </c>
      <c r="AI1189" s="86">
        <f>+AH1189/(1-Analisis!G1194)</f>
        <v>473.73178226276355</v>
      </c>
      <c r="AJ1189" s="86">
        <f t="shared" si="140"/>
        <v>509.38901318576728</v>
      </c>
      <c r="AK1189" s="86">
        <f t="shared" si="152"/>
        <v>0</v>
      </c>
      <c r="AL1189" s="310" t="e">
        <f>+VLOOKUP(B1189,#REF!,2,FALSE)</f>
        <v>#REF!</v>
      </c>
      <c r="AM1189" s="311" t="e">
        <f t="shared" si="149"/>
        <v>#REF!</v>
      </c>
      <c r="AN1189" s="312" t="e">
        <f t="shared" si="148"/>
        <v>#REF!</v>
      </c>
    </row>
    <row r="1190" spans="1:40" s="73" customFormat="1" x14ac:dyDescent="0.25">
      <c r="A1190" s="313"/>
      <c r="B1190" s="333" t="s">
        <v>1521</v>
      </c>
      <c r="D1190" s="74">
        <f>IFERROR(VLOOKUP(B1190,'REQ. PINTADO'!B:C,2,0),0)</f>
        <v>0</v>
      </c>
      <c r="E1190" s="305">
        <f t="shared" si="133"/>
        <v>591.23038338543938</v>
      </c>
      <c r="F1190" s="397" t="s">
        <v>166</v>
      </c>
      <c r="G1190" s="75" t="s">
        <v>147</v>
      </c>
      <c r="H1190" s="90">
        <v>30.09</v>
      </c>
      <c r="I1190" s="90">
        <v>31.22</v>
      </c>
      <c r="J1190" s="76">
        <v>0.105</v>
      </c>
      <c r="K1190" s="306">
        <v>16.38</v>
      </c>
      <c r="L1190" s="78">
        <f t="shared" si="134"/>
        <v>28.59690623010286</v>
      </c>
      <c r="M1190" s="58">
        <f>+VLOOKUP(F1190,Material!$H$2:$M$17,6,FALSE)*H1190*I1190*(1+Material!$K$14)</f>
        <v>212.91696547685672</v>
      </c>
      <c r="N1190" s="79" t="str">
        <f t="shared" si="154"/>
        <v>T5.0</v>
      </c>
      <c r="O1190" s="80">
        <f>+VLOOKUP(N1190,[3]Material!$A$3:$B$58,2,FALSE)</f>
        <v>5000</v>
      </c>
      <c r="P1190" s="79" t="s">
        <v>42</v>
      </c>
      <c r="Q1190" s="79" t="str">
        <f>+VLOOKUP(F1190,[3]Material!$C$2:$E$12,2,FALSE)</f>
        <v>Cal 16</v>
      </c>
      <c r="R1190" s="81">
        <f>+IF(P1190="ACERO A36",VLOOKUP(Q1190,'[3]Velocidades Std 1500 w'!$B$2:$F$15,5,FALSE),IF(P1190="INOXIDABLE",VLOOKUP(Q1190,'[3]Velocidades Std 1500 w'!$B$17:$F$28,5,FALSE),IF(P1190="ALUMINIO",VLOOKUP(Q1190,'[3]Velocidades Std 1500 w'!$B$30:$F$38,5,FALSE))))</f>
        <v>9.1575091575091579E-7</v>
      </c>
      <c r="S1190" s="82">
        <f t="shared" si="135"/>
        <v>4.578754578754579E-3</v>
      </c>
      <c r="T1190" s="83">
        <f t="shared" si="136"/>
        <v>13.41882</v>
      </c>
      <c r="U1190" s="307">
        <f t="shared" si="155"/>
        <v>4070.3753999999999</v>
      </c>
      <c r="V1190" s="80">
        <f t="shared" si="153"/>
        <v>18.637250000000002</v>
      </c>
      <c r="W1190" s="98">
        <v>20</v>
      </c>
      <c r="X1190" s="84">
        <f>+IF(P1190="ACERO A36",VLOOKUP(Q1190,'[3]Tiempo Objeto'!$B$2:$C$12,2,FALSE),IF(P1190="INOXIDABLE",VLOOKUP(Q1190,'[3]Tiempo Objeto'!$B$14:$C$22,2,FALSE),IF(P1190="ALUMINIO",VLOOKUP(Q1190,'[3]Tiempo Objeto'!$B$24:$C$32,2,FALSE))))</f>
        <v>0.24666666666666667</v>
      </c>
      <c r="Y1190" s="84">
        <f t="shared" si="137"/>
        <v>4.9333333333333336</v>
      </c>
      <c r="Z1190" s="80">
        <f t="shared" si="138"/>
        <v>6.8518518518518521</v>
      </c>
      <c r="AA1190" s="100">
        <v>6</v>
      </c>
      <c r="AB1190" s="86">
        <f>+AA1190*Analisis!$J$6</f>
        <v>150</v>
      </c>
      <c r="AC1190" s="100"/>
      <c r="AD1190" s="85">
        <f t="shared" si="139"/>
        <v>0</v>
      </c>
      <c r="AE1190" s="86">
        <f>+AC1190*Analisis!$J$7</f>
        <v>0</v>
      </c>
      <c r="AF1190" s="308">
        <f>+H1190*0.0254*I1190*0.0254*2*(1+[3]Analisis!$G$2)</f>
        <v>1.5151740664199997</v>
      </c>
      <c r="AG1190" s="86">
        <f>+AF1190*Analisis!$J$8</f>
        <v>161.43818921975003</v>
      </c>
      <c r="AH1190" s="309">
        <f t="shared" si="151"/>
        <v>549.84425654845859</v>
      </c>
      <c r="AI1190" s="86">
        <f>+AH1190/(1-Analisis!G1195)</f>
        <v>549.84425654845859</v>
      </c>
      <c r="AJ1190" s="86">
        <f t="shared" si="140"/>
        <v>591.23038338543938</v>
      </c>
      <c r="AK1190" s="86">
        <f t="shared" si="152"/>
        <v>0</v>
      </c>
      <c r="AL1190" s="310" t="e">
        <f>+VLOOKUP(B1190,#REF!,2,FALSE)</f>
        <v>#REF!</v>
      </c>
      <c r="AM1190" s="311" t="e">
        <f t="shared" si="149"/>
        <v>#REF!</v>
      </c>
      <c r="AN1190" s="312" t="e">
        <f t="shared" si="148"/>
        <v>#REF!</v>
      </c>
    </row>
    <row r="1191" spans="1:40" s="73" customFormat="1" x14ac:dyDescent="0.25">
      <c r="A1191" s="313"/>
      <c r="B1191" s="333" t="s">
        <v>1522</v>
      </c>
      <c r="D1191" s="74">
        <f>IFERROR(VLOOKUP(B1191,'REQ. PINTADO'!B:C,2,0),0)</f>
        <v>0</v>
      </c>
      <c r="E1191" s="305">
        <f t="shared" si="133"/>
        <v>632.15106848527546</v>
      </c>
      <c r="F1191" s="397" t="s">
        <v>166</v>
      </c>
      <c r="G1191" s="75" t="s">
        <v>147</v>
      </c>
      <c r="H1191" s="90">
        <v>33.090000000000003</v>
      </c>
      <c r="I1191" s="90">
        <v>31.22</v>
      </c>
      <c r="J1191" s="76">
        <v>0.105</v>
      </c>
      <c r="K1191" s="306">
        <v>16.38</v>
      </c>
      <c r="L1191" s="78">
        <f t="shared" si="134"/>
        <v>31.448043441479022</v>
      </c>
      <c r="M1191" s="58">
        <f>+VLOOKUP(F1191,Material!$H$2:$M$17,6,FALSE)*H1191*I1191*(1+Material!$K$14)</f>
        <v>234.14497798701197</v>
      </c>
      <c r="N1191" s="79" t="str">
        <f t="shared" si="154"/>
        <v>T5.0</v>
      </c>
      <c r="O1191" s="80">
        <f>+VLOOKUP(N1191,[3]Material!$A$3:$B$58,2,FALSE)</f>
        <v>5000</v>
      </c>
      <c r="P1191" s="79" t="s">
        <v>42</v>
      </c>
      <c r="Q1191" s="79" t="str">
        <f>+VLOOKUP(F1191,[3]Material!$C$2:$E$12,2,FALSE)</f>
        <v>Cal 16</v>
      </c>
      <c r="R1191" s="81">
        <f>+IF(P1191="ACERO A36",VLOOKUP(Q1191,'[3]Velocidades Std 1500 w'!$B$2:$F$15,5,FALSE),IF(P1191="INOXIDABLE",VLOOKUP(Q1191,'[3]Velocidades Std 1500 w'!$B$17:$F$28,5,FALSE),IF(P1191="ALUMINIO",VLOOKUP(Q1191,'[3]Velocidades Std 1500 w'!$B$30:$F$38,5,FALSE))))</f>
        <v>9.1575091575091579E-7</v>
      </c>
      <c r="S1191" s="82">
        <f t="shared" si="135"/>
        <v>4.578754578754579E-3</v>
      </c>
      <c r="T1191" s="83">
        <f t="shared" si="136"/>
        <v>13.946358461538463</v>
      </c>
      <c r="U1191" s="307">
        <f t="shared" si="155"/>
        <v>4230.3954000000003</v>
      </c>
      <c r="V1191" s="80">
        <f t="shared" si="153"/>
        <v>19.369942307692309</v>
      </c>
      <c r="W1191" s="98">
        <v>20</v>
      </c>
      <c r="X1191" s="84">
        <f>+IF(P1191="ACERO A36",VLOOKUP(Q1191,'[3]Tiempo Objeto'!$B$2:$C$12,2,FALSE),IF(P1191="INOXIDABLE",VLOOKUP(Q1191,'[3]Tiempo Objeto'!$B$14:$C$22,2,FALSE),IF(P1191="ALUMINIO",VLOOKUP(Q1191,'[3]Tiempo Objeto'!$B$24:$C$32,2,FALSE))))</f>
        <v>0.24666666666666667</v>
      </c>
      <c r="Y1191" s="84">
        <f t="shared" si="137"/>
        <v>4.9333333333333336</v>
      </c>
      <c r="Z1191" s="80">
        <f t="shared" si="138"/>
        <v>6.8518518518518521</v>
      </c>
      <c r="AA1191" s="100">
        <v>6</v>
      </c>
      <c r="AB1191" s="86">
        <f>+AA1191*Analisis!$J$6</f>
        <v>150</v>
      </c>
      <c r="AC1191" s="100"/>
      <c r="AD1191" s="85">
        <f t="shared" si="139"/>
        <v>0</v>
      </c>
      <c r="AE1191" s="86">
        <f>+AC1191*Analisis!$J$7</f>
        <v>0</v>
      </c>
      <c r="AF1191" s="308">
        <f>+H1191*0.0254*I1191*0.0254*2*(1+[3]Analisis!$G$2)</f>
        <v>1.66623828042</v>
      </c>
      <c r="AG1191" s="86">
        <f>+AF1191*Analisis!$J$8</f>
        <v>177.53372154475005</v>
      </c>
      <c r="AH1191" s="309">
        <f t="shared" si="151"/>
        <v>587.90049369130611</v>
      </c>
      <c r="AI1191" s="86">
        <f>+AH1191/(1-Analisis!G1196)</f>
        <v>587.90049369130611</v>
      </c>
      <c r="AJ1191" s="86">
        <f t="shared" si="140"/>
        <v>632.15106848527546</v>
      </c>
      <c r="AK1191" s="86">
        <f t="shared" si="152"/>
        <v>0</v>
      </c>
      <c r="AL1191" s="310" t="e">
        <f>+VLOOKUP(B1191,#REF!,2,FALSE)</f>
        <v>#REF!</v>
      </c>
      <c r="AM1191" s="311" t="e">
        <f t="shared" si="149"/>
        <v>#REF!</v>
      </c>
      <c r="AN1191" s="312" t="e">
        <f t="shared" si="148"/>
        <v>#REF!</v>
      </c>
    </row>
    <row r="1192" spans="1:40" s="73" customFormat="1" x14ac:dyDescent="0.25">
      <c r="A1192" s="313"/>
      <c r="B1192" s="333" t="s">
        <v>1523</v>
      </c>
      <c r="D1192" s="74">
        <f>IFERROR(VLOOKUP(B1192,'REQ. PINTADO'!B:C,2,0),0)</f>
        <v>0</v>
      </c>
      <c r="E1192" s="305">
        <f t="shared" si="133"/>
        <v>673.07175358511142</v>
      </c>
      <c r="F1192" s="397" t="s">
        <v>166</v>
      </c>
      <c r="G1192" s="75" t="s">
        <v>147</v>
      </c>
      <c r="H1192" s="90">
        <v>36.090000000000003</v>
      </c>
      <c r="I1192" s="90">
        <v>31.22</v>
      </c>
      <c r="J1192" s="76">
        <v>0.105</v>
      </c>
      <c r="K1192" s="306">
        <v>16.38</v>
      </c>
      <c r="L1192" s="78">
        <f t="shared" si="134"/>
        <v>34.299180652855178</v>
      </c>
      <c r="M1192" s="58">
        <f>+VLOOKUP(F1192,Material!$H$2:$M$17,6,FALSE)*H1192*I1192*(1+Material!$K$14)</f>
        <v>255.37299049716717</v>
      </c>
      <c r="N1192" s="79" t="str">
        <f t="shared" si="154"/>
        <v>T5.0</v>
      </c>
      <c r="O1192" s="80">
        <f>+VLOOKUP(N1192,[3]Material!$A$3:$B$58,2,FALSE)</f>
        <v>5000</v>
      </c>
      <c r="P1192" s="79" t="s">
        <v>42</v>
      </c>
      <c r="Q1192" s="79" t="str">
        <f>+VLOOKUP(F1192,[3]Material!$C$2:$E$12,2,FALSE)</f>
        <v>Cal 16</v>
      </c>
      <c r="R1192" s="81">
        <f>+IF(P1192="ACERO A36",VLOOKUP(Q1192,'[3]Velocidades Std 1500 w'!$B$2:$F$15,5,FALSE),IF(P1192="INOXIDABLE",VLOOKUP(Q1192,'[3]Velocidades Std 1500 w'!$B$17:$F$28,5,FALSE),IF(P1192="ALUMINIO",VLOOKUP(Q1192,'[3]Velocidades Std 1500 w'!$B$30:$F$38,5,FALSE))))</f>
        <v>9.1575091575091579E-7</v>
      </c>
      <c r="S1192" s="82">
        <f t="shared" si="135"/>
        <v>4.578754578754579E-3</v>
      </c>
      <c r="T1192" s="83">
        <f t="shared" si="136"/>
        <v>14.473896923076923</v>
      </c>
      <c r="U1192" s="307">
        <f t="shared" si="155"/>
        <v>4390.4153999999999</v>
      </c>
      <c r="V1192" s="80">
        <f t="shared" si="153"/>
        <v>20.102634615384616</v>
      </c>
      <c r="W1192" s="98">
        <v>20</v>
      </c>
      <c r="X1192" s="84">
        <f>+IF(P1192="ACERO A36",VLOOKUP(Q1192,'[3]Tiempo Objeto'!$B$2:$C$12,2,FALSE),IF(P1192="INOXIDABLE",VLOOKUP(Q1192,'[3]Tiempo Objeto'!$B$14:$C$22,2,FALSE),IF(P1192="ALUMINIO",VLOOKUP(Q1192,'[3]Tiempo Objeto'!$B$24:$C$32,2,FALSE))))</f>
        <v>0.24666666666666667</v>
      </c>
      <c r="Y1192" s="84">
        <f t="shared" si="137"/>
        <v>4.9333333333333336</v>
      </c>
      <c r="Z1192" s="80">
        <f t="shared" si="138"/>
        <v>6.8518518518518521</v>
      </c>
      <c r="AA1192" s="100">
        <v>6</v>
      </c>
      <c r="AB1192" s="86">
        <f>+AA1192*Analisis!$J$6</f>
        <v>150</v>
      </c>
      <c r="AC1192" s="100"/>
      <c r="AD1192" s="85">
        <f t="shared" si="139"/>
        <v>0</v>
      </c>
      <c r="AE1192" s="86">
        <f>+AC1192*Analisis!$J$7</f>
        <v>0</v>
      </c>
      <c r="AF1192" s="308">
        <f>+H1192*0.0254*I1192*0.0254*2*(1+[3]Analisis!$G$2)</f>
        <v>1.81730249442</v>
      </c>
      <c r="AG1192" s="86">
        <f>+AF1192*Analisis!$J$8</f>
        <v>193.62925386975007</v>
      </c>
      <c r="AH1192" s="309">
        <f t="shared" si="151"/>
        <v>625.95673083415363</v>
      </c>
      <c r="AI1192" s="86">
        <f>+AH1192/(1-Analisis!G1197)</f>
        <v>625.95673083415363</v>
      </c>
      <c r="AJ1192" s="86">
        <f t="shared" si="140"/>
        <v>673.07175358511142</v>
      </c>
      <c r="AK1192" s="86">
        <f t="shared" si="152"/>
        <v>0</v>
      </c>
      <c r="AL1192" s="310" t="e">
        <f>+VLOOKUP(B1192,#REF!,2,FALSE)</f>
        <v>#REF!</v>
      </c>
      <c r="AM1192" s="311" t="e">
        <f t="shared" si="149"/>
        <v>#REF!</v>
      </c>
      <c r="AN1192" s="312" t="e">
        <f t="shared" si="148"/>
        <v>#REF!</v>
      </c>
    </row>
    <row r="1193" spans="1:40" s="73" customFormat="1" x14ac:dyDescent="0.25">
      <c r="A1193" s="313"/>
      <c r="B1193" s="333" t="s">
        <v>1524</v>
      </c>
      <c r="D1193" s="74">
        <f>IFERROR(VLOOKUP(B1193,'REQ. PINTADO'!B:C,2,0),0)</f>
        <v>0</v>
      </c>
      <c r="E1193" s="305">
        <f t="shared" si="133"/>
        <v>700.35221031833555</v>
      </c>
      <c r="F1193" s="397" t="s">
        <v>166</v>
      </c>
      <c r="G1193" s="75" t="s">
        <v>147</v>
      </c>
      <c r="H1193" s="90">
        <v>38.090000000000003</v>
      </c>
      <c r="I1193" s="90">
        <v>31.22</v>
      </c>
      <c r="J1193" s="76">
        <v>0.105</v>
      </c>
      <c r="K1193" s="306">
        <v>16.38</v>
      </c>
      <c r="L1193" s="78">
        <f t="shared" si="134"/>
        <v>36.199938793772624</v>
      </c>
      <c r="M1193" s="58">
        <f>+VLOOKUP(F1193,Material!$H$2:$M$17,6,FALSE)*H1193*I1193*(1+Material!$K$14)</f>
        <v>269.52499883727063</v>
      </c>
      <c r="N1193" s="79" t="str">
        <f t="shared" si="154"/>
        <v>T5.0</v>
      </c>
      <c r="O1193" s="80">
        <f>+VLOOKUP(N1193,[3]Material!$A$3:$B$58,2,FALSE)</f>
        <v>5000</v>
      </c>
      <c r="P1193" s="79" t="s">
        <v>42</v>
      </c>
      <c r="Q1193" s="79" t="str">
        <f>+VLOOKUP(F1193,[3]Material!$C$2:$E$12,2,FALSE)</f>
        <v>Cal 16</v>
      </c>
      <c r="R1193" s="81">
        <f>+IF(P1193="ACERO A36",VLOOKUP(Q1193,'[3]Velocidades Std 1500 w'!$B$2:$F$15,5,FALSE),IF(P1193="INOXIDABLE",VLOOKUP(Q1193,'[3]Velocidades Std 1500 w'!$B$17:$F$28,5,FALSE),IF(P1193="ALUMINIO",VLOOKUP(Q1193,'[3]Velocidades Std 1500 w'!$B$30:$F$38,5,FALSE))))</f>
        <v>9.1575091575091579E-7</v>
      </c>
      <c r="S1193" s="82">
        <f t="shared" si="135"/>
        <v>4.578754578754579E-3</v>
      </c>
      <c r="T1193" s="83">
        <f t="shared" si="136"/>
        <v>14.825589230769232</v>
      </c>
      <c r="U1193" s="307">
        <f t="shared" si="155"/>
        <v>4497.0954000000002</v>
      </c>
      <c r="V1193" s="80">
        <f t="shared" si="153"/>
        <v>20.591096153846156</v>
      </c>
      <c r="W1193" s="98">
        <v>20</v>
      </c>
      <c r="X1193" s="84">
        <f>+IF(P1193="ACERO A36",VLOOKUP(Q1193,'[3]Tiempo Objeto'!$B$2:$C$12,2,FALSE),IF(P1193="INOXIDABLE",VLOOKUP(Q1193,'[3]Tiempo Objeto'!$B$14:$C$22,2,FALSE),IF(P1193="ALUMINIO",VLOOKUP(Q1193,'[3]Tiempo Objeto'!$B$24:$C$32,2,FALSE))))</f>
        <v>0.24666666666666667</v>
      </c>
      <c r="Y1193" s="84">
        <f t="shared" si="137"/>
        <v>4.9333333333333336</v>
      </c>
      <c r="Z1193" s="80">
        <f t="shared" si="138"/>
        <v>6.8518518518518521</v>
      </c>
      <c r="AA1193" s="100">
        <v>6</v>
      </c>
      <c r="AB1193" s="86">
        <f>+AA1193*Analisis!$J$6</f>
        <v>150</v>
      </c>
      <c r="AC1193" s="100"/>
      <c r="AD1193" s="85">
        <f t="shared" si="139"/>
        <v>0</v>
      </c>
      <c r="AE1193" s="86">
        <f>+AC1193*Analisis!$J$7</f>
        <v>0</v>
      </c>
      <c r="AF1193" s="308">
        <f>+H1193*0.0254*I1193*0.0254*2*(1+[3]Analisis!$G$2)</f>
        <v>1.9180119704199998</v>
      </c>
      <c r="AG1193" s="86">
        <f>+AF1193*Analisis!$J$8</f>
        <v>204.35960875308336</v>
      </c>
      <c r="AH1193" s="309">
        <f t="shared" si="151"/>
        <v>651.32755559605198</v>
      </c>
      <c r="AI1193" s="86">
        <f>+AH1193/(1-Analisis!G1198)</f>
        <v>651.32755559605198</v>
      </c>
      <c r="AJ1193" s="86">
        <f t="shared" si="140"/>
        <v>700.35221031833555</v>
      </c>
      <c r="AK1193" s="86">
        <f t="shared" si="152"/>
        <v>0</v>
      </c>
      <c r="AL1193" s="310" t="e">
        <f>+VLOOKUP(B1193,#REF!,2,FALSE)</f>
        <v>#REF!</v>
      </c>
      <c r="AM1193" s="311" t="e">
        <f t="shared" si="149"/>
        <v>#REF!</v>
      </c>
      <c r="AN1193" s="312" t="e">
        <f t="shared" si="148"/>
        <v>#REF!</v>
      </c>
    </row>
    <row r="1194" spans="1:40" s="73" customFormat="1" x14ac:dyDescent="0.25">
      <c r="A1194" s="313"/>
      <c r="B1194" s="333" t="s">
        <v>1816</v>
      </c>
      <c r="D1194" s="74">
        <f>IFERROR(VLOOKUP(B1194,'REQ. PINTADO'!B:C,2,0),0)</f>
        <v>0</v>
      </c>
      <c r="E1194" s="305">
        <f t="shared" si="133"/>
        <v>1088.7407252709099</v>
      </c>
      <c r="F1194" s="103" t="s">
        <v>165</v>
      </c>
      <c r="G1194" s="75" t="s">
        <v>147</v>
      </c>
      <c r="H1194" s="90">
        <v>88.97</v>
      </c>
      <c r="I1194" s="90">
        <v>14.64</v>
      </c>
      <c r="J1194" s="76">
        <v>0.105</v>
      </c>
      <c r="K1194" s="306">
        <v>16.38</v>
      </c>
      <c r="L1194" s="78">
        <f t="shared" si="134"/>
        <v>72.710162179487185</v>
      </c>
      <c r="M1194" s="58">
        <f>+VLOOKUP(F1194,Material!$H$2:$M$17,6,FALSE)*H1194*I1194*(1+Material!$K$14)</f>
        <v>541.3602075</v>
      </c>
      <c r="N1194" s="79" t="str">
        <f t="shared" si="154"/>
        <v>T5.0</v>
      </c>
      <c r="O1194" s="80">
        <f>+VLOOKUP(N1194,[3]Material!$A$3:$B$58,2,FALSE)</f>
        <v>5000</v>
      </c>
      <c r="P1194" s="79" t="s">
        <v>42</v>
      </c>
      <c r="Q1194" s="79" t="str">
        <f>+VLOOKUP(F1194,[3]Material!$C$2:$E$12,2,FALSE)</f>
        <v>Cal 14</v>
      </c>
      <c r="R1194" s="81">
        <f>+IF(P1194="ACERO A36",VLOOKUP(Q1194,'[3]Velocidades Std 1500 w'!$B$2:$F$15,5,FALSE),IF(P1194="INOXIDABLE",VLOOKUP(Q1194,'[3]Velocidades Std 1500 w'!$B$17:$F$28,5,FALSE),IF(P1194="ALUMINIO",VLOOKUP(Q1194,'[3]Velocidades Std 1500 w'!$B$30:$F$38,5,FALSE))))</f>
        <v>2.0080321285140564E-6</v>
      </c>
      <c r="S1194" s="82">
        <f t="shared" si="135"/>
        <v>1.0040160642570283E-2</v>
      </c>
      <c r="T1194" s="83">
        <f t="shared" si="136"/>
        <v>54.410655903614469</v>
      </c>
      <c r="U1194" s="307">
        <f t="shared" si="155"/>
        <v>7526.8074000000006</v>
      </c>
      <c r="V1194" s="80">
        <f t="shared" si="153"/>
        <v>75.57035542168677</v>
      </c>
      <c r="W1194" s="98">
        <v>50</v>
      </c>
      <c r="X1194" s="84">
        <f>+IF(P1194="ACERO A36",VLOOKUP(Q1194,'[3]Tiempo Objeto'!$B$2:$C$12,2,FALSE),IF(P1194="INOXIDABLE",VLOOKUP(Q1194,'[3]Tiempo Objeto'!$B$14:$C$22,2,FALSE),IF(P1194="ALUMINIO",VLOOKUP(Q1194,'[3]Tiempo Objeto'!$B$24:$C$32,2,FALSE))))</f>
        <v>0.3133333333333333</v>
      </c>
      <c r="Y1194" s="84">
        <f t="shared" si="137"/>
        <v>15.666666666666664</v>
      </c>
      <c r="Z1194" s="80">
        <f t="shared" si="138"/>
        <v>21.75925925925926</v>
      </c>
      <c r="AA1194" s="100">
        <v>6</v>
      </c>
      <c r="AB1194" s="86">
        <f>+AA1194*Analisis!$J$6</f>
        <v>150</v>
      </c>
      <c r="AC1194" s="100"/>
      <c r="AD1194" s="85">
        <f t="shared" si="139"/>
        <v>0</v>
      </c>
      <c r="AE1194" s="86">
        <f>+AC1194*Analisis!$J$7</f>
        <v>0</v>
      </c>
      <c r="AF1194" s="308">
        <f>+H1194*0.0254*I1194*0.0254*2*(1+[3]Analisis!$G$2)</f>
        <v>2.1008357983199999</v>
      </c>
      <c r="AG1194" s="86">
        <f>+AF1194*Analisis!$J$8</f>
        <v>223.83905232100005</v>
      </c>
      <c r="AH1194" s="309">
        <f t="shared" si="151"/>
        <v>1012.5288745019461</v>
      </c>
      <c r="AI1194" s="86">
        <f>+AH1194/(1-Analisis!G1199)</f>
        <v>1012.5288745019461</v>
      </c>
      <c r="AJ1194" s="86">
        <f t="shared" si="140"/>
        <v>1088.7407252709099</v>
      </c>
      <c r="AK1194" s="86">
        <f t="shared" si="152"/>
        <v>0</v>
      </c>
      <c r="AL1194" s="310" t="e">
        <f>+VLOOKUP(B1194,#REF!,2,FALSE)</f>
        <v>#REF!</v>
      </c>
      <c r="AM1194" s="311" t="e">
        <f t="shared" si="149"/>
        <v>#REF!</v>
      </c>
      <c r="AN1194" s="312" t="e">
        <f t="shared" si="148"/>
        <v>#REF!</v>
      </c>
    </row>
    <row r="1195" spans="1:40" s="73" customFormat="1" x14ac:dyDescent="0.25">
      <c r="A1195" s="313"/>
      <c r="B1195" s="333" t="s">
        <v>1817</v>
      </c>
      <c r="D1195" s="74">
        <f>IFERROR(VLOOKUP(B1195,'REQ. PINTADO'!B:C,2,0),0)</f>
        <v>0</v>
      </c>
      <c r="E1195" s="305">
        <f t="shared" si="133"/>
        <v>1315.851483003561</v>
      </c>
      <c r="F1195" s="103" t="s">
        <v>165</v>
      </c>
      <c r="G1195" s="75" t="s">
        <v>147</v>
      </c>
      <c r="H1195" s="90">
        <v>88.97</v>
      </c>
      <c r="I1195" s="90">
        <v>18.64</v>
      </c>
      <c r="J1195" s="76">
        <v>0.105</v>
      </c>
      <c r="K1195" s="306">
        <v>16.38</v>
      </c>
      <c r="L1195" s="78">
        <f t="shared" si="134"/>
        <v>92.576326709401727</v>
      </c>
      <c r="M1195" s="58">
        <f>+VLOOKUP(F1195,Material!$H$2:$M$17,6,FALSE)*H1195*I1195*(1+Material!$K$14)</f>
        <v>689.27283250000005</v>
      </c>
      <c r="N1195" s="79" t="str">
        <f t="shared" si="154"/>
        <v>T5.0</v>
      </c>
      <c r="O1195" s="80">
        <f>+VLOOKUP(N1195,[3]Material!$A$3:$B$58,2,FALSE)</f>
        <v>5000</v>
      </c>
      <c r="P1195" s="79" t="s">
        <v>42</v>
      </c>
      <c r="Q1195" s="79" t="str">
        <f>+VLOOKUP(F1195,[3]Material!$C$2:$E$12,2,FALSE)</f>
        <v>Cal 14</v>
      </c>
      <c r="R1195" s="81">
        <f>+IF(P1195="ACERO A36",VLOOKUP(Q1195,'[3]Velocidades Std 1500 w'!$B$2:$F$15,5,FALSE),IF(P1195="INOXIDABLE",VLOOKUP(Q1195,'[3]Velocidades Std 1500 w'!$B$17:$F$28,5,FALSE),IF(P1195="ALUMINIO",VLOOKUP(Q1195,'[3]Velocidades Std 1500 w'!$B$30:$F$38,5,FALSE))))</f>
        <v>2.0080321285140564E-6</v>
      </c>
      <c r="S1195" s="82">
        <f t="shared" si="135"/>
        <v>1.0040160642570283E-2</v>
      </c>
      <c r="T1195" s="83">
        <f t="shared" si="136"/>
        <v>55.953017349397605</v>
      </c>
      <c r="U1195" s="307">
        <f t="shared" si="155"/>
        <v>7740.1674000000012</v>
      </c>
      <c r="V1195" s="80">
        <f t="shared" si="153"/>
        <v>77.712524096385565</v>
      </c>
      <c r="W1195" s="98">
        <v>50</v>
      </c>
      <c r="X1195" s="84">
        <f>+IF(P1195="ACERO A36",VLOOKUP(Q1195,'[3]Tiempo Objeto'!$B$2:$C$12,2,FALSE),IF(P1195="INOXIDABLE",VLOOKUP(Q1195,'[3]Tiempo Objeto'!$B$14:$C$22,2,FALSE),IF(P1195="ALUMINIO",VLOOKUP(Q1195,'[3]Tiempo Objeto'!$B$24:$C$32,2,FALSE))))</f>
        <v>0.3133333333333333</v>
      </c>
      <c r="Y1195" s="84">
        <f t="shared" si="137"/>
        <v>15.666666666666664</v>
      </c>
      <c r="Z1195" s="80">
        <f t="shared" si="138"/>
        <v>21.75925925925926</v>
      </c>
      <c r="AA1195" s="100">
        <v>6</v>
      </c>
      <c r="AB1195" s="86">
        <f>+AA1195*Analisis!$J$6</f>
        <v>150</v>
      </c>
      <c r="AC1195" s="100"/>
      <c r="AD1195" s="85">
        <f t="shared" si="139"/>
        <v>0</v>
      </c>
      <c r="AE1195" s="86">
        <f>+AC1195*Analisis!$J$7</f>
        <v>0</v>
      </c>
      <c r="AF1195" s="308">
        <f>+H1195*0.0254*I1195*0.0254*2*(1+[3]Analisis!$G$2)</f>
        <v>2.6748346503199993</v>
      </c>
      <c r="AG1195" s="86">
        <f>+AF1195*Analisis!$J$8</f>
        <v>284.99726333766671</v>
      </c>
      <c r="AH1195" s="309">
        <f t="shared" si="151"/>
        <v>1223.7418791933117</v>
      </c>
      <c r="AI1195" s="86">
        <f>+AH1195/(1-Analisis!G1200)</f>
        <v>1223.7418791933117</v>
      </c>
      <c r="AJ1195" s="86">
        <f t="shared" si="140"/>
        <v>1315.851483003561</v>
      </c>
      <c r="AK1195" s="86">
        <f t="shared" si="152"/>
        <v>0</v>
      </c>
      <c r="AL1195" s="310" t="e">
        <f>+VLOOKUP(B1195,#REF!,2,FALSE)</f>
        <v>#REF!</v>
      </c>
      <c r="AM1195" s="311" t="e">
        <f t="shared" si="149"/>
        <v>#REF!</v>
      </c>
      <c r="AN1195" s="312" t="e">
        <f t="shared" si="148"/>
        <v>#REF!</v>
      </c>
    </row>
    <row r="1196" spans="1:40" s="73" customFormat="1" x14ac:dyDescent="0.25">
      <c r="A1196" s="313"/>
      <c r="B1196" s="333" t="s">
        <v>1818</v>
      </c>
      <c r="D1196" s="74">
        <f>IFERROR(VLOOKUP(B1196,'REQ. PINTADO'!B:C,2,0),0)</f>
        <v>0</v>
      </c>
      <c r="E1196" s="305">
        <f t="shared" si="133"/>
        <v>1429.4068618698866</v>
      </c>
      <c r="F1196" s="103" t="s">
        <v>165</v>
      </c>
      <c r="G1196" s="75" t="s">
        <v>147</v>
      </c>
      <c r="H1196" s="90">
        <v>88.97</v>
      </c>
      <c r="I1196" s="90">
        <v>20.64</v>
      </c>
      <c r="J1196" s="76">
        <v>0.105</v>
      </c>
      <c r="K1196" s="306">
        <v>16.38</v>
      </c>
      <c r="L1196" s="78">
        <f t="shared" si="134"/>
        <v>102.509408974359</v>
      </c>
      <c r="M1196" s="58">
        <f>+VLOOKUP(F1196,Material!$H$2:$M$17,6,FALSE)*H1196*I1196*(1+Material!$K$14)</f>
        <v>763.22914500000013</v>
      </c>
      <c r="N1196" s="79" t="str">
        <f t="shared" si="154"/>
        <v>T5.0</v>
      </c>
      <c r="O1196" s="80">
        <f>+VLOOKUP(N1196,[3]Material!$A$3:$B$58,2,FALSE)</f>
        <v>5000</v>
      </c>
      <c r="P1196" s="79" t="s">
        <v>42</v>
      </c>
      <c r="Q1196" s="79" t="str">
        <f>+VLOOKUP(F1196,[3]Material!$C$2:$E$12,2,FALSE)</f>
        <v>Cal 14</v>
      </c>
      <c r="R1196" s="81">
        <f>+IF(P1196="ACERO A36",VLOOKUP(Q1196,'[3]Velocidades Std 1500 w'!$B$2:$F$15,5,FALSE),IF(P1196="INOXIDABLE",VLOOKUP(Q1196,'[3]Velocidades Std 1500 w'!$B$17:$F$28,5,FALSE),IF(P1196="ALUMINIO",VLOOKUP(Q1196,'[3]Velocidades Std 1500 w'!$B$30:$F$38,5,FALSE))))</f>
        <v>2.0080321285140564E-6</v>
      </c>
      <c r="S1196" s="82">
        <f t="shared" si="135"/>
        <v>1.0040160642570283E-2</v>
      </c>
      <c r="T1196" s="83">
        <f t="shared" si="136"/>
        <v>56.724198072289163</v>
      </c>
      <c r="U1196" s="307">
        <f t="shared" si="155"/>
        <v>7846.8474000000006</v>
      </c>
      <c r="V1196" s="80">
        <f t="shared" si="153"/>
        <v>78.783608433734955</v>
      </c>
      <c r="W1196" s="98">
        <v>50</v>
      </c>
      <c r="X1196" s="84">
        <f>+IF(P1196="ACERO A36",VLOOKUP(Q1196,'[3]Tiempo Objeto'!$B$2:$C$12,2,FALSE),IF(P1196="INOXIDABLE",VLOOKUP(Q1196,'[3]Tiempo Objeto'!$B$14:$C$22,2,FALSE),IF(P1196="ALUMINIO",VLOOKUP(Q1196,'[3]Tiempo Objeto'!$B$24:$C$32,2,FALSE))))</f>
        <v>0.3133333333333333</v>
      </c>
      <c r="Y1196" s="84">
        <f t="shared" si="137"/>
        <v>15.666666666666664</v>
      </c>
      <c r="Z1196" s="80">
        <f t="shared" si="138"/>
        <v>21.75925925925926</v>
      </c>
      <c r="AA1196" s="100">
        <v>6</v>
      </c>
      <c r="AB1196" s="86">
        <f>+AA1196*Analisis!$J$6</f>
        <v>150</v>
      </c>
      <c r="AC1196" s="100"/>
      <c r="AD1196" s="85">
        <f t="shared" si="139"/>
        <v>0</v>
      </c>
      <c r="AE1196" s="86">
        <f>+AC1196*Analisis!$J$7</f>
        <v>0</v>
      </c>
      <c r="AF1196" s="308">
        <f>+H1196*0.0254*I1196*0.0254*2*(1+[3]Analisis!$G$2)</f>
        <v>2.9618340763199997</v>
      </c>
      <c r="AG1196" s="86">
        <f>+AF1196*Analisis!$J$8</f>
        <v>315.57636884600009</v>
      </c>
      <c r="AH1196" s="309">
        <f t="shared" si="151"/>
        <v>1329.3483815389945</v>
      </c>
      <c r="AI1196" s="86">
        <f>+AH1196/(1-Analisis!G1201)</f>
        <v>1329.3483815389945</v>
      </c>
      <c r="AJ1196" s="86">
        <f t="shared" si="140"/>
        <v>1429.4068618698866</v>
      </c>
      <c r="AK1196" s="86">
        <f t="shared" si="152"/>
        <v>0</v>
      </c>
      <c r="AL1196" s="310" t="e">
        <f>+VLOOKUP(B1196,#REF!,2,FALSE)</f>
        <v>#REF!</v>
      </c>
      <c r="AM1196" s="311" t="e">
        <f t="shared" si="149"/>
        <v>#REF!</v>
      </c>
      <c r="AN1196" s="312" t="e">
        <f t="shared" si="148"/>
        <v>#REF!</v>
      </c>
    </row>
    <row r="1197" spans="1:40" s="73" customFormat="1" x14ac:dyDescent="0.25">
      <c r="A1197" s="313"/>
      <c r="B1197" s="333" t="s">
        <v>1819</v>
      </c>
      <c r="D1197" s="74">
        <f>IFERROR(VLOOKUP(B1197,'REQ. PINTADO'!B:C,2,0),0)</f>
        <v>0</v>
      </c>
      <c r="E1197" s="305">
        <f t="shared" si="133"/>
        <v>1713.2953090357005</v>
      </c>
      <c r="F1197" s="103" t="s">
        <v>165</v>
      </c>
      <c r="G1197" s="75" t="s">
        <v>147</v>
      </c>
      <c r="H1197" s="90">
        <v>88.97</v>
      </c>
      <c r="I1197" s="90">
        <v>25.64</v>
      </c>
      <c r="J1197" s="76">
        <v>0.105</v>
      </c>
      <c r="K1197" s="306">
        <v>16.38</v>
      </c>
      <c r="L1197" s="78">
        <f t="shared" si="134"/>
        <v>127.34211463675219</v>
      </c>
      <c r="M1197" s="58">
        <f>+VLOOKUP(F1197,Material!$H$2:$M$17,6,FALSE)*H1197*I1197*(1+Material!$K$14)</f>
        <v>948.11992625000016</v>
      </c>
      <c r="N1197" s="79" t="str">
        <f t="shared" si="154"/>
        <v>T5.0</v>
      </c>
      <c r="O1197" s="80">
        <f>+VLOOKUP(N1197,[3]Material!$A$3:$B$58,2,FALSE)</f>
        <v>5000</v>
      </c>
      <c r="P1197" s="79" t="s">
        <v>42</v>
      </c>
      <c r="Q1197" s="79" t="str">
        <f>+VLOOKUP(F1197,[3]Material!$C$2:$E$12,2,FALSE)</f>
        <v>Cal 14</v>
      </c>
      <c r="R1197" s="81">
        <f>+IF(P1197="ACERO A36",VLOOKUP(Q1197,'[3]Velocidades Std 1500 w'!$B$2:$F$15,5,FALSE),IF(P1197="INOXIDABLE",VLOOKUP(Q1197,'[3]Velocidades Std 1500 w'!$B$17:$F$28,5,FALSE),IF(P1197="ALUMINIO",VLOOKUP(Q1197,'[3]Velocidades Std 1500 w'!$B$30:$F$38,5,FALSE))))</f>
        <v>2.0080321285140564E-6</v>
      </c>
      <c r="S1197" s="82">
        <f t="shared" si="135"/>
        <v>1.0040160642570283E-2</v>
      </c>
      <c r="T1197" s="83">
        <f t="shared" si="136"/>
        <v>58.652149879518085</v>
      </c>
      <c r="U1197" s="307">
        <f t="shared" si="155"/>
        <v>8113.5474000000004</v>
      </c>
      <c r="V1197" s="80">
        <f t="shared" si="153"/>
        <v>81.461319277108444</v>
      </c>
      <c r="W1197" s="98">
        <v>50</v>
      </c>
      <c r="X1197" s="84">
        <f>+IF(P1197="ACERO A36",VLOOKUP(Q1197,'[3]Tiempo Objeto'!$B$2:$C$12,2,FALSE),IF(P1197="INOXIDABLE",VLOOKUP(Q1197,'[3]Tiempo Objeto'!$B$14:$C$22,2,FALSE),IF(P1197="ALUMINIO",VLOOKUP(Q1197,'[3]Tiempo Objeto'!$B$24:$C$32,2,FALSE))))</f>
        <v>0.3133333333333333</v>
      </c>
      <c r="Y1197" s="84">
        <f t="shared" si="137"/>
        <v>15.666666666666664</v>
      </c>
      <c r="Z1197" s="80">
        <f t="shared" si="138"/>
        <v>21.75925925925926</v>
      </c>
      <c r="AA1197" s="100">
        <v>6</v>
      </c>
      <c r="AB1197" s="86">
        <f>+AA1197*Analisis!$J$6</f>
        <v>150</v>
      </c>
      <c r="AC1197" s="100"/>
      <c r="AD1197" s="85">
        <f t="shared" si="139"/>
        <v>0</v>
      </c>
      <c r="AE1197" s="86">
        <f>+AC1197*Analisis!$J$7</f>
        <v>0</v>
      </c>
      <c r="AF1197" s="308">
        <f>+H1197*0.0254*I1197*0.0254*2*(1+[3]Analisis!$G$2)</f>
        <v>3.6793326413199994</v>
      </c>
      <c r="AG1197" s="86">
        <f>+AF1197*Analisis!$J$8</f>
        <v>392.02413261683336</v>
      </c>
      <c r="AH1197" s="309">
        <f t="shared" si="151"/>
        <v>1593.3646374032014</v>
      </c>
      <c r="AI1197" s="86">
        <f>+AH1197/(1-Analisis!G1202)</f>
        <v>1593.3646374032014</v>
      </c>
      <c r="AJ1197" s="86">
        <f t="shared" si="140"/>
        <v>1713.2953090357005</v>
      </c>
      <c r="AK1197" s="86">
        <f t="shared" si="152"/>
        <v>0</v>
      </c>
      <c r="AL1197" s="310" t="e">
        <f>+VLOOKUP(B1197,#REF!,2,FALSE)</f>
        <v>#REF!</v>
      </c>
      <c r="AM1197" s="311" t="e">
        <f t="shared" si="149"/>
        <v>#REF!</v>
      </c>
      <c r="AN1197" s="312" t="e">
        <f t="shared" si="148"/>
        <v>#REF!</v>
      </c>
    </row>
    <row r="1198" spans="1:40" s="73" customFormat="1" x14ac:dyDescent="0.25">
      <c r="A1198" s="313"/>
      <c r="B1198" s="333" t="s">
        <v>1820</v>
      </c>
      <c r="D1198" s="74">
        <f>IFERROR(VLOOKUP(B1198,'REQ. PINTADO'!B:C,2,0),0)</f>
        <v>0</v>
      </c>
      <c r="E1198" s="305">
        <f t="shared" si="133"/>
        <v>1770.072998468863</v>
      </c>
      <c r="F1198" s="103" t="s">
        <v>165</v>
      </c>
      <c r="G1198" s="75" t="s">
        <v>147</v>
      </c>
      <c r="H1198" s="90">
        <v>88.97</v>
      </c>
      <c r="I1198" s="90">
        <v>26.64</v>
      </c>
      <c r="J1198" s="76">
        <v>0.105</v>
      </c>
      <c r="K1198" s="306">
        <v>16.38</v>
      </c>
      <c r="L1198" s="78">
        <f t="shared" si="134"/>
        <v>132.30865576923077</v>
      </c>
      <c r="M1198" s="58">
        <f>+VLOOKUP(F1198,Material!$H$2:$M$17,6,FALSE)*H1198*I1198*(1+Material!$K$14)</f>
        <v>985.09808250000003</v>
      </c>
      <c r="N1198" s="79" t="str">
        <f t="shared" si="154"/>
        <v>T5.0</v>
      </c>
      <c r="O1198" s="80">
        <f>+VLOOKUP(N1198,[3]Material!$A$3:$B$58,2,FALSE)</f>
        <v>5000</v>
      </c>
      <c r="P1198" s="79" t="s">
        <v>42</v>
      </c>
      <c r="Q1198" s="79" t="str">
        <f>+VLOOKUP(F1198,[3]Material!$C$2:$E$12,2,FALSE)</f>
        <v>Cal 14</v>
      </c>
      <c r="R1198" s="81">
        <f>+IF(P1198="ACERO A36",VLOOKUP(Q1198,'[3]Velocidades Std 1500 w'!$B$2:$F$15,5,FALSE),IF(P1198="INOXIDABLE",VLOOKUP(Q1198,'[3]Velocidades Std 1500 w'!$B$17:$F$28,5,FALSE),IF(P1198="ALUMINIO",VLOOKUP(Q1198,'[3]Velocidades Std 1500 w'!$B$30:$F$38,5,FALSE))))</f>
        <v>2.0080321285140564E-6</v>
      </c>
      <c r="S1198" s="82">
        <f t="shared" si="135"/>
        <v>1.0040160642570283E-2</v>
      </c>
      <c r="T1198" s="83">
        <f t="shared" si="136"/>
        <v>59.037740240963863</v>
      </c>
      <c r="U1198" s="307">
        <f t="shared" si="155"/>
        <v>8166.8874000000005</v>
      </c>
      <c r="V1198" s="80">
        <f t="shared" si="153"/>
        <v>81.996861445783153</v>
      </c>
      <c r="W1198" s="98">
        <v>50</v>
      </c>
      <c r="X1198" s="84">
        <f>+IF(P1198="ACERO A36",VLOOKUP(Q1198,'[3]Tiempo Objeto'!$B$2:$C$12,2,FALSE),IF(P1198="INOXIDABLE",VLOOKUP(Q1198,'[3]Tiempo Objeto'!$B$14:$C$22,2,FALSE),IF(P1198="ALUMINIO",VLOOKUP(Q1198,'[3]Tiempo Objeto'!$B$24:$C$32,2,FALSE))))</f>
        <v>0.3133333333333333</v>
      </c>
      <c r="Y1198" s="84">
        <f t="shared" si="137"/>
        <v>15.666666666666664</v>
      </c>
      <c r="Z1198" s="80">
        <f t="shared" si="138"/>
        <v>21.75925925925926</v>
      </c>
      <c r="AA1198" s="100">
        <v>6</v>
      </c>
      <c r="AB1198" s="86">
        <f>+AA1198*Analisis!$J$6</f>
        <v>150</v>
      </c>
      <c r="AC1198" s="100"/>
      <c r="AD1198" s="85">
        <f t="shared" si="139"/>
        <v>0</v>
      </c>
      <c r="AE1198" s="86">
        <f>+AC1198*Analisis!$J$7</f>
        <v>0</v>
      </c>
      <c r="AF1198" s="308">
        <f>+H1198*0.0254*I1198*0.0254*2*(1+[3]Analisis!$G$2)</f>
        <v>3.82283235432</v>
      </c>
      <c r="AG1198" s="86">
        <f>+AF1198*Analisis!$J$8</f>
        <v>407.31368537100013</v>
      </c>
      <c r="AH1198" s="309">
        <f t="shared" si="151"/>
        <v>1646.1678885760425</v>
      </c>
      <c r="AI1198" s="86">
        <f>+AH1198/(1-Analisis!G1203)</f>
        <v>1646.1678885760425</v>
      </c>
      <c r="AJ1198" s="86">
        <f t="shared" si="140"/>
        <v>1770.072998468863</v>
      </c>
      <c r="AK1198" s="86">
        <f t="shared" si="152"/>
        <v>0</v>
      </c>
      <c r="AL1198" s="310" t="e">
        <f>+VLOOKUP(B1198,#REF!,2,FALSE)</f>
        <v>#REF!</v>
      </c>
      <c r="AM1198" s="311" t="e">
        <f t="shared" si="149"/>
        <v>#REF!</v>
      </c>
      <c r="AN1198" s="312" t="e">
        <f t="shared" si="148"/>
        <v>#REF!</v>
      </c>
    </row>
    <row r="1199" spans="1:40" s="73" customFormat="1" x14ac:dyDescent="0.25">
      <c r="A1199" s="313"/>
      <c r="B1199" s="333" t="s">
        <v>1821</v>
      </c>
      <c r="D1199" s="74">
        <f>IFERROR(VLOOKUP(B1199,'REQ. PINTADO'!B:C,2,0),0)</f>
        <v>0</v>
      </c>
      <c r="E1199" s="305">
        <f t="shared" si="133"/>
        <v>2110.7391350678395</v>
      </c>
      <c r="F1199" s="103" t="s">
        <v>165</v>
      </c>
      <c r="G1199" s="75" t="s">
        <v>147</v>
      </c>
      <c r="H1199" s="90">
        <v>88.97</v>
      </c>
      <c r="I1199" s="90">
        <v>32.64</v>
      </c>
      <c r="J1199" s="76">
        <v>0.105</v>
      </c>
      <c r="K1199" s="306">
        <v>16.38</v>
      </c>
      <c r="L1199" s="78">
        <f t="shared" si="134"/>
        <v>162.1079025641026</v>
      </c>
      <c r="M1199" s="58">
        <f>+VLOOKUP(F1199,Material!$H$2:$M$17,6,FALSE)*H1199*I1199*(1+Material!$K$14)</f>
        <v>1206.96702</v>
      </c>
      <c r="N1199" s="79" t="str">
        <f t="shared" si="154"/>
        <v>T5.0</v>
      </c>
      <c r="O1199" s="80">
        <f>+VLOOKUP(N1199,[3]Material!$A$3:$B$58,2,FALSE)</f>
        <v>5000</v>
      </c>
      <c r="P1199" s="79" t="s">
        <v>42</v>
      </c>
      <c r="Q1199" s="79" t="str">
        <f>+VLOOKUP(F1199,[3]Material!$C$2:$E$12,2,FALSE)</f>
        <v>Cal 14</v>
      </c>
      <c r="R1199" s="81">
        <f>+IF(P1199="ACERO A36",VLOOKUP(Q1199,'[3]Velocidades Std 1500 w'!$B$2:$F$15,5,FALSE),IF(P1199="INOXIDABLE",VLOOKUP(Q1199,'[3]Velocidades Std 1500 w'!$B$17:$F$28,5,FALSE),IF(P1199="ALUMINIO",VLOOKUP(Q1199,'[3]Velocidades Std 1500 w'!$B$30:$F$38,5,FALSE))))</f>
        <v>2.0080321285140564E-6</v>
      </c>
      <c r="S1199" s="82">
        <f t="shared" si="135"/>
        <v>1.0040160642570283E-2</v>
      </c>
      <c r="T1199" s="83">
        <f t="shared" si="136"/>
        <v>61.351282409638571</v>
      </c>
      <c r="U1199" s="307">
        <f t="shared" si="155"/>
        <v>8486.9274000000005</v>
      </c>
      <c r="V1199" s="80">
        <f t="shared" si="153"/>
        <v>85.210114457831338</v>
      </c>
      <c r="W1199" s="98">
        <v>50</v>
      </c>
      <c r="X1199" s="84">
        <f>+IF(P1199="ACERO A36",VLOOKUP(Q1199,'[3]Tiempo Objeto'!$B$2:$C$12,2,FALSE),IF(P1199="INOXIDABLE",VLOOKUP(Q1199,'[3]Tiempo Objeto'!$B$14:$C$22,2,FALSE),IF(P1199="ALUMINIO",VLOOKUP(Q1199,'[3]Tiempo Objeto'!$B$24:$C$32,2,FALSE))))</f>
        <v>0.3133333333333333</v>
      </c>
      <c r="Y1199" s="84">
        <f t="shared" si="137"/>
        <v>15.666666666666664</v>
      </c>
      <c r="Z1199" s="80">
        <f t="shared" si="138"/>
        <v>21.75925925925926</v>
      </c>
      <c r="AA1199" s="100">
        <v>6</v>
      </c>
      <c r="AB1199" s="86">
        <f>+AA1199*Analisis!$J$6</f>
        <v>150</v>
      </c>
      <c r="AC1199" s="100"/>
      <c r="AD1199" s="85">
        <f t="shared" si="139"/>
        <v>0</v>
      </c>
      <c r="AE1199" s="86">
        <f>+AC1199*Analisis!$J$7</f>
        <v>0</v>
      </c>
      <c r="AF1199" s="308">
        <f>+H1199*0.0254*I1199*0.0254*2*(1+[3]Analisis!$G$2)</f>
        <v>4.6838306323199994</v>
      </c>
      <c r="AG1199" s="86">
        <f>+AF1199*Analisis!$J$8</f>
        <v>499.05100189600006</v>
      </c>
      <c r="AH1199" s="309">
        <f t="shared" si="151"/>
        <v>1962.9873956130907</v>
      </c>
      <c r="AI1199" s="86">
        <f>+AH1199/(1-Analisis!G1204)</f>
        <v>1962.9873956130907</v>
      </c>
      <c r="AJ1199" s="86">
        <f t="shared" si="140"/>
        <v>2110.7391350678395</v>
      </c>
      <c r="AK1199" s="86">
        <f t="shared" si="152"/>
        <v>0</v>
      </c>
      <c r="AL1199" s="310" t="e">
        <f>+VLOOKUP(B1199,#REF!,2,FALSE)</f>
        <v>#REF!</v>
      </c>
      <c r="AM1199" s="311" t="e">
        <f t="shared" si="149"/>
        <v>#REF!</v>
      </c>
      <c r="AN1199" s="312" t="e">
        <f t="shared" si="148"/>
        <v>#REF!</v>
      </c>
    </row>
    <row r="1200" spans="1:40" s="73" customFormat="1" x14ac:dyDescent="0.25">
      <c r="A1200" s="313"/>
      <c r="B1200" s="333" t="s">
        <v>1822</v>
      </c>
      <c r="D1200" s="74">
        <f>IFERROR(VLOOKUP(B1200,'REQ. PINTADO'!B:C,2,0),0)</f>
        <v>0</v>
      </c>
      <c r="E1200" s="305">
        <f t="shared" si="133"/>
        <v>2451.4052716668161</v>
      </c>
      <c r="F1200" s="103" t="s">
        <v>165</v>
      </c>
      <c r="G1200" s="75" t="s">
        <v>147</v>
      </c>
      <c r="H1200" s="90">
        <v>88.97</v>
      </c>
      <c r="I1200" s="90">
        <v>38.64</v>
      </c>
      <c r="J1200" s="76">
        <v>0.105</v>
      </c>
      <c r="K1200" s="306">
        <v>16.38</v>
      </c>
      <c r="L1200" s="78">
        <f t="shared" si="134"/>
        <v>191.90714935897441</v>
      </c>
      <c r="M1200" s="58">
        <f>+VLOOKUP(F1200,Material!$H$2:$M$17,6,FALSE)*H1200*I1200*(1+Material!$K$14)</f>
        <v>1428.8359575000002</v>
      </c>
      <c r="N1200" s="79" t="str">
        <f t="shared" si="154"/>
        <v>T5.0</v>
      </c>
      <c r="O1200" s="80">
        <f>+VLOOKUP(N1200,[3]Material!$A$3:$B$58,2,FALSE)</f>
        <v>5000</v>
      </c>
      <c r="P1200" s="79" t="s">
        <v>42</v>
      </c>
      <c r="Q1200" s="79" t="str">
        <f>+VLOOKUP(F1200,[3]Material!$C$2:$E$12,2,FALSE)</f>
        <v>Cal 14</v>
      </c>
      <c r="R1200" s="81">
        <f>+IF(P1200="ACERO A36",VLOOKUP(Q1200,'[3]Velocidades Std 1500 w'!$B$2:$F$15,5,FALSE),IF(P1200="INOXIDABLE",VLOOKUP(Q1200,'[3]Velocidades Std 1500 w'!$B$17:$F$28,5,FALSE),IF(P1200="ALUMINIO",VLOOKUP(Q1200,'[3]Velocidades Std 1500 w'!$B$30:$F$38,5,FALSE))))</f>
        <v>2.0080321285140564E-6</v>
      </c>
      <c r="S1200" s="82">
        <f t="shared" si="135"/>
        <v>1.0040160642570283E-2</v>
      </c>
      <c r="T1200" s="83">
        <f t="shared" si="136"/>
        <v>63.664824578313251</v>
      </c>
      <c r="U1200" s="307">
        <f t="shared" si="155"/>
        <v>8806.9673999999995</v>
      </c>
      <c r="V1200" s="80">
        <f t="shared" si="153"/>
        <v>88.423367469879523</v>
      </c>
      <c r="W1200" s="98">
        <v>50</v>
      </c>
      <c r="X1200" s="84">
        <f>+IF(P1200="ACERO A36",VLOOKUP(Q1200,'[3]Tiempo Objeto'!$B$2:$C$12,2,FALSE),IF(P1200="INOXIDABLE",VLOOKUP(Q1200,'[3]Tiempo Objeto'!$B$14:$C$22,2,FALSE),IF(P1200="ALUMINIO",VLOOKUP(Q1200,'[3]Tiempo Objeto'!$B$24:$C$32,2,FALSE))))</f>
        <v>0.3133333333333333</v>
      </c>
      <c r="Y1200" s="84">
        <f t="shared" si="137"/>
        <v>15.666666666666664</v>
      </c>
      <c r="Z1200" s="80">
        <f t="shared" si="138"/>
        <v>21.75925925925926</v>
      </c>
      <c r="AA1200" s="100">
        <v>6</v>
      </c>
      <c r="AB1200" s="86">
        <f>+AA1200*Analisis!$J$6</f>
        <v>150</v>
      </c>
      <c r="AC1200" s="100"/>
      <c r="AD1200" s="85">
        <f t="shared" si="139"/>
        <v>0</v>
      </c>
      <c r="AE1200" s="86">
        <f>+AC1200*Analisis!$J$7</f>
        <v>0</v>
      </c>
      <c r="AF1200" s="308">
        <f>+H1200*0.0254*I1200*0.0254*2*(1+[3]Analisis!$G$2)</f>
        <v>5.5448289103199988</v>
      </c>
      <c r="AG1200" s="86">
        <f>+AF1200*Analisis!$J$8</f>
        <v>590.7883184210001</v>
      </c>
      <c r="AH1200" s="309">
        <f t="shared" si="151"/>
        <v>2279.8069026501389</v>
      </c>
      <c r="AI1200" s="86">
        <f>+AH1200/(1-Analisis!G1205)</f>
        <v>2279.8069026501389</v>
      </c>
      <c r="AJ1200" s="86">
        <f t="shared" si="140"/>
        <v>2451.4052716668161</v>
      </c>
      <c r="AK1200" s="86">
        <f t="shared" si="152"/>
        <v>0</v>
      </c>
      <c r="AL1200" s="310" t="e">
        <f>+VLOOKUP(B1200,#REF!,2,FALSE)</f>
        <v>#REF!</v>
      </c>
      <c r="AM1200" s="311" t="e">
        <f t="shared" si="149"/>
        <v>#REF!</v>
      </c>
      <c r="AN1200" s="312" t="e">
        <f t="shared" si="148"/>
        <v>#REF!</v>
      </c>
    </row>
    <row r="1201" spans="1:40" s="73" customFormat="1" x14ac:dyDescent="0.25">
      <c r="A1201" s="313"/>
      <c r="B1201" s="333" t="s">
        <v>1823</v>
      </c>
      <c r="D1201" s="74">
        <f>IFERROR(VLOOKUP(B1201,'REQ. PINTADO'!B:C,2,0),0)</f>
        <v>0</v>
      </c>
      <c r="E1201" s="305">
        <f t="shared" si="133"/>
        <v>2564.9606505331421</v>
      </c>
      <c r="F1201" s="103" t="s">
        <v>165</v>
      </c>
      <c r="G1201" s="75" t="s">
        <v>147</v>
      </c>
      <c r="H1201" s="90">
        <v>88.97</v>
      </c>
      <c r="I1201" s="90">
        <v>40.64</v>
      </c>
      <c r="J1201" s="76">
        <v>0.105</v>
      </c>
      <c r="K1201" s="306">
        <v>16.38</v>
      </c>
      <c r="L1201" s="78">
        <f t="shared" si="134"/>
        <v>201.84023162393169</v>
      </c>
      <c r="M1201" s="58">
        <f>+VLOOKUP(F1201,Material!$H$2:$M$17,6,FALSE)*H1201*I1201*(1+Material!$K$14)</f>
        <v>1502.7922700000001</v>
      </c>
      <c r="N1201" s="79" t="str">
        <f t="shared" si="154"/>
        <v>T5.0</v>
      </c>
      <c r="O1201" s="80">
        <f>+VLOOKUP(N1201,[3]Material!$A$3:$B$58,2,FALSE)</f>
        <v>5000</v>
      </c>
      <c r="P1201" s="79" t="s">
        <v>42</v>
      </c>
      <c r="Q1201" s="79" t="str">
        <f>+VLOOKUP(F1201,[3]Material!$C$2:$E$12,2,FALSE)</f>
        <v>Cal 14</v>
      </c>
      <c r="R1201" s="81">
        <f>+IF(P1201="ACERO A36",VLOOKUP(Q1201,'[3]Velocidades Std 1500 w'!$B$2:$F$15,5,FALSE),IF(P1201="INOXIDABLE",VLOOKUP(Q1201,'[3]Velocidades Std 1500 w'!$B$17:$F$28,5,FALSE),IF(P1201="ALUMINIO",VLOOKUP(Q1201,'[3]Velocidades Std 1500 w'!$B$30:$F$38,5,FALSE))))</f>
        <v>2.0080321285140564E-6</v>
      </c>
      <c r="S1201" s="82">
        <f t="shared" si="135"/>
        <v>1.0040160642570283E-2</v>
      </c>
      <c r="T1201" s="83">
        <f t="shared" si="136"/>
        <v>64.436005301204816</v>
      </c>
      <c r="U1201" s="307">
        <f t="shared" si="155"/>
        <v>8913.6473999999998</v>
      </c>
      <c r="V1201" s="80">
        <f t="shared" si="153"/>
        <v>89.494451807228927</v>
      </c>
      <c r="W1201" s="98">
        <v>50</v>
      </c>
      <c r="X1201" s="84">
        <f>+IF(P1201="ACERO A36",VLOOKUP(Q1201,'[3]Tiempo Objeto'!$B$2:$C$12,2,FALSE),IF(P1201="INOXIDABLE",VLOOKUP(Q1201,'[3]Tiempo Objeto'!$B$14:$C$22,2,FALSE),IF(P1201="ALUMINIO",VLOOKUP(Q1201,'[3]Tiempo Objeto'!$B$24:$C$32,2,FALSE))))</f>
        <v>0.3133333333333333</v>
      </c>
      <c r="Y1201" s="84">
        <f t="shared" si="137"/>
        <v>15.666666666666664</v>
      </c>
      <c r="Z1201" s="80">
        <f t="shared" si="138"/>
        <v>21.75925925925926</v>
      </c>
      <c r="AA1201" s="100">
        <v>6</v>
      </c>
      <c r="AB1201" s="86">
        <f>+AA1201*Analisis!$J$6</f>
        <v>150</v>
      </c>
      <c r="AC1201" s="100"/>
      <c r="AD1201" s="85">
        <f t="shared" si="139"/>
        <v>0</v>
      </c>
      <c r="AE1201" s="86">
        <f>+AC1201*Analisis!$J$7</f>
        <v>0</v>
      </c>
      <c r="AF1201" s="308">
        <f>+H1201*0.0254*I1201*0.0254*2*(1+[3]Analisis!$G$2)</f>
        <v>5.8318283363199992</v>
      </c>
      <c r="AG1201" s="86">
        <f>+AF1201*Analisis!$J$8</f>
        <v>621.36742392933343</v>
      </c>
      <c r="AH1201" s="309">
        <f t="shared" si="151"/>
        <v>2385.413404995822</v>
      </c>
      <c r="AI1201" s="86">
        <f>+AH1201/(1-Analisis!G1206)</f>
        <v>2385.413404995822</v>
      </c>
      <c r="AJ1201" s="86">
        <f t="shared" si="140"/>
        <v>2564.9606505331421</v>
      </c>
      <c r="AK1201" s="86">
        <f t="shared" si="152"/>
        <v>0</v>
      </c>
      <c r="AL1201" s="310" t="e">
        <f>+VLOOKUP(B1201,#REF!,2,FALSE)</f>
        <v>#REF!</v>
      </c>
      <c r="AM1201" s="311" t="e">
        <f t="shared" si="149"/>
        <v>#REF!</v>
      </c>
      <c r="AN1201" s="312" t="e">
        <f t="shared" si="148"/>
        <v>#REF!</v>
      </c>
    </row>
    <row r="1202" spans="1:40" s="73" customFormat="1" x14ac:dyDescent="0.25">
      <c r="A1202" s="313"/>
      <c r="B1202" s="333" t="s">
        <v>1824</v>
      </c>
      <c r="D1202" s="74">
        <f>IFERROR(VLOOKUP(B1202,'REQ. PINTADO'!B:C,2,0),0)</f>
        <v>0</v>
      </c>
      <c r="E1202" s="305">
        <f t="shared" si="133"/>
        <v>2905.6267871321184</v>
      </c>
      <c r="F1202" s="103" t="s">
        <v>165</v>
      </c>
      <c r="G1202" s="75" t="s">
        <v>147</v>
      </c>
      <c r="H1202" s="90">
        <v>88.97</v>
      </c>
      <c r="I1202" s="90">
        <v>46.64</v>
      </c>
      <c r="J1202" s="76">
        <v>0.105</v>
      </c>
      <c r="K1202" s="306">
        <v>16.38</v>
      </c>
      <c r="L1202" s="78">
        <f t="shared" si="134"/>
        <v>231.63947841880344</v>
      </c>
      <c r="M1202" s="58">
        <f>+VLOOKUP(F1202,Material!$H$2:$M$17,6,FALSE)*H1202*I1202*(1+Material!$K$14)</f>
        <v>1724.6612075</v>
      </c>
      <c r="N1202" s="79" t="str">
        <f t="shared" si="154"/>
        <v>T5.0</v>
      </c>
      <c r="O1202" s="80">
        <f>+VLOOKUP(N1202,[3]Material!$A$3:$B$58,2,FALSE)</f>
        <v>5000</v>
      </c>
      <c r="P1202" s="79" t="s">
        <v>42</v>
      </c>
      <c r="Q1202" s="79" t="str">
        <f>+VLOOKUP(F1202,[3]Material!$C$2:$E$12,2,FALSE)</f>
        <v>Cal 14</v>
      </c>
      <c r="R1202" s="81">
        <f>+IF(P1202="ACERO A36",VLOOKUP(Q1202,'[3]Velocidades Std 1500 w'!$B$2:$F$15,5,FALSE),IF(P1202="INOXIDABLE",VLOOKUP(Q1202,'[3]Velocidades Std 1500 w'!$B$17:$F$28,5,FALSE),IF(P1202="ALUMINIO",VLOOKUP(Q1202,'[3]Velocidades Std 1500 w'!$B$30:$F$38,5,FALSE))))</f>
        <v>2.0080321285140564E-6</v>
      </c>
      <c r="S1202" s="82">
        <f t="shared" si="135"/>
        <v>1.0040160642570283E-2</v>
      </c>
      <c r="T1202" s="83">
        <f t="shared" si="136"/>
        <v>66.749547469879516</v>
      </c>
      <c r="U1202" s="307">
        <f t="shared" si="155"/>
        <v>9233.6873999999989</v>
      </c>
      <c r="V1202" s="80">
        <f t="shared" si="153"/>
        <v>92.707704819277112</v>
      </c>
      <c r="W1202" s="98">
        <v>50</v>
      </c>
      <c r="X1202" s="84">
        <f>+IF(P1202="ACERO A36",VLOOKUP(Q1202,'[3]Tiempo Objeto'!$B$2:$C$12,2,FALSE),IF(P1202="INOXIDABLE",VLOOKUP(Q1202,'[3]Tiempo Objeto'!$B$14:$C$22,2,FALSE),IF(P1202="ALUMINIO",VLOOKUP(Q1202,'[3]Tiempo Objeto'!$B$24:$C$32,2,FALSE))))</f>
        <v>0.3133333333333333</v>
      </c>
      <c r="Y1202" s="84">
        <f t="shared" si="137"/>
        <v>15.666666666666664</v>
      </c>
      <c r="Z1202" s="80">
        <f t="shared" si="138"/>
        <v>21.75925925925926</v>
      </c>
      <c r="AA1202" s="100">
        <v>6</v>
      </c>
      <c r="AB1202" s="86">
        <f>+AA1202*Analisis!$J$6</f>
        <v>150</v>
      </c>
      <c r="AC1202" s="100"/>
      <c r="AD1202" s="85">
        <f t="shared" si="139"/>
        <v>0</v>
      </c>
      <c r="AE1202" s="86">
        <f>+AC1202*Analisis!$J$7</f>
        <v>0</v>
      </c>
      <c r="AF1202" s="308">
        <f>+H1202*0.0254*I1202*0.0254*2*(1+[3]Analisis!$G$2)</f>
        <v>6.6928266143199995</v>
      </c>
      <c r="AG1202" s="86">
        <f>+AF1202*Analisis!$J$8</f>
        <v>713.10474045433352</v>
      </c>
      <c r="AH1202" s="309">
        <f t="shared" ref="AH1202:AH1265" si="156">+AE1202+AB1202+Z1202+V1202+M1202+AG1202</f>
        <v>2702.23291203287</v>
      </c>
      <c r="AI1202" s="86">
        <f>+AH1202/(1-Analisis!G1207)</f>
        <v>2702.23291203287</v>
      </c>
      <c r="AJ1202" s="86">
        <f t="shared" si="140"/>
        <v>2905.6267871321184</v>
      </c>
      <c r="AK1202" s="86">
        <f t="shared" ref="AK1202:AK1265" si="157">+AJ1202*D1202</f>
        <v>0</v>
      </c>
      <c r="AL1202" s="310" t="e">
        <f>+VLOOKUP(B1202,#REF!,2,FALSE)</f>
        <v>#REF!</v>
      </c>
      <c r="AM1202" s="311" t="e">
        <f t="shared" si="149"/>
        <v>#REF!</v>
      </c>
      <c r="AN1202" s="312" t="e">
        <f t="shared" si="148"/>
        <v>#REF!</v>
      </c>
    </row>
    <row r="1203" spans="1:40" s="73" customFormat="1" x14ac:dyDescent="0.25">
      <c r="A1203" s="313"/>
      <c r="B1203" s="333" t="s">
        <v>1825</v>
      </c>
      <c r="D1203" s="74">
        <f>IFERROR(VLOOKUP(B1203,'REQ. PINTADO'!B:C,2,0),0)</f>
        <v>0</v>
      </c>
      <c r="E1203" s="305">
        <f t="shared" si="133"/>
        <v>3019.1821659984439</v>
      </c>
      <c r="F1203" s="103" t="s">
        <v>165</v>
      </c>
      <c r="G1203" s="75" t="s">
        <v>147</v>
      </c>
      <c r="H1203" s="90">
        <v>88.97</v>
      </c>
      <c r="I1203" s="90">
        <v>48.64</v>
      </c>
      <c r="J1203" s="76">
        <v>0.105</v>
      </c>
      <c r="K1203" s="306">
        <v>16.38</v>
      </c>
      <c r="L1203" s="78">
        <f t="shared" si="134"/>
        <v>241.57256068376077</v>
      </c>
      <c r="M1203" s="58">
        <f>+VLOOKUP(F1203,Material!$H$2:$M$17,6,FALSE)*H1203*I1203*(1+Material!$K$14)</f>
        <v>1798.6175200000002</v>
      </c>
      <c r="N1203" s="79" t="str">
        <f t="shared" si="154"/>
        <v>T5.0</v>
      </c>
      <c r="O1203" s="80">
        <f>+VLOOKUP(N1203,[3]Material!$A$3:$B$58,2,FALSE)</f>
        <v>5000</v>
      </c>
      <c r="P1203" s="79" t="s">
        <v>42</v>
      </c>
      <c r="Q1203" s="79" t="str">
        <f>+VLOOKUP(F1203,[3]Material!$C$2:$E$12,2,FALSE)</f>
        <v>Cal 14</v>
      </c>
      <c r="R1203" s="81">
        <f>+IF(P1203="ACERO A36",VLOOKUP(Q1203,'[3]Velocidades Std 1500 w'!$B$2:$F$15,5,FALSE),IF(P1203="INOXIDABLE",VLOOKUP(Q1203,'[3]Velocidades Std 1500 w'!$B$17:$F$28,5,FALSE),IF(P1203="ALUMINIO",VLOOKUP(Q1203,'[3]Velocidades Std 1500 w'!$B$30:$F$38,5,FALSE))))</f>
        <v>2.0080321285140564E-6</v>
      </c>
      <c r="S1203" s="82">
        <f t="shared" si="135"/>
        <v>1.0040160642570283E-2</v>
      </c>
      <c r="T1203" s="83">
        <f t="shared" si="136"/>
        <v>67.520728192771102</v>
      </c>
      <c r="U1203" s="307">
        <f t="shared" si="155"/>
        <v>9340.367400000001</v>
      </c>
      <c r="V1203" s="80">
        <f t="shared" si="153"/>
        <v>93.77878915662653</v>
      </c>
      <c r="W1203" s="98">
        <v>50</v>
      </c>
      <c r="X1203" s="84">
        <f>+IF(P1203="ACERO A36",VLOOKUP(Q1203,'[3]Tiempo Objeto'!$B$2:$C$12,2,FALSE),IF(P1203="INOXIDABLE",VLOOKUP(Q1203,'[3]Tiempo Objeto'!$B$14:$C$22,2,FALSE),IF(P1203="ALUMINIO",VLOOKUP(Q1203,'[3]Tiempo Objeto'!$B$24:$C$32,2,FALSE))))</f>
        <v>0.3133333333333333</v>
      </c>
      <c r="Y1203" s="84">
        <f t="shared" si="137"/>
        <v>15.666666666666664</v>
      </c>
      <c r="Z1203" s="80">
        <f t="shared" si="138"/>
        <v>21.75925925925926</v>
      </c>
      <c r="AA1203" s="100">
        <v>6</v>
      </c>
      <c r="AB1203" s="86">
        <f>+AA1203*Analisis!$J$6</f>
        <v>150</v>
      </c>
      <c r="AC1203" s="100"/>
      <c r="AD1203" s="85">
        <f t="shared" si="139"/>
        <v>0</v>
      </c>
      <c r="AE1203" s="86">
        <f>+AC1203*Analisis!$J$7</f>
        <v>0</v>
      </c>
      <c r="AF1203" s="308">
        <f>+H1203*0.0254*I1203*0.0254*2*(1+[3]Analisis!$G$2)</f>
        <v>6.979826040319999</v>
      </c>
      <c r="AG1203" s="86">
        <f>+AF1203*Analisis!$J$8</f>
        <v>743.68384596266674</v>
      </c>
      <c r="AH1203" s="309">
        <f t="shared" si="156"/>
        <v>2807.8394143785526</v>
      </c>
      <c r="AI1203" s="86">
        <f>+AH1203/(1-Analisis!G1208)</f>
        <v>2807.8394143785526</v>
      </c>
      <c r="AJ1203" s="86">
        <f t="shared" si="140"/>
        <v>3019.1821659984439</v>
      </c>
      <c r="AK1203" s="86">
        <f t="shared" si="157"/>
        <v>0</v>
      </c>
      <c r="AL1203" s="310" t="e">
        <f>+VLOOKUP(B1203,#REF!,2,FALSE)</f>
        <v>#REF!</v>
      </c>
      <c r="AM1203" s="311" t="e">
        <f t="shared" si="149"/>
        <v>#REF!</v>
      </c>
      <c r="AN1203" s="312" t="e">
        <f t="shared" si="148"/>
        <v>#REF!</v>
      </c>
    </row>
    <row r="1204" spans="1:40" s="73" customFormat="1" x14ac:dyDescent="0.25">
      <c r="A1204" s="313"/>
      <c r="B1204" s="333" t="s">
        <v>1826</v>
      </c>
      <c r="D1204" s="74">
        <f>IFERROR(VLOOKUP(B1204,'REQ. PINTADO'!B:C,2,0),0)</f>
        <v>0</v>
      </c>
      <c r="E1204" s="305">
        <f t="shared" si="133"/>
        <v>3246.2929237310955</v>
      </c>
      <c r="F1204" s="103" t="s">
        <v>165</v>
      </c>
      <c r="G1204" s="75" t="s">
        <v>147</v>
      </c>
      <c r="H1204" s="90">
        <v>88.97</v>
      </c>
      <c r="I1204" s="90">
        <v>52.64</v>
      </c>
      <c r="J1204" s="76">
        <v>0.105</v>
      </c>
      <c r="K1204" s="306">
        <v>16.38</v>
      </c>
      <c r="L1204" s="78">
        <f t="shared" si="134"/>
        <v>261.4387252136753</v>
      </c>
      <c r="M1204" s="58">
        <f>+VLOOKUP(F1204,Material!$H$2:$M$17,6,FALSE)*H1204*I1204*(1+Material!$K$14)</f>
        <v>1946.5301450000004</v>
      </c>
      <c r="N1204" s="79" t="str">
        <f t="shared" si="154"/>
        <v>T5.0</v>
      </c>
      <c r="O1204" s="80">
        <f>+VLOOKUP(N1204,[3]Material!$A$3:$B$58,2,FALSE)</f>
        <v>5000</v>
      </c>
      <c r="P1204" s="79" t="s">
        <v>42</v>
      </c>
      <c r="Q1204" s="79" t="str">
        <f>+VLOOKUP(F1204,[3]Material!$C$2:$E$12,2,FALSE)</f>
        <v>Cal 14</v>
      </c>
      <c r="R1204" s="81">
        <f>+IF(P1204="ACERO A36",VLOOKUP(Q1204,'[3]Velocidades Std 1500 w'!$B$2:$F$15,5,FALSE),IF(P1204="INOXIDABLE",VLOOKUP(Q1204,'[3]Velocidades Std 1500 w'!$B$17:$F$28,5,FALSE),IF(P1204="ALUMINIO",VLOOKUP(Q1204,'[3]Velocidades Std 1500 w'!$B$30:$F$38,5,FALSE))))</f>
        <v>2.0080321285140564E-6</v>
      </c>
      <c r="S1204" s="82">
        <f t="shared" si="135"/>
        <v>1.0040160642570283E-2</v>
      </c>
      <c r="T1204" s="83">
        <f t="shared" si="136"/>
        <v>69.063089638554231</v>
      </c>
      <c r="U1204" s="307">
        <f t="shared" si="155"/>
        <v>9553.7274000000016</v>
      </c>
      <c r="V1204" s="80">
        <f t="shared" si="153"/>
        <v>95.920957831325339</v>
      </c>
      <c r="W1204" s="98">
        <v>50</v>
      </c>
      <c r="X1204" s="84">
        <f>+IF(P1204="ACERO A36",VLOOKUP(Q1204,'[3]Tiempo Objeto'!$B$2:$C$12,2,FALSE),IF(P1204="INOXIDABLE",VLOOKUP(Q1204,'[3]Tiempo Objeto'!$B$14:$C$22,2,FALSE),IF(P1204="ALUMINIO",VLOOKUP(Q1204,'[3]Tiempo Objeto'!$B$24:$C$32,2,FALSE))))</f>
        <v>0.3133333333333333</v>
      </c>
      <c r="Y1204" s="84">
        <f t="shared" si="137"/>
        <v>15.666666666666664</v>
      </c>
      <c r="Z1204" s="80">
        <f t="shared" si="138"/>
        <v>21.75925925925926</v>
      </c>
      <c r="AA1204" s="100">
        <v>6</v>
      </c>
      <c r="AB1204" s="86">
        <f>+AA1204*Analisis!$J$6</f>
        <v>150</v>
      </c>
      <c r="AC1204" s="100"/>
      <c r="AD1204" s="85">
        <f t="shared" si="139"/>
        <v>0</v>
      </c>
      <c r="AE1204" s="86">
        <f>+AC1204*Analisis!$J$7</f>
        <v>0</v>
      </c>
      <c r="AF1204" s="308">
        <f>+H1204*0.0254*I1204*0.0254*2*(1+[3]Analisis!$G$2)</f>
        <v>7.5538248923199989</v>
      </c>
      <c r="AG1204" s="86">
        <f>+AF1204*Analisis!$J$8</f>
        <v>804.84205697933351</v>
      </c>
      <c r="AH1204" s="309">
        <f t="shared" si="156"/>
        <v>3019.0524190699184</v>
      </c>
      <c r="AI1204" s="86">
        <f>+AH1204/(1-Analisis!G1209)</f>
        <v>3019.0524190699184</v>
      </c>
      <c r="AJ1204" s="86">
        <f t="shared" si="140"/>
        <v>3246.2929237310955</v>
      </c>
      <c r="AK1204" s="86">
        <f t="shared" si="157"/>
        <v>0</v>
      </c>
      <c r="AL1204" s="310" t="e">
        <f>+VLOOKUP(B1204,#REF!,2,FALSE)</f>
        <v>#REF!</v>
      </c>
      <c r="AM1204" s="311" t="e">
        <f t="shared" si="149"/>
        <v>#REF!</v>
      </c>
      <c r="AN1204" s="312" t="e">
        <f t="shared" si="148"/>
        <v>#REF!</v>
      </c>
    </row>
    <row r="1205" spans="1:40" s="73" customFormat="1" x14ac:dyDescent="0.25">
      <c r="A1205" s="313"/>
      <c r="B1205" s="333" t="s">
        <v>1827</v>
      </c>
      <c r="D1205" s="74">
        <f>IFERROR(VLOOKUP(B1205,'REQ. PINTADO'!B:C,2,0),0)</f>
        <v>0</v>
      </c>
      <c r="E1205" s="305">
        <f t="shared" si="133"/>
        <v>1088.7407252709099</v>
      </c>
      <c r="F1205" s="103" t="s">
        <v>165</v>
      </c>
      <c r="G1205" s="75" t="s">
        <v>147</v>
      </c>
      <c r="H1205" s="90">
        <v>88.97</v>
      </c>
      <c r="I1205" s="90">
        <v>14.64</v>
      </c>
      <c r="J1205" s="76">
        <v>0.105</v>
      </c>
      <c r="K1205" s="306">
        <v>16.38</v>
      </c>
      <c r="L1205" s="78">
        <f t="shared" si="134"/>
        <v>72.710162179487185</v>
      </c>
      <c r="M1205" s="58">
        <f>+VLOOKUP(F1205,Material!$H$2:$M$17,6,FALSE)*H1205*I1205*(1+Material!$K$14)</f>
        <v>541.3602075</v>
      </c>
      <c r="N1205" s="79" t="str">
        <f t="shared" si="154"/>
        <v>T5.0</v>
      </c>
      <c r="O1205" s="80">
        <f>+VLOOKUP(N1205,[3]Material!$A$3:$B$58,2,FALSE)</f>
        <v>5000</v>
      </c>
      <c r="P1205" s="79" t="s">
        <v>42</v>
      </c>
      <c r="Q1205" s="79" t="str">
        <f>+VLOOKUP(F1205,[3]Material!$C$2:$E$12,2,FALSE)</f>
        <v>Cal 14</v>
      </c>
      <c r="R1205" s="81">
        <f>+IF(P1205="ACERO A36",VLOOKUP(Q1205,'[3]Velocidades Std 1500 w'!$B$2:$F$15,5,FALSE),IF(P1205="INOXIDABLE",VLOOKUP(Q1205,'[3]Velocidades Std 1500 w'!$B$17:$F$28,5,FALSE),IF(P1205="ALUMINIO",VLOOKUP(Q1205,'[3]Velocidades Std 1500 w'!$B$30:$F$38,5,FALSE))))</f>
        <v>2.0080321285140564E-6</v>
      </c>
      <c r="S1205" s="82">
        <f t="shared" si="135"/>
        <v>1.0040160642570283E-2</v>
      </c>
      <c r="T1205" s="83">
        <f t="shared" si="136"/>
        <v>54.410655903614469</v>
      </c>
      <c r="U1205" s="307">
        <f t="shared" si="155"/>
        <v>7526.8074000000006</v>
      </c>
      <c r="V1205" s="80">
        <f t="shared" si="153"/>
        <v>75.57035542168677</v>
      </c>
      <c r="W1205" s="98">
        <v>50</v>
      </c>
      <c r="X1205" s="84">
        <f>+IF(P1205="ACERO A36",VLOOKUP(Q1205,'[3]Tiempo Objeto'!$B$2:$C$12,2,FALSE),IF(P1205="INOXIDABLE",VLOOKUP(Q1205,'[3]Tiempo Objeto'!$B$14:$C$22,2,FALSE),IF(P1205="ALUMINIO",VLOOKUP(Q1205,'[3]Tiempo Objeto'!$B$24:$C$32,2,FALSE))))</f>
        <v>0.3133333333333333</v>
      </c>
      <c r="Y1205" s="84">
        <f t="shared" si="137"/>
        <v>15.666666666666664</v>
      </c>
      <c r="Z1205" s="80">
        <f t="shared" si="138"/>
        <v>21.75925925925926</v>
      </c>
      <c r="AA1205" s="100">
        <v>6</v>
      </c>
      <c r="AB1205" s="86">
        <f>+AA1205*Analisis!$J$6</f>
        <v>150</v>
      </c>
      <c r="AC1205" s="100"/>
      <c r="AD1205" s="85">
        <f t="shared" si="139"/>
        <v>0</v>
      </c>
      <c r="AE1205" s="86">
        <f>+AC1205*Analisis!$J$7</f>
        <v>0</v>
      </c>
      <c r="AF1205" s="308">
        <f>+H1205*0.0254*I1205*0.0254*2*(1+[3]Analisis!$G$2)</f>
        <v>2.1008357983199999</v>
      </c>
      <c r="AG1205" s="86">
        <f>+AF1205*Analisis!$J$8</f>
        <v>223.83905232100005</v>
      </c>
      <c r="AH1205" s="309">
        <f t="shared" si="156"/>
        <v>1012.5288745019461</v>
      </c>
      <c r="AI1205" s="86">
        <f>+AH1205/(1-Analisis!G1210)</f>
        <v>1012.5288745019461</v>
      </c>
      <c r="AJ1205" s="86">
        <f t="shared" si="140"/>
        <v>1088.7407252709099</v>
      </c>
      <c r="AK1205" s="86">
        <f t="shared" si="157"/>
        <v>0</v>
      </c>
      <c r="AL1205" s="310" t="e">
        <f>+VLOOKUP(B1205,#REF!,2,FALSE)</f>
        <v>#REF!</v>
      </c>
      <c r="AM1205" s="311" t="e">
        <f t="shared" si="149"/>
        <v>#REF!</v>
      </c>
      <c r="AN1205" s="312" t="e">
        <f t="shared" si="148"/>
        <v>#REF!</v>
      </c>
    </row>
    <row r="1206" spans="1:40" s="73" customFormat="1" x14ac:dyDescent="0.25">
      <c r="A1206" s="313"/>
      <c r="B1206" s="333" t="s">
        <v>1828</v>
      </c>
      <c r="D1206" s="74">
        <f>IFERROR(VLOOKUP(B1206,'REQ. PINTADO'!B:C,2,0),0)</f>
        <v>0</v>
      </c>
      <c r="E1206" s="305">
        <f t="shared" si="133"/>
        <v>1429.4068618698866</v>
      </c>
      <c r="F1206" s="103" t="s">
        <v>165</v>
      </c>
      <c r="G1206" s="75" t="s">
        <v>147</v>
      </c>
      <c r="H1206" s="90">
        <v>88.97</v>
      </c>
      <c r="I1206" s="90">
        <v>20.64</v>
      </c>
      <c r="J1206" s="76">
        <v>0.105</v>
      </c>
      <c r="K1206" s="306">
        <v>16.38</v>
      </c>
      <c r="L1206" s="78">
        <f t="shared" si="134"/>
        <v>102.509408974359</v>
      </c>
      <c r="M1206" s="58">
        <f>+VLOOKUP(F1206,Material!$H$2:$M$17,6,FALSE)*H1206*I1206*(1+Material!$K$14)</f>
        <v>763.22914500000013</v>
      </c>
      <c r="N1206" s="79" t="str">
        <f t="shared" si="154"/>
        <v>T5.0</v>
      </c>
      <c r="O1206" s="80">
        <f>+VLOOKUP(N1206,[3]Material!$A$3:$B$58,2,FALSE)</f>
        <v>5000</v>
      </c>
      <c r="P1206" s="79" t="s">
        <v>42</v>
      </c>
      <c r="Q1206" s="79" t="str">
        <f>+VLOOKUP(F1206,[3]Material!$C$2:$E$12,2,FALSE)</f>
        <v>Cal 14</v>
      </c>
      <c r="R1206" s="81">
        <f>+IF(P1206="ACERO A36",VLOOKUP(Q1206,'[3]Velocidades Std 1500 w'!$B$2:$F$15,5,FALSE),IF(P1206="INOXIDABLE",VLOOKUP(Q1206,'[3]Velocidades Std 1500 w'!$B$17:$F$28,5,FALSE),IF(P1206="ALUMINIO",VLOOKUP(Q1206,'[3]Velocidades Std 1500 w'!$B$30:$F$38,5,FALSE))))</f>
        <v>2.0080321285140564E-6</v>
      </c>
      <c r="S1206" s="82">
        <f t="shared" si="135"/>
        <v>1.0040160642570283E-2</v>
      </c>
      <c r="T1206" s="83">
        <f t="shared" si="136"/>
        <v>56.724198072289163</v>
      </c>
      <c r="U1206" s="307">
        <f t="shared" si="155"/>
        <v>7846.8474000000006</v>
      </c>
      <c r="V1206" s="80">
        <f t="shared" si="153"/>
        <v>78.783608433734955</v>
      </c>
      <c r="W1206" s="98">
        <v>50</v>
      </c>
      <c r="X1206" s="84">
        <f>+IF(P1206="ACERO A36",VLOOKUP(Q1206,'[3]Tiempo Objeto'!$B$2:$C$12,2,FALSE),IF(P1206="INOXIDABLE",VLOOKUP(Q1206,'[3]Tiempo Objeto'!$B$14:$C$22,2,FALSE),IF(P1206="ALUMINIO",VLOOKUP(Q1206,'[3]Tiempo Objeto'!$B$24:$C$32,2,FALSE))))</f>
        <v>0.3133333333333333</v>
      </c>
      <c r="Y1206" s="84">
        <f t="shared" si="137"/>
        <v>15.666666666666664</v>
      </c>
      <c r="Z1206" s="80">
        <f t="shared" si="138"/>
        <v>21.75925925925926</v>
      </c>
      <c r="AA1206" s="100">
        <v>6</v>
      </c>
      <c r="AB1206" s="86">
        <f>+AA1206*Analisis!$J$6</f>
        <v>150</v>
      </c>
      <c r="AC1206" s="100"/>
      <c r="AD1206" s="85">
        <f t="shared" si="139"/>
        <v>0</v>
      </c>
      <c r="AE1206" s="86">
        <f>+AC1206*Analisis!$J$7</f>
        <v>0</v>
      </c>
      <c r="AF1206" s="308">
        <f>+H1206*0.0254*I1206*0.0254*2*(1+[3]Analisis!$G$2)</f>
        <v>2.9618340763199997</v>
      </c>
      <c r="AG1206" s="86">
        <f>+AF1206*Analisis!$J$8</f>
        <v>315.57636884600009</v>
      </c>
      <c r="AH1206" s="309">
        <f t="shared" si="156"/>
        <v>1329.3483815389945</v>
      </c>
      <c r="AI1206" s="86">
        <f>+AH1206/(1-Analisis!G1211)</f>
        <v>1329.3483815389945</v>
      </c>
      <c r="AJ1206" s="86">
        <f t="shared" si="140"/>
        <v>1429.4068618698866</v>
      </c>
      <c r="AK1206" s="86">
        <f t="shared" si="157"/>
        <v>0</v>
      </c>
      <c r="AL1206" s="310" t="e">
        <f>+VLOOKUP(B1206,#REF!,2,FALSE)</f>
        <v>#REF!</v>
      </c>
      <c r="AM1206" s="311" t="e">
        <f t="shared" si="149"/>
        <v>#REF!</v>
      </c>
      <c r="AN1206" s="312" t="e">
        <f t="shared" si="148"/>
        <v>#REF!</v>
      </c>
    </row>
    <row r="1207" spans="1:40" s="73" customFormat="1" x14ac:dyDescent="0.25">
      <c r="A1207" s="313"/>
      <c r="B1207" s="333" t="s">
        <v>1829</v>
      </c>
      <c r="D1207" s="74">
        <f>IFERROR(VLOOKUP(B1207,'REQ. PINTADO'!B:C,2,0),0)</f>
        <v>0</v>
      </c>
      <c r="E1207" s="305">
        <f t="shared" si="133"/>
        <v>1770.072998468863</v>
      </c>
      <c r="F1207" s="103" t="s">
        <v>165</v>
      </c>
      <c r="G1207" s="75" t="s">
        <v>147</v>
      </c>
      <c r="H1207" s="90">
        <v>88.97</v>
      </c>
      <c r="I1207" s="90">
        <v>26.64</v>
      </c>
      <c r="J1207" s="76">
        <v>0.105</v>
      </c>
      <c r="K1207" s="306">
        <v>16.38</v>
      </c>
      <c r="L1207" s="78">
        <f t="shared" si="134"/>
        <v>132.30865576923077</v>
      </c>
      <c r="M1207" s="58">
        <f>+VLOOKUP(F1207,Material!$H$2:$M$17,6,FALSE)*H1207*I1207*(1+Material!$K$14)</f>
        <v>985.09808250000003</v>
      </c>
      <c r="N1207" s="79" t="str">
        <f t="shared" si="154"/>
        <v>T5.0</v>
      </c>
      <c r="O1207" s="80">
        <f>+VLOOKUP(N1207,[3]Material!$A$3:$B$58,2,FALSE)</f>
        <v>5000</v>
      </c>
      <c r="P1207" s="79" t="s">
        <v>42</v>
      </c>
      <c r="Q1207" s="79" t="str">
        <f>+VLOOKUP(F1207,[3]Material!$C$2:$E$12,2,FALSE)</f>
        <v>Cal 14</v>
      </c>
      <c r="R1207" s="81">
        <f>+IF(P1207="ACERO A36",VLOOKUP(Q1207,'[3]Velocidades Std 1500 w'!$B$2:$F$15,5,FALSE),IF(P1207="INOXIDABLE",VLOOKUP(Q1207,'[3]Velocidades Std 1500 w'!$B$17:$F$28,5,FALSE),IF(P1207="ALUMINIO",VLOOKUP(Q1207,'[3]Velocidades Std 1500 w'!$B$30:$F$38,5,FALSE))))</f>
        <v>2.0080321285140564E-6</v>
      </c>
      <c r="S1207" s="82">
        <f t="shared" si="135"/>
        <v>1.0040160642570283E-2</v>
      </c>
      <c r="T1207" s="83">
        <f t="shared" si="136"/>
        <v>59.037740240963863</v>
      </c>
      <c r="U1207" s="307">
        <f t="shared" si="155"/>
        <v>8166.8874000000005</v>
      </c>
      <c r="V1207" s="80">
        <f t="shared" si="153"/>
        <v>81.996861445783153</v>
      </c>
      <c r="W1207" s="98">
        <v>50</v>
      </c>
      <c r="X1207" s="84">
        <f>+IF(P1207="ACERO A36",VLOOKUP(Q1207,'[3]Tiempo Objeto'!$B$2:$C$12,2,FALSE),IF(P1207="INOXIDABLE",VLOOKUP(Q1207,'[3]Tiempo Objeto'!$B$14:$C$22,2,FALSE),IF(P1207="ALUMINIO",VLOOKUP(Q1207,'[3]Tiempo Objeto'!$B$24:$C$32,2,FALSE))))</f>
        <v>0.3133333333333333</v>
      </c>
      <c r="Y1207" s="84">
        <f t="shared" si="137"/>
        <v>15.666666666666664</v>
      </c>
      <c r="Z1207" s="80">
        <f t="shared" si="138"/>
        <v>21.75925925925926</v>
      </c>
      <c r="AA1207" s="100">
        <v>6</v>
      </c>
      <c r="AB1207" s="86">
        <f>+AA1207*Analisis!$J$6</f>
        <v>150</v>
      </c>
      <c r="AC1207" s="100"/>
      <c r="AD1207" s="85">
        <f t="shared" si="139"/>
        <v>0</v>
      </c>
      <c r="AE1207" s="86">
        <f>+AC1207*Analisis!$J$7</f>
        <v>0</v>
      </c>
      <c r="AF1207" s="308">
        <f>+H1207*0.0254*I1207*0.0254*2*(1+[3]Analisis!$G$2)</f>
        <v>3.82283235432</v>
      </c>
      <c r="AG1207" s="86">
        <f>+AF1207*Analisis!$J$8</f>
        <v>407.31368537100013</v>
      </c>
      <c r="AH1207" s="309">
        <f t="shared" si="156"/>
        <v>1646.1678885760425</v>
      </c>
      <c r="AI1207" s="86">
        <f>+AH1207/(1-Analisis!G1212)</f>
        <v>1646.1678885760425</v>
      </c>
      <c r="AJ1207" s="86">
        <f t="shared" si="140"/>
        <v>1770.072998468863</v>
      </c>
      <c r="AK1207" s="86">
        <f t="shared" si="157"/>
        <v>0</v>
      </c>
      <c r="AL1207" s="310" t="e">
        <f>+VLOOKUP(B1207,#REF!,2,FALSE)</f>
        <v>#REF!</v>
      </c>
      <c r="AM1207" s="311" t="e">
        <f t="shared" si="149"/>
        <v>#REF!</v>
      </c>
      <c r="AN1207" s="312" t="e">
        <f t="shared" si="148"/>
        <v>#REF!</v>
      </c>
    </row>
    <row r="1208" spans="1:40" s="73" customFormat="1" x14ac:dyDescent="0.25">
      <c r="A1208" s="313"/>
      <c r="B1208" s="333" t="s">
        <v>1830</v>
      </c>
      <c r="D1208" s="74">
        <f>IFERROR(VLOOKUP(B1208,'REQ. PINTADO'!B:C,2,0),0)</f>
        <v>0</v>
      </c>
      <c r="E1208" s="305">
        <f t="shared" si="133"/>
        <v>2110.7391350678395</v>
      </c>
      <c r="F1208" s="103" t="s">
        <v>165</v>
      </c>
      <c r="G1208" s="75" t="s">
        <v>147</v>
      </c>
      <c r="H1208" s="90">
        <v>88.97</v>
      </c>
      <c r="I1208" s="90">
        <v>32.64</v>
      </c>
      <c r="J1208" s="76">
        <v>0.105</v>
      </c>
      <c r="K1208" s="306">
        <v>16.38</v>
      </c>
      <c r="L1208" s="78">
        <f t="shared" si="134"/>
        <v>162.1079025641026</v>
      </c>
      <c r="M1208" s="58">
        <f>+VLOOKUP(F1208,Material!$H$2:$M$17,6,FALSE)*H1208*I1208*(1+Material!$K$14)</f>
        <v>1206.96702</v>
      </c>
      <c r="N1208" s="79" t="str">
        <f t="shared" si="154"/>
        <v>T5.0</v>
      </c>
      <c r="O1208" s="80">
        <f>+VLOOKUP(N1208,[3]Material!$A$3:$B$58,2,FALSE)</f>
        <v>5000</v>
      </c>
      <c r="P1208" s="79" t="s">
        <v>42</v>
      </c>
      <c r="Q1208" s="79" t="str">
        <f>+VLOOKUP(F1208,[3]Material!$C$2:$E$12,2,FALSE)</f>
        <v>Cal 14</v>
      </c>
      <c r="R1208" s="81">
        <f>+IF(P1208="ACERO A36",VLOOKUP(Q1208,'[3]Velocidades Std 1500 w'!$B$2:$F$15,5,FALSE),IF(P1208="INOXIDABLE",VLOOKUP(Q1208,'[3]Velocidades Std 1500 w'!$B$17:$F$28,5,FALSE),IF(P1208="ALUMINIO",VLOOKUP(Q1208,'[3]Velocidades Std 1500 w'!$B$30:$F$38,5,FALSE))))</f>
        <v>2.0080321285140564E-6</v>
      </c>
      <c r="S1208" s="82">
        <f t="shared" si="135"/>
        <v>1.0040160642570283E-2</v>
      </c>
      <c r="T1208" s="83">
        <f t="shared" si="136"/>
        <v>61.351282409638571</v>
      </c>
      <c r="U1208" s="307">
        <f t="shared" si="155"/>
        <v>8486.9274000000005</v>
      </c>
      <c r="V1208" s="80">
        <f t="shared" si="153"/>
        <v>85.210114457831338</v>
      </c>
      <c r="W1208" s="98">
        <v>50</v>
      </c>
      <c r="X1208" s="84">
        <f>+IF(P1208="ACERO A36",VLOOKUP(Q1208,'[3]Tiempo Objeto'!$B$2:$C$12,2,FALSE),IF(P1208="INOXIDABLE",VLOOKUP(Q1208,'[3]Tiempo Objeto'!$B$14:$C$22,2,FALSE),IF(P1208="ALUMINIO",VLOOKUP(Q1208,'[3]Tiempo Objeto'!$B$24:$C$32,2,FALSE))))</f>
        <v>0.3133333333333333</v>
      </c>
      <c r="Y1208" s="84">
        <f t="shared" si="137"/>
        <v>15.666666666666664</v>
      </c>
      <c r="Z1208" s="80">
        <f t="shared" si="138"/>
        <v>21.75925925925926</v>
      </c>
      <c r="AA1208" s="100">
        <v>6</v>
      </c>
      <c r="AB1208" s="86">
        <f>+AA1208*Analisis!$J$6</f>
        <v>150</v>
      </c>
      <c r="AC1208" s="100"/>
      <c r="AD1208" s="85">
        <f t="shared" si="139"/>
        <v>0</v>
      </c>
      <c r="AE1208" s="86">
        <f>+AC1208*Analisis!$J$7</f>
        <v>0</v>
      </c>
      <c r="AF1208" s="308">
        <f>+H1208*0.0254*I1208*0.0254*2*(1+[3]Analisis!$G$2)</f>
        <v>4.6838306323199994</v>
      </c>
      <c r="AG1208" s="86">
        <f>+AF1208*Analisis!$J$8</f>
        <v>499.05100189600006</v>
      </c>
      <c r="AH1208" s="309">
        <f t="shared" si="156"/>
        <v>1962.9873956130907</v>
      </c>
      <c r="AI1208" s="86">
        <f>+AH1208/(1-Analisis!G1213)</f>
        <v>1962.9873956130907</v>
      </c>
      <c r="AJ1208" s="86">
        <f t="shared" si="140"/>
        <v>2110.7391350678395</v>
      </c>
      <c r="AK1208" s="86">
        <f t="shared" si="157"/>
        <v>0</v>
      </c>
      <c r="AL1208" s="310" t="e">
        <f>+VLOOKUP(B1208,#REF!,2,FALSE)</f>
        <v>#REF!</v>
      </c>
      <c r="AM1208" s="311" t="e">
        <f t="shared" si="149"/>
        <v>#REF!</v>
      </c>
      <c r="AN1208" s="312" t="e">
        <f t="shared" si="148"/>
        <v>#REF!</v>
      </c>
    </row>
    <row r="1209" spans="1:40" s="73" customFormat="1" x14ac:dyDescent="0.25">
      <c r="A1209" s="313"/>
      <c r="B1209" s="333" t="s">
        <v>1831</v>
      </c>
      <c r="D1209" s="74">
        <f>IFERROR(VLOOKUP(B1209,'REQ. PINTADO'!B:C,2,0),0)</f>
        <v>0</v>
      </c>
      <c r="E1209" s="305">
        <f t="shared" si="133"/>
        <v>2451.4052716668161</v>
      </c>
      <c r="F1209" s="103" t="s">
        <v>165</v>
      </c>
      <c r="G1209" s="75" t="s">
        <v>147</v>
      </c>
      <c r="H1209" s="90">
        <v>88.97</v>
      </c>
      <c r="I1209" s="90">
        <v>38.64</v>
      </c>
      <c r="J1209" s="76">
        <v>0.105</v>
      </c>
      <c r="K1209" s="306">
        <v>16.38</v>
      </c>
      <c r="L1209" s="78">
        <f t="shared" si="134"/>
        <v>191.90714935897441</v>
      </c>
      <c r="M1209" s="58">
        <f>+VLOOKUP(F1209,Material!$H$2:$M$17,6,FALSE)*H1209*I1209*(1+Material!$K$14)</f>
        <v>1428.8359575000002</v>
      </c>
      <c r="N1209" s="79" t="str">
        <f t="shared" si="154"/>
        <v>T5.0</v>
      </c>
      <c r="O1209" s="80">
        <f>+VLOOKUP(N1209,[3]Material!$A$3:$B$58,2,FALSE)</f>
        <v>5000</v>
      </c>
      <c r="P1209" s="79" t="s">
        <v>42</v>
      </c>
      <c r="Q1209" s="79" t="str">
        <f>+VLOOKUP(F1209,[3]Material!$C$2:$E$12,2,FALSE)</f>
        <v>Cal 14</v>
      </c>
      <c r="R1209" s="81">
        <f>+IF(P1209="ACERO A36",VLOOKUP(Q1209,'[3]Velocidades Std 1500 w'!$B$2:$F$15,5,FALSE),IF(P1209="INOXIDABLE",VLOOKUP(Q1209,'[3]Velocidades Std 1500 w'!$B$17:$F$28,5,FALSE),IF(P1209="ALUMINIO",VLOOKUP(Q1209,'[3]Velocidades Std 1500 w'!$B$30:$F$38,5,FALSE))))</f>
        <v>2.0080321285140564E-6</v>
      </c>
      <c r="S1209" s="82">
        <f t="shared" si="135"/>
        <v>1.0040160642570283E-2</v>
      </c>
      <c r="T1209" s="83">
        <f t="shared" si="136"/>
        <v>63.664824578313251</v>
      </c>
      <c r="U1209" s="307">
        <f t="shared" si="155"/>
        <v>8806.9673999999995</v>
      </c>
      <c r="V1209" s="80">
        <f t="shared" si="153"/>
        <v>88.423367469879523</v>
      </c>
      <c r="W1209" s="98">
        <v>50</v>
      </c>
      <c r="X1209" s="84">
        <f>+IF(P1209="ACERO A36",VLOOKUP(Q1209,'[3]Tiempo Objeto'!$B$2:$C$12,2,FALSE),IF(P1209="INOXIDABLE",VLOOKUP(Q1209,'[3]Tiempo Objeto'!$B$14:$C$22,2,FALSE),IF(P1209="ALUMINIO",VLOOKUP(Q1209,'[3]Tiempo Objeto'!$B$24:$C$32,2,FALSE))))</f>
        <v>0.3133333333333333</v>
      </c>
      <c r="Y1209" s="84">
        <f t="shared" si="137"/>
        <v>15.666666666666664</v>
      </c>
      <c r="Z1209" s="80">
        <f t="shared" si="138"/>
        <v>21.75925925925926</v>
      </c>
      <c r="AA1209" s="100">
        <v>6</v>
      </c>
      <c r="AB1209" s="86">
        <f>+AA1209*Analisis!$J$6</f>
        <v>150</v>
      </c>
      <c r="AC1209" s="100"/>
      <c r="AD1209" s="85">
        <f t="shared" si="139"/>
        <v>0</v>
      </c>
      <c r="AE1209" s="86">
        <f>+AC1209*Analisis!$J$7</f>
        <v>0</v>
      </c>
      <c r="AF1209" s="308">
        <f>+H1209*0.0254*I1209*0.0254*2*(1+[3]Analisis!$G$2)</f>
        <v>5.5448289103199988</v>
      </c>
      <c r="AG1209" s="86">
        <f>+AF1209*Analisis!$J$8</f>
        <v>590.7883184210001</v>
      </c>
      <c r="AH1209" s="309">
        <f t="shared" si="156"/>
        <v>2279.8069026501389</v>
      </c>
      <c r="AI1209" s="86">
        <f>+AH1209/(1-Analisis!G1214)</f>
        <v>2279.8069026501389</v>
      </c>
      <c r="AJ1209" s="86">
        <f t="shared" si="140"/>
        <v>2451.4052716668161</v>
      </c>
      <c r="AK1209" s="86">
        <f t="shared" si="157"/>
        <v>0</v>
      </c>
      <c r="AL1209" s="310" t="e">
        <f>+VLOOKUP(B1209,#REF!,2,FALSE)</f>
        <v>#REF!</v>
      </c>
      <c r="AM1209" s="311" t="e">
        <f t="shared" si="149"/>
        <v>#REF!</v>
      </c>
      <c r="AN1209" s="312" t="e">
        <f t="shared" si="148"/>
        <v>#REF!</v>
      </c>
    </row>
    <row r="1210" spans="1:40" s="73" customFormat="1" x14ac:dyDescent="0.25">
      <c r="A1210" s="313"/>
      <c r="B1210" s="333" t="s">
        <v>1832</v>
      </c>
      <c r="D1210" s="74">
        <f>IFERROR(VLOOKUP(B1210,'REQ. PINTADO'!B:C,2,0),0)</f>
        <v>0</v>
      </c>
      <c r="E1210" s="305">
        <f t="shared" si="133"/>
        <v>2905.6267871321184</v>
      </c>
      <c r="F1210" s="103" t="s">
        <v>165</v>
      </c>
      <c r="G1210" s="75" t="s">
        <v>147</v>
      </c>
      <c r="H1210" s="90">
        <v>88.97</v>
      </c>
      <c r="I1210" s="90">
        <v>46.64</v>
      </c>
      <c r="J1210" s="76">
        <v>0.105</v>
      </c>
      <c r="K1210" s="306">
        <v>16.38</v>
      </c>
      <c r="L1210" s="78">
        <f t="shared" si="134"/>
        <v>231.63947841880344</v>
      </c>
      <c r="M1210" s="58">
        <f>+VLOOKUP(F1210,Material!$H$2:$M$17,6,FALSE)*H1210*I1210*(1+Material!$K$14)</f>
        <v>1724.6612075</v>
      </c>
      <c r="N1210" s="79" t="str">
        <f t="shared" si="154"/>
        <v>T5.0</v>
      </c>
      <c r="O1210" s="80">
        <f>+VLOOKUP(N1210,[3]Material!$A$3:$B$58,2,FALSE)</f>
        <v>5000</v>
      </c>
      <c r="P1210" s="79" t="s">
        <v>42</v>
      </c>
      <c r="Q1210" s="79" t="str">
        <f>+VLOOKUP(F1210,[3]Material!$C$2:$E$12,2,FALSE)</f>
        <v>Cal 14</v>
      </c>
      <c r="R1210" s="81">
        <f>+IF(P1210="ACERO A36",VLOOKUP(Q1210,'[3]Velocidades Std 1500 w'!$B$2:$F$15,5,FALSE),IF(P1210="INOXIDABLE",VLOOKUP(Q1210,'[3]Velocidades Std 1500 w'!$B$17:$F$28,5,FALSE),IF(P1210="ALUMINIO",VLOOKUP(Q1210,'[3]Velocidades Std 1500 w'!$B$30:$F$38,5,FALSE))))</f>
        <v>2.0080321285140564E-6</v>
      </c>
      <c r="S1210" s="82">
        <f t="shared" si="135"/>
        <v>1.0040160642570283E-2</v>
      </c>
      <c r="T1210" s="83">
        <f t="shared" si="136"/>
        <v>66.749547469879516</v>
      </c>
      <c r="U1210" s="307">
        <f t="shared" si="155"/>
        <v>9233.6873999999989</v>
      </c>
      <c r="V1210" s="80">
        <f t="shared" si="153"/>
        <v>92.707704819277112</v>
      </c>
      <c r="W1210" s="98">
        <v>50</v>
      </c>
      <c r="X1210" s="84">
        <f>+IF(P1210="ACERO A36",VLOOKUP(Q1210,'[3]Tiempo Objeto'!$B$2:$C$12,2,FALSE),IF(P1210="INOXIDABLE",VLOOKUP(Q1210,'[3]Tiempo Objeto'!$B$14:$C$22,2,FALSE),IF(P1210="ALUMINIO",VLOOKUP(Q1210,'[3]Tiempo Objeto'!$B$24:$C$32,2,FALSE))))</f>
        <v>0.3133333333333333</v>
      </c>
      <c r="Y1210" s="84">
        <f t="shared" si="137"/>
        <v>15.666666666666664</v>
      </c>
      <c r="Z1210" s="80">
        <f t="shared" si="138"/>
        <v>21.75925925925926</v>
      </c>
      <c r="AA1210" s="100">
        <v>6</v>
      </c>
      <c r="AB1210" s="86">
        <f>+AA1210*Analisis!$J$6</f>
        <v>150</v>
      </c>
      <c r="AC1210" s="100"/>
      <c r="AD1210" s="85">
        <f t="shared" si="139"/>
        <v>0</v>
      </c>
      <c r="AE1210" s="86">
        <f>+AC1210*Analisis!$J$7</f>
        <v>0</v>
      </c>
      <c r="AF1210" s="308">
        <f>+H1210*0.0254*I1210*0.0254*2*(1+[3]Analisis!$G$2)</f>
        <v>6.6928266143199995</v>
      </c>
      <c r="AG1210" s="86">
        <f>+AF1210*Analisis!$J$8</f>
        <v>713.10474045433352</v>
      </c>
      <c r="AH1210" s="309">
        <f t="shared" si="156"/>
        <v>2702.23291203287</v>
      </c>
      <c r="AI1210" s="86">
        <f>+AH1210/(1-Analisis!G1215)</f>
        <v>2702.23291203287</v>
      </c>
      <c r="AJ1210" s="86">
        <f t="shared" si="140"/>
        <v>2905.6267871321184</v>
      </c>
      <c r="AK1210" s="86">
        <f t="shared" si="157"/>
        <v>0</v>
      </c>
      <c r="AL1210" s="310" t="e">
        <f>+VLOOKUP(B1210,#REF!,2,FALSE)</f>
        <v>#REF!</v>
      </c>
      <c r="AM1210" s="311" t="e">
        <f t="shared" si="149"/>
        <v>#REF!</v>
      </c>
      <c r="AN1210" s="312" t="e">
        <f t="shared" si="148"/>
        <v>#REF!</v>
      </c>
    </row>
    <row r="1211" spans="1:40" s="73" customFormat="1" x14ac:dyDescent="0.25">
      <c r="A1211" s="313"/>
      <c r="B1211" s="333" t="s">
        <v>1833</v>
      </c>
      <c r="D1211" s="74">
        <f>IFERROR(VLOOKUP(B1211,'REQ. PINTADO'!B:C,2,0),0)</f>
        <v>0</v>
      </c>
      <c r="E1211" s="305">
        <f t="shared" si="133"/>
        <v>3586.9590603300717</v>
      </c>
      <c r="F1211" s="103" t="s">
        <v>165</v>
      </c>
      <c r="G1211" s="75" t="s">
        <v>147</v>
      </c>
      <c r="H1211" s="90">
        <v>88.97</v>
      </c>
      <c r="I1211" s="90">
        <v>58.64</v>
      </c>
      <c r="J1211" s="76">
        <v>0.105</v>
      </c>
      <c r="K1211" s="306">
        <v>16.38</v>
      </c>
      <c r="L1211" s="78">
        <f t="shared" si="134"/>
        <v>291.23797200854705</v>
      </c>
      <c r="M1211" s="58">
        <f>+VLOOKUP(F1211,Material!$H$2:$M$17,6,FALSE)*H1211*I1211*(1+Material!$K$14)</f>
        <v>2168.3990825000001</v>
      </c>
      <c r="N1211" s="79" t="str">
        <f t="shared" si="154"/>
        <v>T5.0</v>
      </c>
      <c r="O1211" s="80">
        <f>+VLOOKUP(N1211,[3]Material!$A$3:$B$58,2,FALSE)</f>
        <v>5000</v>
      </c>
      <c r="P1211" s="79" t="s">
        <v>42</v>
      </c>
      <c r="Q1211" s="79" t="str">
        <f>+VLOOKUP(F1211,[3]Material!$C$2:$E$12,2,FALSE)</f>
        <v>Cal 14</v>
      </c>
      <c r="R1211" s="81">
        <f>+IF(P1211="ACERO A36",VLOOKUP(Q1211,'[3]Velocidades Std 1500 w'!$B$2:$F$15,5,FALSE),IF(P1211="INOXIDABLE",VLOOKUP(Q1211,'[3]Velocidades Std 1500 w'!$B$17:$F$28,5,FALSE),IF(P1211="ALUMINIO",VLOOKUP(Q1211,'[3]Velocidades Std 1500 w'!$B$30:$F$38,5,FALSE))))</f>
        <v>2.0080321285140564E-6</v>
      </c>
      <c r="S1211" s="82">
        <f t="shared" si="135"/>
        <v>1.0040160642570283E-2</v>
      </c>
      <c r="T1211" s="83">
        <f t="shared" si="136"/>
        <v>71.376631807228932</v>
      </c>
      <c r="U1211" s="307">
        <f t="shared" si="155"/>
        <v>9873.7674000000006</v>
      </c>
      <c r="V1211" s="80">
        <f t="shared" si="153"/>
        <v>99.134210843373523</v>
      </c>
      <c r="W1211" s="98">
        <v>50</v>
      </c>
      <c r="X1211" s="84">
        <f>+IF(P1211="ACERO A36",VLOOKUP(Q1211,'[3]Tiempo Objeto'!$B$2:$C$12,2,FALSE),IF(P1211="INOXIDABLE",VLOOKUP(Q1211,'[3]Tiempo Objeto'!$B$14:$C$22,2,FALSE),IF(P1211="ALUMINIO",VLOOKUP(Q1211,'[3]Tiempo Objeto'!$B$24:$C$32,2,FALSE))))</f>
        <v>0.3133333333333333</v>
      </c>
      <c r="Y1211" s="84">
        <f t="shared" si="137"/>
        <v>15.666666666666664</v>
      </c>
      <c r="Z1211" s="80">
        <f t="shared" si="138"/>
        <v>21.75925925925926</v>
      </c>
      <c r="AA1211" s="100">
        <v>6</v>
      </c>
      <c r="AB1211" s="86">
        <f>+AA1211*Analisis!$J$6</f>
        <v>150</v>
      </c>
      <c r="AC1211" s="100"/>
      <c r="AD1211" s="85">
        <f t="shared" si="139"/>
        <v>0</v>
      </c>
      <c r="AE1211" s="86">
        <f>+AC1211*Analisis!$J$7</f>
        <v>0</v>
      </c>
      <c r="AF1211" s="308">
        <f>+H1211*0.0254*I1211*0.0254*2*(1+[3]Analisis!$G$2)</f>
        <v>8.41482317032</v>
      </c>
      <c r="AG1211" s="86">
        <f>+AF1211*Analisis!$J$8</f>
        <v>896.5793735043336</v>
      </c>
      <c r="AH1211" s="309">
        <f t="shared" si="156"/>
        <v>3335.8719261069664</v>
      </c>
      <c r="AI1211" s="86">
        <f>+AH1211/(1-Analisis!G1216)</f>
        <v>3335.8719261069664</v>
      </c>
      <c r="AJ1211" s="86">
        <f t="shared" si="140"/>
        <v>3586.9590603300717</v>
      </c>
      <c r="AK1211" s="86">
        <f t="shared" si="157"/>
        <v>0</v>
      </c>
      <c r="AL1211" s="310" t="e">
        <f>+VLOOKUP(B1211,#REF!,2,FALSE)</f>
        <v>#REF!</v>
      </c>
      <c r="AM1211" s="311" t="e">
        <f t="shared" si="149"/>
        <v>#REF!</v>
      </c>
      <c r="AN1211" s="312" t="e">
        <f t="shared" si="148"/>
        <v>#REF!</v>
      </c>
    </row>
    <row r="1212" spans="1:40" s="73" customFormat="1" x14ac:dyDescent="0.25">
      <c r="A1212" s="313"/>
      <c r="B1212" s="333" t="s">
        <v>1834</v>
      </c>
      <c r="D1212" s="74">
        <f>IFERROR(VLOOKUP(B1212,'REQ. PINTADO'!B:C,2,0),0)</f>
        <v>0</v>
      </c>
      <c r="E1212" s="305">
        <f t="shared" si="133"/>
        <v>356.36941336637608</v>
      </c>
      <c r="F1212" s="103" t="s">
        <v>166</v>
      </c>
      <c r="G1212" s="75" t="s">
        <v>147</v>
      </c>
      <c r="H1212" s="90">
        <v>6.39</v>
      </c>
      <c r="I1212" s="90">
        <v>24.85</v>
      </c>
      <c r="J1212" s="76">
        <v>0.105</v>
      </c>
      <c r="K1212" s="306">
        <v>16.38</v>
      </c>
      <c r="L1212" s="78">
        <f t="shared" si="134"/>
        <v>4.8338282564620672</v>
      </c>
      <c r="M1212" s="58">
        <f>+VLOOKUP(F1212,Material!$H$2:$M$17,6,FALSE)*H1212*I1212*(1+Material!$K$14)</f>
        <v>35.990048564022111</v>
      </c>
      <c r="N1212" s="79" t="str">
        <f t="shared" si="154"/>
        <v>T5.0</v>
      </c>
      <c r="O1212" s="80">
        <f>+VLOOKUP(N1212,[3]Material!$A$3:$B$58,2,FALSE)</f>
        <v>5000</v>
      </c>
      <c r="P1212" s="79" t="s">
        <v>42</v>
      </c>
      <c r="Q1212" s="79" t="str">
        <f>+VLOOKUP(F1212,[3]Material!$C$2:$E$12,2,FALSE)</f>
        <v>Cal 16</v>
      </c>
      <c r="R1212" s="81">
        <f>+IF(P1212="ACERO A36",VLOOKUP(Q1212,'[3]Velocidades Std 1500 w'!$B$2:$F$15,5,FALSE),IF(P1212="INOXIDABLE",VLOOKUP(Q1212,'[3]Velocidades Std 1500 w'!$B$17:$F$28,5,FALSE),IF(P1212="ALUMINIO",VLOOKUP(Q1212,'[3]Velocidades Std 1500 w'!$B$30:$F$38,5,FALSE))))</f>
        <v>9.1575091575091579E-7</v>
      </c>
      <c r="S1212" s="82">
        <f t="shared" si="135"/>
        <v>4.578754578754579E-3</v>
      </c>
      <c r="T1212" s="83">
        <f t="shared" si="136"/>
        <v>8.1311261538461554</v>
      </c>
      <c r="U1212" s="307">
        <f t="shared" si="155"/>
        <v>2466.4416000000001</v>
      </c>
      <c r="V1212" s="80">
        <f t="shared" si="153"/>
        <v>11.293230769230771</v>
      </c>
      <c r="W1212" s="98">
        <v>20</v>
      </c>
      <c r="X1212" s="84">
        <f>+IF(P1212="ACERO A36",VLOOKUP(Q1212,'[3]Tiempo Objeto'!$B$2:$C$12,2,FALSE),IF(P1212="INOXIDABLE",VLOOKUP(Q1212,'[3]Tiempo Objeto'!$B$14:$C$22,2,FALSE),IF(P1212="ALUMINIO",VLOOKUP(Q1212,'[3]Tiempo Objeto'!$B$24:$C$32,2,FALSE))))</f>
        <v>0.24666666666666667</v>
      </c>
      <c r="Y1212" s="84">
        <f t="shared" si="137"/>
        <v>4.9333333333333336</v>
      </c>
      <c r="Z1212" s="80">
        <f t="shared" si="138"/>
        <v>6.8518518518518521</v>
      </c>
      <c r="AA1212" s="100">
        <v>10</v>
      </c>
      <c r="AB1212" s="86">
        <f>+AA1212*Analisis!$J$6</f>
        <v>250</v>
      </c>
      <c r="AC1212" s="100"/>
      <c r="AD1212" s="85">
        <f t="shared" si="139"/>
        <v>0</v>
      </c>
      <c r="AE1212" s="86">
        <f>+AC1212*Analisis!$J$7</f>
        <v>0</v>
      </c>
      <c r="AF1212" s="308">
        <f>+H1212*0.0254*I1212*0.0254*2*(1+[3]Analisis!$G$2)</f>
        <v>0.25611481035</v>
      </c>
      <c r="AG1212" s="86">
        <f>+AF1212*Analisis!$J$8</f>
        <v>27.288423245625008</v>
      </c>
      <c r="AH1212" s="309">
        <f t="shared" si="156"/>
        <v>331.42355443072972</v>
      </c>
      <c r="AI1212" s="86">
        <f>+AH1212/(1-Analisis!G1217)</f>
        <v>331.42355443072972</v>
      </c>
      <c r="AJ1212" s="86">
        <f t="shared" si="140"/>
        <v>356.36941336637608</v>
      </c>
      <c r="AK1212" s="86">
        <f t="shared" si="157"/>
        <v>0</v>
      </c>
      <c r="AL1212" s="310" t="e">
        <f>+VLOOKUP(B1212,#REF!,2,FALSE)</f>
        <v>#REF!</v>
      </c>
      <c r="AM1212" s="311" t="e">
        <f t="shared" si="149"/>
        <v>#REF!</v>
      </c>
      <c r="AN1212" s="312" t="e">
        <f t="shared" si="148"/>
        <v>#REF!</v>
      </c>
    </row>
    <row r="1213" spans="1:40" s="73" customFormat="1" x14ac:dyDescent="0.25">
      <c r="A1213" s="313"/>
      <c r="B1213" s="333" t="s">
        <v>1835</v>
      </c>
      <c r="D1213" s="74">
        <f>IFERROR(VLOOKUP(B1213,'REQ. PINTADO'!B:C,2,0),0)</f>
        <v>0</v>
      </c>
      <c r="E1213" s="305">
        <f t="shared" si="133"/>
        <v>336.86488331455092</v>
      </c>
      <c r="F1213" s="103" t="s">
        <v>166</v>
      </c>
      <c r="G1213" s="75" t="s">
        <v>147</v>
      </c>
      <c r="H1213" s="90">
        <v>6.39</v>
      </c>
      <c r="I1213" s="90">
        <v>18.350000000000001</v>
      </c>
      <c r="J1213" s="76">
        <v>0.105</v>
      </c>
      <c r="K1213" s="306">
        <v>16.38</v>
      </c>
      <c r="L1213" s="78">
        <f t="shared" si="134"/>
        <v>3.5694466199629349</v>
      </c>
      <c r="M1213" s="58">
        <f>+VLOOKUP(F1213,Material!$H$2:$M$17,6,FALSE)*H1213*I1213*(1+Material!$K$14)</f>
        <v>26.576152561360395</v>
      </c>
      <c r="N1213" s="79" t="str">
        <f t="shared" si="154"/>
        <v>T5.0</v>
      </c>
      <c r="O1213" s="80">
        <f>+VLOOKUP(N1213,[3]Material!$A$3:$B$58,2,FALSE)</f>
        <v>5000</v>
      </c>
      <c r="P1213" s="79" t="s">
        <v>42</v>
      </c>
      <c r="Q1213" s="79" t="str">
        <f>+VLOOKUP(F1213,[3]Material!$C$2:$E$12,2,FALSE)</f>
        <v>Cal 16</v>
      </c>
      <c r="R1213" s="81">
        <f>+IF(P1213="ACERO A36",VLOOKUP(Q1213,'[3]Velocidades Std 1500 w'!$B$2:$F$15,5,FALSE),IF(P1213="INOXIDABLE",VLOOKUP(Q1213,'[3]Velocidades Std 1500 w'!$B$17:$F$28,5,FALSE),IF(P1213="ALUMINIO",VLOOKUP(Q1213,'[3]Velocidades Std 1500 w'!$B$30:$F$38,5,FALSE))))</f>
        <v>9.1575091575091579E-7</v>
      </c>
      <c r="S1213" s="82">
        <f t="shared" si="135"/>
        <v>4.578754578754579E-3</v>
      </c>
      <c r="T1213" s="83">
        <f t="shared" si="136"/>
        <v>6.9881261538461548</v>
      </c>
      <c r="U1213" s="307">
        <f t="shared" si="155"/>
        <v>2119.7316000000001</v>
      </c>
      <c r="V1213" s="80">
        <f t="shared" si="153"/>
        <v>9.7057307692307706</v>
      </c>
      <c r="W1213" s="98">
        <v>20</v>
      </c>
      <c r="X1213" s="84">
        <f>+IF(P1213="ACERO A36",VLOOKUP(Q1213,'[3]Tiempo Objeto'!$B$2:$C$12,2,FALSE),IF(P1213="INOXIDABLE",VLOOKUP(Q1213,'[3]Tiempo Objeto'!$B$14:$C$22,2,FALSE),IF(P1213="ALUMINIO",VLOOKUP(Q1213,'[3]Tiempo Objeto'!$B$24:$C$32,2,FALSE))))</f>
        <v>0.24666666666666667</v>
      </c>
      <c r="Y1213" s="84">
        <f t="shared" si="137"/>
        <v>4.9333333333333336</v>
      </c>
      <c r="Z1213" s="80">
        <f t="shared" si="138"/>
        <v>6.8518518518518521</v>
      </c>
      <c r="AA1213" s="100">
        <v>10</v>
      </c>
      <c r="AB1213" s="86">
        <f>+AA1213*Analisis!$J$6</f>
        <v>250</v>
      </c>
      <c r="AC1213" s="100"/>
      <c r="AD1213" s="85">
        <f t="shared" si="139"/>
        <v>0</v>
      </c>
      <c r="AE1213" s="86">
        <f>+AC1213*Analisis!$J$7</f>
        <v>0</v>
      </c>
      <c r="AF1213" s="308">
        <f>+H1213*0.0254*I1213*0.0254*2*(1+[3]Analisis!$G$2)</f>
        <v>0.18912300884999997</v>
      </c>
      <c r="AG1213" s="86">
        <f>+AF1213*Analisis!$J$8</f>
        <v>20.15060630008929</v>
      </c>
      <c r="AH1213" s="309">
        <f t="shared" si="156"/>
        <v>313.28434148253234</v>
      </c>
      <c r="AI1213" s="86">
        <f>+AH1213/(1-Analisis!G1218)</f>
        <v>313.28434148253234</v>
      </c>
      <c r="AJ1213" s="86">
        <f t="shared" si="140"/>
        <v>336.86488331455092</v>
      </c>
      <c r="AK1213" s="86">
        <f t="shared" si="157"/>
        <v>0</v>
      </c>
      <c r="AL1213" s="310" t="e">
        <f>+VLOOKUP(B1213,#REF!,2,FALSE)</f>
        <v>#REF!</v>
      </c>
      <c r="AM1213" s="311" t="e">
        <f t="shared" si="149"/>
        <v>#REF!</v>
      </c>
      <c r="AN1213" s="312" t="e">
        <f t="shared" si="148"/>
        <v>#REF!</v>
      </c>
    </row>
    <row r="1214" spans="1:40" s="73" customFormat="1" x14ac:dyDescent="0.25">
      <c r="A1214" s="313"/>
      <c r="B1214" s="333" t="s">
        <v>1836</v>
      </c>
      <c r="D1214" s="74">
        <f>IFERROR(VLOOKUP(B1214,'REQ. PINTADO'!B:C,2,0),0)</f>
        <v>0</v>
      </c>
      <c r="E1214" s="305">
        <f t="shared" si="133"/>
        <v>482.88075201822193</v>
      </c>
      <c r="F1214" s="103" t="s">
        <v>165</v>
      </c>
      <c r="G1214" s="75" t="s">
        <v>147</v>
      </c>
      <c r="H1214" s="90">
        <v>28.97</v>
      </c>
      <c r="I1214" s="90">
        <v>9.98</v>
      </c>
      <c r="J1214" s="76">
        <v>0.105</v>
      </c>
      <c r="K1214" s="306">
        <v>16.38</v>
      </c>
      <c r="L1214" s="78">
        <f t="shared" si="134"/>
        <v>16.139477938034194</v>
      </c>
      <c r="M1214" s="58">
        <f>+VLOOKUP(F1214,Material!$H$2:$M$17,6,FALSE)*H1214*I1214*(1+Material!$K$14)</f>
        <v>120.16574937500002</v>
      </c>
      <c r="N1214" s="79" t="str">
        <f t="shared" si="154"/>
        <v>T5.0</v>
      </c>
      <c r="O1214" s="80">
        <f>+VLOOKUP(N1214,[3]Material!$A$3:$B$58,2,FALSE)</f>
        <v>5000</v>
      </c>
      <c r="P1214" s="79" t="s">
        <v>42</v>
      </c>
      <c r="Q1214" s="79" t="str">
        <f>+VLOOKUP(F1214,[3]Material!$C$2:$E$12,2,FALSE)</f>
        <v>Cal 14</v>
      </c>
      <c r="R1214" s="81">
        <f>+IF(P1214="ACERO A36",VLOOKUP(Q1214,'[3]Velocidades Std 1500 w'!$B$2:$F$15,5,FALSE),IF(P1214="INOXIDABLE",VLOOKUP(Q1214,'[3]Velocidades Std 1500 w'!$B$17:$F$28,5,FALSE),IF(P1214="ALUMINIO",VLOOKUP(Q1214,'[3]Velocidades Std 1500 w'!$B$30:$F$38,5,FALSE))))</f>
        <v>2.0080321285140564E-6</v>
      </c>
      <c r="S1214" s="82">
        <f t="shared" si="135"/>
        <v>1.0040160642570283E-2</v>
      </c>
      <c r="T1214" s="83">
        <f t="shared" si="136"/>
        <v>17.910672289156629</v>
      </c>
      <c r="U1214" s="307">
        <f t="shared" si="155"/>
        <v>2477.643</v>
      </c>
      <c r="V1214" s="80">
        <f t="shared" si="153"/>
        <v>24.875933734939764</v>
      </c>
      <c r="W1214" s="98">
        <v>10</v>
      </c>
      <c r="X1214" s="84">
        <f>+IF(P1214="ACERO A36",VLOOKUP(Q1214,'[3]Tiempo Objeto'!$B$2:$C$12,2,FALSE),IF(P1214="INOXIDABLE",VLOOKUP(Q1214,'[3]Tiempo Objeto'!$B$14:$C$22,2,FALSE),IF(P1214="ALUMINIO",VLOOKUP(Q1214,'[3]Tiempo Objeto'!$B$24:$C$32,2,FALSE))))</f>
        <v>0.3133333333333333</v>
      </c>
      <c r="Y1214" s="84">
        <f t="shared" si="137"/>
        <v>3.1333333333333329</v>
      </c>
      <c r="Z1214" s="80">
        <f t="shared" si="138"/>
        <v>4.3518518518518512</v>
      </c>
      <c r="AA1214" s="100">
        <v>10</v>
      </c>
      <c r="AB1214" s="86">
        <f>+AA1214*Analisis!$J$6</f>
        <v>250</v>
      </c>
      <c r="AC1214" s="100"/>
      <c r="AD1214" s="85">
        <f t="shared" si="139"/>
        <v>0</v>
      </c>
      <c r="AE1214" s="86">
        <f>+AC1214*Analisis!$J$7</f>
        <v>0</v>
      </c>
      <c r="AF1214" s="308">
        <f>+H1214*0.0254*I1214*0.0254*2*(1+[3]Analisis!$G$2)</f>
        <v>0.46632261574</v>
      </c>
      <c r="AG1214" s="86">
        <f>+AF1214*Analisis!$J$8</f>
        <v>49.685564415154779</v>
      </c>
      <c r="AH1214" s="309">
        <f t="shared" si="156"/>
        <v>449.07909937694637</v>
      </c>
      <c r="AI1214" s="86">
        <f>+AH1214/(1-Analisis!G1219)</f>
        <v>449.07909937694637</v>
      </c>
      <c r="AJ1214" s="86">
        <f t="shared" si="140"/>
        <v>482.88075201822193</v>
      </c>
      <c r="AK1214" s="86">
        <f t="shared" si="157"/>
        <v>0</v>
      </c>
      <c r="AL1214" s="310" t="e">
        <f>+VLOOKUP(B1214,#REF!,2,FALSE)</f>
        <v>#REF!</v>
      </c>
      <c r="AM1214" s="311" t="e">
        <f t="shared" si="149"/>
        <v>#REF!</v>
      </c>
      <c r="AN1214" s="312" t="e">
        <f t="shared" si="148"/>
        <v>#REF!</v>
      </c>
    </row>
    <row r="1215" spans="1:40" s="73" customFormat="1" x14ac:dyDescent="0.25">
      <c r="A1215" s="313"/>
      <c r="B1215" s="333" t="s">
        <v>1837</v>
      </c>
      <c r="D1215" s="74">
        <f>IFERROR(VLOOKUP(B1215,'REQ. PINTADO'!B:C,2,0),0)</f>
        <v>0</v>
      </c>
      <c r="E1215" s="305">
        <f t="shared" si="133"/>
        <v>438.15970920016787</v>
      </c>
      <c r="F1215" s="103" t="s">
        <v>165</v>
      </c>
      <c r="G1215" s="75" t="s">
        <v>147</v>
      </c>
      <c r="H1215" s="90">
        <v>22.47</v>
      </c>
      <c r="I1215" s="90">
        <v>9.98</v>
      </c>
      <c r="J1215" s="76">
        <v>0.105</v>
      </c>
      <c r="K1215" s="306">
        <v>16.38</v>
      </c>
      <c r="L1215" s="78">
        <f t="shared" si="134"/>
        <v>12.518262660256411</v>
      </c>
      <c r="M1215" s="58">
        <f>+VLOOKUP(F1215,Material!$H$2:$M$17,6,FALSE)*H1215*I1215*(1+Material!$K$14)</f>
        <v>93.204155624999999</v>
      </c>
      <c r="N1215" s="79" t="str">
        <f t="shared" si="154"/>
        <v>T5.0</v>
      </c>
      <c r="O1215" s="80">
        <f>+VLOOKUP(N1215,[3]Material!$A$3:$B$58,2,FALSE)</f>
        <v>5000</v>
      </c>
      <c r="P1215" s="79" t="s">
        <v>42</v>
      </c>
      <c r="Q1215" s="79" t="str">
        <f>+VLOOKUP(F1215,[3]Material!$C$2:$E$12,2,FALSE)</f>
        <v>Cal 14</v>
      </c>
      <c r="R1215" s="81">
        <f>+IF(P1215="ACERO A36",VLOOKUP(Q1215,'[3]Velocidades Std 1500 w'!$B$2:$F$15,5,FALSE),IF(P1215="INOXIDABLE",VLOOKUP(Q1215,'[3]Velocidades Std 1500 w'!$B$17:$F$28,5,FALSE),IF(P1215="ALUMINIO",VLOOKUP(Q1215,'[3]Velocidades Std 1500 w'!$B$30:$F$38,5,FALSE))))</f>
        <v>2.0080321285140564E-6</v>
      </c>
      <c r="S1215" s="82">
        <f t="shared" si="135"/>
        <v>1.0040160642570283E-2</v>
      </c>
      <c r="T1215" s="83">
        <f t="shared" si="136"/>
        <v>15.404334939759039</v>
      </c>
      <c r="U1215" s="307">
        <f t="shared" si="155"/>
        <v>2130.933</v>
      </c>
      <c r="V1215" s="80">
        <f t="shared" si="153"/>
        <v>21.394909638554221</v>
      </c>
      <c r="W1215" s="98">
        <v>10</v>
      </c>
      <c r="X1215" s="84">
        <f>+IF(P1215="ACERO A36",VLOOKUP(Q1215,'[3]Tiempo Objeto'!$B$2:$C$12,2,FALSE),IF(P1215="INOXIDABLE",VLOOKUP(Q1215,'[3]Tiempo Objeto'!$B$14:$C$22,2,FALSE),IF(P1215="ALUMINIO",VLOOKUP(Q1215,'[3]Tiempo Objeto'!$B$24:$C$32,2,FALSE))))</f>
        <v>0.3133333333333333</v>
      </c>
      <c r="Y1215" s="84">
        <f t="shared" si="137"/>
        <v>3.1333333333333329</v>
      </c>
      <c r="Z1215" s="80">
        <f t="shared" si="138"/>
        <v>4.3518518518518512</v>
      </c>
      <c r="AA1215" s="100">
        <v>10</v>
      </c>
      <c r="AB1215" s="86">
        <f>+AA1215*Analisis!$J$6</f>
        <v>250</v>
      </c>
      <c r="AC1215" s="100"/>
      <c r="AD1215" s="85">
        <f t="shared" si="139"/>
        <v>0</v>
      </c>
      <c r="AE1215" s="86">
        <f>+AC1215*Analisis!$J$7</f>
        <v>0</v>
      </c>
      <c r="AF1215" s="308">
        <f>+H1215*0.0254*I1215*0.0254*2*(1+[3]Analisis!$G$2)</f>
        <v>0.36169379273999996</v>
      </c>
      <c r="AG1215" s="86">
        <f>+AF1215*Analisis!$J$8</f>
        <v>38.53761244075001</v>
      </c>
      <c r="AH1215" s="309">
        <f t="shared" si="156"/>
        <v>407.4885295561561</v>
      </c>
      <c r="AI1215" s="86">
        <f>+AH1215/(1-Analisis!G1220)</f>
        <v>407.4885295561561</v>
      </c>
      <c r="AJ1215" s="86">
        <f t="shared" si="140"/>
        <v>438.15970920016787</v>
      </c>
      <c r="AK1215" s="86">
        <f t="shared" si="157"/>
        <v>0</v>
      </c>
      <c r="AL1215" s="310" t="e">
        <f>+VLOOKUP(B1215,#REF!,2,FALSE)</f>
        <v>#REF!</v>
      </c>
      <c r="AM1215" s="311" t="e">
        <f t="shared" si="149"/>
        <v>#REF!</v>
      </c>
      <c r="AN1215" s="312" t="e">
        <f t="shared" si="148"/>
        <v>#REF!</v>
      </c>
    </row>
    <row r="1216" spans="1:40" s="73" customFormat="1" x14ac:dyDescent="0.25">
      <c r="A1216" s="313"/>
      <c r="B1216" s="333" t="s">
        <v>1838</v>
      </c>
      <c r="D1216" s="74">
        <f>IFERROR(VLOOKUP(B1216,'REQ. PINTADO'!B:C,2,0),0)</f>
        <v>0</v>
      </c>
      <c r="E1216" s="305">
        <f t="shared" si="133"/>
        <v>730.97146832289491</v>
      </c>
      <c r="F1216" s="397" t="s">
        <v>163</v>
      </c>
      <c r="G1216" s="75" t="s">
        <v>147</v>
      </c>
      <c r="H1216" s="90">
        <v>5.7</v>
      </c>
      <c r="I1216" s="90">
        <v>70</v>
      </c>
      <c r="J1216" s="76">
        <v>0.105</v>
      </c>
      <c r="K1216" s="306">
        <v>16.38</v>
      </c>
      <c r="L1216" s="78">
        <f t="shared" si="134"/>
        <v>20.115699597048618</v>
      </c>
      <c r="M1216" s="58">
        <f>+VLOOKUP(F1216,Material!$H$2:$M$17,6,FALSE)*H1216*I1216*(1+Material!$K$14)</f>
        <v>149.77052699984378</v>
      </c>
      <c r="N1216" s="79" t="str">
        <f t="shared" si="154"/>
        <v>T5.0</v>
      </c>
      <c r="O1216" s="80">
        <f>+VLOOKUP(N1216,[3]Material!$A$3:$B$58,2,FALSE)</f>
        <v>5000</v>
      </c>
      <c r="P1216" s="79" t="s">
        <v>42</v>
      </c>
      <c r="Q1216" s="79" t="str">
        <f>+VLOOKUP(F1216,[3]Material!$C$2:$E$12,2,FALSE)</f>
        <v>Cal 12</v>
      </c>
      <c r="R1216" s="81">
        <f>+IF(P1216="ACERO A36",VLOOKUP(Q1216,'[3]Velocidades Std 1500 w'!$B$2:$F$15,5,FALSE),IF(P1216="INOXIDABLE",VLOOKUP(Q1216,'[3]Velocidades Std 1500 w'!$B$17:$F$28,5,FALSE),IF(P1216="ALUMINIO",VLOOKUP(Q1216,'[3]Velocidades Std 1500 w'!$B$30:$F$38,5,FALSE))))</f>
        <v>4.3859649122807014E-6</v>
      </c>
      <c r="S1216" s="82">
        <f t="shared" si="135"/>
        <v>2.1929824561403508E-2</v>
      </c>
      <c r="T1216" s="83">
        <f t="shared" si="136"/>
        <v>126.92112631578945</v>
      </c>
      <c r="U1216" s="307">
        <f t="shared" si="155"/>
        <v>8038.3379999999988</v>
      </c>
      <c r="V1216" s="80">
        <f t="shared" si="153"/>
        <v>176.27934210526311</v>
      </c>
      <c r="W1216" s="98">
        <v>100</v>
      </c>
      <c r="X1216" s="84">
        <f>+IF(P1216="ACERO A36",VLOOKUP(Q1216,'[3]Tiempo Objeto'!$B$2:$C$12,2,FALSE),IF(P1216="INOXIDABLE",VLOOKUP(Q1216,'[3]Tiempo Objeto'!$B$14:$C$22,2,FALSE),IF(P1216="ALUMINIO",VLOOKUP(Q1216,'[3]Tiempo Objeto'!$B$24:$C$32,2,FALSE))))</f>
        <v>0.6133333333333334</v>
      </c>
      <c r="Y1216" s="84">
        <f t="shared" si="137"/>
        <v>61.333333333333343</v>
      </c>
      <c r="Z1216" s="80">
        <f t="shared" si="138"/>
        <v>85.18518518518519</v>
      </c>
      <c r="AA1216" s="100">
        <v>8</v>
      </c>
      <c r="AB1216" s="86">
        <f>+AA1216*Analisis!$J$6</f>
        <v>200</v>
      </c>
      <c r="AC1216" s="100"/>
      <c r="AD1216" s="85">
        <f t="shared" si="139"/>
        <v>0</v>
      </c>
      <c r="AE1216" s="86">
        <f>+AC1216*Analisis!$J$7</f>
        <v>0</v>
      </c>
      <c r="AF1216" s="308">
        <f>+H1216*0.0254*I1216*0.0254*2*(1+[3]Analisis!$G$2)</f>
        <v>0.64354709999999993</v>
      </c>
      <c r="AG1216" s="86">
        <f>+AF1216*Analisis!$J$8</f>
        <v>68.568411250000011</v>
      </c>
      <c r="AH1216" s="309">
        <f t="shared" si="156"/>
        <v>679.80346554029222</v>
      </c>
      <c r="AI1216" s="86">
        <f>+AH1216/(1-Analisis!G1221)</f>
        <v>679.80346554029222</v>
      </c>
      <c r="AJ1216" s="86">
        <f t="shared" si="140"/>
        <v>730.97146832289491</v>
      </c>
      <c r="AK1216" s="86">
        <f t="shared" si="157"/>
        <v>0</v>
      </c>
      <c r="AL1216" s="310" t="e">
        <f>+VLOOKUP(B1216,#REF!,2,FALSE)</f>
        <v>#REF!</v>
      </c>
      <c r="AM1216" s="311" t="e">
        <f t="shared" si="149"/>
        <v>#REF!</v>
      </c>
      <c r="AN1216" s="312" t="e">
        <f t="shared" si="148"/>
        <v>#REF!</v>
      </c>
    </row>
    <row r="1217" spans="1:40" s="73" customFormat="1" x14ac:dyDescent="0.25">
      <c r="A1217" s="313"/>
      <c r="B1217" s="333" t="s">
        <v>1839</v>
      </c>
      <c r="D1217" s="74">
        <f>IFERROR(VLOOKUP(B1217,'REQ. PINTADO'!B:C,2,0),0)</f>
        <v>0</v>
      </c>
      <c r="E1217" s="305">
        <f t="shared" si="133"/>
        <v>823.20511415921192</v>
      </c>
      <c r="F1217" s="397" t="s">
        <v>163</v>
      </c>
      <c r="G1217" s="75" t="s">
        <v>147</v>
      </c>
      <c r="H1217" s="90">
        <v>5.7</v>
      </c>
      <c r="I1217" s="90">
        <v>90</v>
      </c>
      <c r="J1217" s="76">
        <v>0.105</v>
      </c>
      <c r="K1217" s="306">
        <v>16.38</v>
      </c>
      <c r="L1217" s="78">
        <f t="shared" si="134"/>
        <v>25.86304233906251</v>
      </c>
      <c r="M1217" s="58">
        <f>+VLOOKUP(F1217,Material!$H$2:$M$17,6,FALSE)*H1217*I1217*(1+Material!$K$14)</f>
        <v>192.56210614265629</v>
      </c>
      <c r="N1217" s="79" t="str">
        <f t="shared" si="154"/>
        <v>T5.0</v>
      </c>
      <c r="O1217" s="80">
        <f>+VLOOKUP(N1217,[3]Material!$A$3:$B$58,2,FALSE)</f>
        <v>5000</v>
      </c>
      <c r="P1217" s="79" t="s">
        <v>42</v>
      </c>
      <c r="Q1217" s="79" t="str">
        <f>+VLOOKUP(F1217,[3]Material!$C$2:$E$12,2,FALSE)</f>
        <v>Cal 12</v>
      </c>
      <c r="R1217" s="81">
        <f>+IF(P1217="ACERO A36",VLOOKUP(Q1217,'[3]Velocidades Std 1500 w'!$B$2:$F$15,5,FALSE),IF(P1217="INOXIDABLE",VLOOKUP(Q1217,'[3]Velocidades Std 1500 w'!$B$17:$F$28,5,FALSE),IF(P1217="ALUMINIO",VLOOKUP(Q1217,'[3]Velocidades Std 1500 w'!$B$30:$F$38,5,FALSE))))</f>
        <v>4.3859649122807014E-6</v>
      </c>
      <c r="S1217" s="82">
        <f t="shared" si="135"/>
        <v>2.1929824561403508E-2</v>
      </c>
      <c r="T1217" s="83">
        <f t="shared" si="136"/>
        <v>143.76533684210526</v>
      </c>
      <c r="U1217" s="307">
        <f t="shared" si="155"/>
        <v>9105.137999999999</v>
      </c>
      <c r="V1217" s="80">
        <f t="shared" si="153"/>
        <v>199.6740789473684</v>
      </c>
      <c r="W1217" s="98">
        <v>100</v>
      </c>
      <c r="X1217" s="84">
        <f>+IF(P1217="ACERO A36",VLOOKUP(Q1217,'[3]Tiempo Objeto'!$B$2:$C$12,2,FALSE),IF(P1217="INOXIDABLE",VLOOKUP(Q1217,'[3]Tiempo Objeto'!$B$14:$C$22,2,FALSE),IF(P1217="ALUMINIO",VLOOKUP(Q1217,'[3]Tiempo Objeto'!$B$24:$C$32,2,FALSE))))</f>
        <v>0.6133333333333334</v>
      </c>
      <c r="Y1217" s="84">
        <f t="shared" si="137"/>
        <v>61.333333333333343</v>
      </c>
      <c r="Z1217" s="80">
        <f t="shared" si="138"/>
        <v>85.18518518518519</v>
      </c>
      <c r="AA1217" s="100">
        <v>8</v>
      </c>
      <c r="AB1217" s="86">
        <f>+AA1217*Analisis!$J$6</f>
        <v>200</v>
      </c>
      <c r="AC1217" s="100"/>
      <c r="AD1217" s="85">
        <f t="shared" si="139"/>
        <v>0</v>
      </c>
      <c r="AE1217" s="86">
        <f>+AC1217*Analisis!$J$7</f>
        <v>0</v>
      </c>
      <c r="AF1217" s="308">
        <f>+H1217*0.0254*I1217*0.0254*2*(1+[3]Analisis!$G$2)</f>
        <v>0.82741769999999992</v>
      </c>
      <c r="AG1217" s="86">
        <f>+AF1217*Analisis!$J$8</f>
        <v>88.159385892857159</v>
      </c>
      <c r="AH1217" s="309">
        <f t="shared" si="156"/>
        <v>765.58075616806707</v>
      </c>
      <c r="AI1217" s="86">
        <f>+AH1217/(1-Analisis!G1222)</f>
        <v>765.58075616806707</v>
      </c>
      <c r="AJ1217" s="86">
        <f t="shared" si="140"/>
        <v>823.20511415921192</v>
      </c>
      <c r="AK1217" s="86">
        <f t="shared" si="157"/>
        <v>0</v>
      </c>
      <c r="AL1217" s="310" t="e">
        <f>+VLOOKUP(B1217,#REF!,2,FALSE)</f>
        <v>#REF!</v>
      </c>
      <c r="AM1217" s="311" t="e">
        <f t="shared" si="149"/>
        <v>#REF!</v>
      </c>
      <c r="AN1217" s="312" t="e">
        <f t="shared" si="148"/>
        <v>#REF!</v>
      </c>
    </row>
    <row r="1218" spans="1:40" s="73" customFormat="1" x14ac:dyDescent="0.25">
      <c r="A1218" s="313"/>
      <c r="B1218" s="333" t="s">
        <v>1840</v>
      </c>
      <c r="D1218" s="74">
        <f>IFERROR(VLOOKUP(B1218,'REQ. PINTADO'!B:C,2,0),0)</f>
        <v>0</v>
      </c>
      <c r="E1218" s="305">
        <f t="shared" si="133"/>
        <v>744.98185394785025</v>
      </c>
      <c r="F1218" s="103" t="s">
        <v>165</v>
      </c>
      <c r="G1218" s="75" t="s">
        <v>147</v>
      </c>
      <c r="H1218" s="90">
        <v>15.6</v>
      </c>
      <c r="I1218" s="90">
        <v>48.22</v>
      </c>
      <c r="J1218" s="76">
        <v>0.105</v>
      </c>
      <c r="K1218" s="306">
        <v>16.38</v>
      </c>
      <c r="L1218" s="78">
        <f t="shared" si="134"/>
        <v>41.991583333333345</v>
      </c>
      <c r="M1218" s="58">
        <f>+VLOOKUP(F1218,Material!$H$2:$M$17,6,FALSE)*H1218*I1218*(1+Material!$K$14)</f>
        <v>312.64642500000002</v>
      </c>
      <c r="N1218" s="79" t="str">
        <f t="shared" si="154"/>
        <v>T5.0</v>
      </c>
      <c r="O1218" s="80">
        <f>+VLOOKUP(N1218,[3]Material!$A$3:$B$58,2,FALSE)</f>
        <v>5000</v>
      </c>
      <c r="P1218" s="79" t="s">
        <v>42</v>
      </c>
      <c r="Q1218" s="79" t="str">
        <f>+VLOOKUP(F1218,[3]Material!$C$2:$E$12,2,FALSE)</f>
        <v>Cal 14</v>
      </c>
      <c r="R1218" s="81">
        <f>+IF(P1218="ACERO A36",VLOOKUP(Q1218,'[3]Velocidades Std 1500 w'!$B$2:$F$15,5,FALSE),IF(P1218="INOXIDABLE",VLOOKUP(Q1218,'[3]Velocidades Std 1500 w'!$B$17:$F$28,5,FALSE),IF(P1218="ALUMINIO",VLOOKUP(Q1218,'[3]Velocidades Std 1500 w'!$B$30:$F$38,5,FALSE))))</f>
        <v>2.0080321285140564E-6</v>
      </c>
      <c r="S1218" s="82">
        <f t="shared" si="135"/>
        <v>1.0040160642570283E-2</v>
      </c>
      <c r="T1218" s="83">
        <f t="shared" si="136"/>
        <v>30.392232289156631</v>
      </c>
      <c r="U1218" s="307">
        <f t="shared" si="155"/>
        <v>4204.2587999999996</v>
      </c>
      <c r="V1218" s="80">
        <f t="shared" si="153"/>
        <v>42.21143373493976</v>
      </c>
      <c r="W1218" s="98">
        <v>20</v>
      </c>
      <c r="X1218" s="84">
        <f>+IF(P1218="ACERO A36",VLOOKUP(Q1218,'[3]Tiempo Objeto'!$B$2:$C$12,2,FALSE),IF(P1218="INOXIDABLE",VLOOKUP(Q1218,'[3]Tiempo Objeto'!$B$14:$C$22,2,FALSE),IF(P1218="ALUMINIO",VLOOKUP(Q1218,'[3]Tiempo Objeto'!$B$24:$C$32,2,FALSE))))</f>
        <v>0.3133333333333333</v>
      </c>
      <c r="Y1218" s="84">
        <f t="shared" si="137"/>
        <v>6.2666666666666657</v>
      </c>
      <c r="Z1218" s="80">
        <f t="shared" si="138"/>
        <v>8.7037037037037024</v>
      </c>
      <c r="AA1218" s="100">
        <v>8</v>
      </c>
      <c r="AB1218" s="86">
        <f>+AA1218*Analisis!$J$6</f>
        <v>200</v>
      </c>
      <c r="AC1218" s="100"/>
      <c r="AD1218" s="85">
        <f t="shared" si="139"/>
        <v>0</v>
      </c>
      <c r="AE1218" s="86">
        <f>+AC1218*Analisis!$J$7</f>
        <v>0</v>
      </c>
      <c r="AF1218" s="308">
        <f>+H1218*0.0254*I1218*0.0254*2*(1+[3]Analisis!$G$2)</f>
        <v>1.2132749927999997</v>
      </c>
      <c r="AG1218" s="86">
        <f>+AF1218*Analisis!$J$8</f>
        <v>129.27156173285715</v>
      </c>
      <c r="AH1218" s="309">
        <f t="shared" si="156"/>
        <v>692.83312417150069</v>
      </c>
      <c r="AI1218" s="86">
        <f>+AH1218/(1-Analisis!G1223)</f>
        <v>692.83312417150069</v>
      </c>
      <c r="AJ1218" s="86">
        <f t="shared" si="140"/>
        <v>744.98185394785025</v>
      </c>
      <c r="AK1218" s="86">
        <f t="shared" si="157"/>
        <v>0</v>
      </c>
      <c r="AL1218" s="310" t="e">
        <f>+VLOOKUP(B1218,#REF!,2,FALSE)</f>
        <v>#REF!</v>
      </c>
      <c r="AM1218" s="311" t="e">
        <f t="shared" si="149"/>
        <v>#REF!</v>
      </c>
      <c r="AN1218" s="312" t="e">
        <f t="shared" si="148"/>
        <v>#REF!</v>
      </c>
    </row>
    <row r="1219" spans="1:40" s="73" customFormat="1" x14ac:dyDescent="0.25">
      <c r="A1219" s="313"/>
      <c r="B1219" s="333" t="s">
        <v>1841</v>
      </c>
      <c r="D1219" s="74">
        <f>IFERROR(VLOOKUP(B1219,'REQ. PINTADO'!B:C,2,0),0)</f>
        <v>0</v>
      </c>
      <c r="E1219" s="305">
        <f t="shared" si="133"/>
        <v>931.19874582716466</v>
      </c>
      <c r="F1219" s="103" t="s">
        <v>165</v>
      </c>
      <c r="G1219" s="75" t="s">
        <v>147</v>
      </c>
      <c r="H1219" s="90">
        <v>21.6</v>
      </c>
      <c r="I1219" s="90">
        <v>48.22</v>
      </c>
      <c r="J1219" s="76">
        <v>0.105</v>
      </c>
      <c r="K1219" s="306">
        <v>16.38</v>
      </c>
      <c r="L1219" s="78">
        <f t="shared" si="134"/>
        <v>58.142192307692319</v>
      </c>
      <c r="M1219" s="58">
        <f>+VLOOKUP(F1219,Material!$H$2:$M$17,6,FALSE)*H1219*I1219*(1+Material!$K$14)</f>
        <v>432.89505000000003</v>
      </c>
      <c r="N1219" s="79" t="str">
        <f t="shared" si="154"/>
        <v>T5.0</v>
      </c>
      <c r="O1219" s="80">
        <f>+VLOOKUP(N1219,[3]Material!$A$3:$B$58,2,FALSE)</f>
        <v>5000</v>
      </c>
      <c r="P1219" s="79" t="s">
        <v>42</v>
      </c>
      <c r="Q1219" s="79" t="str">
        <f>+VLOOKUP(F1219,[3]Material!$C$2:$E$12,2,FALSE)</f>
        <v>Cal 14</v>
      </c>
      <c r="R1219" s="81">
        <f>+IF(P1219="ACERO A36",VLOOKUP(Q1219,'[3]Velocidades Std 1500 w'!$B$2:$F$15,5,FALSE),IF(P1219="INOXIDABLE",VLOOKUP(Q1219,'[3]Velocidades Std 1500 w'!$B$17:$F$28,5,FALSE),IF(P1219="ALUMINIO",VLOOKUP(Q1219,'[3]Velocidades Std 1500 w'!$B$30:$F$38,5,FALSE))))</f>
        <v>2.0080321285140564E-6</v>
      </c>
      <c r="S1219" s="82">
        <f t="shared" si="135"/>
        <v>1.0040160642570283E-2</v>
      </c>
      <c r="T1219" s="83">
        <f t="shared" si="136"/>
        <v>32.705774457831325</v>
      </c>
      <c r="U1219" s="307">
        <f t="shared" si="155"/>
        <v>4524.2987999999996</v>
      </c>
      <c r="V1219" s="80">
        <f t="shared" si="153"/>
        <v>45.424686746987952</v>
      </c>
      <c r="W1219" s="98">
        <v>20</v>
      </c>
      <c r="X1219" s="84">
        <f>+IF(P1219="ACERO A36",VLOOKUP(Q1219,'[3]Tiempo Objeto'!$B$2:$C$12,2,FALSE),IF(P1219="INOXIDABLE",VLOOKUP(Q1219,'[3]Tiempo Objeto'!$B$14:$C$22,2,FALSE),IF(P1219="ALUMINIO",VLOOKUP(Q1219,'[3]Tiempo Objeto'!$B$24:$C$32,2,FALSE))))</f>
        <v>0.3133333333333333</v>
      </c>
      <c r="Y1219" s="84">
        <f t="shared" si="137"/>
        <v>6.2666666666666657</v>
      </c>
      <c r="Z1219" s="80">
        <f t="shared" si="138"/>
        <v>8.7037037037037024</v>
      </c>
      <c r="AA1219" s="100">
        <v>8</v>
      </c>
      <c r="AB1219" s="86">
        <f>+AA1219*Analisis!$J$6</f>
        <v>200</v>
      </c>
      <c r="AC1219" s="100"/>
      <c r="AD1219" s="85">
        <f t="shared" si="139"/>
        <v>0</v>
      </c>
      <c r="AE1219" s="86">
        <f>+AC1219*Analisis!$J$7</f>
        <v>0</v>
      </c>
      <c r="AF1219" s="308">
        <f>+H1219*0.0254*I1219*0.0254*2*(1+[3]Analisis!$G$2)</f>
        <v>1.6799192208</v>
      </c>
      <c r="AG1219" s="86">
        <f>+AF1219*Analisis!$J$8</f>
        <v>178.99139316857148</v>
      </c>
      <c r="AH1219" s="309">
        <f t="shared" si="156"/>
        <v>866.01483361926307</v>
      </c>
      <c r="AI1219" s="86">
        <f>+AH1219/(1-Analisis!G1224)</f>
        <v>866.01483361926307</v>
      </c>
      <c r="AJ1219" s="86">
        <f t="shared" si="140"/>
        <v>931.19874582716466</v>
      </c>
      <c r="AK1219" s="86">
        <f t="shared" si="157"/>
        <v>0</v>
      </c>
      <c r="AL1219" s="310" t="e">
        <f>+VLOOKUP(B1219,#REF!,2,FALSE)</f>
        <v>#REF!</v>
      </c>
      <c r="AM1219" s="311" t="e">
        <f t="shared" si="149"/>
        <v>#REF!</v>
      </c>
      <c r="AN1219" s="312" t="e">
        <f t="shared" si="148"/>
        <v>#REF!</v>
      </c>
    </row>
    <row r="1220" spans="1:40" s="73" customFormat="1" x14ac:dyDescent="0.25">
      <c r="A1220" s="313"/>
      <c r="B1220" s="333" t="s">
        <v>1842</v>
      </c>
      <c r="D1220" s="74">
        <f>IFERROR(VLOOKUP(B1220,'REQ. PINTADO'!B:C,2,0),0)</f>
        <v>0</v>
      </c>
      <c r="E1220" s="305">
        <f t="shared" si="133"/>
        <v>1303.6325295857939</v>
      </c>
      <c r="F1220" s="103" t="s">
        <v>165</v>
      </c>
      <c r="G1220" s="75" t="s">
        <v>147</v>
      </c>
      <c r="H1220" s="90">
        <v>33.6</v>
      </c>
      <c r="I1220" s="90">
        <v>48.22</v>
      </c>
      <c r="J1220" s="76">
        <v>0.105</v>
      </c>
      <c r="K1220" s="306">
        <v>16.38</v>
      </c>
      <c r="L1220" s="78">
        <f t="shared" si="134"/>
        <v>90.443410256410274</v>
      </c>
      <c r="M1220" s="58">
        <f>+VLOOKUP(F1220,Material!$H$2:$M$17,6,FALSE)*H1220*I1220*(1+Material!$K$14)</f>
        <v>673.39230000000009</v>
      </c>
      <c r="N1220" s="79" t="str">
        <f t="shared" ref="N1220:N1283" si="158">+N1219</f>
        <v>T5.0</v>
      </c>
      <c r="O1220" s="80">
        <f>+VLOOKUP(N1220,[3]Material!$A$3:$B$58,2,FALSE)</f>
        <v>5000</v>
      </c>
      <c r="P1220" s="79" t="s">
        <v>42</v>
      </c>
      <c r="Q1220" s="79" t="str">
        <f>+VLOOKUP(F1220,[3]Material!$C$2:$E$12,2,FALSE)</f>
        <v>Cal 14</v>
      </c>
      <c r="R1220" s="81">
        <f>+IF(P1220="ACERO A36",VLOOKUP(Q1220,'[3]Velocidades Std 1500 w'!$B$2:$F$15,5,FALSE),IF(P1220="INOXIDABLE",VLOOKUP(Q1220,'[3]Velocidades Std 1500 w'!$B$17:$F$28,5,FALSE),IF(P1220="ALUMINIO",VLOOKUP(Q1220,'[3]Velocidades Std 1500 w'!$B$30:$F$38,5,FALSE))))</f>
        <v>2.0080321285140564E-6</v>
      </c>
      <c r="S1220" s="82">
        <f t="shared" si="135"/>
        <v>1.0040160642570283E-2</v>
      </c>
      <c r="T1220" s="83">
        <f t="shared" si="136"/>
        <v>37.332858795180719</v>
      </c>
      <c r="U1220" s="307">
        <f t="shared" si="155"/>
        <v>5164.3787999999995</v>
      </c>
      <c r="V1220" s="80">
        <f t="shared" si="153"/>
        <v>51.851192771084342</v>
      </c>
      <c r="W1220" s="98">
        <v>20</v>
      </c>
      <c r="X1220" s="84">
        <f>+IF(P1220="ACERO A36",VLOOKUP(Q1220,'[3]Tiempo Objeto'!$B$2:$C$12,2,FALSE),IF(P1220="INOXIDABLE",VLOOKUP(Q1220,'[3]Tiempo Objeto'!$B$14:$C$22,2,FALSE),IF(P1220="ALUMINIO",VLOOKUP(Q1220,'[3]Tiempo Objeto'!$B$24:$C$32,2,FALSE))))</f>
        <v>0.3133333333333333</v>
      </c>
      <c r="Y1220" s="84">
        <f t="shared" si="137"/>
        <v>6.2666666666666657</v>
      </c>
      <c r="Z1220" s="80">
        <f t="shared" si="138"/>
        <v>8.7037037037037024</v>
      </c>
      <c r="AA1220" s="100">
        <v>8</v>
      </c>
      <c r="AB1220" s="86">
        <f>+AA1220*Analisis!$J$6</f>
        <v>200</v>
      </c>
      <c r="AC1220" s="100"/>
      <c r="AD1220" s="85">
        <f t="shared" si="139"/>
        <v>0</v>
      </c>
      <c r="AE1220" s="86">
        <f>+AC1220*Analisis!$J$7</f>
        <v>0</v>
      </c>
      <c r="AF1220" s="308">
        <f>+H1220*0.0254*I1220*0.0254*2*(1+[3]Analisis!$G$2)</f>
        <v>2.6132076768000001</v>
      </c>
      <c r="AG1220" s="86">
        <f>+AF1220*Analisis!$J$8</f>
        <v>278.4310560400001</v>
      </c>
      <c r="AH1220" s="309">
        <f t="shared" si="156"/>
        <v>1212.3782525147883</v>
      </c>
      <c r="AI1220" s="86">
        <f>+AH1220/(1-Analisis!G1225)</f>
        <v>1212.3782525147883</v>
      </c>
      <c r="AJ1220" s="86">
        <f t="shared" si="140"/>
        <v>1303.6325295857939</v>
      </c>
      <c r="AK1220" s="86">
        <f t="shared" si="157"/>
        <v>0</v>
      </c>
      <c r="AL1220" s="310" t="e">
        <f>+VLOOKUP(B1220,#REF!,2,FALSE)</f>
        <v>#REF!</v>
      </c>
      <c r="AM1220" s="311" t="e">
        <f t="shared" si="149"/>
        <v>#REF!</v>
      </c>
      <c r="AN1220" s="312" t="e">
        <f t="shared" si="148"/>
        <v>#REF!</v>
      </c>
    </row>
    <row r="1221" spans="1:40" s="73" customFormat="1" x14ac:dyDescent="0.25">
      <c r="A1221" s="313"/>
      <c r="B1221" s="333" t="s">
        <v>1843</v>
      </c>
      <c r="D1221" s="74">
        <f>IFERROR(VLOOKUP(B1221,'REQ. PINTADO'!B:C,2,0),0)</f>
        <v>0</v>
      </c>
      <c r="E1221" s="305">
        <f t="shared" si="133"/>
        <v>1489.8494214651084</v>
      </c>
      <c r="F1221" s="103" t="s">
        <v>165</v>
      </c>
      <c r="G1221" s="75" t="s">
        <v>147</v>
      </c>
      <c r="H1221" s="90">
        <v>39.6</v>
      </c>
      <c r="I1221" s="90">
        <v>48.22</v>
      </c>
      <c r="J1221" s="76">
        <v>0.105</v>
      </c>
      <c r="K1221" s="306">
        <v>16.38</v>
      </c>
      <c r="L1221" s="78">
        <f t="shared" si="134"/>
        <v>106.59401923076925</v>
      </c>
      <c r="M1221" s="58">
        <f>+VLOOKUP(F1221,Material!$H$2:$M$17,6,FALSE)*H1221*I1221*(1+Material!$K$14)</f>
        <v>793.64092500000004</v>
      </c>
      <c r="N1221" s="79" t="str">
        <f t="shared" si="158"/>
        <v>T5.0</v>
      </c>
      <c r="O1221" s="80">
        <f>+VLOOKUP(N1221,[3]Material!$A$3:$B$58,2,FALSE)</f>
        <v>5000</v>
      </c>
      <c r="P1221" s="79" t="s">
        <v>42</v>
      </c>
      <c r="Q1221" s="79" t="str">
        <f>+VLOOKUP(F1221,[3]Material!$C$2:$E$12,2,FALSE)</f>
        <v>Cal 14</v>
      </c>
      <c r="R1221" s="81">
        <f>+IF(P1221="ACERO A36",VLOOKUP(Q1221,'[3]Velocidades Std 1500 w'!$B$2:$F$15,5,FALSE),IF(P1221="INOXIDABLE",VLOOKUP(Q1221,'[3]Velocidades Std 1500 w'!$B$17:$F$28,5,FALSE),IF(P1221="ALUMINIO",VLOOKUP(Q1221,'[3]Velocidades Std 1500 w'!$B$30:$F$38,5,FALSE))))</f>
        <v>2.0080321285140564E-6</v>
      </c>
      <c r="S1221" s="82">
        <f t="shared" si="135"/>
        <v>1.0040160642570283E-2</v>
      </c>
      <c r="T1221" s="83">
        <f t="shared" si="136"/>
        <v>39.64640096385542</v>
      </c>
      <c r="U1221" s="307">
        <f t="shared" si="155"/>
        <v>5484.4187999999995</v>
      </c>
      <c r="V1221" s="80">
        <f t="shared" si="153"/>
        <v>55.064445783132534</v>
      </c>
      <c r="W1221" s="98">
        <v>20</v>
      </c>
      <c r="X1221" s="84">
        <f>+IF(P1221="ACERO A36",VLOOKUP(Q1221,'[3]Tiempo Objeto'!$B$2:$C$12,2,FALSE),IF(P1221="INOXIDABLE",VLOOKUP(Q1221,'[3]Tiempo Objeto'!$B$14:$C$22,2,FALSE),IF(P1221="ALUMINIO",VLOOKUP(Q1221,'[3]Tiempo Objeto'!$B$24:$C$32,2,FALSE))))</f>
        <v>0.3133333333333333</v>
      </c>
      <c r="Y1221" s="84">
        <f t="shared" si="137"/>
        <v>6.2666666666666657</v>
      </c>
      <c r="Z1221" s="80">
        <f t="shared" si="138"/>
        <v>8.7037037037037024</v>
      </c>
      <c r="AA1221" s="100">
        <v>8</v>
      </c>
      <c r="AB1221" s="86">
        <f>+AA1221*Analisis!$J$6</f>
        <v>200</v>
      </c>
      <c r="AC1221" s="100"/>
      <c r="AD1221" s="85">
        <f t="shared" si="139"/>
        <v>0</v>
      </c>
      <c r="AE1221" s="86">
        <f>+AC1221*Analisis!$J$7</f>
        <v>0</v>
      </c>
      <c r="AF1221" s="308">
        <f>+H1221*0.0254*I1221*0.0254*2*(1+[3]Analisis!$G$2)</f>
        <v>3.0798519047999999</v>
      </c>
      <c r="AG1221" s="86">
        <f>+AF1221*Analisis!$J$8</f>
        <v>328.1508874757144</v>
      </c>
      <c r="AH1221" s="309">
        <f t="shared" si="156"/>
        <v>1385.5599619625507</v>
      </c>
      <c r="AI1221" s="86">
        <f>+AH1221/(1-Analisis!G1226)</f>
        <v>1385.5599619625507</v>
      </c>
      <c r="AJ1221" s="86">
        <f t="shared" si="140"/>
        <v>1489.8494214651084</v>
      </c>
      <c r="AK1221" s="86">
        <f t="shared" si="157"/>
        <v>0</v>
      </c>
      <c r="AL1221" s="310" t="e">
        <f>+VLOOKUP(B1221,#REF!,2,FALSE)</f>
        <v>#REF!</v>
      </c>
      <c r="AM1221" s="311" t="e">
        <f t="shared" si="149"/>
        <v>#REF!</v>
      </c>
      <c r="AN1221" s="312" t="e">
        <f t="shared" si="148"/>
        <v>#REF!</v>
      </c>
    </row>
    <row r="1222" spans="1:40" s="73" customFormat="1" x14ac:dyDescent="0.25">
      <c r="A1222" s="313"/>
      <c r="B1222" s="333" t="s">
        <v>1844</v>
      </c>
      <c r="D1222" s="74">
        <f>IFERROR(VLOOKUP(B1222,'REQ. PINTADO'!B:C,2,0),0)</f>
        <v>0</v>
      </c>
      <c r="E1222" s="305">
        <f t="shared" si="133"/>
        <v>849.28467527000521</v>
      </c>
      <c r="F1222" s="103" t="s">
        <v>165</v>
      </c>
      <c r="G1222" s="75" t="s">
        <v>147</v>
      </c>
      <c r="H1222" s="90">
        <v>15.6</v>
      </c>
      <c r="I1222" s="90">
        <v>58.22</v>
      </c>
      <c r="J1222" s="76">
        <v>0.105</v>
      </c>
      <c r="K1222" s="306">
        <v>16.38</v>
      </c>
      <c r="L1222" s="78">
        <f t="shared" si="134"/>
        <v>50.699916666666674</v>
      </c>
      <c r="M1222" s="58">
        <f>+VLOOKUP(F1222,Material!$H$2:$M$17,6,FALSE)*H1222*I1222*(1+Material!$K$14)</f>
        <v>377.483925</v>
      </c>
      <c r="N1222" s="79" t="str">
        <f t="shared" si="158"/>
        <v>T5.0</v>
      </c>
      <c r="O1222" s="80">
        <f>+VLOOKUP(N1222,[3]Material!$A$3:$B$58,2,FALSE)</f>
        <v>5000</v>
      </c>
      <c r="P1222" s="79" t="s">
        <v>42</v>
      </c>
      <c r="Q1222" s="79" t="str">
        <f>+VLOOKUP(F1222,[3]Material!$C$2:$E$12,2,FALSE)</f>
        <v>Cal 14</v>
      </c>
      <c r="R1222" s="81">
        <f>+IF(P1222="ACERO A36",VLOOKUP(Q1222,'[3]Velocidades Std 1500 w'!$B$2:$F$15,5,FALSE),IF(P1222="INOXIDABLE",VLOOKUP(Q1222,'[3]Velocidades Std 1500 w'!$B$17:$F$28,5,FALSE),IF(P1222="ALUMINIO",VLOOKUP(Q1222,'[3]Velocidades Std 1500 w'!$B$30:$F$38,5,FALSE))))</f>
        <v>2.0080321285140564E-6</v>
      </c>
      <c r="S1222" s="82">
        <f t="shared" si="135"/>
        <v>1.0040160642570283E-2</v>
      </c>
      <c r="T1222" s="83">
        <f t="shared" si="136"/>
        <v>34.248135903614461</v>
      </c>
      <c r="U1222" s="307">
        <f t="shared" si="155"/>
        <v>4737.6588000000002</v>
      </c>
      <c r="V1222" s="80">
        <f t="shared" si="153"/>
        <v>47.566855421686753</v>
      </c>
      <c r="W1222" s="98">
        <v>20</v>
      </c>
      <c r="X1222" s="84">
        <f>+IF(P1222="ACERO A36",VLOOKUP(Q1222,'[3]Tiempo Objeto'!$B$2:$C$12,2,FALSE),IF(P1222="INOXIDABLE",VLOOKUP(Q1222,'[3]Tiempo Objeto'!$B$14:$C$22,2,FALSE),IF(P1222="ALUMINIO",VLOOKUP(Q1222,'[3]Tiempo Objeto'!$B$24:$C$32,2,FALSE))))</f>
        <v>0.3133333333333333</v>
      </c>
      <c r="Y1222" s="84">
        <f t="shared" si="137"/>
        <v>6.2666666666666657</v>
      </c>
      <c r="Z1222" s="80">
        <f t="shared" si="138"/>
        <v>8.7037037037037024</v>
      </c>
      <c r="AA1222" s="100">
        <v>8</v>
      </c>
      <c r="AB1222" s="86">
        <f>+AA1222*Analisis!$J$6</f>
        <v>200</v>
      </c>
      <c r="AC1222" s="100"/>
      <c r="AD1222" s="85">
        <f t="shared" si="139"/>
        <v>0</v>
      </c>
      <c r="AE1222" s="86">
        <f>+AC1222*Analisis!$J$7</f>
        <v>0</v>
      </c>
      <c r="AF1222" s="308">
        <f>+H1222*0.0254*I1222*0.0254*2*(1+[3]Analisis!$G$2)</f>
        <v>1.4648873928000001</v>
      </c>
      <c r="AG1222" s="86">
        <f>+AF1222*Analisis!$J$8</f>
        <v>156.08026387571434</v>
      </c>
      <c r="AH1222" s="309">
        <f t="shared" si="156"/>
        <v>789.8347480011048</v>
      </c>
      <c r="AI1222" s="86">
        <f>+AH1222/(1-Analisis!G1227)</f>
        <v>789.8347480011048</v>
      </c>
      <c r="AJ1222" s="86">
        <f t="shared" si="140"/>
        <v>849.28467527000521</v>
      </c>
      <c r="AK1222" s="86">
        <f t="shared" si="157"/>
        <v>0</v>
      </c>
      <c r="AL1222" s="310" t="e">
        <f>+VLOOKUP(B1222,#REF!,2,FALSE)</f>
        <v>#REF!</v>
      </c>
      <c r="AM1222" s="311" t="e">
        <f t="shared" si="149"/>
        <v>#REF!</v>
      </c>
      <c r="AN1222" s="312" t="e">
        <f t="shared" si="148"/>
        <v>#REF!</v>
      </c>
    </row>
    <row r="1223" spans="1:40" s="73" customFormat="1" x14ac:dyDescent="0.25">
      <c r="A1223" s="313"/>
      <c r="B1223" s="333" t="s">
        <v>1845</v>
      </c>
      <c r="D1223" s="74">
        <f>IFERROR(VLOOKUP(B1223,'REQ. PINTADO'!B:C,2,0),0)</f>
        <v>0</v>
      </c>
      <c r="E1223" s="305">
        <f t="shared" si="133"/>
        <v>1073.4032222952492</v>
      </c>
      <c r="F1223" s="103" t="s">
        <v>165</v>
      </c>
      <c r="G1223" s="75" t="s">
        <v>147</v>
      </c>
      <c r="H1223" s="90">
        <v>21.6</v>
      </c>
      <c r="I1223" s="90">
        <v>58.22</v>
      </c>
      <c r="J1223" s="76">
        <v>0.105</v>
      </c>
      <c r="K1223" s="306">
        <v>16.38</v>
      </c>
      <c r="L1223" s="78">
        <f t="shared" si="134"/>
        <v>70.199884615384633</v>
      </c>
      <c r="M1223" s="58">
        <f>+VLOOKUP(F1223,Material!$H$2:$M$17,6,FALSE)*H1223*I1223*(1+Material!$K$14)</f>
        <v>522.67005000000006</v>
      </c>
      <c r="N1223" s="79" t="str">
        <f t="shared" si="158"/>
        <v>T5.0</v>
      </c>
      <c r="O1223" s="80">
        <f>+VLOOKUP(N1223,[3]Material!$A$3:$B$58,2,FALSE)</f>
        <v>5000</v>
      </c>
      <c r="P1223" s="79" t="s">
        <v>42</v>
      </c>
      <c r="Q1223" s="79" t="str">
        <f>+VLOOKUP(F1223,[3]Material!$C$2:$E$12,2,FALSE)</f>
        <v>Cal 14</v>
      </c>
      <c r="R1223" s="81">
        <f>+IF(P1223="ACERO A36",VLOOKUP(Q1223,'[3]Velocidades Std 1500 w'!$B$2:$F$15,5,FALSE),IF(P1223="INOXIDABLE",VLOOKUP(Q1223,'[3]Velocidades Std 1500 w'!$B$17:$F$28,5,FALSE),IF(P1223="ALUMINIO",VLOOKUP(Q1223,'[3]Velocidades Std 1500 w'!$B$30:$F$38,5,FALSE))))</f>
        <v>2.0080321285140564E-6</v>
      </c>
      <c r="S1223" s="82">
        <f t="shared" si="135"/>
        <v>1.0040160642570283E-2</v>
      </c>
      <c r="T1223" s="83">
        <f t="shared" si="136"/>
        <v>36.561678072289162</v>
      </c>
      <c r="U1223" s="307">
        <f t="shared" si="155"/>
        <v>5057.6988000000001</v>
      </c>
      <c r="V1223" s="80">
        <f t="shared" si="153"/>
        <v>50.780108433734952</v>
      </c>
      <c r="W1223" s="98">
        <v>20</v>
      </c>
      <c r="X1223" s="84">
        <f>+IF(P1223="ACERO A36",VLOOKUP(Q1223,'[3]Tiempo Objeto'!$B$2:$C$12,2,FALSE),IF(P1223="INOXIDABLE",VLOOKUP(Q1223,'[3]Tiempo Objeto'!$B$14:$C$22,2,FALSE),IF(P1223="ALUMINIO",VLOOKUP(Q1223,'[3]Tiempo Objeto'!$B$24:$C$32,2,FALSE))))</f>
        <v>0.3133333333333333</v>
      </c>
      <c r="Y1223" s="84">
        <f t="shared" si="137"/>
        <v>6.2666666666666657</v>
      </c>
      <c r="Z1223" s="80">
        <f t="shared" si="138"/>
        <v>8.7037037037037024</v>
      </c>
      <c r="AA1223" s="100">
        <v>8</v>
      </c>
      <c r="AB1223" s="86">
        <f>+AA1223*Analisis!$J$6</f>
        <v>200</v>
      </c>
      <c r="AC1223" s="100"/>
      <c r="AD1223" s="85">
        <f t="shared" si="139"/>
        <v>0</v>
      </c>
      <c r="AE1223" s="86">
        <f>+AC1223*Analisis!$J$7</f>
        <v>0</v>
      </c>
      <c r="AF1223" s="308">
        <f>+H1223*0.0254*I1223*0.0254*2*(1+[3]Analisis!$G$2)</f>
        <v>2.0283056207999999</v>
      </c>
      <c r="AG1223" s="86">
        <f>+AF1223*Analisis!$J$8</f>
        <v>216.11113459714292</v>
      </c>
      <c r="AH1223" s="309">
        <f t="shared" si="156"/>
        <v>998.26499673458159</v>
      </c>
      <c r="AI1223" s="86">
        <f>+AH1223/(1-Analisis!G1228)</f>
        <v>998.26499673458159</v>
      </c>
      <c r="AJ1223" s="86">
        <f t="shared" si="140"/>
        <v>1073.4032222952492</v>
      </c>
      <c r="AK1223" s="86">
        <f t="shared" si="157"/>
        <v>0</v>
      </c>
      <c r="AL1223" s="310" t="e">
        <f>+VLOOKUP(B1223,#REF!,2,FALSE)</f>
        <v>#REF!</v>
      </c>
      <c r="AM1223" s="311" t="e">
        <f t="shared" si="149"/>
        <v>#REF!</v>
      </c>
      <c r="AN1223" s="312" t="e">
        <f t="shared" si="148"/>
        <v>#REF!</v>
      </c>
    </row>
    <row r="1224" spans="1:40" s="73" customFormat="1" x14ac:dyDescent="0.25">
      <c r="A1224" s="313"/>
      <c r="B1224" s="333" t="s">
        <v>1846</v>
      </c>
      <c r="D1224" s="74">
        <f>IFERROR(VLOOKUP(B1224,'REQ. PINTADO'!B:C,2,0),0)</f>
        <v>0</v>
      </c>
      <c r="E1224" s="305">
        <f t="shared" si="133"/>
        <v>1521.6403163457367</v>
      </c>
      <c r="F1224" s="103" t="s">
        <v>165</v>
      </c>
      <c r="G1224" s="75" t="s">
        <v>147</v>
      </c>
      <c r="H1224" s="90">
        <v>33.6</v>
      </c>
      <c r="I1224" s="90">
        <v>58.22</v>
      </c>
      <c r="J1224" s="76">
        <v>0.105</v>
      </c>
      <c r="K1224" s="306">
        <v>16.38</v>
      </c>
      <c r="L1224" s="78">
        <f t="shared" si="134"/>
        <v>109.19982051282052</v>
      </c>
      <c r="M1224" s="58">
        <f>+VLOOKUP(F1224,Material!$H$2:$M$17,6,FALSE)*H1224*I1224*(1+Material!$K$14)</f>
        <v>813.04229999999995</v>
      </c>
      <c r="N1224" s="79" t="str">
        <f t="shared" si="158"/>
        <v>T5.0</v>
      </c>
      <c r="O1224" s="80">
        <f>+VLOOKUP(N1224,[3]Material!$A$3:$B$58,2,FALSE)</f>
        <v>5000</v>
      </c>
      <c r="P1224" s="79" t="s">
        <v>42</v>
      </c>
      <c r="Q1224" s="79" t="str">
        <f>+VLOOKUP(F1224,[3]Material!$C$2:$E$12,2,FALSE)</f>
        <v>Cal 14</v>
      </c>
      <c r="R1224" s="81">
        <f>+IF(P1224="ACERO A36",VLOOKUP(Q1224,'[3]Velocidades Std 1500 w'!$B$2:$F$15,5,FALSE),IF(P1224="INOXIDABLE",VLOOKUP(Q1224,'[3]Velocidades Std 1500 w'!$B$17:$F$28,5,FALSE),IF(P1224="ALUMINIO",VLOOKUP(Q1224,'[3]Velocidades Std 1500 w'!$B$30:$F$38,5,FALSE))))</f>
        <v>2.0080321285140564E-6</v>
      </c>
      <c r="S1224" s="82">
        <f t="shared" si="135"/>
        <v>1.0040160642570283E-2</v>
      </c>
      <c r="T1224" s="83">
        <f t="shared" si="136"/>
        <v>41.188762409638549</v>
      </c>
      <c r="U1224" s="307">
        <f t="shared" si="155"/>
        <v>5697.7787999999991</v>
      </c>
      <c r="V1224" s="80">
        <f t="shared" si="153"/>
        <v>57.206614457831328</v>
      </c>
      <c r="W1224" s="98">
        <v>20</v>
      </c>
      <c r="X1224" s="84">
        <f>+IF(P1224="ACERO A36",VLOOKUP(Q1224,'[3]Tiempo Objeto'!$B$2:$C$12,2,FALSE),IF(P1224="INOXIDABLE",VLOOKUP(Q1224,'[3]Tiempo Objeto'!$B$14:$C$22,2,FALSE),IF(P1224="ALUMINIO",VLOOKUP(Q1224,'[3]Tiempo Objeto'!$B$24:$C$32,2,FALSE))))</f>
        <v>0.3133333333333333</v>
      </c>
      <c r="Y1224" s="84">
        <f t="shared" si="137"/>
        <v>6.2666666666666657</v>
      </c>
      <c r="Z1224" s="80">
        <f t="shared" si="138"/>
        <v>8.7037037037037024</v>
      </c>
      <c r="AA1224" s="100">
        <v>8</v>
      </c>
      <c r="AB1224" s="86">
        <f>+AA1224*Analisis!$J$6</f>
        <v>200</v>
      </c>
      <c r="AC1224" s="100"/>
      <c r="AD1224" s="85">
        <f t="shared" si="139"/>
        <v>0</v>
      </c>
      <c r="AE1224" s="86">
        <f>+AC1224*Analisis!$J$7</f>
        <v>0</v>
      </c>
      <c r="AF1224" s="308">
        <f>+H1224*0.0254*I1224*0.0254*2*(1+[3]Analisis!$G$2)</f>
        <v>3.1551420767999998</v>
      </c>
      <c r="AG1224" s="86">
        <f>+AF1224*Analisis!$J$8</f>
        <v>336.17287604000006</v>
      </c>
      <c r="AH1224" s="309">
        <f t="shared" si="156"/>
        <v>1415.125494201535</v>
      </c>
      <c r="AI1224" s="86">
        <f>+AH1224/(1-Analisis!G1229)</f>
        <v>1415.125494201535</v>
      </c>
      <c r="AJ1224" s="86">
        <f t="shared" si="140"/>
        <v>1521.6403163457367</v>
      </c>
      <c r="AK1224" s="86">
        <f t="shared" si="157"/>
        <v>0</v>
      </c>
      <c r="AL1224" s="310" t="e">
        <f>+VLOOKUP(B1224,#REF!,2,FALSE)</f>
        <v>#REF!</v>
      </c>
      <c r="AM1224" s="311" t="e">
        <f t="shared" si="149"/>
        <v>#REF!</v>
      </c>
      <c r="AN1224" s="312" t="e">
        <f t="shared" si="148"/>
        <v>#REF!</v>
      </c>
    </row>
    <row r="1225" spans="1:40" s="73" customFormat="1" x14ac:dyDescent="0.25">
      <c r="A1225" s="313"/>
      <c r="B1225" s="333" t="s">
        <v>1847</v>
      </c>
      <c r="D1225" s="74">
        <f>IFERROR(VLOOKUP(B1225,'REQ. PINTADO'!B:C,2,0),0)</f>
        <v>0</v>
      </c>
      <c r="E1225" s="305">
        <f t="shared" si="133"/>
        <v>1745.7588633709806</v>
      </c>
      <c r="F1225" s="103" t="s">
        <v>165</v>
      </c>
      <c r="G1225" s="75" t="s">
        <v>147</v>
      </c>
      <c r="H1225" s="90">
        <v>39.6</v>
      </c>
      <c r="I1225" s="90">
        <v>58.22</v>
      </c>
      <c r="J1225" s="76">
        <v>0.105</v>
      </c>
      <c r="K1225" s="306">
        <v>16.38</v>
      </c>
      <c r="L1225" s="78">
        <f t="shared" si="134"/>
        <v>128.69978846153847</v>
      </c>
      <c r="M1225" s="58">
        <f>+VLOOKUP(F1225,Material!$H$2:$M$17,6,FALSE)*H1225*I1225*(1+Material!$K$14)</f>
        <v>958.22842500000002</v>
      </c>
      <c r="N1225" s="79" t="str">
        <f t="shared" si="158"/>
        <v>T5.0</v>
      </c>
      <c r="O1225" s="80">
        <f>+VLOOKUP(N1225,[3]Material!$A$3:$B$58,2,FALSE)</f>
        <v>5000</v>
      </c>
      <c r="P1225" s="79" t="s">
        <v>42</v>
      </c>
      <c r="Q1225" s="79" t="str">
        <f>+VLOOKUP(F1225,[3]Material!$C$2:$E$12,2,FALSE)</f>
        <v>Cal 14</v>
      </c>
      <c r="R1225" s="81">
        <f>+IF(P1225="ACERO A36",VLOOKUP(Q1225,'[3]Velocidades Std 1500 w'!$B$2:$F$15,5,FALSE),IF(P1225="INOXIDABLE",VLOOKUP(Q1225,'[3]Velocidades Std 1500 w'!$B$17:$F$28,5,FALSE),IF(P1225="ALUMINIO",VLOOKUP(Q1225,'[3]Velocidades Std 1500 w'!$B$30:$F$38,5,FALSE))))</f>
        <v>2.0080321285140564E-6</v>
      </c>
      <c r="S1225" s="82">
        <f t="shared" si="135"/>
        <v>1.0040160642570283E-2</v>
      </c>
      <c r="T1225" s="83">
        <f t="shared" si="136"/>
        <v>43.502304578313257</v>
      </c>
      <c r="U1225" s="307">
        <f t="shared" si="155"/>
        <v>6017.8188</v>
      </c>
      <c r="V1225" s="80">
        <f t="shared" si="153"/>
        <v>60.419867469879527</v>
      </c>
      <c r="W1225" s="98">
        <v>20</v>
      </c>
      <c r="X1225" s="84">
        <f>+IF(P1225="ACERO A36",VLOOKUP(Q1225,'[3]Tiempo Objeto'!$B$2:$C$12,2,FALSE),IF(P1225="INOXIDABLE",VLOOKUP(Q1225,'[3]Tiempo Objeto'!$B$14:$C$22,2,FALSE),IF(P1225="ALUMINIO",VLOOKUP(Q1225,'[3]Tiempo Objeto'!$B$24:$C$32,2,FALSE))))</f>
        <v>0.3133333333333333</v>
      </c>
      <c r="Y1225" s="84">
        <f t="shared" si="137"/>
        <v>6.2666666666666657</v>
      </c>
      <c r="Z1225" s="80">
        <f t="shared" si="138"/>
        <v>8.7037037037037024</v>
      </c>
      <c r="AA1225" s="100">
        <v>8</v>
      </c>
      <c r="AB1225" s="86">
        <f>+AA1225*Analisis!$J$6</f>
        <v>200</v>
      </c>
      <c r="AC1225" s="100"/>
      <c r="AD1225" s="85">
        <f t="shared" si="139"/>
        <v>0</v>
      </c>
      <c r="AE1225" s="86">
        <f>+AC1225*Analisis!$J$7</f>
        <v>0</v>
      </c>
      <c r="AF1225" s="308">
        <f>+H1225*0.0254*I1225*0.0254*2*(1+[3]Analisis!$G$2)</f>
        <v>3.7185603048</v>
      </c>
      <c r="AG1225" s="86">
        <f>+AF1225*Analisis!$J$8</f>
        <v>396.2037467614287</v>
      </c>
      <c r="AH1225" s="309">
        <f t="shared" si="156"/>
        <v>1623.5557429350119</v>
      </c>
      <c r="AI1225" s="86">
        <f>+AH1225/(1-Analisis!G1230)</f>
        <v>1623.5557429350119</v>
      </c>
      <c r="AJ1225" s="86">
        <f t="shared" si="140"/>
        <v>1745.7588633709806</v>
      </c>
      <c r="AK1225" s="86">
        <f t="shared" si="157"/>
        <v>0</v>
      </c>
      <c r="AL1225" s="310" t="e">
        <f>+VLOOKUP(B1225,#REF!,2,FALSE)</f>
        <v>#REF!</v>
      </c>
      <c r="AM1225" s="311" t="e">
        <f t="shared" si="149"/>
        <v>#REF!</v>
      </c>
      <c r="AN1225" s="312" t="e">
        <f t="shared" si="148"/>
        <v>#REF!</v>
      </c>
    </row>
    <row r="1226" spans="1:40" s="73" customFormat="1" x14ac:dyDescent="0.25">
      <c r="A1226" s="313"/>
      <c r="B1226" s="333" t="s">
        <v>1848</v>
      </c>
      <c r="D1226" s="74">
        <f>IFERROR(VLOOKUP(B1226,'REQ. PINTADO'!B:C,2,0),0)</f>
        <v>0</v>
      </c>
      <c r="E1226" s="305">
        <f t="shared" si="133"/>
        <v>953.58749659216016</v>
      </c>
      <c r="F1226" s="103" t="s">
        <v>165</v>
      </c>
      <c r="G1226" s="75" t="s">
        <v>147</v>
      </c>
      <c r="H1226" s="90">
        <v>15.6</v>
      </c>
      <c r="I1226" s="90">
        <v>68.22</v>
      </c>
      <c r="J1226" s="76">
        <v>0.105</v>
      </c>
      <c r="K1226" s="306">
        <v>16.38</v>
      </c>
      <c r="L1226" s="78">
        <f t="shared" si="134"/>
        <v>59.408250000000017</v>
      </c>
      <c r="M1226" s="58">
        <f>+VLOOKUP(F1226,Material!$H$2:$M$17,6,FALSE)*H1226*I1226*(1+Material!$K$14)</f>
        <v>442.32142500000003</v>
      </c>
      <c r="N1226" s="79" t="str">
        <f t="shared" si="158"/>
        <v>T5.0</v>
      </c>
      <c r="O1226" s="80">
        <f>+VLOOKUP(N1226,[3]Material!$A$3:$B$58,2,FALSE)</f>
        <v>5000</v>
      </c>
      <c r="P1226" s="79" t="s">
        <v>42</v>
      </c>
      <c r="Q1226" s="79" t="str">
        <f>+VLOOKUP(F1226,[3]Material!$C$2:$E$12,2,FALSE)</f>
        <v>Cal 14</v>
      </c>
      <c r="R1226" s="81">
        <f>+IF(P1226="ACERO A36",VLOOKUP(Q1226,'[3]Velocidades Std 1500 w'!$B$2:$F$15,5,FALSE),IF(P1226="INOXIDABLE",VLOOKUP(Q1226,'[3]Velocidades Std 1500 w'!$B$17:$F$28,5,FALSE),IF(P1226="ALUMINIO",VLOOKUP(Q1226,'[3]Velocidades Std 1500 w'!$B$30:$F$38,5,FALSE))))</f>
        <v>2.0080321285140564E-6</v>
      </c>
      <c r="S1226" s="82">
        <f t="shared" si="135"/>
        <v>1.0040160642570283E-2</v>
      </c>
      <c r="T1226" s="83">
        <f t="shared" si="136"/>
        <v>38.104039518072291</v>
      </c>
      <c r="U1226" s="307">
        <f t="shared" si="155"/>
        <v>5271.0587999999998</v>
      </c>
      <c r="V1226" s="80">
        <f t="shared" si="153"/>
        <v>52.92227710843374</v>
      </c>
      <c r="W1226" s="98">
        <v>20</v>
      </c>
      <c r="X1226" s="84">
        <f>+IF(P1226="ACERO A36",VLOOKUP(Q1226,'[3]Tiempo Objeto'!$B$2:$C$12,2,FALSE),IF(P1226="INOXIDABLE",VLOOKUP(Q1226,'[3]Tiempo Objeto'!$B$14:$C$22,2,FALSE),IF(P1226="ALUMINIO",VLOOKUP(Q1226,'[3]Tiempo Objeto'!$B$24:$C$32,2,FALSE))))</f>
        <v>0.3133333333333333</v>
      </c>
      <c r="Y1226" s="84">
        <f t="shared" si="137"/>
        <v>6.2666666666666657</v>
      </c>
      <c r="Z1226" s="80">
        <f t="shared" si="138"/>
        <v>8.7037037037037024</v>
      </c>
      <c r="AA1226" s="100">
        <v>8</v>
      </c>
      <c r="AB1226" s="86">
        <f>+AA1226*Analisis!$J$6</f>
        <v>200</v>
      </c>
      <c r="AC1226" s="100"/>
      <c r="AD1226" s="85">
        <f t="shared" si="139"/>
        <v>0</v>
      </c>
      <c r="AE1226" s="86">
        <f>+AC1226*Analisis!$J$7</f>
        <v>0</v>
      </c>
      <c r="AF1226" s="308">
        <f>+H1226*0.0254*I1226*0.0254*2*(1+[3]Analisis!$G$2)</f>
        <v>1.7164997927999996</v>
      </c>
      <c r="AG1226" s="86">
        <f>+AF1226*Analisis!$J$8</f>
        <v>182.88896601857144</v>
      </c>
      <c r="AH1226" s="309">
        <f t="shared" si="156"/>
        <v>886.83637183070891</v>
      </c>
      <c r="AI1226" s="86">
        <f>+AH1226/(1-Analisis!G1231)</f>
        <v>886.83637183070891</v>
      </c>
      <c r="AJ1226" s="86">
        <f t="shared" si="140"/>
        <v>953.58749659216016</v>
      </c>
      <c r="AK1226" s="86">
        <f t="shared" si="157"/>
        <v>0</v>
      </c>
      <c r="AL1226" s="310" t="e">
        <f>+VLOOKUP(B1226,#REF!,2,FALSE)</f>
        <v>#REF!</v>
      </c>
      <c r="AM1226" s="311" t="e">
        <f t="shared" si="149"/>
        <v>#REF!</v>
      </c>
      <c r="AN1226" s="312" t="e">
        <f t="shared" si="148"/>
        <v>#REF!</v>
      </c>
    </row>
    <row r="1227" spans="1:40" s="73" customFormat="1" x14ac:dyDescent="0.25">
      <c r="A1227" s="313"/>
      <c r="B1227" s="333" t="s">
        <v>1849</v>
      </c>
      <c r="D1227" s="74">
        <f>IFERROR(VLOOKUP(B1227,'REQ. PINTADO'!B:C,2,0),0)</f>
        <v>0</v>
      </c>
      <c r="E1227" s="305">
        <f t="shared" si="133"/>
        <v>1215.6076987633335</v>
      </c>
      <c r="F1227" s="103" t="s">
        <v>165</v>
      </c>
      <c r="G1227" s="75" t="s">
        <v>147</v>
      </c>
      <c r="H1227" s="90">
        <v>21.6</v>
      </c>
      <c r="I1227" s="90">
        <v>68.22</v>
      </c>
      <c r="J1227" s="76">
        <v>0.105</v>
      </c>
      <c r="K1227" s="306">
        <v>16.38</v>
      </c>
      <c r="L1227" s="78">
        <f t="shared" si="134"/>
        <v>82.25757692307694</v>
      </c>
      <c r="M1227" s="58">
        <f>+VLOOKUP(F1227,Material!$H$2:$M$17,6,FALSE)*H1227*I1227*(1+Material!$K$14)</f>
        <v>612.44505000000004</v>
      </c>
      <c r="N1227" s="79" t="str">
        <f t="shared" si="158"/>
        <v>T5.0</v>
      </c>
      <c r="O1227" s="80">
        <f>+VLOOKUP(N1227,[3]Material!$A$3:$B$58,2,FALSE)</f>
        <v>5000</v>
      </c>
      <c r="P1227" s="79" t="s">
        <v>42</v>
      </c>
      <c r="Q1227" s="79" t="str">
        <f>+VLOOKUP(F1227,[3]Material!$C$2:$E$12,2,FALSE)</f>
        <v>Cal 14</v>
      </c>
      <c r="R1227" s="81">
        <f>+IF(P1227="ACERO A36",VLOOKUP(Q1227,'[3]Velocidades Std 1500 w'!$B$2:$F$15,5,FALSE),IF(P1227="INOXIDABLE",VLOOKUP(Q1227,'[3]Velocidades Std 1500 w'!$B$17:$F$28,5,FALSE),IF(P1227="ALUMINIO",VLOOKUP(Q1227,'[3]Velocidades Std 1500 w'!$B$30:$F$38,5,FALSE))))</f>
        <v>2.0080321285140564E-6</v>
      </c>
      <c r="S1227" s="82">
        <f t="shared" si="135"/>
        <v>1.0040160642570283E-2</v>
      </c>
      <c r="T1227" s="83">
        <f t="shared" si="136"/>
        <v>40.417581686746992</v>
      </c>
      <c r="U1227" s="307">
        <f t="shared" si="155"/>
        <v>5591.0987999999998</v>
      </c>
      <c r="V1227" s="80">
        <f t="shared" si="153"/>
        <v>56.135530120481931</v>
      </c>
      <c r="W1227" s="98">
        <v>20</v>
      </c>
      <c r="X1227" s="84">
        <f>+IF(P1227="ACERO A36",VLOOKUP(Q1227,'[3]Tiempo Objeto'!$B$2:$C$12,2,FALSE),IF(P1227="INOXIDABLE",VLOOKUP(Q1227,'[3]Tiempo Objeto'!$B$14:$C$22,2,FALSE),IF(P1227="ALUMINIO",VLOOKUP(Q1227,'[3]Tiempo Objeto'!$B$24:$C$32,2,FALSE))))</f>
        <v>0.3133333333333333</v>
      </c>
      <c r="Y1227" s="84">
        <f t="shared" si="137"/>
        <v>6.2666666666666657</v>
      </c>
      <c r="Z1227" s="80">
        <f t="shared" si="138"/>
        <v>8.7037037037037024</v>
      </c>
      <c r="AA1227" s="100">
        <v>8</v>
      </c>
      <c r="AB1227" s="86">
        <f>+AA1227*Analisis!$J$6</f>
        <v>200</v>
      </c>
      <c r="AC1227" s="100"/>
      <c r="AD1227" s="85">
        <f t="shared" si="139"/>
        <v>0</v>
      </c>
      <c r="AE1227" s="86">
        <f>+AC1227*Analisis!$J$7</f>
        <v>0</v>
      </c>
      <c r="AF1227" s="308">
        <f>+H1227*0.0254*I1227*0.0254*2*(1+[3]Analisis!$G$2)</f>
        <v>2.3766920207999997</v>
      </c>
      <c r="AG1227" s="86">
        <f>+AF1227*Analisis!$J$8</f>
        <v>253.23087602571434</v>
      </c>
      <c r="AH1227" s="309">
        <f t="shared" si="156"/>
        <v>1130.5151598499001</v>
      </c>
      <c r="AI1227" s="86">
        <f>+AH1227/(1-Analisis!G1232)</f>
        <v>1130.5151598499001</v>
      </c>
      <c r="AJ1227" s="86">
        <f t="shared" si="140"/>
        <v>1215.6076987633335</v>
      </c>
      <c r="AK1227" s="86">
        <f t="shared" si="157"/>
        <v>0</v>
      </c>
      <c r="AL1227" s="310" t="e">
        <f>+VLOOKUP(B1227,#REF!,2,FALSE)</f>
        <v>#REF!</v>
      </c>
      <c r="AM1227" s="311" t="e">
        <f t="shared" si="149"/>
        <v>#REF!</v>
      </c>
      <c r="AN1227" s="312" t="e">
        <f t="shared" si="148"/>
        <v>#REF!</v>
      </c>
    </row>
    <row r="1228" spans="1:40" s="73" customFormat="1" x14ac:dyDescent="0.25">
      <c r="A1228" s="313"/>
      <c r="B1228" s="333" t="s">
        <v>1850</v>
      </c>
      <c r="D1228" s="74">
        <f>IFERROR(VLOOKUP(B1228,'REQ. PINTADO'!B:C,2,0),0)</f>
        <v>0</v>
      </c>
      <c r="E1228" s="305">
        <f t="shared" si="133"/>
        <v>1739.6481031056796</v>
      </c>
      <c r="F1228" s="103" t="s">
        <v>165</v>
      </c>
      <c r="G1228" s="75" t="s">
        <v>147</v>
      </c>
      <c r="H1228" s="90">
        <v>33.6</v>
      </c>
      <c r="I1228" s="90">
        <v>68.22</v>
      </c>
      <c r="J1228" s="76">
        <v>0.105</v>
      </c>
      <c r="K1228" s="306">
        <v>16.38</v>
      </c>
      <c r="L1228" s="78">
        <f t="shared" si="134"/>
        <v>127.95623076923079</v>
      </c>
      <c r="M1228" s="58">
        <f>+VLOOKUP(F1228,Material!$H$2:$M$17,6,FALSE)*H1228*I1228*(1+Material!$K$14)</f>
        <v>952.69229999999993</v>
      </c>
      <c r="N1228" s="79" t="str">
        <f t="shared" si="158"/>
        <v>T5.0</v>
      </c>
      <c r="O1228" s="80">
        <f>+VLOOKUP(N1228,[3]Material!$A$3:$B$58,2,FALSE)</f>
        <v>5000</v>
      </c>
      <c r="P1228" s="79" t="s">
        <v>42</v>
      </c>
      <c r="Q1228" s="79" t="str">
        <f>+VLOOKUP(F1228,[3]Material!$C$2:$E$12,2,FALSE)</f>
        <v>Cal 14</v>
      </c>
      <c r="R1228" s="81">
        <f>+IF(P1228="ACERO A36",VLOOKUP(Q1228,'[3]Velocidades Std 1500 w'!$B$2:$F$15,5,FALSE),IF(P1228="INOXIDABLE",VLOOKUP(Q1228,'[3]Velocidades Std 1500 w'!$B$17:$F$28,5,FALSE),IF(P1228="ALUMINIO",VLOOKUP(Q1228,'[3]Velocidades Std 1500 w'!$B$30:$F$38,5,FALSE))))</f>
        <v>2.0080321285140564E-6</v>
      </c>
      <c r="S1228" s="82">
        <f t="shared" si="135"/>
        <v>1.0040160642570283E-2</v>
      </c>
      <c r="T1228" s="83">
        <f t="shared" si="136"/>
        <v>45.044666024096387</v>
      </c>
      <c r="U1228" s="307">
        <f t="shared" si="155"/>
        <v>6231.1787999999997</v>
      </c>
      <c r="V1228" s="80">
        <f t="shared" si="153"/>
        <v>62.562036144578322</v>
      </c>
      <c r="W1228" s="98">
        <v>20</v>
      </c>
      <c r="X1228" s="84">
        <f>+IF(P1228="ACERO A36",VLOOKUP(Q1228,'[3]Tiempo Objeto'!$B$2:$C$12,2,FALSE),IF(P1228="INOXIDABLE",VLOOKUP(Q1228,'[3]Tiempo Objeto'!$B$14:$C$22,2,FALSE),IF(P1228="ALUMINIO",VLOOKUP(Q1228,'[3]Tiempo Objeto'!$B$24:$C$32,2,FALSE))))</f>
        <v>0.3133333333333333</v>
      </c>
      <c r="Y1228" s="84">
        <f t="shared" si="137"/>
        <v>6.2666666666666657</v>
      </c>
      <c r="Z1228" s="80">
        <f t="shared" si="138"/>
        <v>8.7037037037037024</v>
      </c>
      <c r="AA1228" s="100">
        <v>8</v>
      </c>
      <c r="AB1228" s="86">
        <f>+AA1228*Analisis!$J$6</f>
        <v>200</v>
      </c>
      <c r="AC1228" s="100"/>
      <c r="AD1228" s="85">
        <f t="shared" si="139"/>
        <v>0</v>
      </c>
      <c r="AE1228" s="86">
        <f>+AC1228*Analisis!$J$7</f>
        <v>0</v>
      </c>
      <c r="AF1228" s="308">
        <f>+H1228*0.0254*I1228*0.0254*2*(1+[3]Analisis!$G$2)</f>
        <v>3.6970764767999995</v>
      </c>
      <c r="AG1228" s="86">
        <f>+AF1228*Analisis!$J$8</f>
        <v>393.91469604000008</v>
      </c>
      <c r="AH1228" s="309">
        <f t="shared" si="156"/>
        <v>1617.872735888282</v>
      </c>
      <c r="AI1228" s="86">
        <f>+AH1228/(1-Analisis!G1233)</f>
        <v>1617.872735888282</v>
      </c>
      <c r="AJ1228" s="86">
        <f t="shared" si="140"/>
        <v>1739.6481031056796</v>
      </c>
      <c r="AK1228" s="86">
        <f t="shared" si="157"/>
        <v>0</v>
      </c>
      <c r="AL1228" s="310" t="e">
        <f>+VLOOKUP(B1228,#REF!,2,FALSE)</f>
        <v>#REF!</v>
      </c>
      <c r="AM1228" s="311" t="e">
        <f t="shared" si="149"/>
        <v>#REF!</v>
      </c>
      <c r="AN1228" s="312" t="e">
        <f t="shared" si="148"/>
        <v>#REF!</v>
      </c>
    </row>
    <row r="1229" spans="1:40" s="73" customFormat="1" x14ac:dyDescent="0.25">
      <c r="A1229" s="313"/>
      <c r="B1229" s="333" t="s">
        <v>1851</v>
      </c>
      <c r="D1229" s="74">
        <f>IFERROR(VLOOKUP(B1229,'REQ. PINTADO'!B:C,2,0),0)</f>
        <v>0</v>
      </c>
      <c r="E1229" s="305">
        <f t="shared" si="133"/>
        <v>2001.6683052768533</v>
      </c>
      <c r="F1229" s="103" t="s">
        <v>165</v>
      </c>
      <c r="G1229" s="75" t="s">
        <v>147</v>
      </c>
      <c r="H1229" s="90">
        <v>39.6</v>
      </c>
      <c r="I1229" s="90">
        <v>68.22</v>
      </c>
      <c r="J1229" s="76">
        <v>0.105</v>
      </c>
      <c r="K1229" s="306">
        <v>16.38</v>
      </c>
      <c r="L1229" s="78">
        <f t="shared" si="134"/>
        <v>150.80555769230773</v>
      </c>
      <c r="M1229" s="58">
        <f>+VLOOKUP(F1229,Material!$H$2:$M$17,6,FALSE)*H1229*I1229*(1+Material!$K$14)</f>
        <v>1122.8159250000001</v>
      </c>
      <c r="N1229" s="79" t="str">
        <f t="shared" si="158"/>
        <v>T5.0</v>
      </c>
      <c r="O1229" s="80">
        <f>+VLOOKUP(N1229,[3]Material!$A$3:$B$58,2,FALSE)</f>
        <v>5000</v>
      </c>
      <c r="P1229" s="79" t="s">
        <v>42</v>
      </c>
      <c r="Q1229" s="79" t="str">
        <f>+VLOOKUP(F1229,[3]Material!$C$2:$E$12,2,FALSE)</f>
        <v>Cal 14</v>
      </c>
      <c r="R1229" s="81">
        <f>+IF(P1229="ACERO A36",VLOOKUP(Q1229,'[3]Velocidades Std 1500 w'!$B$2:$F$15,5,FALSE),IF(P1229="INOXIDABLE",VLOOKUP(Q1229,'[3]Velocidades Std 1500 w'!$B$17:$F$28,5,FALSE),IF(P1229="ALUMINIO",VLOOKUP(Q1229,'[3]Velocidades Std 1500 w'!$B$30:$F$38,5,FALSE))))</f>
        <v>2.0080321285140564E-6</v>
      </c>
      <c r="S1229" s="82">
        <f t="shared" si="135"/>
        <v>1.0040160642570283E-2</v>
      </c>
      <c r="T1229" s="83">
        <f t="shared" si="136"/>
        <v>47.358208192771087</v>
      </c>
      <c r="U1229" s="307">
        <f t="shared" si="155"/>
        <v>6551.2187999999996</v>
      </c>
      <c r="V1229" s="80">
        <f t="shared" si="153"/>
        <v>65.775289156626513</v>
      </c>
      <c r="W1229" s="98">
        <v>20</v>
      </c>
      <c r="X1229" s="84">
        <f>+IF(P1229="ACERO A36",VLOOKUP(Q1229,'[3]Tiempo Objeto'!$B$2:$C$12,2,FALSE),IF(P1229="INOXIDABLE",VLOOKUP(Q1229,'[3]Tiempo Objeto'!$B$14:$C$22,2,FALSE),IF(P1229="ALUMINIO",VLOOKUP(Q1229,'[3]Tiempo Objeto'!$B$24:$C$32,2,FALSE))))</f>
        <v>0.3133333333333333</v>
      </c>
      <c r="Y1229" s="84">
        <f t="shared" si="137"/>
        <v>6.2666666666666657</v>
      </c>
      <c r="Z1229" s="80">
        <f t="shared" si="138"/>
        <v>8.7037037037037024</v>
      </c>
      <c r="AA1229" s="100">
        <v>8</v>
      </c>
      <c r="AB1229" s="86">
        <f>+AA1229*Analisis!$J$6</f>
        <v>200</v>
      </c>
      <c r="AC1229" s="100"/>
      <c r="AD1229" s="85">
        <f t="shared" si="139"/>
        <v>0</v>
      </c>
      <c r="AE1229" s="86">
        <f>+AC1229*Analisis!$J$7</f>
        <v>0</v>
      </c>
      <c r="AF1229" s="308">
        <f>+H1229*0.0254*I1229*0.0254*2*(1+[3]Analisis!$G$2)</f>
        <v>4.3572687048000001</v>
      </c>
      <c r="AG1229" s="86">
        <f>+AF1229*Analisis!$J$8</f>
        <v>464.25660604714301</v>
      </c>
      <c r="AH1229" s="309">
        <f t="shared" si="156"/>
        <v>1861.5515239074734</v>
      </c>
      <c r="AI1229" s="86">
        <f>+AH1229/(1-Analisis!G1234)</f>
        <v>1861.5515239074734</v>
      </c>
      <c r="AJ1229" s="86">
        <f t="shared" si="140"/>
        <v>2001.6683052768533</v>
      </c>
      <c r="AK1229" s="86">
        <f t="shared" si="157"/>
        <v>0</v>
      </c>
      <c r="AL1229" s="310" t="e">
        <f>+VLOOKUP(B1229,#REF!,2,FALSE)</f>
        <v>#REF!</v>
      </c>
      <c r="AM1229" s="311" t="e">
        <f t="shared" si="149"/>
        <v>#REF!</v>
      </c>
      <c r="AN1229" s="312" t="e">
        <f t="shared" si="148"/>
        <v>#REF!</v>
      </c>
    </row>
    <row r="1230" spans="1:40" s="73" customFormat="1" x14ac:dyDescent="0.25">
      <c r="A1230" s="313"/>
      <c r="B1230" s="333" t="s">
        <v>1852</v>
      </c>
      <c r="D1230" s="74">
        <f>IFERROR(VLOOKUP(B1230,'REQ. PINTADO'!B:C,2,0),0)</f>
        <v>0</v>
      </c>
      <c r="E1230" s="305">
        <f t="shared" si="133"/>
        <v>973.33073241526824</v>
      </c>
      <c r="F1230" s="103" t="s">
        <v>165</v>
      </c>
      <c r="G1230" s="75" t="s">
        <v>147</v>
      </c>
      <c r="H1230" s="90">
        <v>27.6</v>
      </c>
      <c r="I1230" s="90">
        <v>40.22</v>
      </c>
      <c r="J1230" s="76">
        <v>0.105</v>
      </c>
      <c r="K1230" s="306">
        <v>16.38</v>
      </c>
      <c r="L1230" s="78">
        <f t="shared" si="134"/>
        <v>61.967160256410267</v>
      </c>
      <c r="M1230" s="58">
        <f>+VLOOKUP(F1230,Material!$H$2:$M$17,6,FALSE)*H1230*I1230*(1+Material!$K$14)</f>
        <v>461.37367499999999</v>
      </c>
      <c r="N1230" s="79" t="str">
        <f t="shared" si="158"/>
        <v>T5.0</v>
      </c>
      <c r="O1230" s="80">
        <f>+VLOOKUP(N1230,[3]Material!$A$3:$B$58,2,FALSE)</f>
        <v>5000</v>
      </c>
      <c r="P1230" s="79" t="s">
        <v>42</v>
      </c>
      <c r="Q1230" s="79" t="str">
        <f>+VLOOKUP(F1230,[3]Material!$C$2:$E$12,2,FALSE)</f>
        <v>Cal 14</v>
      </c>
      <c r="R1230" s="81">
        <f>+IF(P1230="ACERO A36",VLOOKUP(Q1230,'[3]Velocidades Std 1500 w'!$B$2:$F$15,5,FALSE),IF(P1230="INOXIDABLE",VLOOKUP(Q1230,'[3]Velocidades Std 1500 w'!$B$17:$F$28,5,FALSE),IF(P1230="ALUMINIO",VLOOKUP(Q1230,'[3]Velocidades Std 1500 w'!$B$30:$F$38,5,FALSE))))</f>
        <v>2.0080321285140564E-6</v>
      </c>
      <c r="S1230" s="82">
        <f t="shared" si="135"/>
        <v>1.0040160642570283E-2</v>
      </c>
      <c r="T1230" s="83">
        <f t="shared" si="136"/>
        <v>31.934593734939757</v>
      </c>
      <c r="U1230" s="307">
        <f t="shared" si="155"/>
        <v>4417.6187999999993</v>
      </c>
      <c r="V1230" s="80">
        <f t="shared" si="153"/>
        <v>44.353602409638555</v>
      </c>
      <c r="W1230" s="98">
        <v>20</v>
      </c>
      <c r="X1230" s="84">
        <f>+IF(P1230="ACERO A36",VLOOKUP(Q1230,'[3]Tiempo Objeto'!$B$2:$C$12,2,FALSE),IF(P1230="INOXIDABLE",VLOOKUP(Q1230,'[3]Tiempo Objeto'!$B$14:$C$22,2,FALSE),IF(P1230="ALUMINIO",VLOOKUP(Q1230,'[3]Tiempo Objeto'!$B$24:$C$32,2,FALSE))))</f>
        <v>0.3133333333333333</v>
      </c>
      <c r="Y1230" s="84">
        <f t="shared" si="137"/>
        <v>6.2666666666666657</v>
      </c>
      <c r="Z1230" s="80">
        <f t="shared" si="138"/>
        <v>8.7037037037037024</v>
      </c>
      <c r="AA1230" s="100">
        <v>8</v>
      </c>
      <c r="AB1230" s="86">
        <f>+AA1230*Analisis!$J$6</f>
        <v>200</v>
      </c>
      <c r="AC1230" s="100"/>
      <c r="AD1230" s="85">
        <f t="shared" si="139"/>
        <v>0</v>
      </c>
      <c r="AE1230" s="86">
        <f>+AC1230*Analisis!$J$7</f>
        <v>0</v>
      </c>
      <c r="AF1230" s="308">
        <f>+H1230*0.0254*I1230*0.0254*2*(1+[3]Analisis!$G$2)</f>
        <v>1.7904351287999998</v>
      </c>
      <c r="AG1230" s="86">
        <f>+AF1230*Analisis!$J$8</f>
        <v>190.76660003285718</v>
      </c>
      <c r="AH1230" s="309">
        <f t="shared" si="156"/>
        <v>905.19758114619935</v>
      </c>
      <c r="AI1230" s="86">
        <f>+AH1230/(1-Analisis!G1235)</f>
        <v>905.19758114619935</v>
      </c>
      <c r="AJ1230" s="86">
        <f t="shared" si="140"/>
        <v>973.33073241526824</v>
      </c>
      <c r="AK1230" s="86">
        <f t="shared" si="157"/>
        <v>0</v>
      </c>
      <c r="AL1230" s="310" t="e">
        <f>+VLOOKUP(B1230,#REF!,2,FALSE)</f>
        <v>#REF!</v>
      </c>
      <c r="AM1230" s="311" t="e">
        <f t="shared" si="149"/>
        <v>#REF!</v>
      </c>
      <c r="AN1230" s="312" t="e">
        <f t="shared" si="148"/>
        <v>#REF!</v>
      </c>
    </row>
    <row r="1231" spans="1:40" s="73" customFormat="1" x14ac:dyDescent="0.25">
      <c r="A1231" s="313"/>
      <c r="B1231" s="333" t="s">
        <v>1853</v>
      </c>
      <c r="D1231" s="74">
        <f>IFERROR(VLOOKUP(B1231,'REQ. PINTADO'!B:C,2,0),0)</f>
        <v>0</v>
      </c>
      <c r="E1231" s="305">
        <f t="shared" si="133"/>
        <v>1285.1218679404103</v>
      </c>
      <c r="F1231" s="103" t="s">
        <v>165</v>
      </c>
      <c r="G1231" s="75" t="s">
        <v>147</v>
      </c>
      <c r="H1231" s="90">
        <v>39.6</v>
      </c>
      <c r="I1231" s="90">
        <v>40.22</v>
      </c>
      <c r="J1231" s="76">
        <v>0.105</v>
      </c>
      <c r="K1231" s="306">
        <v>16.38</v>
      </c>
      <c r="L1231" s="78">
        <f t="shared" si="134"/>
        <v>88.90940384615385</v>
      </c>
      <c r="M1231" s="58">
        <f>+VLOOKUP(F1231,Material!$H$2:$M$17,6,FALSE)*H1231*I1231*(1+Material!$K$14)</f>
        <v>661.97092499999997</v>
      </c>
      <c r="N1231" s="79" t="str">
        <f t="shared" si="158"/>
        <v>T5.0</v>
      </c>
      <c r="O1231" s="80">
        <f>+VLOOKUP(N1231,[3]Material!$A$3:$B$58,2,FALSE)</f>
        <v>5000</v>
      </c>
      <c r="P1231" s="79" t="s">
        <v>42</v>
      </c>
      <c r="Q1231" s="79" t="str">
        <f>+VLOOKUP(F1231,[3]Material!$C$2:$E$12,2,FALSE)</f>
        <v>Cal 14</v>
      </c>
      <c r="R1231" s="81">
        <f>+IF(P1231="ACERO A36",VLOOKUP(Q1231,'[3]Velocidades Std 1500 w'!$B$2:$F$15,5,FALSE),IF(P1231="INOXIDABLE",VLOOKUP(Q1231,'[3]Velocidades Std 1500 w'!$B$17:$F$28,5,FALSE),IF(P1231="ALUMINIO",VLOOKUP(Q1231,'[3]Velocidades Std 1500 w'!$B$30:$F$38,5,FALSE))))</f>
        <v>2.0080321285140564E-6</v>
      </c>
      <c r="S1231" s="82">
        <f t="shared" si="135"/>
        <v>1.0040160642570283E-2</v>
      </c>
      <c r="T1231" s="83">
        <f t="shared" si="136"/>
        <v>36.561678072289162</v>
      </c>
      <c r="U1231" s="307">
        <f t="shared" si="155"/>
        <v>5057.6988000000001</v>
      </c>
      <c r="V1231" s="80">
        <f t="shared" si="153"/>
        <v>50.780108433734952</v>
      </c>
      <c r="W1231" s="98">
        <v>20</v>
      </c>
      <c r="X1231" s="84">
        <f>+IF(P1231="ACERO A36",VLOOKUP(Q1231,'[3]Tiempo Objeto'!$B$2:$C$12,2,FALSE),IF(P1231="INOXIDABLE",VLOOKUP(Q1231,'[3]Tiempo Objeto'!$B$14:$C$22,2,FALSE),IF(P1231="ALUMINIO",VLOOKUP(Q1231,'[3]Tiempo Objeto'!$B$24:$C$32,2,FALSE))))</f>
        <v>0.3133333333333333</v>
      </c>
      <c r="Y1231" s="84">
        <f t="shared" si="137"/>
        <v>6.2666666666666657</v>
      </c>
      <c r="Z1231" s="80">
        <f t="shared" si="138"/>
        <v>8.7037037037037024</v>
      </c>
      <c r="AA1231" s="100">
        <v>8</v>
      </c>
      <c r="AB1231" s="86">
        <f>+AA1231*Analisis!$J$6</f>
        <v>200</v>
      </c>
      <c r="AC1231" s="100"/>
      <c r="AD1231" s="85">
        <f t="shared" si="139"/>
        <v>0</v>
      </c>
      <c r="AE1231" s="86">
        <f>+AC1231*Analisis!$J$7</f>
        <v>0</v>
      </c>
      <c r="AF1231" s="308">
        <f>+H1231*0.0254*I1231*0.0254*2*(1+[3]Analisis!$G$2)</f>
        <v>2.5688851848000001</v>
      </c>
      <c r="AG1231" s="86">
        <f>+AF1231*Analisis!$J$8</f>
        <v>273.70860004714297</v>
      </c>
      <c r="AH1231" s="309">
        <f t="shared" si="156"/>
        <v>1195.1633371845815</v>
      </c>
      <c r="AI1231" s="86">
        <f>+AH1231/(1-Analisis!G1236)</f>
        <v>1195.1633371845815</v>
      </c>
      <c r="AJ1231" s="86">
        <f t="shared" si="140"/>
        <v>1285.1218679404103</v>
      </c>
      <c r="AK1231" s="86">
        <f t="shared" si="157"/>
        <v>0</v>
      </c>
      <c r="AL1231" s="310" t="e">
        <f>+VLOOKUP(B1231,#REF!,2,FALSE)</f>
        <v>#REF!</v>
      </c>
      <c r="AM1231" s="311" t="e">
        <f t="shared" si="149"/>
        <v>#REF!</v>
      </c>
      <c r="AN1231" s="312" t="e">
        <f t="shared" si="148"/>
        <v>#REF!</v>
      </c>
    </row>
    <row r="1232" spans="1:40" s="73" customFormat="1" x14ac:dyDescent="0.25">
      <c r="A1232" s="313"/>
      <c r="B1232" s="333" t="s">
        <v>1854</v>
      </c>
      <c r="D1232" s="74">
        <f>IFERROR(VLOOKUP(B1232,'REQ. PINTADO'!B:C,2,0),0)</f>
        <v>0</v>
      </c>
      <c r="E1232" s="305">
        <f t="shared" si="133"/>
        <v>1117.4156377064794</v>
      </c>
      <c r="F1232" s="103" t="s">
        <v>165</v>
      </c>
      <c r="G1232" s="75" t="s">
        <v>147</v>
      </c>
      <c r="H1232" s="90">
        <v>27.6</v>
      </c>
      <c r="I1232" s="90">
        <v>48.22</v>
      </c>
      <c r="J1232" s="76">
        <v>0.105</v>
      </c>
      <c r="K1232" s="306">
        <v>16.38</v>
      </c>
      <c r="L1232" s="78">
        <f t="shared" si="134"/>
        <v>74.292801282051286</v>
      </c>
      <c r="M1232" s="58">
        <f>+VLOOKUP(F1232,Material!$H$2:$M$17,6,FALSE)*H1232*I1232*(1+Material!$K$14)</f>
        <v>553.14367500000003</v>
      </c>
      <c r="N1232" s="79" t="str">
        <f t="shared" si="158"/>
        <v>T5.0</v>
      </c>
      <c r="O1232" s="80">
        <f>+VLOOKUP(N1232,[3]Material!$A$3:$B$58,2,FALSE)</f>
        <v>5000</v>
      </c>
      <c r="P1232" s="79" t="s">
        <v>42</v>
      </c>
      <c r="Q1232" s="79" t="str">
        <f>+VLOOKUP(F1232,[3]Material!$C$2:$E$12,2,FALSE)</f>
        <v>Cal 14</v>
      </c>
      <c r="R1232" s="81">
        <f>+IF(P1232="ACERO A36",VLOOKUP(Q1232,'[3]Velocidades Std 1500 w'!$B$2:$F$15,5,FALSE),IF(P1232="INOXIDABLE",VLOOKUP(Q1232,'[3]Velocidades Std 1500 w'!$B$17:$F$28,5,FALSE),IF(P1232="ALUMINIO",VLOOKUP(Q1232,'[3]Velocidades Std 1500 w'!$B$30:$F$38,5,FALSE))))</f>
        <v>2.0080321285140564E-6</v>
      </c>
      <c r="S1232" s="82">
        <f t="shared" si="135"/>
        <v>1.0040160642570283E-2</v>
      </c>
      <c r="T1232" s="83">
        <f t="shared" si="136"/>
        <v>35.019316626506026</v>
      </c>
      <c r="U1232" s="307">
        <f t="shared" si="155"/>
        <v>4844.3387999999995</v>
      </c>
      <c r="V1232" s="80">
        <f t="shared" si="153"/>
        <v>48.637939759036151</v>
      </c>
      <c r="W1232" s="98">
        <v>20</v>
      </c>
      <c r="X1232" s="84">
        <f>+IF(P1232="ACERO A36",VLOOKUP(Q1232,'[3]Tiempo Objeto'!$B$2:$C$12,2,FALSE),IF(P1232="INOXIDABLE",VLOOKUP(Q1232,'[3]Tiempo Objeto'!$B$14:$C$22,2,FALSE),IF(P1232="ALUMINIO",VLOOKUP(Q1232,'[3]Tiempo Objeto'!$B$24:$C$32,2,FALSE))))</f>
        <v>0.3133333333333333</v>
      </c>
      <c r="Y1232" s="84">
        <f t="shared" si="137"/>
        <v>6.2666666666666657</v>
      </c>
      <c r="Z1232" s="80">
        <f t="shared" si="138"/>
        <v>8.7037037037037024</v>
      </c>
      <c r="AA1232" s="100">
        <v>8</v>
      </c>
      <c r="AB1232" s="86">
        <f>+AA1232*Analisis!$J$6</f>
        <v>200</v>
      </c>
      <c r="AC1232" s="100"/>
      <c r="AD1232" s="85">
        <f t="shared" si="139"/>
        <v>0</v>
      </c>
      <c r="AE1232" s="86">
        <f>+AC1232*Analisis!$J$7</f>
        <v>0</v>
      </c>
      <c r="AF1232" s="308">
        <f>+H1232*0.0254*I1232*0.0254*2*(1+[3]Analisis!$G$2)</f>
        <v>2.1465634487999998</v>
      </c>
      <c r="AG1232" s="86">
        <f>+AF1232*Analisis!$J$8</f>
        <v>228.71122460428577</v>
      </c>
      <c r="AH1232" s="309">
        <f t="shared" si="156"/>
        <v>1039.1965430670257</v>
      </c>
      <c r="AI1232" s="86">
        <f>+AH1232/(1-Analisis!G1237)</f>
        <v>1039.1965430670257</v>
      </c>
      <c r="AJ1232" s="86">
        <f t="shared" si="140"/>
        <v>1117.4156377064794</v>
      </c>
      <c r="AK1232" s="86">
        <f t="shared" si="157"/>
        <v>0</v>
      </c>
      <c r="AL1232" s="310" t="e">
        <f>+VLOOKUP(B1232,#REF!,2,FALSE)</f>
        <v>#REF!</v>
      </c>
      <c r="AM1232" s="311" t="e">
        <f t="shared" si="149"/>
        <v>#REF!</v>
      </c>
      <c r="AN1232" s="312" t="e">
        <f t="shared" si="148"/>
        <v>#REF!</v>
      </c>
    </row>
    <row r="1233" spans="1:40" s="73" customFormat="1" x14ac:dyDescent="0.25">
      <c r="A1233" s="313"/>
      <c r="B1233" s="333" t="s">
        <v>1855</v>
      </c>
      <c r="D1233" s="74">
        <f>IFERROR(VLOOKUP(B1233,'REQ. PINTADO'!B:C,2,0),0)</f>
        <v>0</v>
      </c>
      <c r="E1233" s="305">
        <f t="shared" si="133"/>
        <v>1396.7409755254512</v>
      </c>
      <c r="F1233" s="103" t="s">
        <v>165</v>
      </c>
      <c r="G1233" s="75" t="s">
        <v>147</v>
      </c>
      <c r="H1233" s="90">
        <v>36.6</v>
      </c>
      <c r="I1233" s="90">
        <v>48.22</v>
      </c>
      <c r="J1233" s="76">
        <v>0.105</v>
      </c>
      <c r="K1233" s="306">
        <v>16.38</v>
      </c>
      <c r="L1233" s="78">
        <f t="shared" si="134"/>
        <v>98.518714743589769</v>
      </c>
      <c r="M1233" s="58">
        <f>+VLOOKUP(F1233,Material!$H$2:$M$17,6,FALSE)*H1233*I1233*(1+Material!$K$14)</f>
        <v>733.51661250000006</v>
      </c>
      <c r="N1233" s="79" t="str">
        <f t="shared" si="158"/>
        <v>T5.0</v>
      </c>
      <c r="O1233" s="80">
        <f>+VLOOKUP(N1233,[3]Material!$A$3:$B$58,2,FALSE)</f>
        <v>5000</v>
      </c>
      <c r="P1233" s="79" t="s">
        <v>42</v>
      </c>
      <c r="Q1233" s="79" t="str">
        <f>+VLOOKUP(F1233,[3]Material!$C$2:$E$12,2,FALSE)</f>
        <v>Cal 14</v>
      </c>
      <c r="R1233" s="81">
        <f>+IF(P1233="ACERO A36",VLOOKUP(Q1233,'[3]Velocidades Std 1500 w'!$B$2:$F$15,5,FALSE),IF(P1233="INOXIDABLE",VLOOKUP(Q1233,'[3]Velocidades Std 1500 w'!$B$17:$F$28,5,FALSE),IF(P1233="ALUMINIO",VLOOKUP(Q1233,'[3]Velocidades Std 1500 w'!$B$30:$F$38,5,FALSE))))</f>
        <v>2.0080321285140564E-6</v>
      </c>
      <c r="S1233" s="82">
        <f t="shared" si="135"/>
        <v>1.0040160642570283E-2</v>
      </c>
      <c r="T1233" s="83">
        <f t="shared" si="136"/>
        <v>38.489629879518077</v>
      </c>
      <c r="U1233" s="307">
        <f t="shared" si="155"/>
        <v>5324.3987999999999</v>
      </c>
      <c r="V1233" s="80">
        <f t="shared" si="153"/>
        <v>53.457819277108442</v>
      </c>
      <c r="W1233" s="98">
        <v>20</v>
      </c>
      <c r="X1233" s="84">
        <f>+IF(P1233="ACERO A36",VLOOKUP(Q1233,'[3]Tiempo Objeto'!$B$2:$C$12,2,FALSE),IF(P1233="INOXIDABLE",VLOOKUP(Q1233,'[3]Tiempo Objeto'!$B$14:$C$22,2,FALSE),IF(P1233="ALUMINIO",VLOOKUP(Q1233,'[3]Tiempo Objeto'!$B$24:$C$32,2,FALSE))))</f>
        <v>0.3133333333333333</v>
      </c>
      <c r="Y1233" s="84">
        <f t="shared" si="137"/>
        <v>6.2666666666666657</v>
      </c>
      <c r="Z1233" s="80">
        <f t="shared" si="138"/>
        <v>8.7037037037037024</v>
      </c>
      <c r="AA1233" s="100">
        <v>8</v>
      </c>
      <c r="AB1233" s="86">
        <f>+AA1233*Analisis!$J$6</f>
        <v>200</v>
      </c>
      <c r="AC1233" s="100"/>
      <c r="AD1233" s="85">
        <f t="shared" si="139"/>
        <v>0</v>
      </c>
      <c r="AE1233" s="86">
        <f>+AC1233*Analisis!$J$7</f>
        <v>0</v>
      </c>
      <c r="AF1233" s="308">
        <f>+H1233*0.0254*I1233*0.0254*2*(1+[3]Analisis!$G$2)</f>
        <v>2.8465297908</v>
      </c>
      <c r="AG1233" s="86">
        <f>+AF1233*Analisis!$J$8</f>
        <v>303.29097175785722</v>
      </c>
      <c r="AH1233" s="309">
        <f t="shared" si="156"/>
        <v>1298.9691072386695</v>
      </c>
      <c r="AI1233" s="86">
        <f>+AH1233/(1-Analisis!G1238)</f>
        <v>1298.9691072386695</v>
      </c>
      <c r="AJ1233" s="86">
        <f t="shared" si="140"/>
        <v>1396.7409755254512</v>
      </c>
      <c r="AK1233" s="86">
        <f t="shared" si="157"/>
        <v>0</v>
      </c>
      <c r="AL1233" s="310" t="e">
        <f>+VLOOKUP(B1233,#REF!,2,FALSE)</f>
        <v>#REF!</v>
      </c>
      <c r="AM1233" s="311" t="e">
        <f t="shared" si="149"/>
        <v>#REF!</v>
      </c>
      <c r="AN1233" s="312" t="e">
        <f t="shared" si="148"/>
        <v>#REF!</v>
      </c>
    </row>
    <row r="1234" spans="1:40" s="73" customFormat="1" x14ac:dyDescent="0.25">
      <c r="A1234" s="313"/>
      <c r="B1234" s="333" t="s">
        <v>1856</v>
      </c>
      <c r="D1234" s="74">
        <f>IFERROR(VLOOKUP(B1234,'REQ. PINTADO'!B:C,2,0),0)</f>
        <v>0</v>
      </c>
      <c r="E1234" s="305">
        <f t="shared" si="133"/>
        <v>1207.1740840591249</v>
      </c>
      <c r="F1234" s="103" t="s">
        <v>165</v>
      </c>
      <c r="G1234" s="75" t="s">
        <v>147</v>
      </c>
      <c r="H1234" s="90">
        <v>36.6</v>
      </c>
      <c r="I1234" s="90">
        <v>40.22</v>
      </c>
      <c r="J1234" s="76">
        <v>0.105</v>
      </c>
      <c r="K1234" s="306">
        <v>16.38</v>
      </c>
      <c r="L1234" s="78">
        <f t="shared" si="134"/>
        <v>82.173842948717962</v>
      </c>
      <c r="M1234" s="58">
        <f>+VLOOKUP(F1234,Material!$H$2:$M$17,6,FALSE)*H1234*I1234*(1+Material!$K$14)</f>
        <v>611.82161250000001</v>
      </c>
      <c r="N1234" s="79" t="str">
        <f t="shared" si="158"/>
        <v>T5.0</v>
      </c>
      <c r="O1234" s="80">
        <f>+VLOOKUP(N1234,[3]Material!$A$3:$B$58,2,FALSE)</f>
        <v>5000</v>
      </c>
      <c r="P1234" s="79" t="s">
        <v>42</v>
      </c>
      <c r="Q1234" s="79" t="str">
        <f>+VLOOKUP(F1234,[3]Material!$C$2:$E$12,2,FALSE)</f>
        <v>Cal 14</v>
      </c>
      <c r="R1234" s="81">
        <f>+IF(P1234="ACERO A36",VLOOKUP(Q1234,'[3]Velocidades Std 1500 w'!$B$2:$F$15,5,FALSE),IF(P1234="INOXIDABLE",VLOOKUP(Q1234,'[3]Velocidades Std 1500 w'!$B$17:$F$28,5,FALSE),IF(P1234="ALUMINIO",VLOOKUP(Q1234,'[3]Velocidades Std 1500 w'!$B$30:$F$38,5,FALSE))))</f>
        <v>2.0080321285140564E-6</v>
      </c>
      <c r="S1234" s="82">
        <f t="shared" si="135"/>
        <v>1.0040160642570283E-2</v>
      </c>
      <c r="T1234" s="83">
        <f t="shared" si="136"/>
        <v>35.404906987951811</v>
      </c>
      <c r="U1234" s="307">
        <f t="shared" si="155"/>
        <v>4897.6787999999997</v>
      </c>
      <c r="V1234" s="80">
        <f t="shared" si="153"/>
        <v>49.173481927710846</v>
      </c>
      <c r="W1234" s="98">
        <v>20</v>
      </c>
      <c r="X1234" s="84">
        <f>+IF(P1234="ACERO A36",VLOOKUP(Q1234,'[3]Tiempo Objeto'!$B$2:$C$12,2,FALSE),IF(P1234="INOXIDABLE",VLOOKUP(Q1234,'[3]Tiempo Objeto'!$B$14:$C$22,2,FALSE),IF(P1234="ALUMINIO",VLOOKUP(Q1234,'[3]Tiempo Objeto'!$B$24:$C$32,2,FALSE))))</f>
        <v>0.3133333333333333</v>
      </c>
      <c r="Y1234" s="84">
        <f t="shared" si="137"/>
        <v>6.2666666666666657</v>
      </c>
      <c r="Z1234" s="80">
        <f t="shared" si="138"/>
        <v>8.7037037037037024</v>
      </c>
      <c r="AA1234" s="100">
        <v>8</v>
      </c>
      <c r="AB1234" s="86">
        <f>+AA1234*Analisis!$J$6</f>
        <v>200</v>
      </c>
      <c r="AC1234" s="100"/>
      <c r="AD1234" s="85">
        <f t="shared" si="139"/>
        <v>0</v>
      </c>
      <c r="AE1234" s="86">
        <f>+AC1234*Analisis!$J$7</f>
        <v>0</v>
      </c>
      <c r="AF1234" s="308">
        <f>+H1234*0.0254*I1234*0.0254*2*(1+[3]Analisis!$G$2)</f>
        <v>2.3742726707999999</v>
      </c>
      <c r="AG1234" s="86">
        <f>+AF1234*Analisis!$J$8</f>
        <v>252.97310004357149</v>
      </c>
      <c r="AH1234" s="309">
        <f t="shared" si="156"/>
        <v>1122.6718981749862</v>
      </c>
      <c r="AI1234" s="86">
        <f>+AH1234/(1-Analisis!G1239)</f>
        <v>1122.6718981749862</v>
      </c>
      <c r="AJ1234" s="86">
        <f t="shared" si="140"/>
        <v>1207.1740840591249</v>
      </c>
      <c r="AK1234" s="86">
        <f t="shared" si="157"/>
        <v>0</v>
      </c>
      <c r="AL1234" s="310" t="e">
        <f>+VLOOKUP(B1234,#REF!,2,FALSE)</f>
        <v>#REF!</v>
      </c>
      <c r="AM1234" s="311" t="e">
        <f t="shared" si="149"/>
        <v>#REF!</v>
      </c>
      <c r="AN1234" s="312" t="e">
        <f t="shared" si="148"/>
        <v>#REF!</v>
      </c>
    </row>
    <row r="1235" spans="1:40" s="73" customFormat="1" x14ac:dyDescent="0.25">
      <c r="A1235" s="313"/>
      <c r="B1235" s="333" t="s">
        <v>1857</v>
      </c>
      <c r="D1235" s="74">
        <f>IFERROR(VLOOKUP(B1235,'REQ. PINTADO'!B:C,2,0),0)</f>
        <v>0</v>
      </c>
      <c r="E1235" s="305">
        <f t="shared" si="133"/>
        <v>1057.8903179143153</v>
      </c>
      <c r="F1235" s="103" t="s">
        <v>165</v>
      </c>
      <c r="G1235" s="75" t="s">
        <v>147</v>
      </c>
      <c r="H1235" s="90">
        <v>15.6</v>
      </c>
      <c r="I1235" s="90">
        <v>78.22</v>
      </c>
      <c r="J1235" s="76">
        <v>0.105</v>
      </c>
      <c r="K1235" s="306">
        <v>16.38</v>
      </c>
      <c r="L1235" s="78">
        <f t="shared" si="134"/>
        <v>68.116583333333338</v>
      </c>
      <c r="M1235" s="58">
        <f>+VLOOKUP(F1235,Material!$H$2:$M$17,6,FALSE)*H1235*I1235*(1+Material!$K$14)</f>
        <v>507.15892500000001</v>
      </c>
      <c r="N1235" s="79" t="str">
        <f t="shared" si="158"/>
        <v>T5.0</v>
      </c>
      <c r="O1235" s="80">
        <f>+VLOOKUP(N1235,[3]Material!$A$3:$B$58,2,FALSE)</f>
        <v>5000</v>
      </c>
      <c r="P1235" s="79" t="s">
        <v>42</v>
      </c>
      <c r="Q1235" s="79" t="str">
        <f>+VLOOKUP(F1235,[3]Material!$C$2:$E$12,2,FALSE)</f>
        <v>Cal 14</v>
      </c>
      <c r="R1235" s="81">
        <f>+IF(P1235="ACERO A36",VLOOKUP(Q1235,'[3]Velocidades Std 1500 w'!$B$2:$F$15,5,FALSE),IF(P1235="INOXIDABLE",VLOOKUP(Q1235,'[3]Velocidades Std 1500 w'!$B$17:$F$28,5,FALSE),IF(P1235="ALUMINIO",VLOOKUP(Q1235,'[3]Velocidades Std 1500 w'!$B$30:$F$38,5,FALSE))))</f>
        <v>2.0080321285140564E-6</v>
      </c>
      <c r="S1235" s="82">
        <f t="shared" si="135"/>
        <v>1.0040160642570283E-2</v>
      </c>
      <c r="T1235" s="83">
        <f t="shared" si="136"/>
        <v>41.959943132530121</v>
      </c>
      <c r="U1235" s="307">
        <f t="shared" si="155"/>
        <v>5804.4587999999994</v>
      </c>
      <c r="V1235" s="80">
        <f t="shared" si="153"/>
        <v>58.277698795180726</v>
      </c>
      <c r="W1235" s="98">
        <v>20</v>
      </c>
      <c r="X1235" s="84">
        <f>+IF(P1235="ACERO A36",VLOOKUP(Q1235,'[3]Tiempo Objeto'!$B$2:$C$12,2,FALSE),IF(P1235="INOXIDABLE",VLOOKUP(Q1235,'[3]Tiempo Objeto'!$B$14:$C$22,2,FALSE),IF(P1235="ALUMINIO",VLOOKUP(Q1235,'[3]Tiempo Objeto'!$B$24:$C$32,2,FALSE))))</f>
        <v>0.3133333333333333</v>
      </c>
      <c r="Y1235" s="84">
        <f t="shared" si="137"/>
        <v>6.2666666666666657</v>
      </c>
      <c r="Z1235" s="80">
        <f t="shared" si="138"/>
        <v>8.7037037037037024</v>
      </c>
      <c r="AA1235" s="100">
        <v>8</v>
      </c>
      <c r="AB1235" s="86">
        <f>+AA1235*Analisis!$J$6</f>
        <v>200</v>
      </c>
      <c r="AC1235" s="100"/>
      <c r="AD1235" s="85">
        <f t="shared" si="139"/>
        <v>0</v>
      </c>
      <c r="AE1235" s="86">
        <f>+AC1235*Analisis!$J$7</f>
        <v>0</v>
      </c>
      <c r="AF1235" s="308">
        <f>+H1235*0.0254*I1235*0.0254*2*(1+[3]Analisis!$G$2)</f>
        <v>1.9681121927999998</v>
      </c>
      <c r="AG1235" s="86">
        <f>+AF1235*Analisis!$J$8</f>
        <v>209.69766816142862</v>
      </c>
      <c r="AH1235" s="309">
        <f t="shared" si="156"/>
        <v>983.83799566031314</v>
      </c>
      <c r="AI1235" s="86">
        <f>+AH1235/(1-Analisis!G1240)</f>
        <v>983.83799566031314</v>
      </c>
      <c r="AJ1235" s="86">
        <f t="shared" si="140"/>
        <v>1057.8903179143153</v>
      </c>
      <c r="AK1235" s="86">
        <f t="shared" si="157"/>
        <v>0</v>
      </c>
      <c r="AL1235" s="310" t="e">
        <f>+VLOOKUP(B1235,#REF!,2,FALSE)</f>
        <v>#REF!</v>
      </c>
      <c r="AM1235" s="311" t="e">
        <f t="shared" si="149"/>
        <v>#REF!</v>
      </c>
      <c r="AN1235" s="312" t="e">
        <f t="shared" si="148"/>
        <v>#REF!</v>
      </c>
    </row>
    <row r="1236" spans="1:40" s="73" customFormat="1" x14ac:dyDescent="0.25">
      <c r="A1236" s="313"/>
      <c r="B1236" s="333" t="s">
        <v>1858</v>
      </c>
      <c r="D1236" s="74">
        <f>IFERROR(VLOOKUP(B1236,'REQ. PINTADO'!B:C,2,0),0)</f>
        <v>0</v>
      </c>
      <c r="E1236" s="305">
        <f t="shared" si="133"/>
        <v>1357.8121752314178</v>
      </c>
      <c r="F1236" s="103" t="s">
        <v>165</v>
      </c>
      <c r="G1236" s="75" t="s">
        <v>147</v>
      </c>
      <c r="H1236" s="90">
        <v>21.6</v>
      </c>
      <c r="I1236" s="90">
        <v>78.22</v>
      </c>
      <c r="J1236" s="76">
        <v>0.105</v>
      </c>
      <c r="K1236" s="306">
        <v>16.38</v>
      </c>
      <c r="L1236" s="78">
        <f t="shared" si="134"/>
        <v>94.315269230769246</v>
      </c>
      <c r="M1236" s="58">
        <f>+VLOOKUP(F1236,Material!$H$2:$M$17,6,FALSE)*H1236*I1236*(1+Material!$K$14)</f>
        <v>702.22005000000001</v>
      </c>
      <c r="N1236" s="79" t="str">
        <f t="shared" si="158"/>
        <v>T5.0</v>
      </c>
      <c r="O1236" s="80">
        <f>+VLOOKUP(N1236,[3]Material!$A$3:$B$58,2,FALSE)</f>
        <v>5000</v>
      </c>
      <c r="P1236" s="79" t="s">
        <v>42</v>
      </c>
      <c r="Q1236" s="79" t="str">
        <f>+VLOOKUP(F1236,[3]Material!$C$2:$E$12,2,FALSE)</f>
        <v>Cal 14</v>
      </c>
      <c r="R1236" s="81">
        <f>+IF(P1236="ACERO A36",VLOOKUP(Q1236,'[3]Velocidades Std 1500 w'!$B$2:$F$15,5,FALSE),IF(P1236="INOXIDABLE",VLOOKUP(Q1236,'[3]Velocidades Std 1500 w'!$B$17:$F$28,5,FALSE),IF(P1236="ALUMINIO",VLOOKUP(Q1236,'[3]Velocidades Std 1500 w'!$B$30:$F$38,5,FALSE))))</f>
        <v>2.0080321285140564E-6</v>
      </c>
      <c r="S1236" s="82">
        <f t="shared" si="135"/>
        <v>1.0040160642570283E-2</v>
      </c>
      <c r="T1236" s="83">
        <f t="shared" si="136"/>
        <v>44.273485301204829</v>
      </c>
      <c r="U1236" s="307">
        <f t="shared" si="155"/>
        <v>6124.4988000000003</v>
      </c>
      <c r="V1236" s="80">
        <f t="shared" si="153"/>
        <v>61.490951807228932</v>
      </c>
      <c r="W1236" s="98">
        <v>20</v>
      </c>
      <c r="X1236" s="84">
        <f>+IF(P1236="ACERO A36",VLOOKUP(Q1236,'[3]Tiempo Objeto'!$B$2:$C$12,2,FALSE),IF(P1236="INOXIDABLE",VLOOKUP(Q1236,'[3]Tiempo Objeto'!$B$14:$C$22,2,FALSE),IF(P1236="ALUMINIO",VLOOKUP(Q1236,'[3]Tiempo Objeto'!$B$24:$C$32,2,FALSE))))</f>
        <v>0.3133333333333333</v>
      </c>
      <c r="Y1236" s="84">
        <f t="shared" si="137"/>
        <v>6.2666666666666657</v>
      </c>
      <c r="Z1236" s="80">
        <f t="shared" si="138"/>
        <v>8.7037037037037024</v>
      </c>
      <c r="AA1236" s="100">
        <v>8</v>
      </c>
      <c r="AB1236" s="86">
        <f>+AA1236*Analisis!$J$6</f>
        <v>200</v>
      </c>
      <c r="AC1236" s="100"/>
      <c r="AD1236" s="85">
        <f t="shared" si="139"/>
        <v>0</v>
      </c>
      <c r="AE1236" s="86">
        <f>+AC1236*Analisis!$J$7</f>
        <v>0</v>
      </c>
      <c r="AF1236" s="308">
        <f>+H1236*0.0254*I1236*0.0254*2*(1+[3]Analisis!$G$2)</f>
        <v>2.7250784208000001</v>
      </c>
      <c r="AG1236" s="86">
        <f>+AF1236*Analisis!$J$8</f>
        <v>290.35061745428578</v>
      </c>
      <c r="AH1236" s="309">
        <f t="shared" si="156"/>
        <v>1262.7653229652185</v>
      </c>
      <c r="AI1236" s="86">
        <f>+AH1236/(1-Analisis!G1241)</f>
        <v>1262.7653229652185</v>
      </c>
      <c r="AJ1236" s="86">
        <f t="shared" si="140"/>
        <v>1357.8121752314178</v>
      </c>
      <c r="AK1236" s="86">
        <f t="shared" si="157"/>
        <v>0</v>
      </c>
      <c r="AL1236" s="310" t="e">
        <f>+VLOOKUP(B1236,#REF!,2,FALSE)</f>
        <v>#REF!</v>
      </c>
      <c r="AM1236" s="311" t="e">
        <f t="shared" si="149"/>
        <v>#REF!</v>
      </c>
      <c r="AN1236" s="312" t="e">
        <f t="shared" si="148"/>
        <v>#REF!</v>
      </c>
    </row>
    <row r="1237" spans="1:40" s="73" customFormat="1" x14ac:dyDescent="0.25">
      <c r="A1237" s="313"/>
      <c r="B1237" s="333" t="s">
        <v>1859</v>
      </c>
      <c r="D1237" s="74">
        <f>IFERROR(VLOOKUP(B1237,'REQ. PINTADO'!B:C,2,0),0)</f>
        <v>0</v>
      </c>
      <c r="E1237" s="305">
        <f t="shared" si="133"/>
        <v>1957.6558898656231</v>
      </c>
      <c r="F1237" s="103" t="s">
        <v>165</v>
      </c>
      <c r="G1237" s="75" t="s">
        <v>147</v>
      </c>
      <c r="H1237" s="90">
        <v>33.6</v>
      </c>
      <c r="I1237" s="90">
        <v>78.22</v>
      </c>
      <c r="J1237" s="76">
        <v>0.105</v>
      </c>
      <c r="K1237" s="306">
        <v>16.38</v>
      </c>
      <c r="L1237" s="78">
        <f t="shared" si="134"/>
        <v>146.71264102564103</v>
      </c>
      <c r="M1237" s="58">
        <f>+VLOOKUP(F1237,Material!$H$2:$M$17,6,FALSE)*H1237*I1237*(1+Material!$K$14)</f>
        <v>1092.3423</v>
      </c>
      <c r="N1237" s="79" t="str">
        <f t="shared" si="158"/>
        <v>T5.0</v>
      </c>
      <c r="O1237" s="80">
        <f>+VLOOKUP(N1237,[3]Material!$A$3:$B$58,2,FALSE)</f>
        <v>5000</v>
      </c>
      <c r="P1237" s="79" t="s">
        <v>42</v>
      </c>
      <c r="Q1237" s="79" t="str">
        <f>+VLOOKUP(F1237,[3]Material!$C$2:$E$12,2,FALSE)</f>
        <v>Cal 14</v>
      </c>
      <c r="R1237" s="81">
        <f>+IF(P1237="ACERO A36",VLOOKUP(Q1237,'[3]Velocidades Std 1500 w'!$B$2:$F$15,5,FALSE),IF(P1237="INOXIDABLE",VLOOKUP(Q1237,'[3]Velocidades Std 1500 w'!$B$17:$F$28,5,FALSE),IF(P1237="ALUMINIO",VLOOKUP(Q1237,'[3]Velocidades Std 1500 w'!$B$30:$F$38,5,FALSE))))</f>
        <v>2.0080321285140564E-6</v>
      </c>
      <c r="S1237" s="82">
        <f t="shared" si="135"/>
        <v>1.0040160642570283E-2</v>
      </c>
      <c r="T1237" s="83">
        <f t="shared" si="136"/>
        <v>48.900569638554217</v>
      </c>
      <c r="U1237" s="307">
        <f t="shared" si="155"/>
        <v>6764.5787999999993</v>
      </c>
      <c r="V1237" s="80">
        <f t="shared" si="153"/>
        <v>67.917457831325308</v>
      </c>
      <c r="W1237" s="98">
        <v>20</v>
      </c>
      <c r="X1237" s="84">
        <f>+IF(P1237="ACERO A36",VLOOKUP(Q1237,'[3]Tiempo Objeto'!$B$2:$C$12,2,FALSE),IF(P1237="INOXIDABLE",VLOOKUP(Q1237,'[3]Tiempo Objeto'!$B$14:$C$22,2,FALSE),IF(P1237="ALUMINIO",VLOOKUP(Q1237,'[3]Tiempo Objeto'!$B$24:$C$32,2,FALSE))))</f>
        <v>0.3133333333333333</v>
      </c>
      <c r="Y1237" s="84">
        <f t="shared" si="137"/>
        <v>6.2666666666666657</v>
      </c>
      <c r="Z1237" s="80">
        <f t="shared" si="138"/>
        <v>8.7037037037037024</v>
      </c>
      <c r="AA1237" s="100">
        <v>8</v>
      </c>
      <c r="AB1237" s="86">
        <f>+AA1237*Analisis!$J$6</f>
        <v>200</v>
      </c>
      <c r="AC1237" s="100"/>
      <c r="AD1237" s="85">
        <f t="shared" si="139"/>
        <v>0</v>
      </c>
      <c r="AE1237" s="86">
        <f>+AC1237*Analisis!$J$7</f>
        <v>0</v>
      </c>
      <c r="AF1237" s="308">
        <f>+H1237*0.0254*I1237*0.0254*2*(1+[3]Analisis!$G$2)</f>
        <v>4.2390108768000001</v>
      </c>
      <c r="AG1237" s="86">
        <f>+AF1237*Analisis!$J$8</f>
        <v>451.65651604000016</v>
      </c>
      <c r="AH1237" s="309">
        <f t="shared" si="156"/>
        <v>1820.6199775750292</v>
      </c>
      <c r="AI1237" s="86">
        <f>+AH1237/(1-Analisis!G1242)</f>
        <v>1820.6199775750292</v>
      </c>
      <c r="AJ1237" s="86">
        <f t="shared" si="140"/>
        <v>1957.6558898656231</v>
      </c>
      <c r="AK1237" s="86">
        <f t="shared" si="157"/>
        <v>0</v>
      </c>
      <c r="AL1237" s="310" t="e">
        <f>+VLOOKUP(B1237,#REF!,2,FALSE)</f>
        <v>#REF!</v>
      </c>
      <c r="AM1237" s="311" t="e">
        <f t="shared" si="149"/>
        <v>#REF!</v>
      </c>
      <c r="AN1237" s="312" t="e">
        <f t="shared" si="148"/>
        <v>#REF!</v>
      </c>
    </row>
    <row r="1238" spans="1:40" s="73" customFormat="1" x14ac:dyDescent="0.25">
      <c r="A1238" s="313"/>
      <c r="B1238" s="333" t="s">
        <v>1860</v>
      </c>
      <c r="D1238" s="74">
        <f>IFERROR(VLOOKUP(B1238,'REQ. PINTADO'!B:C,2,0),0)</f>
        <v>0</v>
      </c>
      <c r="E1238" s="305">
        <f t="shared" si="133"/>
        <v>2257.5777471827255</v>
      </c>
      <c r="F1238" s="103" t="s">
        <v>165</v>
      </c>
      <c r="G1238" s="75" t="s">
        <v>147</v>
      </c>
      <c r="H1238" s="90">
        <v>39.6</v>
      </c>
      <c r="I1238" s="90">
        <v>78.22</v>
      </c>
      <c r="J1238" s="76">
        <v>0.105</v>
      </c>
      <c r="K1238" s="306">
        <v>16.38</v>
      </c>
      <c r="L1238" s="78">
        <f t="shared" si="134"/>
        <v>172.91132692307696</v>
      </c>
      <c r="M1238" s="58">
        <f>+VLOOKUP(F1238,Material!$H$2:$M$17,6,FALSE)*H1238*I1238*(1+Material!$K$14)</f>
        <v>1287.403425</v>
      </c>
      <c r="N1238" s="79" t="str">
        <f t="shared" si="158"/>
        <v>T5.0</v>
      </c>
      <c r="O1238" s="80">
        <f>+VLOOKUP(N1238,[3]Material!$A$3:$B$58,2,FALSE)</f>
        <v>5000</v>
      </c>
      <c r="P1238" s="79" t="s">
        <v>42</v>
      </c>
      <c r="Q1238" s="79" t="str">
        <f>+VLOOKUP(F1238,[3]Material!$C$2:$E$12,2,FALSE)</f>
        <v>Cal 14</v>
      </c>
      <c r="R1238" s="81">
        <f>+IF(P1238="ACERO A36",VLOOKUP(Q1238,'[3]Velocidades Std 1500 w'!$B$2:$F$15,5,FALSE),IF(P1238="INOXIDABLE",VLOOKUP(Q1238,'[3]Velocidades Std 1500 w'!$B$17:$F$28,5,FALSE),IF(P1238="ALUMINIO",VLOOKUP(Q1238,'[3]Velocidades Std 1500 w'!$B$30:$F$38,5,FALSE))))</f>
        <v>2.0080321285140564E-6</v>
      </c>
      <c r="S1238" s="82">
        <f t="shared" si="135"/>
        <v>1.0040160642570283E-2</v>
      </c>
      <c r="T1238" s="83">
        <f t="shared" si="136"/>
        <v>51.21411180722891</v>
      </c>
      <c r="U1238" s="307">
        <f t="shared" si="155"/>
        <v>7084.6187999999993</v>
      </c>
      <c r="V1238" s="80">
        <f t="shared" si="153"/>
        <v>71.130710843373492</v>
      </c>
      <c r="W1238" s="98">
        <v>20</v>
      </c>
      <c r="X1238" s="84">
        <f>+IF(P1238="ACERO A36",VLOOKUP(Q1238,'[3]Tiempo Objeto'!$B$2:$C$12,2,FALSE),IF(P1238="INOXIDABLE",VLOOKUP(Q1238,'[3]Tiempo Objeto'!$B$14:$C$22,2,FALSE),IF(P1238="ALUMINIO",VLOOKUP(Q1238,'[3]Tiempo Objeto'!$B$24:$C$32,2,FALSE))))</f>
        <v>0.3133333333333333</v>
      </c>
      <c r="Y1238" s="84">
        <f t="shared" si="137"/>
        <v>6.2666666666666657</v>
      </c>
      <c r="Z1238" s="80">
        <f t="shared" si="138"/>
        <v>8.7037037037037024</v>
      </c>
      <c r="AA1238" s="100">
        <v>8</v>
      </c>
      <c r="AB1238" s="86">
        <f>+AA1238*Analisis!$J$6</f>
        <v>200</v>
      </c>
      <c r="AC1238" s="100"/>
      <c r="AD1238" s="85">
        <f t="shared" si="139"/>
        <v>0</v>
      </c>
      <c r="AE1238" s="86">
        <f>+AC1238*Analisis!$J$7</f>
        <v>0</v>
      </c>
      <c r="AF1238" s="308">
        <f>+H1238*0.0254*I1238*0.0254*2*(1+[3]Analisis!$G$2)</f>
        <v>4.9959771047999997</v>
      </c>
      <c r="AG1238" s="86">
        <f>+AF1238*Analisis!$J$8</f>
        <v>532.30946533285726</v>
      </c>
      <c r="AH1238" s="309">
        <f t="shared" si="156"/>
        <v>2099.5473048799345</v>
      </c>
      <c r="AI1238" s="86">
        <f>+AH1238/(1-Analisis!G1243)</f>
        <v>2099.5473048799345</v>
      </c>
      <c r="AJ1238" s="86">
        <f t="shared" si="140"/>
        <v>2257.5777471827255</v>
      </c>
      <c r="AK1238" s="86">
        <f t="shared" si="157"/>
        <v>0</v>
      </c>
      <c r="AL1238" s="310" t="e">
        <f>+VLOOKUP(B1238,#REF!,2,FALSE)</f>
        <v>#REF!</v>
      </c>
      <c r="AM1238" s="311" t="e">
        <f t="shared" si="149"/>
        <v>#REF!</v>
      </c>
      <c r="AN1238" s="312" t="e">
        <f t="shared" si="148"/>
        <v>#REF!</v>
      </c>
    </row>
    <row r="1239" spans="1:40" s="73" customFormat="1" x14ac:dyDescent="0.25">
      <c r="A1239" s="313"/>
      <c r="B1239" s="333" t="s">
        <v>1861</v>
      </c>
      <c r="D1239" s="74">
        <f>IFERROR(VLOOKUP(B1239,'REQ. PINTADO'!B:C,2,0),0)</f>
        <v>0</v>
      </c>
      <c r="E1239" s="305">
        <f t="shared" si="133"/>
        <v>278.15642341304942</v>
      </c>
      <c r="F1239" s="103" t="s">
        <v>165</v>
      </c>
      <c r="G1239" s="75" t="s">
        <v>147</v>
      </c>
      <c r="H1239" s="90">
        <v>5.78</v>
      </c>
      <c r="I1239" s="90">
        <v>37.450000000000003</v>
      </c>
      <c r="J1239" s="76">
        <v>0.105</v>
      </c>
      <c r="K1239" s="306">
        <v>16.38</v>
      </c>
      <c r="L1239" s="78">
        <f t="shared" si="134"/>
        <v>12.083426549145303</v>
      </c>
      <c r="M1239" s="58">
        <f>+VLOOKUP(F1239,Material!$H$2:$M$17,6,FALSE)*H1239*I1239*(1+Material!$K$14)</f>
        <v>89.966603125000006</v>
      </c>
      <c r="N1239" s="79" t="str">
        <f t="shared" si="158"/>
        <v>T5.0</v>
      </c>
      <c r="O1239" s="80">
        <f>+VLOOKUP(N1239,[3]Material!$A$3:$B$58,2,FALSE)</f>
        <v>5000</v>
      </c>
      <c r="P1239" s="79" t="s">
        <v>42</v>
      </c>
      <c r="Q1239" s="79" t="str">
        <f>+VLOOKUP(F1239,[3]Material!$C$2:$E$12,2,FALSE)</f>
        <v>Cal 14</v>
      </c>
      <c r="R1239" s="81">
        <f>+IF(P1239="ACERO A36",VLOOKUP(Q1239,'[3]Velocidades Std 1500 w'!$B$2:$F$15,5,FALSE),IF(P1239="INOXIDABLE",VLOOKUP(Q1239,'[3]Velocidades Std 1500 w'!$B$17:$F$28,5,FALSE),IF(P1239="ALUMINIO",VLOOKUP(Q1239,'[3]Velocidades Std 1500 w'!$B$30:$F$38,5,FALSE))))</f>
        <v>2.0080321285140564E-6</v>
      </c>
      <c r="S1239" s="82">
        <f t="shared" si="135"/>
        <v>1.0040160642570283E-2</v>
      </c>
      <c r="T1239" s="83">
        <f t="shared" si="136"/>
        <v>19.56099903614458</v>
      </c>
      <c r="U1239" s="307">
        <f t="shared" si="155"/>
        <v>2705.9382000000001</v>
      </c>
      <c r="V1239" s="80">
        <f t="shared" si="153"/>
        <v>27.168054216867475</v>
      </c>
      <c r="W1239" s="98">
        <v>10</v>
      </c>
      <c r="X1239" s="84">
        <f>+IF(P1239="ACERO A36",VLOOKUP(Q1239,'[3]Tiempo Objeto'!$B$2:$C$12,2,FALSE),IF(P1239="INOXIDABLE",VLOOKUP(Q1239,'[3]Tiempo Objeto'!$B$14:$C$22,2,FALSE),IF(P1239="ALUMINIO",VLOOKUP(Q1239,'[3]Tiempo Objeto'!$B$24:$C$32,2,FALSE))))</f>
        <v>0.3133333333333333</v>
      </c>
      <c r="Y1239" s="84">
        <f t="shared" si="137"/>
        <v>3.1333333333333329</v>
      </c>
      <c r="Z1239" s="80">
        <f t="shared" si="138"/>
        <v>4.3518518518518512</v>
      </c>
      <c r="AA1239" s="100">
        <v>4</v>
      </c>
      <c r="AB1239" s="86">
        <f>+AA1239*Analisis!$J$6</f>
        <v>100</v>
      </c>
      <c r="AC1239" s="100"/>
      <c r="AD1239" s="85">
        <f t="shared" si="139"/>
        <v>0</v>
      </c>
      <c r="AE1239" s="86">
        <f>+AC1239*Analisis!$J$7</f>
        <v>0</v>
      </c>
      <c r="AF1239" s="308">
        <f>+H1239*0.0254*I1239*0.0254*2*(1+[3]Analisis!$G$2)</f>
        <v>0.34912994690000004</v>
      </c>
      <c r="AG1239" s="86">
        <f>+AF1239*Analisis!$J$8</f>
        <v>37.198964580416686</v>
      </c>
      <c r="AH1239" s="309">
        <f t="shared" si="156"/>
        <v>258.68547377413597</v>
      </c>
      <c r="AI1239" s="86">
        <f>+AH1239/(1-Analisis!G1244)</f>
        <v>258.68547377413597</v>
      </c>
      <c r="AJ1239" s="86">
        <f t="shared" si="140"/>
        <v>278.15642341304942</v>
      </c>
      <c r="AK1239" s="86">
        <f t="shared" si="157"/>
        <v>0</v>
      </c>
      <c r="AL1239" s="310" t="e">
        <f>+VLOOKUP(B1239,#REF!,2,FALSE)</f>
        <v>#REF!</v>
      </c>
      <c r="AM1239" s="311" t="e">
        <f t="shared" si="149"/>
        <v>#REF!</v>
      </c>
      <c r="AN1239" s="312" t="e">
        <f t="shared" si="148"/>
        <v>#REF!</v>
      </c>
    </row>
    <row r="1240" spans="1:40" s="73" customFormat="1" x14ac:dyDescent="0.25">
      <c r="A1240" s="313"/>
      <c r="B1240" s="333" t="s">
        <v>1862</v>
      </c>
      <c r="D1240" s="74">
        <f>IFERROR(VLOOKUP(B1240,'REQ. PINTADO'!B:C,2,0),0)</f>
        <v>0</v>
      </c>
      <c r="E1240" s="305">
        <f t="shared" si="133"/>
        <v>311.97277999970333</v>
      </c>
      <c r="F1240" s="103" t="s">
        <v>165</v>
      </c>
      <c r="G1240" s="75" t="s">
        <v>147</v>
      </c>
      <c r="H1240" s="90">
        <v>5.78</v>
      </c>
      <c r="I1240" s="90">
        <v>45.45</v>
      </c>
      <c r="J1240" s="76">
        <v>0.105</v>
      </c>
      <c r="K1240" s="306">
        <v>16.38</v>
      </c>
      <c r="L1240" s="78">
        <f t="shared" si="134"/>
        <v>14.664665865384618</v>
      </c>
      <c r="M1240" s="58">
        <f>+VLOOKUP(F1240,Material!$H$2:$M$17,6,FALSE)*H1240*I1240*(1+Material!$K$14)</f>
        <v>109.18510312500001</v>
      </c>
      <c r="N1240" s="79" t="str">
        <f t="shared" si="158"/>
        <v>T5.0</v>
      </c>
      <c r="O1240" s="80">
        <f>+VLOOKUP(N1240,[3]Material!$A$3:$B$58,2,FALSE)</f>
        <v>5000</v>
      </c>
      <c r="P1240" s="79" t="s">
        <v>42</v>
      </c>
      <c r="Q1240" s="79" t="str">
        <f>+VLOOKUP(F1240,[3]Material!$C$2:$E$12,2,FALSE)</f>
        <v>Cal 14</v>
      </c>
      <c r="R1240" s="81">
        <f>+IF(P1240="ACERO A36",VLOOKUP(Q1240,'[3]Velocidades Std 1500 w'!$B$2:$F$15,5,FALSE),IF(P1240="INOXIDABLE",VLOOKUP(Q1240,'[3]Velocidades Std 1500 w'!$B$17:$F$28,5,FALSE),IF(P1240="ALUMINIO",VLOOKUP(Q1240,'[3]Velocidades Std 1500 w'!$B$30:$F$38,5,FALSE))))</f>
        <v>2.0080321285140564E-6</v>
      </c>
      <c r="S1240" s="82">
        <f t="shared" si="135"/>
        <v>1.0040160642570283E-2</v>
      </c>
      <c r="T1240" s="83">
        <f t="shared" si="136"/>
        <v>22.645721927710845</v>
      </c>
      <c r="U1240" s="307">
        <f t="shared" si="155"/>
        <v>3132.6581999999999</v>
      </c>
      <c r="V1240" s="80">
        <f t="shared" si="153"/>
        <v>31.452391566265064</v>
      </c>
      <c r="W1240" s="98">
        <v>10</v>
      </c>
      <c r="X1240" s="84">
        <f>+IF(P1240="ACERO A36",VLOOKUP(Q1240,'[3]Tiempo Objeto'!$B$2:$C$12,2,FALSE),IF(P1240="INOXIDABLE",VLOOKUP(Q1240,'[3]Tiempo Objeto'!$B$14:$C$22,2,FALSE),IF(P1240="ALUMINIO",VLOOKUP(Q1240,'[3]Tiempo Objeto'!$B$24:$C$32,2,FALSE))))</f>
        <v>0.3133333333333333</v>
      </c>
      <c r="Y1240" s="84">
        <f t="shared" si="137"/>
        <v>3.1333333333333329</v>
      </c>
      <c r="Z1240" s="80">
        <f t="shared" si="138"/>
        <v>4.3518518518518512</v>
      </c>
      <c r="AA1240" s="100">
        <v>4</v>
      </c>
      <c r="AB1240" s="86">
        <f>+AA1240*Analisis!$J$6</f>
        <v>100</v>
      </c>
      <c r="AC1240" s="100"/>
      <c r="AD1240" s="85">
        <f t="shared" si="139"/>
        <v>0</v>
      </c>
      <c r="AE1240" s="86">
        <f>+AC1240*Analisis!$J$7</f>
        <v>0</v>
      </c>
      <c r="AF1240" s="308">
        <f>+H1240*0.0254*I1240*0.0254*2*(1+[3]Analisis!$G$2)</f>
        <v>0.42371044289999998</v>
      </c>
      <c r="AG1240" s="86">
        <f>+AF1240*Analisis!$J$8</f>
        <v>45.145338856607154</v>
      </c>
      <c r="AH1240" s="309">
        <f t="shared" si="156"/>
        <v>290.13468539972411</v>
      </c>
      <c r="AI1240" s="86">
        <f>+AH1240/(1-Analisis!G1245)</f>
        <v>290.13468539972411</v>
      </c>
      <c r="AJ1240" s="86">
        <f t="shared" si="140"/>
        <v>311.97277999970333</v>
      </c>
      <c r="AK1240" s="86">
        <f t="shared" si="157"/>
        <v>0</v>
      </c>
      <c r="AL1240" s="310" t="e">
        <f>+VLOOKUP(B1240,#REF!,2,FALSE)</f>
        <v>#REF!</v>
      </c>
      <c r="AM1240" s="311" t="e">
        <f t="shared" si="149"/>
        <v>#REF!</v>
      </c>
      <c r="AN1240" s="312" t="e">
        <f t="shared" si="148"/>
        <v>#REF!</v>
      </c>
    </row>
    <row r="1241" spans="1:40" s="73" customFormat="1" x14ac:dyDescent="0.25">
      <c r="A1241" s="313"/>
      <c r="B1241" s="333" t="s">
        <v>1863</v>
      </c>
      <c r="D1241" s="74">
        <f>IFERROR(VLOOKUP(B1241,'REQ. PINTADO'!B:C,2,0),0)</f>
        <v>0</v>
      </c>
      <c r="E1241" s="305">
        <f t="shared" si="133"/>
        <v>354.24322573302061</v>
      </c>
      <c r="F1241" s="103" t="s">
        <v>165</v>
      </c>
      <c r="G1241" s="75" t="s">
        <v>147</v>
      </c>
      <c r="H1241" s="90">
        <v>5.78</v>
      </c>
      <c r="I1241" s="90">
        <v>55.45</v>
      </c>
      <c r="J1241" s="76">
        <v>0.105</v>
      </c>
      <c r="K1241" s="306">
        <v>16.38</v>
      </c>
      <c r="L1241" s="78">
        <f t="shared" si="134"/>
        <v>17.891215010683762</v>
      </c>
      <c r="M1241" s="58">
        <f>+VLOOKUP(F1241,Material!$H$2:$M$17,6,FALSE)*H1241*I1241*(1+Material!$K$14)</f>
        <v>133.20822812500001</v>
      </c>
      <c r="N1241" s="79" t="str">
        <f t="shared" si="158"/>
        <v>T5.0</v>
      </c>
      <c r="O1241" s="80">
        <f>+VLOOKUP(N1241,[3]Material!$A$3:$B$58,2,FALSE)</f>
        <v>5000</v>
      </c>
      <c r="P1241" s="79" t="s">
        <v>42</v>
      </c>
      <c r="Q1241" s="79" t="str">
        <f>+VLOOKUP(F1241,[3]Material!$C$2:$E$12,2,FALSE)</f>
        <v>Cal 14</v>
      </c>
      <c r="R1241" s="81">
        <f>+IF(P1241="ACERO A36",VLOOKUP(Q1241,'[3]Velocidades Std 1500 w'!$B$2:$F$15,5,FALSE),IF(P1241="INOXIDABLE",VLOOKUP(Q1241,'[3]Velocidades Std 1500 w'!$B$17:$F$28,5,FALSE),IF(P1241="ALUMINIO",VLOOKUP(Q1241,'[3]Velocidades Std 1500 w'!$B$30:$F$38,5,FALSE))))</f>
        <v>2.0080321285140564E-6</v>
      </c>
      <c r="S1241" s="82">
        <f t="shared" si="135"/>
        <v>1.0040160642570283E-2</v>
      </c>
      <c r="T1241" s="83">
        <f t="shared" si="136"/>
        <v>26.501625542168675</v>
      </c>
      <c r="U1241" s="307">
        <f t="shared" si="155"/>
        <v>3666.0581999999999</v>
      </c>
      <c r="V1241" s="80">
        <f t="shared" si="153"/>
        <v>36.807813253012057</v>
      </c>
      <c r="W1241" s="98">
        <v>10</v>
      </c>
      <c r="X1241" s="84">
        <f>+IF(P1241="ACERO A36",VLOOKUP(Q1241,'[3]Tiempo Objeto'!$B$2:$C$12,2,FALSE),IF(P1241="INOXIDABLE",VLOOKUP(Q1241,'[3]Tiempo Objeto'!$B$14:$C$22,2,FALSE),IF(P1241="ALUMINIO",VLOOKUP(Q1241,'[3]Tiempo Objeto'!$B$24:$C$32,2,FALSE))))</f>
        <v>0.3133333333333333</v>
      </c>
      <c r="Y1241" s="84">
        <f t="shared" si="137"/>
        <v>3.1333333333333329</v>
      </c>
      <c r="Z1241" s="80">
        <f t="shared" si="138"/>
        <v>4.3518518518518512</v>
      </c>
      <c r="AA1241" s="100">
        <v>4</v>
      </c>
      <c r="AB1241" s="86">
        <f>+AA1241*Analisis!$J$6</f>
        <v>100</v>
      </c>
      <c r="AC1241" s="100"/>
      <c r="AD1241" s="85">
        <f t="shared" si="139"/>
        <v>0</v>
      </c>
      <c r="AE1241" s="86">
        <f>+AC1241*Analisis!$J$7</f>
        <v>0</v>
      </c>
      <c r="AF1241" s="308">
        <f>+H1241*0.0254*I1241*0.0254*2*(1+[3]Analisis!$G$2)</f>
        <v>0.51693606290000005</v>
      </c>
      <c r="AG1241" s="86">
        <f>+AF1241*Analisis!$J$8</f>
        <v>55.078306701845257</v>
      </c>
      <c r="AH1241" s="309">
        <f t="shared" si="156"/>
        <v>329.44619993170915</v>
      </c>
      <c r="AI1241" s="86">
        <f>+AH1241/(1-Analisis!G1246)</f>
        <v>329.44619993170915</v>
      </c>
      <c r="AJ1241" s="86">
        <f t="shared" si="140"/>
        <v>354.24322573302061</v>
      </c>
      <c r="AK1241" s="86">
        <f t="shared" si="157"/>
        <v>0</v>
      </c>
      <c r="AL1241" s="310" t="e">
        <f>+VLOOKUP(B1241,#REF!,2,FALSE)</f>
        <v>#REF!</v>
      </c>
      <c r="AM1241" s="311" t="e">
        <f t="shared" si="149"/>
        <v>#REF!</v>
      </c>
      <c r="AN1241" s="312" t="e">
        <f t="shared" si="148"/>
        <v>#REF!</v>
      </c>
    </row>
    <row r="1242" spans="1:40" s="73" customFormat="1" x14ac:dyDescent="0.25">
      <c r="A1242" s="313"/>
      <c r="B1242" s="333" t="s">
        <v>1864</v>
      </c>
      <c r="D1242" s="74">
        <f>IFERROR(VLOOKUP(B1242,'REQ. PINTADO'!B:C,2,0),0)</f>
        <v>0</v>
      </c>
      <c r="E1242" s="305">
        <f t="shared" si="133"/>
        <v>396.513671466338</v>
      </c>
      <c r="F1242" s="103" t="s">
        <v>165</v>
      </c>
      <c r="G1242" s="75" t="s">
        <v>147</v>
      </c>
      <c r="H1242" s="90">
        <v>5.78</v>
      </c>
      <c r="I1242" s="90">
        <v>65.45</v>
      </c>
      <c r="J1242" s="76">
        <v>0.105</v>
      </c>
      <c r="K1242" s="306">
        <v>16.38</v>
      </c>
      <c r="L1242" s="78">
        <f t="shared" si="134"/>
        <v>21.117764155982911</v>
      </c>
      <c r="M1242" s="58">
        <f>+VLOOKUP(F1242,Material!$H$2:$M$17,6,FALSE)*H1242*I1242*(1+Material!$K$14)</f>
        <v>157.23135312500003</v>
      </c>
      <c r="N1242" s="79" t="str">
        <f t="shared" si="158"/>
        <v>T5.0</v>
      </c>
      <c r="O1242" s="80">
        <f>+VLOOKUP(N1242,[3]Material!$A$3:$B$58,2,FALSE)</f>
        <v>5000</v>
      </c>
      <c r="P1242" s="79" t="s">
        <v>42</v>
      </c>
      <c r="Q1242" s="79" t="str">
        <f>+VLOOKUP(F1242,[3]Material!$C$2:$E$12,2,FALSE)</f>
        <v>Cal 14</v>
      </c>
      <c r="R1242" s="81">
        <f>+IF(P1242="ACERO A36",VLOOKUP(Q1242,'[3]Velocidades Std 1500 w'!$B$2:$F$15,5,FALSE),IF(P1242="INOXIDABLE",VLOOKUP(Q1242,'[3]Velocidades Std 1500 w'!$B$17:$F$28,5,FALSE),IF(P1242="ALUMINIO",VLOOKUP(Q1242,'[3]Velocidades Std 1500 w'!$B$30:$F$38,5,FALSE))))</f>
        <v>2.0080321285140564E-6</v>
      </c>
      <c r="S1242" s="82">
        <f t="shared" si="135"/>
        <v>1.0040160642570283E-2</v>
      </c>
      <c r="T1242" s="83">
        <f t="shared" si="136"/>
        <v>30.357529156626505</v>
      </c>
      <c r="U1242" s="307">
        <f t="shared" si="155"/>
        <v>4199.4582</v>
      </c>
      <c r="V1242" s="80">
        <f t="shared" si="153"/>
        <v>42.163234939759043</v>
      </c>
      <c r="W1242" s="98">
        <v>10</v>
      </c>
      <c r="X1242" s="84">
        <f>+IF(P1242="ACERO A36",VLOOKUP(Q1242,'[3]Tiempo Objeto'!$B$2:$C$12,2,FALSE),IF(P1242="INOXIDABLE",VLOOKUP(Q1242,'[3]Tiempo Objeto'!$B$14:$C$22,2,FALSE),IF(P1242="ALUMINIO",VLOOKUP(Q1242,'[3]Tiempo Objeto'!$B$24:$C$32,2,FALSE))))</f>
        <v>0.3133333333333333</v>
      </c>
      <c r="Y1242" s="84">
        <f t="shared" si="137"/>
        <v>3.1333333333333329</v>
      </c>
      <c r="Z1242" s="80">
        <f t="shared" si="138"/>
        <v>4.3518518518518512</v>
      </c>
      <c r="AA1242" s="100">
        <v>4</v>
      </c>
      <c r="AB1242" s="86">
        <f>+AA1242*Analisis!$J$6</f>
        <v>100</v>
      </c>
      <c r="AC1242" s="100"/>
      <c r="AD1242" s="85">
        <f t="shared" si="139"/>
        <v>0</v>
      </c>
      <c r="AE1242" s="86">
        <f>+AC1242*Analisis!$J$7</f>
        <v>0</v>
      </c>
      <c r="AF1242" s="308">
        <f>+H1242*0.0254*I1242*0.0254*2*(1+[3]Analisis!$G$2)</f>
        <v>0.61016168289999995</v>
      </c>
      <c r="AG1242" s="86">
        <f>+AF1242*Analisis!$J$8</f>
        <v>65.011274547083346</v>
      </c>
      <c r="AH1242" s="309">
        <f t="shared" si="156"/>
        <v>368.7577144636943</v>
      </c>
      <c r="AI1242" s="86">
        <f>+AH1242/(1-Analisis!G1247)</f>
        <v>368.7577144636943</v>
      </c>
      <c r="AJ1242" s="86">
        <f t="shared" si="140"/>
        <v>396.513671466338</v>
      </c>
      <c r="AK1242" s="86">
        <f t="shared" si="157"/>
        <v>0</v>
      </c>
      <c r="AL1242" s="310" t="e">
        <f>+VLOOKUP(B1242,#REF!,2,FALSE)</f>
        <v>#REF!</v>
      </c>
      <c r="AM1242" s="311" t="e">
        <f t="shared" si="149"/>
        <v>#REF!</v>
      </c>
      <c r="AN1242" s="312" t="e">
        <f t="shared" si="148"/>
        <v>#REF!</v>
      </c>
    </row>
    <row r="1243" spans="1:40" s="73" customFormat="1" x14ac:dyDescent="0.25">
      <c r="A1243" s="313"/>
      <c r="B1243" s="333" t="s">
        <v>1865</v>
      </c>
      <c r="D1243" s="74">
        <f>IFERROR(VLOOKUP(B1243,'REQ. PINTADO'!B:C,2,0),0)</f>
        <v>0</v>
      </c>
      <c r="E1243" s="305">
        <f t="shared" si="133"/>
        <v>248.56711139972737</v>
      </c>
      <c r="F1243" s="103" t="s">
        <v>165</v>
      </c>
      <c r="G1243" s="75" t="s">
        <v>147</v>
      </c>
      <c r="H1243" s="90">
        <v>5.78</v>
      </c>
      <c r="I1243" s="90">
        <v>30.45</v>
      </c>
      <c r="J1243" s="76">
        <v>0.105</v>
      </c>
      <c r="K1243" s="306">
        <v>16.38</v>
      </c>
      <c r="L1243" s="78">
        <f t="shared" si="134"/>
        <v>9.8248421474359002</v>
      </c>
      <c r="M1243" s="58">
        <f>+VLOOKUP(F1243,Material!$H$2:$M$17,6,FALSE)*H1243*I1243*(1+Material!$K$14)</f>
        <v>73.150415625000008</v>
      </c>
      <c r="N1243" s="79" t="str">
        <f t="shared" si="158"/>
        <v>T5.0</v>
      </c>
      <c r="O1243" s="80">
        <f>+VLOOKUP(N1243,[3]Material!$A$3:$B$58,2,FALSE)</f>
        <v>5000</v>
      </c>
      <c r="P1243" s="79" t="s">
        <v>42</v>
      </c>
      <c r="Q1243" s="79" t="str">
        <f>+VLOOKUP(F1243,[3]Material!$C$2:$E$12,2,FALSE)</f>
        <v>Cal 14</v>
      </c>
      <c r="R1243" s="81">
        <f>+IF(P1243="ACERO A36",VLOOKUP(Q1243,'[3]Velocidades Std 1500 w'!$B$2:$F$15,5,FALSE),IF(P1243="INOXIDABLE",VLOOKUP(Q1243,'[3]Velocidades Std 1500 w'!$B$17:$F$28,5,FALSE),IF(P1243="ALUMINIO",VLOOKUP(Q1243,'[3]Velocidades Std 1500 w'!$B$30:$F$38,5,FALSE))))</f>
        <v>2.0080321285140564E-6</v>
      </c>
      <c r="S1243" s="82">
        <f t="shared" si="135"/>
        <v>1.0040160642570283E-2</v>
      </c>
      <c r="T1243" s="83">
        <f t="shared" si="136"/>
        <v>16.861866506024096</v>
      </c>
      <c r="U1243" s="307">
        <f t="shared" si="155"/>
        <v>2332.5581999999999</v>
      </c>
      <c r="V1243" s="80">
        <f t="shared" si="153"/>
        <v>23.419259036144581</v>
      </c>
      <c r="W1243" s="98">
        <v>10</v>
      </c>
      <c r="X1243" s="84">
        <f>+IF(P1243="ACERO A36",VLOOKUP(Q1243,'[3]Tiempo Objeto'!$B$2:$C$12,2,FALSE),IF(P1243="INOXIDABLE",VLOOKUP(Q1243,'[3]Tiempo Objeto'!$B$14:$C$22,2,FALSE),IF(P1243="ALUMINIO",VLOOKUP(Q1243,'[3]Tiempo Objeto'!$B$24:$C$32,2,FALSE))))</f>
        <v>0.3133333333333333</v>
      </c>
      <c r="Y1243" s="84">
        <f t="shared" si="137"/>
        <v>3.1333333333333329</v>
      </c>
      <c r="Z1243" s="80">
        <f t="shared" si="138"/>
        <v>4.3518518518518512</v>
      </c>
      <c r="AA1243" s="100">
        <v>4</v>
      </c>
      <c r="AB1243" s="86">
        <f>+AA1243*Analisis!$J$6</f>
        <v>100</v>
      </c>
      <c r="AC1243" s="100"/>
      <c r="AD1243" s="85">
        <f t="shared" si="139"/>
        <v>0</v>
      </c>
      <c r="AE1243" s="86">
        <f>+AC1243*Analisis!$J$7</f>
        <v>0</v>
      </c>
      <c r="AF1243" s="308">
        <f>+H1243*0.0254*I1243*0.0254*2*(1+[3]Analisis!$G$2)</f>
        <v>0.28387201289999997</v>
      </c>
      <c r="AG1243" s="86">
        <f>+AF1243*Analisis!$J$8</f>
        <v>30.245887088750006</v>
      </c>
      <c r="AH1243" s="309">
        <f t="shared" si="156"/>
        <v>231.16741360174643</v>
      </c>
      <c r="AI1243" s="86">
        <f>+AH1243/(1-Analisis!G1248)</f>
        <v>231.16741360174643</v>
      </c>
      <c r="AJ1243" s="86">
        <f t="shared" si="140"/>
        <v>248.56711139972737</v>
      </c>
      <c r="AK1243" s="86">
        <f t="shared" si="157"/>
        <v>0</v>
      </c>
      <c r="AL1243" s="310" t="e">
        <f>+VLOOKUP(B1243,#REF!,2,FALSE)</f>
        <v>#REF!</v>
      </c>
      <c r="AM1243" s="311" t="e">
        <f t="shared" si="149"/>
        <v>#REF!</v>
      </c>
      <c r="AN1243" s="312" t="e">
        <f t="shared" si="148"/>
        <v>#REF!</v>
      </c>
    </row>
    <row r="1244" spans="1:40" s="73" customFormat="1" x14ac:dyDescent="0.25">
      <c r="A1244" s="313"/>
      <c r="B1244" s="333" t="s">
        <v>1866</v>
      </c>
      <c r="D1244" s="74">
        <f>IFERROR(VLOOKUP(B1244,'REQ. PINTADO'!B:C,2,0),0)</f>
        <v>0</v>
      </c>
      <c r="E1244" s="305">
        <f t="shared" si="133"/>
        <v>282.38346798638128</v>
      </c>
      <c r="F1244" s="103" t="s">
        <v>165</v>
      </c>
      <c r="G1244" s="75" t="s">
        <v>147</v>
      </c>
      <c r="H1244" s="90">
        <v>5.78</v>
      </c>
      <c r="I1244" s="90">
        <v>38.450000000000003</v>
      </c>
      <c r="J1244" s="76">
        <v>0.105</v>
      </c>
      <c r="K1244" s="306">
        <v>16.38</v>
      </c>
      <c r="L1244" s="78">
        <f t="shared" si="134"/>
        <v>12.406081463675218</v>
      </c>
      <c r="M1244" s="58">
        <f>+VLOOKUP(F1244,Material!$H$2:$M$17,6,FALSE)*H1244*I1244*(1+Material!$K$14)</f>
        <v>92.368915625000014</v>
      </c>
      <c r="N1244" s="79" t="str">
        <f t="shared" si="158"/>
        <v>T5.0</v>
      </c>
      <c r="O1244" s="80">
        <f>+VLOOKUP(N1244,[3]Material!$A$3:$B$58,2,FALSE)</f>
        <v>5000</v>
      </c>
      <c r="P1244" s="79" t="s">
        <v>42</v>
      </c>
      <c r="Q1244" s="79" t="str">
        <f>+VLOOKUP(F1244,[3]Material!$C$2:$E$12,2,FALSE)</f>
        <v>Cal 14</v>
      </c>
      <c r="R1244" s="81">
        <f>+IF(P1244="ACERO A36",VLOOKUP(Q1244,'[3]Velocidades Std 1500 w'!$B$2:$F$15,5,FALSE),IF(P1244="INOXIDABLE",VLOOKUP(Q1244,'[3]Velocidades Std 1500 w'!$B$17:$F$28,5,FALSE),IF(P1244="ALUMINIO",VLOOKUP(Q1244,'[3]Velocidades Std 1500 w'!$B$30:$F$38,5,FALSE))))</f>
        <v>2.0080321285140564E-6</v>
      </c>
      <c r="S1244" s="82">
        <f t="shared" si="135"/>
        <v>1.0040160642570283E-2</v>
      </c>
      <c r="T1244" s="83">
        <f t="shared" si="136"/>
        <v>19.946589397590365</v>
      </c>
      <c r="U1244" s="307">
        <f t="shared" ref="U1244:U1307" si="159">(+I1244*2+H1244*2+W1244*1.5)*25.4*1.05</f>
        <v>2759.2782000000002</v>
      </c>
      <c r="V1244" s="80">
        <f t="shared" si="153"/>
        <v>27.703596385542177</v>
      </c>
      <c r="W1244" s="98">
        <v>10</v>
      </c>
      <c r="X1244" s="84">
        <f>+IF(P1244="ACERO A36",VLOOKUP(Q1244,'[3]Tiempo Objeto'!$B$2:$C$12,2,FALSE),IF(P1244="INOXIDABLE",VLOOKUP(Q1244,'[3]Tiempo Objeto'!$B$14:$C$22,2,FALSE),IF(P1244="ALUMINIO",VLOOKUP(Q1244,'[3]Tiempo Objeto'!$B$24:$C$32,2,FALSE))))</f>
        <v>0.3133333333333333</v>
      </c>
      <c r="Y1244" s="84">
        <f t="shared" si="137"/>
        <v>3.1333333333333329</v>
      </c>
      <c r="Z1244" s="80">
        <f t="shared" si="138"/>
        <v>4.3518518518518512</v>
      </c>
      <c r="AA1244" s="100">
        <v>4</v>
      </c>
      <c r="AB1244" s="86">
        <f>+AA1244*Analisis!$J$6</f>
        <v>100</v>
      </c>
      <c r="AC1244" s="100"/>
      <c r="AD1244" s="85">
        <f t="shared" si="139"/>
        <v>0</v>
      </c>
      <c r="AE1244" s="86">
        <f>+AC1244*Analisis!$J$7</f>
        <v>0</v>
      </c>
      <c r="AF1244" s="308">
        <f>+H1244*0.0254*I1244*0.0254*2*(1+[3]Analisis!$G$2)</f>
        <v>0.35845250890000002</v>
      </c>
      <c r="AG1244" s="86">
        <f>+AF1244*Analisis!$J$8</f>
        <v>38.192261364940492</v>
      </c>
      <c r="AH1244" s="309">
        <f t="shared" si="156"/>
        <v>262.61662522733457</v>
      </c>
      <c r="AI1244" s="86">
        <f>+AH1244/(1-Analisis!G1249)</f>
        <v>262.61662522733457</v>
      </c>
      <c r="AJ1244" s="86">
        <f t="shared" si="140"/>
        <v>282.38346798638128</v>
      </c>
      <c r="AK1244" s="86">
        <f t="shared" si="157"/>
        <v>0</v>
      </c>
      <c r="AL1244" s="310" t="e">
        <f>+VLOOKUP(B1244,#REF!,2,FALSE)</f>
        <v>#REF!</v>
      </c>
      <c r="AM1244" s="311" t="e">
        <f t="shared" si="149"/>
        <v>#REF!</v>
      </c>
      <c r="AN1244" s="312" t="e">
        <f t="shared" si="148"/>
        <v>#REF!</v>
      </c>
    </row>
    <row r="1245" spans="1:40" s="73" customFormat="1" x14ac:dyDescent="0.25">
      <c r="A1245" s="313"/>
      <c r="B1245" s="333" t="s">
        <v>1867</v>
      </c>
      <c r="D1245" s="74">
        <f>IFERROR(VLOOKUP(B1245,'REQ. PINTADO'!B:C,2,0),0)</f>
        <v>0</v>
      </c>
      <c r="E1245" s="305">
        <f t="shared" si="133"/>
        <v>324.65391371969855</v>
      </c>
      <c r="F1245" s="103" t="s">
        <v>165</v>
      </c>
      <c r="G1245" s="75" t="s">
        <v>147</v>
      </c>
      <c r="H1245" s="90">
        <v>5.78</v>
      </c>
      <c r="I1245" s="90">
        <v>48.45</v>
      </c>
      <c r="J1245" s="76">
        <v>0.105</v>
      </c>
      <c r="K1245" s="306">
        <v>16.38</v>
      </c>
      <c r="L1245" s="78">
        <f t="shared" si="134"/>
        <v>15.632630608974363</v>
      </c>
      <c r="M1245" s="58">
        <f>+VLOOKUP(F1245,Material!$H$2:$M$17,6,FALSE)*H1245*I1245*(1+Material!$K$14)</f>
        <v>116.39204062500002</v>
      </c>
      <c r="N1245" s="79" t="str">
        <f t="shared" si="158"/>
        <v>T5.0</v>
      </c>
      <c r="O1245" s="80">
        <f>+VLOOKUP(N1245,[3]Material!$A$3:$B$58,2,FALSE)</f>
        <v>5000</v>
      </c>
      <c r="P1245" s="79" t="s">
        <v>42</v>
      </c>
      <c r="Q1245" s="79" t="str">
        <f>+VLOOKUP(F1245,[3]Material!$C$2:$E$12,2,FALSE)</f>
        <v>Cal 14</v>
      </c>
      <c r="R1245" s="81">
        <f>+IF(P1245="ACERO A36",VLOOKUP(Q1245,'[3]Velocidades Std 1500 w'!$B$2:$F$15,5,FALSE),IF(P1245="INOXIDABLE",VLOOKUP(Q1245,'[3]Velocidades Std 1500 w'!$B$17:$F$28,5,FALSE),IF(P1245="ALUMINIO",VLOOKUP(Q1245,'[3]Velocidades Std 1500 w'!$B$30:$F$38,5,FALSE))))</f>
        <v>2.0080321285140564E-6</v>
      </c>
      <c r="S1245" s="82">
        <f t="shared" si="135"/>
        <v>1.0040160642570283E-2</v>
      </c>
      <c r="T1245" s="83">
        <f t="shared" si="136"/>
        <v>23.802493012048195</v>
      </c>
      <c r="U1245" s="307">
        <f t="shared" si="159"/>
        <v>3292.6782000000003</v>
      </c>
      <c r="V1245" s="80">
        <f t="shared" si="153"/>
        <v>33.059018072289163</v>
      </c>
      <c r="W1245" s="98">
        <v>10</v>
      </c>
      <c r="X1245" s="84">
        <f>+IF(P1245="ACERO A36",VLOOKUP(Q1245,'[3]Tiempo Objeto'!$B$2:$C$12,2,FALSE),IF(P1245="INOXIDABLE",VLOOKUP(Q1245,'[3]Tiempo Objeto'!$B$14:$C$22,2,FALSE),IF(P1245="ALUMINIO",VLOOKUP(Q1245,'[3]Tiempo Objeto'!$B$24:$C$32,2,FALSE))))</f>
        <v>0.3133333333333333</v>
      </c>
      <c r="Y1245" s="84">
        <f t="shared" si="137"/>
        <v>3.1333333333333329</v>
      </c>
      <c r="Z1245" s="80">
        <f t="shared" si="138"/>
        <v>4.3518518518518512</v>
      </c>
      <c r="AA1245" s="100">
        <v>4</v>
      </c>
      <c r="AB1245" s="86">
        <f>+AA1245*Analisis!$J$6</f>
        <v>100</v>
      </c>
      <c r="AC1245" s="100"/>
      <c r="AD1245" s="85">
        <f t="shared" si="139"/>
        <v>0</v>
      </c>
      <c r="AE1245" s="86">
        <f>+AC1245*Analisis!$J$7</f>
        <v>0</v>
      </c>
      <c r="AF1245" s="308">
        <f>+H1245*0.0254*I1245*0.0254*2*(1+[3]Analisis!$G$2)</f>
        <v>0.45167812889999998</v>
      </c>
      <c r="AG1245" s="86">
        <f>+AF1245*Analisis!$J$8</f>
        <v>48.125229210178581</v>
      </c>
      <c r="AH1245" s="309">
        <f t="shared" si="156"/>
        <v>301.92813975931961</v>
      </c>
      <c r="AI1245" s="86">
        <f>+AH1245/(1-Analisis!G1250)</f>
        <v>301.92813975931961</v>
      </c>
      <c r="AJ1245" s="86">
        <f t="shared" si="140"/>
        <v>324.65391371969855</v>
      </c>
      <c r="AK1245" s="86">
        <f t="shared" si="157"/>
        <v>0</v>
      </c>
      <c r="AL1245" s="310" t="e">
        <f>+VLOOKUP(B1245,#REF!,2,FALSE)</f>
        <v>#REF!</v>
      </c>
      <c r="AM1245" s="311" t="e">
        <f t="shared" si="149"/>
        <v>#REF!</v>
      </c>
      <c r="AN1245" s="312" t="e">
        <f t="shared" si="148"/>
        <v>#REF!</v>
      </c>
    </row>
    <row r="1246" spans="1:40" s="73" customFormat="1" x14ac:dyDescent="0.25">
      <c r="A1246" s="313"/>
      <c r="B1246" s="333" t="s">
        <v>1868</v>
      </c>
      <c r="D1246" s="74">
        <f>IFERROR(VLOOKUP(B1246,'REQ. PINTADO'!B:C,2,0),0)</f>
        <v>0</v>
      </c>
      <c r="E1246" s="305">
        <f t="shared" si="133"/>
        <v>366.92435945301588</v>
      </c>
      <c r="F1246" s="103" t="s">
        <v>165</v>
      </c>
      <c r="G1246" s="75" t="s">
        <v>147</v>
      </c>
      <c r="H1246" s="90">
        <v>5.78</v>
      </c>
      <c r="I1246" s="90">
        <v>58.45</v>
      </c>
      <c r="J1246" s="76">
        <v>0.105</v>
      </c>
      <c r="K1246" s="306">
        <v>16.38</v>
      </c>
      <c r="L1246" s="78">
        <f t="shared" si="134"/>
        <v>18.859179754273509</v>
      </c>
      <c r="M1246" s="58">
        <f>+VLOOKUP(F1246,Material!$H$2:$M$17,6,FALSE)*H1246*I1246*(1+Material!$K$14)</f>
        <v>140.41516562500001</v>
      </c>
      <c r="N1246" s="79" t="str">
        <f t="shared" si="158"/>
        <v>T5.0</v>
      </c>
      <c r="O1246" s="80">
        <f>+VLOOKUP(N1246,[3]Material!$A$3:$B$58,2,FALSE)</f>
        <v>5000</v>
      </c>
      <c r="P1246" s="79" t="s">
        <v>42</v>
      </c>
      <c r="Q1246" s="79" t="str">
        <f>+VLOOKUP(F1246,[3]Material!$C$2:$E$12,2,FALSE)</f>
        <v>Cal 14</v>
      </c>
      <c r="R1246" s="81">
        <f>+IF(P1246="ACERO A36",VLOOKUP(Q1246,'[3]Velocidades Std 1500 w'!$B$2:$F$15,5,FALSE),IF(P1246="INOXIDABLE",VLOOKUP(Q1246,'[3]Velocidades Std 1500 w'!$B$17:$F$28,5,FALSE),IF(P1246="ALUMINIO",VLOOKUP(Q1246,'[3]Velocidades Std 1500 w'!$B$30:$F$38,5,FALSE))))</f>
        <v>2.0080321285140564E-6</v>
      </c>
      <c r="S1246" s="82">
        <f t="shared" si="135"/>
        <v>1.0040160642570283E-2</v>
      </c>
      <c r="T1246" s="83">
        <f t="shared" si="136"/>
        <v>27.658396626506029</v>
      </c>
      <c r="U1246" s="307">
        <f t="shared" si="159"/>
        <v>3826.0782000000004</v>
      </c>
      <c r="V1246" s="80">
        <f t="shared" si="153"/>
        <v>38.414439759036156</v>
      </c>
      <c r="W1246" s="98">
        <v>10</v>
      </c>
      <c r="X1246" s="84">
        <f>+IF(P1246="ACERO A36",VLOOKUP(Q1246,'[3]Tiempo Objeto'!$B$2:$C$12,2,FALSE),IF(P1246="INOXIDABLE",VLOOKUP(Q1246,'[3]Tiempo Objeto'!$B$14:$C$22,2,FALSE),IF(P1246="ALUMINIO",VLOOKUP(Q1246,'[3]Tiempo Objeto'!$B$24:$C$32,2,FALSE))))</f>
        <v>0.3133333333333333</v>
      </c>
      <c r="Y1246" s="84">
        <f t="shared" si="137"/>
        <v>3.1333333333333329</v>
      </c>
      <c r="Z1246" s="80">
        <f t="shared" si="138"/>
        <v>4.3518518518518512</v>
      </c>
      <c r="AA1246" s="100">
        <v>4</v>
      </c>
      <c r="AB1246" s="86">
        <f>+AA1246*Analisis!$J$6</f>
        <v>100</v>
      </c>
      <c r="AC1246" s="100"/>
      <c r="AD1246" s="85">
        <f t="shared" si="139"/>
        <v>0</v>
      </c>
      <c r="AE1246" s="86">
        <f>+AC1246*Analisis!$J$7</f>
        <v>0</v>
      </c>
      <c r="AF1246" s="308">
        <f>+H1246*0.0254*I1246*0.0254*2*(1+[3]Analisis!$G$2)</f>
        <v>0.54490374890000004</v>
      </c>
      <c r="AG1246" s="86">
        <f>+AF1246*Analisis!$J$8</f>
        <v>58.058197055416692</v>
      </c>
      <c r="AH1246" s="309">
        <f t="shared" si="156"/>
        <v>341.23965429130476</v>
      </c>
      <c r="AI1246" s="86">
        <f>+AH1246/(1-Analisis!G1251)</f>
        <v>341.23965429130476</v>
      </c>
      <c r="AJ1246" s="86">
        <f t="shared" si="140"/>
        <v>366.92435945301588</v>
      </c>
      <c r="AK1246" s="86">
        <f t="shared" si="157"/>
        <v>0</v>
      </c>
      <c r="AL1246" s="310" t="e">
        <f>+VLOOKUP(B1246,#REF!,2,FALSE)</f>
        <v>#REF!</v>
      </c>
      <c r="AM1246" s="311" t="e">
        <f t="shared" si="149"/>
        <v>#REF!</v>
      </c>
      <c r="AN1246" s="312" t="e">
        <f t="shared" si="148"/>
        <v>#REF!</v>
      </c>
    </row>
    <row r="1247" spans="1:40" s="73" customFormat="1" x14ac:dyDescent="0.25">
      <c r="A1247" s="313"/>
      <c r="B1247" s="333" t="s">
        <v>1869</v>
      </c>
      <c r="D1247" s="74">
        <f>IFERROR(VLOOKUP(B1247,'REQ. PINTADO'!B:C,2,0),0)</f>
        <v>0</v>
      </c>
      <c r="E1247" s="305">
        <f t="shared" si="133"/>
        <v>333.86887088956172</v>
      </c>
      <c r="F1247" s="103" t="s">
        <v>165</v>
      </c>
      <c r="G1247" s="75" t="s">
        <v>147</v>
      </c>
      <c r="H1247" s="90">
        <v>5.78</v>
      </c>
      <c r="I1247" s="90">
        <v>50.63</v>
      </c>
      <c r="J1247" s="76">
        <v>0.105</v>
      </c>
      <c r="K1247" s="306">
        <v>16.38</v>
      </c>
      <c r="L1247" s="78">
        <f t="shared" si="134"/>
        <v>16.336018322649576</v>
      </c>
      <c r="M1247" s="58">
        <f>+VLOOKUP(F1247,Material!$H$2:$M$17,6,FALSE)*H1247*I1247*(1+Material!$K$14)</f>
        <v>121.62908187500001</v>
      </c>
      <c r="N1247" s="79" t="str">
        <f t="shared" si="158"/>
        <v>T5.0</v>
      </c>
      <c r="O1247" s="80">
        <f>+VLOOKUP(N1247,[3]Material!$A$3:$B$58,2,FALSE)</f>
        <v>5000</v>
      </c>
      <c r="P1247" s="79" t="s">
        <v>42</v>
      </c>
      <c r="Q1247" s="79" t="str">
        <f>+VLOOKUP(F1247,[3]Material!$C$2:$E$12,2,FALSE)</f>
        <v>Cal 14</v>
      </c>
      <c r="R1247" s="81">
        <f>+IF(P1247="ACERO A36",VLOOKUP(Q1247,'[3]Velocidades Std 1500 w'!$B$2:$F$15,5,FALSE),IF(P1247="INOXIDABLE",VLOOKUP(Q1247,'[3]Velocidades Std 1500 w'!$B$17:$F$28,5,FALSE),IF(P1247="ALUMINIO",VLOOKUP(Q1247,'[3]Velocidades Std 1500 w'!$B$30:$F$38,5,FALSE))))</f>
        <v>2.0080321285140564E-6</v>
      </c>
      <c r="S1247" s="82">
        <f t="shared" si="135"/>
        <v>1.0040160642570283E-2</v>
      </c>
      <c r="T1247" s="83">
        <f t="shared" si="136"/>
        <v>24.643080000000005</v>
      </c>
      <c r="U1247" s="307">
        <f t="shared" si="159"/>
        <v>3408.9594000000002</v>
      </c>
      <c r="V1247" s="80">
        <f t="shared" si="153"/>
        <v>34.226500000000009</v>
      </c>
      <c r="W1247" s="98">
        <v>10</v>
      </c>
      <c r="X1247" s="84">
        <f>+IF(P1247="ACERO A36",VLOOKUP(Q1247,'[3]Tiempo Objeto'!$B$2:$C$12,2,FALSE),IF(P1247="INOXIDABLE",VLOOKUP(Q1247,'[3]Tiempo Objeto'!$B$14:$C$22,2,FALSE),IF(P1247="ALUMINIO",VLOOKUP(Q1247,'[3]Tiempo Objeto'!$B$24:$C$32,2,FALSE))))</f>
        <v>0.3133333333333333</v>
      </c>
      <c r="Y1247" s="84">
        <f t="shared" si="137"/>
        <v>3.1333333333333329</v>
      </c>
      <c r="Z1247" s="80">
        <f t="shared" si="138"/>
        <v>4.3518518518518512</v>
      </c>
      <c r="AA1247" s="100">
        <v>4</v>
      </c>
      <c r="AB1247" s="86">
        <f>+AA1247*Analisis!$J$6</f>
        <v>100</v>
      </c>
      <c r="AC1247" s="100"/>
      <c r="AD1247" s="85">
        <f t="shared" si="139"/>
        <v>0</v>
      </c>
      <c r="AE1247" s="86">
        <f>+AC1247*Analisis!$J$7</f>
        <v>0</v>
      </c>
      <c r="AF1247" s="308">
        <f>+H1247*0.0254*I1247*0.0254*2*(1+[3]Analisis!$G$2)</f>
        <v>0.47200131405999995</v>
      </c>
      <c r="AG1247" s="86">
        <f>+AF1247*Analisis!$J$8</f>
        <v>50.290616200440489</v>
      </c>
      <c r="AH1247" s="309">
        <f t="shared" si="156"/>
        <v>310.49804992729236</v>
      </c>
      <c r="AI1247" s="86">
        <f>+AH1247/(1-Analisis!G1252)</f>
        <v>310.49804992729236</v>
      </c>
      <c r="AJ1247" s="86">
        <f t="shared" si="140"/>
        <v>333.86887088956172</v>
      </c>
      <c r="AK1247" s="86">
        <f t="shared" si="157"/>
        <v>0</v>
      </c>
      <c r="AL1247" s="310" t="e">
        <f>+VLOOKUP(B1247,#REF!,2,FALSE)</f>
        <v>#REF!</v>
      </c>
      <c r="AM1247" s="311" t="e">
        <f t="shared" si="149"/>
        <v>#REF!</v>
      </c>
      <c r="AN1247" s="312" t="e">
        <f t="shared" si="148"/>
        <v>#REF!</v>
      </c>
    </row>
    <row r="1248" spans="1:40" s="73" customFormat="1" x14ac:dyDescent="0.25">
      <c r="A1248" s="313"/>
      <c r="B1248" s="333" t="s">
        <v>1870</v>
      </c>
      <c r="D1248" s="74">
        <f>IFERROR(VLOOKUP(B1248,'REQ. PINTADO'!B:C,2,0),0)</f>
        <v>0</v>
      </c>
      <c r="E1248" s="305">
        <f t="shared" si="133"/>
        <v>376.13931662287899</v>
      </c>
      <c r="F1248" s="103" t="s">
        <v>165</v>
      </c>
      <c r="G1248" s="75" t="s">
        <v>147</v>
      </c>
      <c r="H1248" s="90">
        <v>5.78</v>
      </c>
      <c r="I1248" s="90">
        <v>60.63</v>
      </c>
      <c r="J1248" s="76">
        <v>0.105</v>
      </c>
      <c r="K1248" s="306">
        <v>16.38</v>
      </c>
      <c r="L1248" s="78">
        <f t="shared" si="134"/>
        <v>19.562567467948725</v>
      </c>
      <c r="M1248" s="58">
        <f>+VLOOKUP(F1248,Material!$H$2:$M$17,6,FALSE)*H1248*I1248*(1+Material!$K$14)</f>
        <v>145.65220687500002</v>
      </c>
      <c r="N1248" s="79" t="str">
        <f t="shared" si="158"/>
        <v>T5.0</v>
      </c>
      <c r="O1248" s="80">
        <f>+VLOOKUP(N1248,[3]Material!$A$3:$B$58,2,FALSE)</f>
        <v>5000</v>
      </c>
      <c r="P1248" s="79" t="s">
        <v>42</v>
      </c>
      <c r="Q1248" s="79" t="str">
        <f>+VLOOKUP(F1248,[3]Material!$C$2:$E$12,2,FALSE)</f>
        <v>Cal 14</v>
      </c>
      <c r="R1248" s="81">
        <f>+IF(P1248="ACERO A36",VLOOKUP(Q1248,'[3]Velocidades Std 1500 w'!$B$2:$F$15,5,FALSE),IF(P1248="INOXIDABLE",VLOOKUP(Q1248,'[3]Velocidades Std 1500 w'!$B$17:$F$28,5,FALSE),IF(P1248="ALUMINIO",VLOOKUP(Q1248,'[3]Velocidades Std 1500 w'!$B$30:$F$38,5,FALSE))))</f>
        <v>2.0080321285140564E-6</v>
      </c>
      <c r="S1248" s="82">
        <f t="shared" si="135"/>
        <v>1.0040160642570283E-2</v>
      </c>
      <c r="T1248" s="83">
        <f t="shared" si="136"/>
        <v>28.498983614457835</v>
      </c>
      <c r="U1248" s="307">
        <f t="shared" si="159"/>
        <v>3942.3593999999998</v>
      </c>
      <c r="V1248" s="80">
        <f t="shared" si="153"/>
        <v>39.581921686746995</v>
      </c>
      <c r="W1248" s="98">
        <v>10</v>
      </c>
      <c r="X1248" s="84">
        <f>+IF(P1248="ACERO A36",VLOOKUP(Q1248,'[3]Tiempo Objeto'!$B$2:$C$12,2,FALSE),IF(P1248="INOXIDABLE",VLOOKUP(Q1248,'[3]Tiempo Objeto'!$B$14:$C$22,2,FALSE),IF(P1248="ALUMINIO",VLOOKUP(Q1248,'[3]Tiempo Objeto'!$B$24:$C$32,2,FALSE))))</f>
        <v>0.3133333333333333</v>
      </c>
      <c r="Y1248" s="84">
        <f t="shared" si="137"/>
        <v>3.1333333333333329</v>
      </c>
      <c r="Z1248" s="80">
        <f t="shared" si="138"/>
        <v>4.3518518518518512</v>
      </c>
      <c r="AA1248" s="100">
        <v>4</v>
      </c>
      <c r="AB1248" s="86">
        <f>+AA1248*Analisis!$J$6</f>
        <v>100</v>
      </c>
      <c r="AC1248" s="100"/>
      <c r="AD1248" s="85">
        <f t="shared" si="139"/>
        <v>0</v>
      </c>
      <c r="AE1248" s="86">
        <f>+AC1248*Analisis!$J$7</f>
        <v>0</v>
      </c>
      <c r="AF1248" s="308">
        <f>+H1248*0.0254*I1248*0.0254*2*(1+[3]Analisis!$G$2)</f>
        <v>0.56522693406000002</v>
      </c>
      <c r="AG1248" s="86">
        <f>+AF1248*Analisis!$J$8</f>
        <v>60.223584045678592</v>
      </c>
      <c r="AH1248" s="309">
        <f t="shared" si="156"/>
        <v>349.80956445927745</v>
      </c>
      <c r="AI1248" s="86">
        <f>+AH1248/(1-Analisis!G1253)</f>
        <v>349.80956445927745</v>
      </c>
      <c r="AJ1248" s="86">
        <f t="shared" si="140"/>
        <v>376.13931662287899</v>
      </c>
      <c r="AK1248" s="86">
        <f t="shared" si="157"/>
        <v>0</v>
      </c>
      <c r="AL1248" s="310" t="e">
        <f>+VLOOKUP(B1248,#REF!,2,FALSE)</f>
        <v>#REF!</v>
      </c>
      <c r="AM1248" s="311" t="e">
        <f t="shared" si="149"/>
        <v>#REF!</v>
      </c>
      <c r="AN1248" s="312" t="e">
        <f t="shared" si="148"/>
        <v>#REF!</v>
      </c>
    </row>
    <row r="1249" spans="1:40" s="73" customFormat="1" x14ac:dyDescent="0.25">
      <c r="A1249" s="313"/>
      <c r="B1249" s="333" t="s">
        <v>1871</v>
      </c>
      <c r="D1249" s="74">
        <f>IFERROR(VLOOKUP(B1249,'REQ. PINTADO'!B:C,2,0),0)</f>
        <v>0</v>
      </c>
      <c r="E1249" s="305">
        <f t="shared" si="133"/>
        <v>418.40976235619627</v>
      </c>
      <c r="F1249" s="103" t="s">
        <v>165</v>
      </c>
      <c r="G1249" s="75" t="s">
        <v>147</v>
      </c>
      <c r="H1249" s="90">
        <v>5.78</v>
      </c>
      <c r="I1249" s="90">
        <v>70.63</v>
      </c>
      <c r="J1249" s="76">
        <v>0.105</v>
      </c>
      <c r="K1249" s="306">
        <v>16.38</v>
      </c>
      <c r="L1249" s="78">
        <f t="shared" si="134"/>
        <v>22.789116613247867</v>
      </c>
      <c r="M1249" s="58">
        <f>+VLOOKUP(F1249,Material!$H$2:$M$17,6,FALSE)*H1249*I1249*(1+Material!$K$14)</f>
        <v>169.67533187500001</v>
      </c>
      <c r="N1249" s="79" t="str">
        <f t="shared" si="158"/>
        <v>T5.0</v>
      </c>
      <c r="O1249" s="80">
        <f>+VLOOKUP(N1249,[3]Material!$A$3:$B$58,2,FALSE)</f>
        <v>5000</v>
      </c>
      <c r="P1249" s="79" t="s">
        <v>42</v>
      </c>
      <c r="Q1249" s="79" t="str">
        <f>+VLOOKUP(F1249,[3]Material!$C$2:$E$12,2,FALSE)</f>
        <v>Cal 14</v>
      </c>
      <c r="R1249" s="81">
        <f>+IF(P1249="ACERO A36",VLOOKUP(Q1249,'[3]Velocidades Std 1500 w'!$B$2:$F$15,5,FALSE),IF(P1249="INOXIDABLE",VLOOKUP(Q1249,'[3]Velocidades Std 1500 w'!$B$17:$F$28,5,FALSE),IF(P1249="ALUMINIO",VLOOKUP(Q1249,'[3]Velocidades Std 1500 w'!$B$30:$F$38,5,FALSE))))</f>
        <v>2.0080321285140564E-6</v>
      </c>
      <c r="S1249" s="82">
        <f t="shared" si="135"/>
        <v>1.0040160642570283E-2</v>
      </c>
      <c r="T1249" s="83">
        <f t="shared" si="136"/>
        <v>32.354887228915665</v>
      </c>
      <c r="U1249" s="307">
        <f t="shared" si="159"/>
        <v>4475.7593999999999</v>
      </c>
      <c r="V1249" s="80">
        <f t="shared" si="153"/>
        <v>44.937343373493981</v>
      </c>
      <c r="W1249" s="98">
        <v>10</v>
      </c>
      <c r="X1249" s="84">
        <f>+IF(P1249="ACERO A36",VLOOKUP(Q1249,'[3]Tiempo Objeto'!$B$2:$C$12,2,FALSE),IF(P1249="INOXIDABLE",VLOOKUP(Q1249,'[3]Tiempo Objeto'!$B$14:$C$22,2,FALSE),IF(P1249="ALUMINIO",VLOOKUP(Q1249,'[3]Tiempo Objeto'!$B$24:$C$32,2,FALSE))))</f>
        <v>0.3133333333333333</v>
      </c>
      <c r="Y1249" s="84">
        <f t="shared" si="137"/>
        <v>3.1333333333333329</v>
      </c>
      <c r="Z1249" s="80">
        <f t="shared" si="138"/>
        <v>4.3518518518518512</v>
      </c>
      <c r="AA1249" s="100">
        <v>4</v>
      </c>
      <c r="AB1249" s="86">
        <f>+AA1249*Analisis!$J$6</f>
        <v>100</v>
      </c>
      <c r="AC1249" s="100"/>
      <c r="AD1249" s="85">
        <f t="shared" si="139"/>
        <v>0</v>
      </c>
      <c r="AE1249" s="86">
        <f>+AC1249*Analisis!$J$7</f>
        <v>0</v>
      </c>
      <c r="AF1249" s="308">
        <f>+H1249*0.0254*I1249*0.0254*2*(1+[3]Analisis!$G$2)</f>
        <v>0.65845255405999992</v>
      </c>
      <c r="AG1249" s="86">
        <f>+AF1249*Analisis!$J$8</f>
        <v>70.156551890916674</v>
      </c>
      <c r="AH1249" s="309">
        <f t="shared" si="156"/>
        <v>389.12107899126249</v>
      </c>
      <c r="AI1249" s="86">
        <f>+AH1249/(1-Analisis!G1254)</f>
        <v>389.12107899126249</v>
      </c>
      <c r="AJ1249" s="86">
        <f t="shared" si="140"/>
        <v>418.40976235619627</v>
      </c>
      <c r="AK1249" s="86">
        <f t="shared" si="157"/>
        <v>0</v>
      </c>
      <c r="AL1249" s="310" t="e">
        <f>+VLOOKUP(B1249,#REF!,2,FALSE)</f>
        <v>#REF!</v>
      </c>
      <c r="AM1249" s="311" t="e">
        <f t="shared" si="149"/>
        <v>#REF!</v>
      </c>
      <c r="AN1249" s="312" t="e">
        <f t="shared" si="148"/>
        <v>#REF!</v>
      </c>
    </row>
    <row r="1250" spans="1:40" s="73" customFormat="1" x14ac:dyDescent="0.25">
      <c r="A1250" s="313"/>
      <c r="B1250" s="333" t="s">
        <v>1872</v>
      </c>
      <c r="D1250" s="74">
        <f>IFERROR(VLOOKUP(B1250,'REQ. PINTADO'!B:C,2,0),0)</f>
        <v>0</v>
      </c>
      <c r="E1250" s="305">
        <f t="shared" si="133"/>
        <v>438.78411719965521</v>
      </c>
      <c r="F1250" s="103" t="s">
        <v>165</v>
      </c>
      <c r="G1250" s="75" t="s">
        <v>147</v>
      </c>
      <c r="H1250" s="90">
        <v>5.78</v>
      </c>
      <c r="I1250" s="90">
        <v>75.45</v>
      </c>
      <c r="J1250" s="76">
        <v>0.105</v>
      </c>
      <c r="K1250" s="306">
        <v>16.38</v>
      </c>
      <c r="L1250" s="78">
        <f t="shared" si="134"/>
        <v>24.34431330128206</v>
      </c>
      <c r="M1250" s="58">
        <f>+VLOOKUP(F1250,Material!$H$2:$M$17,6,FALSE)*H1250*I1250*(1+Material!$K$14)</f>
        <v>181.25447812500002</v>
      </c>
      <c r="N1250" s="79" t="str">
        <f t="shared" si="158"/>
        <v>T5.0</v>
      </c>
      <c r="O1250" s="80">
        <f>+VLOOKUP(N1250,[3]Material!$A$3:$B$58,2,FALSE)</f>
        <v>5000</v>
      </c>
      <c r="P1250" s="79" t="s">
        <v>42</v>
      </c>
      <c r="Q1250" s="79" t="str">
        <f>+VLOOKUP(F1250,[3]Material!$C$2:$E$12,2,FALSE)</f>
        <v>Cal 14</v>
      </c>
      <c r="R1250" s="81">
        <f>+IF(P1250="ACERO A36",VLOOKUP(Q1250,'[3]Velocidades Std 1500 w'!$B$2:$F$15,5,FALSE),IF(P1250="INOXIDABLE",VLOOKUP(Q1250,'[3]Velocidades Std 1500 w'!$B$17:$F$28,5,FALSE),IF(P1250="ALUMINIO",VLOOKUP(Q1250,'[3]Velocidades Std 1500 w'!$B$30:$F$38,5,FALSE))))</f>
        <v>2.0080321285140564E-6</v>
      </c>
      <c r="S1250" s="82">
        <f t="shared" si="135"/>
        <v>1.0040160642570283E-2</v>
      </c>
      <c r="T1250" s="83">
        <f t="shared" si="136"/>
        <v>34.213432771084349</v>
      </c>
      <c r="U1250" s="307">
        <f t="shared" si="159"/>
        <v>4732.8582000000006</v>
      </c>
      <c r="V1250" s="80">
        <f t="shared" si="153"/>
        <v>47.518656626506036</v>
      </c>
      <c r="W1250" s="98">
        <v>10</v>
      </c>
      <c r="X1250" s="84">
        <f>+IF(P1250="ACERO A36",VLOOKUP(Q1250,'[3]Tiempo Objeto'!$B$2:$C$12,2,FALSE),IF(P1250="INOXIDABLE",VLOOKUP(Q1250,'[3]Tiempo Objeto'!$B$14:$C$22,2,FALSE),IF(P1250="ALUMINIO",VLOOKUP(Q1250,'[3]Tiempo Objeto'!$B$24:$C$32,2,FALSE))))</f>
        <v>0.3133333333333333</v>
      </c>
      <c r="Y1250" s="84">
        <f t="shared" si="137"/>
        <v>3.1333333333333329</v>
      </c>
      <c r="Z1250" s="80">
        <f t="shared" si="138"/>
        <v>4.3518518518518512</v>
      </c>
      <c r="AA1250" s="100">
        <v>4</v>
      </c>
      <c r="AB1250" s="86">
        <f>+AA1250*Analisis!$J$6</f>
        <v>100</v>
      </c>
      <c r="AC1250" s="100"/>
      <c r="AD1250" s="85">
        <f t="shared" si="139"/>
        <v>0</v>
      </c>
      <c r="AE1250" s="86">
        <f>+AC1250*Analisis!$J$7</f>
        <v>0</v>
      </c>
      <c r="AF1250" s="308">
        <f>+H1250*0.0254*I1250*0.0254*2*(1+[3]Analisis!$G$2)</f>
        <v>0.70338730289999996</v>
      </c>
      <c r="AG1250" s="86">
        <f>+AF1250*Analisis!$J$8</f>
        <v>74.944242392321442</v>
      </c>
      <c r="AH1250" s="309">
        <f t="shared" si="156"/>
        <v>408.06922899567934</v>
      </c>
      <c r="AI1250" s="86">
        <f>+AH1250/(1-Analisis!G1255)</f>
        <v>408.06922899567934</v>
      </c>
      <c r="AJ1250" s="86">
        <f t="shared" si="140"/>
        <v>438.78411719965521</v>
      </c>
      <c r="AK1250" s="86">
        <f t="shared" si="157"/>
        <v>0</v>
      </c>
      <c r="AL1250" s="310" t="e">
        <f>+VLOOKUP(B1250,#REF!,2,FALSE)</f>
        <v>#REF!</v>
      </c>
      <c r="AM1250" s="311" t="e">
        <f t="shared" si="149"/>
        <v>#REF!</v>
      </c>
      <c r="AN1250" s="312" t="e">
        <f t="shared" si="148"/>
        <v>#REF!</v>
      </c>
    </row>
    <row r="1251" spans="1:40" s="73" customFormat="1" x14ac:dyDescent="0.25">
      <c r="A1251" s="313"/>
      <c r="B1251" s="333" t="s">
        <v>1873</v>
      </c>
      <c r="D1251" s="74">
        <f>IFERROR(VLOOKUP(B1251,'REQ. PINTADO'!B:C,2,0),0)</f>
        <v>0</v>
      </c>
      <c r="E1251" s="305">
        <f t="shared" si="133"/>
        <v>409.19480518633316</v>
      </c>
      <c r="F1251" s="103" t="s">
        <v>165</v>
      </c>
      <c r="G1251" s="75" t="s">
        <v>147</v>
      </c>
      <c r="H1251" s="90">
        <v>5.78</v>
      </c>
      <c r="I1251" s="90">
        <v>68.45</v>
      </c>
      <c r="J1251" s="76">
        <v>0.105</v>
      </c>
      <c r="K1251" s="306">
        <v>16.38</v>
      </c>
      <c r="L1251" s="78">
        <f t="shared" si="134"/>
        <v>22.085728899572654</v>
      </c>
      <c r="M1251" s="58">
        <f>+VLOOKUP(F1251,Material!$H$2:$M$17,6,FALSE)*H1251*I1251*(1+Material!$K$14)</f>
        <v>164.43829062500001</v>
      </c>
      <c r="N1251" s="79" t="str">
        <f t="shared" si="158"/>
        <v>T5.0</v>
      </c>
      <c r="O1251" s="80">
        <f>+VLOOKUP(N1251,[3]Material!$A$3:$B$58,2,FALSE)</f>
        <v>5000</v>
      </c>
      <c r="P1251" s="79" t="s">
        <v>42</v>
      </c>
      <c r="Q1251" s="79" t="str">
        <f>+VLOOKUP(F1251,[3]Material!$C$2:$E$12,2,FALSE)</f>
        <v>Cal 14</v>
      </c>
      <c r="R1251" s="81">
        <f>+IF(P1251="ACERO A36",VLOOKUP(Q1251,'[3]Velocidades Std 1500 w'!$B$2:$F$15,5,FALSE),IF(P1251="INOXIDABLE",VLOOKUP(Q1251,'[3]Velocidades Std 1500 w'!$B$17:$F$28,5,FALSE),IF(P1251="ALUMINIO",VLOOKUP(Q1251,'[3]Velocidades Std 1500 w'!$B$30:$F$38,5,FALSE))))</f>
        <v>2.0080321285140564E-6</v>
      </c>
      <c r="S1251" s="82">
        <f t="shared" si="135"/>
        <v>1.0040160642570283E-2</v>
      </c>
      <c r="T1251" s="83">
        <f t="shared" si="136"/>
        <v>31.514300240963859</v>
      </c>
      <c r="U1251" s="307">
        <f t="shared" si="159"/>
        <v>4359.4782000000005</v>
      </c>
      <c r="V1251" s="80">
        <f t="shared" si="153"/>
        <v>43.769861445783143</v>
      </c>
      <c r="W1251" s="98">
        <v>10</v>
      </c>
      <c r="X1251" s="84">
        <f>+IF(P1251="ACERO A36",VLOOKUP(Q1251,'[3]Tiempo Objeto'!$B$2:$C$12,2,FALSE),IF(P1251="INOXIDABLE",VLOOKUP(Q1251,'[3]Tiempo Objeto'!$B$14:$C$22,2,FALSE),IF(P1251="ALUMINIO",VLOOKUP(Q1251,'[3]Tiempo Objeto'!$B$24:$C$32,2,FALSE))))</f>
        <v>0.3133333333333333</v>
      </c>
      <c r="Y1251" s="84">
        <f t="shared" si="137"/>
        <v>3.1333333333333329</v>
      </c>
      <c r="Z1251" s="80">
        <f t="shared" si="138"/>
        <v>4.3518518518518512</v>
      </c>
      <c r="AA1251" s="100">
        <v>4</v>
      </c>
      <c r="AB1251" s="86">
        <f>+AA1251*Analisis!$J$6</f>
        <v>100</v>
      </c>
      <c r="AC1251" s="100"/>
      <c r="AD1251" s="85">
        <f t="shared" si="139"/>
        <v>0</v>
      </c>
      <c r="AE1251" s="86">
        <f>+AC1251*Analisis!$J$7</f>
        <v>0</v>
      </c>
      <c r="AF1251" s="308">
        <f>+H1251*0.0254*I1251*0.0254*2*(1+[3]Analisis!$G$2)</f>
        <v>0.63812936889999994</v>
      </c>
      <c r="AG1251" s="86">
        <f>+AF1251*Analisis!$J$8</f>
        <v>67.99116490065478</v>
      </c>
      <c r="AH1251" s="309">
        <f t="shared" si="156"/>
        <v>380.5511688232898</v>
      </c>
      <c r="AI1251" s="86">
        <f>+AH1251/(1-Analisis!G1256)</f>
        <v>380.5511688232898</v>
      </c>
      <c r="AJ1251" s="86">
        <f t="shared" si="140"/>
        <v>409.19480518633316</v>
      </c>
      <c r="AK1251" s="86">
        <f t="shared" si="157"/>
        <v>0</v>
      </c>
      <c r="AL1251" s="310" t="e">
        <f>+VLOOKUP(B1251,#REF!,2,FALSE)</f>
        <v>#REF!</v>
      </c>
      <c r="AM1251" s="311" t="e">
        <f t="shared" si="149"/>
        <v>#REF!</v>
      </c>
      <c r="AN1251" s="312" t="e">
        <f t="shared" si="148"/>
        <v>#REF!</v>
      </c>
    </row>
    <row r="1252" spans="1:40" s="73" customFormat="1" x14ac:dyDescent="0.25">
      <c r="A1252" s="313"/>
      <c r="B1252" s="333" t="s">
        <v>1874</v>
      </c>
      <c r="D1252" s="74">
        <f>IFERROR(VLOOKUP(B1252,'REQ. PINTADO'!B:C,2,0),0)</f>
        <v>0</v>
      </c>
      <c r="E1252" s="305">
        <f t="shared" si="133"/>
        <v>460.68020808951366</v>
      </c>
      <c r="F1252" s="103" t="s">
        <v>165</v>
      </c>
      <c r="G1252" s="75" t="s">
        <v>147</v>
      </c>
      <c r="H1252" s="90">
        <v>5.78</v>
      </c>
      <c r="I1252" s="90">
        <v>80.63</v>
      </c>
      <c r="J1252" s="76">
        <v>0.105</v>
      </c>
      <c r="K1252" s="306">
        <v>16.38</v>
      </c>
      <c r="L1252" s="78">
        <f t="shared" si="134"/>
        <v>26.015665758547016</v>
      </c>
      <c r="M1252" s="58">
        <f>+VLOOKUP(F1252,Material!$H$2:$M$17,6,FALSE)*H1252*I1252*(1+Material!$K$14)</f>
        <v>193.69845687500001</v>
      </c>
      <c r="N1252" s="79" t="str">
        <f t="shared" si="158"/>
        <v>T5.0</v>
      </c>
      <c r="O1252" s="80">
        <f>+VLOOKUP(N1252,[3]Material!$A$3:$B$58,2,FALSE)</f>
        <v>5000</v>
      </c>
      <c r="P1252" s="79" t="s">
        <v>42</v>
      </c>
      <c r="Q1252" s="79" t="str">
        <f>+VLOOKUP(F1252,[3]Material!$C$2:$E$12,2,FALSE)</f>
        <v>Cal 14</v>
      </c>
      <c r="R1252" s="81">
        <f>+IF(P1252="ACERO A36",VLOOKUP(Q1252,'[3]Velocidades Std 1500 w'!$B$2:$F$15,5,FALSE),IF(P1252="INOXIDABLE",VLOOKUP(Q1252,'[3]Velocidades Std 1500 w'!$B$17:$F$28,5,FALSE),IF(P1252="ALUMINIO",VLOOKUP(Q1252,'[3]Velocidades Std 1500 w'!$B$30:$F$38,5,FALSE))))</f>
        <v>2.0080321285140564E-6</v>
      </c>
      <c r="S1252" s="82">
        <f t="shared" si="135"/>
        <v>1.0040160642570283E-2</v>
      </c>
      <c r="T1252" s="83">
        <f t="shared" si="136"/>
        <v>36.210790843373495</v>
      </c>
      <c r="U1252" s="307">
        <f t="shared" si="159"/>
        <v>5009.1593999999996</v>
      </c>
      <c r="V1252" s="80">
        <f t="shared" si="153"/>
        <v>50.292765060240967</v>
      </c>
      <c r="W1252" s="98">
        <v>10</v>
      </c>
      <c r="X1252" s="84">
        <f>+IF(P1252="ACERO A36",VLOOKUP(Q1252,'[3]Tiempo Objeto'!$B$2:$C$12,2,FALSE),IF(P1252="INOXIDABLE",VLOOKUP(Q1252,'[3]Tiempo Objeto'!$B$14:$C$22,2,FALSE),IF(P1252="ALUMINIO",VLOOKUP(Q1252,'[3]Tiempo Objeto'!$B$24:$C$32,2,FALSE))))</f>
        <v>0.3133333333333333</v>
      </c>
      <c r="Y1252" s="84">
        <f t="shared" si="137"/>
        <v>3.1333333333333329</v>
      </c>
      <c r="Z1252" s="80">
        <f t="shared" si="138"/>
        <v>4.3518518518518512</v>
      </c>
      <c r="AA1252" s="100">
        <v>4</v>
      </c>
      <c r="AB1252" s="86">
        <f>+AA1252*Analisis!$J$6</f>
        <v>100</v>
      </c>
      <c r="AC1252" s="100"/>
      <c r="AD1252" s="85">
        <f t="shared" si="139"/>
        <v>0</v>
      </c>
      <c r="AE1252" s="86">
        <f>+AC1252*Analisis!$J$7</f>
        <v>0</v>
      </c>
      <c r="AF1252" s="308">
        <f>+H1252*0.0254*I1252*0.0254*2*(1+[3]Analisis!$G$2)</f>
        <v>0.75167817405999993</v>
      </c>
      <c r="AG1252" s="86">
        <f>+AF1252*Analisis!$J$8</f>
        <v>80.089519736154784</v>
      </c>
      <c r="AH1252" s="309">
        <f t="shared" si="156"/>
        <v>428.43259352324765</v>
      </c>
      <c r="AI1252" s="86">
        <f>+AH1252/(1-Analisis!G1257)</f>
        <v>428.43259352324765</v>
      </c>
      <c r="AJ1252" s="86">
        <f t="shared" si="140"/>
        <v>460.68020808951366</v>
      </c>
      <c r="AK1252" s="86">
        <f t="shared" si="157"/>
        <v>0</v>
      </c>
      <c r="AL1252" s="310" t="e">
        <f>+VLOOKUP(B1252,#REF!,2,FALSE)</f>
        <v>#REF!</v>
      </c>
      <c r="AM1252" s="311" t="e">
        <f t="shared" si="149"/>
        <v>#REF!</v>
      </c>
      <c r="AN1252" s="312" t="e">
        <f t="shared" si="148"/>
        <v>#REF!</v>
      </c>
    </row>
    <row r="1253" spans="1:40" s="73" customFormat="1" x14ac:dyDescent="0.25">
      <c r="A1253" s="313"/>
      <c r="B1253" s="333" t="s">
        <v>1875</v>
      </c>
      <c r="D1253" s="74">
        <f>IFERROR(VLOOKUP(B1253,'REQ. PINTADO'!B:C,2,0),0)</f>
        <v>0</v>
      </c>
      <c r="E1253" s="305">
        <f t="shared" si="133"/>
        <v>222.14808281640404</v>
      </c>
      <c r="F1253" s="103" t="s">
        <v>165</v>
      </c>
      <c r="G1253" s="75" t="s">
        <v>147</v>
      </c>
      <c r="H1253" s="90">
        <v>5.78</v>
      </c>
      <c r="I1253" s="90">
        <v>24.2</v>
      </c>
      <c r="J1253" s="76">
        <v>0.105</v>
      </c>
      <c r="K1253" s="306">
        <v>16.38</v>
      </c>
      <c r="L1253" s="78">
        <f t="shared" si="134"/>
        <v>7.8082489316239334</v>
      </c>
      <c r="M1253" s="58">
        <f>+VLOOKUP(F1253,Material!$H$2:$M$17,6,FALSE)*H1253*I1253*(1+Material!$K$14)</f>
        <v>58.135962500000005</v>
      </c>
      <c r="N1253" s="79" t="str">
        <f t="shared" si="158"/>
        <v>T5.0</v>
      </c>
      <c r="O1253" s="80">
        <f>+VLOOKUP(N1253,[3]Material!$A$3:$B$58,2,FALSE)</f>
        <v>5000</v>
      </c>
      <c r="P1253" s="79" t="s">
        <v>42</v>
      </c>
      <c r="Q1253" s="79" t="str">
        <f>+VLOOKUP(F1253,[3]Material!$C$2:$E$12,2,FALSE)</f>
        <v>Cal 14</v>
      </c>
      <c r="R1253" s="81">
        <f>+IF(P1253="ACERO A36",VLOOKUP(Q1253,'[3]Velocidades Std 1500 w'!$B$2:$F$15,5,FALSE),IF(P1253="INOXIDABLE",VLOOKUP(Q1253,'[3]Velocidades Std 1500 w'!$B$17:$F$28,5,FALSE),IF(P1253="ALUMINIO",VLOOKUP(Q1253,'[3]Velocidades Std 1500 w'!$B$30:$F$38,5,FALSE))))</f>
        <v>2.0080321285140564E-6</v>
      </c>
      <c r="S1253" s="82">
        <f t="shared" si="135"/>
        <v>1.0040160642570283E-2</v>
      </c>
      <c r="T1253" s="83">
        <f t="shared" si="136"/>
        <v>14.451926746987954</v>
      </c>
      <c r="U1253" s="307">
        <f t="shared" si="159"/>
        <v>1999.1832000000002</v>
      </c>
      <c r="V1253" s="80">
        <f t="shared" si="153"/>
        <v>20.072120481927715</v>
      </c>
      <c r="W1253" s="98">
        <v>10</v>
      </c>
      <c r="X1253" s="84">
        <f>+IF(P1253="ACERO A36",VLOOKUP(Q1253,'[3]Tiempo Objeto'!$B$2:$C$12,2,FALSE),IF(P1253="INOXIDABLE",VLOOKUP(Q1253,'[3]Tiempo Objeto'!$B$14:$C$22,2,FALSE),IF(P1253="ALUMINIO",VLOOKUP(Q1253,'[3]Tiempo Objeto'!$B$24:$C$32,2,FALSE))))</f>
        <v>0.3133333333333333</v>
      </c>
      <c r="Y1253" s="84">
        <f t="shared" si="137"/>
        <v>3.1333333333333329</v>
      </c>
      <c r="Z1253" s="80">
        <f t="shared" si="138"/>
        <v>4.3518518518518512</v>
      </c>
      <c r="AA1253" s="100">
        <v>4</v>
      </c>
      <c r="AB1253" s="86">
        <f>+AA1253*Analisis!$J$6</f>
        <v>100</v>
      </c>
      <c r="AC1253" s="100"/>
      <c r="AD1253" s="85">
        <f t="shared" si="139"/>
        <v>0</v>
      </c>
      <c r="AE1253" s="86">
        <f>+AC1253*Analisis!$J$7</f>
        <v>0</v>
      </c>
      <c r="AF1253" s="308">
        <f>+H1253*0.0254*I1253*0.0254*2*(1+[3]Analisis!$G$2)</f>
        <v>0.22560600039999995</v>
      </c>
      <c r="AG1253" s="86">
        <f>+AF1253*Analisis!$J$8</f>
        <v>24.037782185476193</v>
      </c>
      <c r="AH1253" s="309">
        <f t="shared" si="156"/>
        <v>206.59771701925575</v>
      </c>
      <c r="AI1253" s="86">
        <f>+AH1253/(1-Analisis!G1258)</f>
        <v>206.59771701925575</v>
      </c>
      <c r="AJ1253" s="86">
        <f t="shared" si="140"/>
        <v>222.14808281640404</v>
      </c>
      <c r="AK1253" s="86">
        <f t="shared" si="157"/>
        <v>0</v>
      </c>
      <c r="AL1253" s="310" t="e">
        <f>+VLOOKUP(B1253,#REF!,2,FALSE)</f>
        <v>#REF!</v>
      </c>
      <c r="AM1253" s="311" t="e">
        <f t="shared" si="149"/>
        <v>#REF!</v>
      </c>
      <c r="AN1253" s="312" t="e">
        <f t="shared" si="148"/>
        <v>#REF!</v>
      </c>
    </row>
    <row r="1254" spans="1:40" s="73" customFormat="1" x14ac:dyDescent="0.25">
      <c r="A1254" s="313"/>
      <c r="B1254" s="333" t="s">
        <v>1876</v>
      </c>
      <c r="D1254" s="74">
        <f>IFERROR(VLOOKUP(B1254,'REQ. PINTADO'!B:C,2,0),0)</f>
        <v>0</v>
      </c>
      <c r="E1254" s="305">
        <f t="shared" si="133"/>
        <v>257.27937620672907</v>
      </c>
      <c r="F1254" s="103" t="s">
        <v>165</v>
      </c>
      <c r="G1254" s="75" t="s">
        <v>147</v>
      </c>
      <c r="H1254" s="90">
        <v>4.92</v>
      </c>
      <c r="I1254" s="90">
        <v>37.44</v>
      </c>
      <c r="J1254" s="76">
        <v>0.105</v>
      </c>
      <c r="K1254" s="306">
        <v>16.38</v>
      </c>
      <c r="L1254" s="78">
        <f t="shared" si="134"/>
        <v>10.282800000000002</v>
      </c>
      <c r="M1254" s="58">
        <f>+VLOOKUP(F1254,Material!$H$2:$M$17,6,FALSE)*H1254*I1254*(1+Material!$K$14)</f>
        <v>76.560119999999998</v>
      </c>
      <c r="N1254" s="79" t="str">
        <f t="shared" si="158"/>
        <v>T5.0</v>
      </c>
      <c r="O1254" s="80">
        <f>+VLOOKUP(N1254,[3]Material!$A$3:$B$58,2,FALSE)</f>
        <v>5000</v>
      </c>
      <c r="P1254" s="79" t="s">
        <v>42</v>
      </c>
      <c r="Q1254" s="79" t="str">
        <f>+VLOOKUP(F1254,[3]Material!$C$2:$E$12,2,FALSE)</f>
        <v>Cal 14</v>
      </c>
      <c r="R1254" s="81">
        <f>+IF(P1254="ACERO A36",VLOOKUP(Q1254,'[3]Velocidades Std 1500 w'!$B$2:$F$15,5,FALSE),IF(P1254="INOXIDABLE",VLOOKUP(Q1254,'[3]Velocidades Std 1500 w'!$B$17:$F$28,5,FALSE),IF(P1254="ALUMINIO",VLOOKUP(Q1254,'[3]Velocidades Std 1500 w'!$B$30:$F$38,5,FALSE))))</f>
        <v>2.0080321285140564E-6</v>
      </c>
      <c r="S1254" s="82">
        <f t="shared" si="135"/>
        <v>1.0040160642570283E-2</v>
      </c>
      <c r="T1254" s="83">
        <f t="shared" si="136"/>
        <v>19.22553542168675</v>
      </c>
      <c r="U1254" s="307">
        <f t="shared" si="159"/>
        <v>2659.5324000000001</v>
      </c>
      <c r="V1254" s="80">
        <f t="shared" si="153"/>
        <v>26.702132530120487</v>
      </c>
      <c r="W1254" s="98">
        <v>10</v>
      </c>
      <c r="X1254" s="84">
        <f>+IF(P1254="ACERO A36",VLOOKUP(Q1254,'[3]Tiempo Objeto'!$B$2:$C$12,2,FALSE),IF(P1254="INOXIDABLE",VLOOKUP(Q1254,'[3]Tiempo Objeto'!$B$14:$C$22,2,FALSE),IF(P1254="ALUMINIO",VLOOKUP(Q1254,'[3]Tiempo Objeto'!$B$24:$C$32,2,FALSE))))</f>
        <v>0.3133333333333333</v>
      </c>
      <c r="Y1254" s="84">
        <f t="shared" si="137"/>
        <v>3.1333333333333329</v>
      </c>
      <c r="Z1254" s="80">
        <f t="shared" si="138"/>
        <v>4.3518518518518512</v>
      </c>
      <c r="AA1254" s="100">
        <v>4</v>
      </c>
      <c r="AB1254" s="86">
        <f>+AA1254*Analisis!$J$6</f>
        <v>100</v>
      </c>
      <c r="AC1254" s="100"/>
      <c r="AD1254" s="85">
        <f t="shared" si="139"/>
        <v>0</v>
      </c>
      <c r="AE1254" s="86">
        <f>+AC1254*Analisis!$J$7</f>
        <v>0</v>
      </c>
      <c r="AF1254" s="308">
        <f>+H1254*0.0254*I1254*0.0254*2*(1+[3]Analisis!$G$2)</f>
        <v>0.29710392191999996</v>
      </c>
      <c r="AG1254" s="86">
        <f>+AF1254*Analisis!$J$8</f>
        <v>31.655715490285719</v>
      </c>
      <c r="AH1254" s="309">
        <f t="shared" si="156"/>
        <v>239.26981987225804</v>
      </c>
      <c r="AI1254" s="86">
        <f>+AH1254/(1-Analisis!G1259)</f>
        <v>239.26981987225804</v>
      </c>
      <c r="AJ1254" s="86">
        <f t="shared" si="140"/>
        <v>257.27937620672907</v>
      </c>
      <c r="AK1254" s="86">
        <f t="shared" si="157"/>
        <v>0</v>
      </c>
      <c r="AL1254" s="310" t="e">
        <f>+VLOOKUP(B1254,#REF!,2,FALSE)</f>
        <v>#REF!</v>
      </c>
      <c r="AM1254" s="311" t="e">
        <f t="shared" si="149"/>
        <v>#REF!</v>
      </c>
      <c r="AN1254" s="312" t="e">
        <f t="shared" si="148"/>
        <v>#REF!</v>
      </c>
    </row>
    <row r="1255" spans="1:40" s="73" customFormat="1" x14ac:dyDescent="0.25">
      <c r="A1255" s="313"/>
      <c r="B1255" s="333" t="s">
        <v>1877</v>
      </c>
      <c r="D1255" s="74">
        <f>IFERROR(VLOOKUP(B1255,'REQ. PINTADO'!B:C,2,0),0)</f>
        <v>0</v>
      </c>
      <c r="E1255" s="305">
        <f t="shared" si="133"/>
        <v>286.74967633664966</v>
      </c>
      <c r="F1255" s="103" t="s">
        <v>165</v>
      </c>
      <c r="G1255" s="75" t="s">
        <v>147</v>
      </c>
      <c r="H1255" s="90">
        <v>4.92</v>
      </c>
      <c r="I1255" s="90">
        <v>45.44</v>
      </c>
      <c r="J1255" s="76">
        <v>0.105</v>
      </c>
      <c r="K1255" s="306">
        <v>16.38</v>
      </c>
      <c r="L1255" s="78">
        <f t="shared" si="134"/>
        <v>12.47997948717949</v>
      </c>
      <c r="M1255" s="58">
        <f>+VLOOKUP(F1255,Material!$H$2:$M$17,6,FALSE)*H1255*I1255*(1+Material!$K$14)</f>
        <v>92.919120000000007</v>
      </c>
      <c r="N1255" s="79" t="str">
        <f t="shared" si="158"/>
        <v>T5.0</v>
      </c>
      <c r="O1255" s="80">
        <f>+VLOOKUP(N1255,[3]Material!$A$3:$B$58,2,FALSE)</f>
        <v>5000</v>
      </c>
      <c r="P1255" s="79" t="s">
        <v>42</v>
      </c>
      <c r="Q1255" s="79" t="str">
        <f>+VLOOKUP(F1255,[3]Material!$C$2:$E$12,2,FALSE)</f>
        <v>Cal 14</v>
      </c>
      <c r="R1255" s="81">
        <f>+IF(P1255="ACERO A36",VLOOKUP(Q1255,'[3]Velocidades Std 1500 w'!$B$2:$F$15,5,FALSE),IF(P1255="INOXIDABLE",VLOOKUP(Q1255,'[3]Velocidades Std 1500 w'!$B$17:$F$28,5,FALSE),IF(P1255="ALUMINIO",VLOOKUP(Q1255,'[3]Velocidades Std 1500 w'!$B$30:$F$38,5,FALSE))))</f>
        <v>2.0080321285140564E-6</v>
      </c>
      <c r="S1255" s="82">
        <f t="shared" si="135"/>
        <v>1.0040160642570283E-2</v>
      </c>
      <c r="T1255" s="83">
        <f t="shared" si="136"/>
        <v>22.310258313253016</v>
      </c>
      <c r="U1255" s="307">
        <f t="shared" si="159"/>
        <v>3086.2524000000003</v>
      </c>
      <c r="V1255" s="80">
        <f t="shared" si="153"/>
        <v>30.986469879518079</v>
      </c>
      <c r="W1255" s="98">
        <v>10</v>
      </c>
      <c r="X1255" s="84">
        <f>+IF(P1255="ACERO A36",VLOOKUP(Q1255,'[3]Tiempo Objeto'!$B$2:$C$12,2,FALSE),IF(P1255="INOXIDABLE",VLOOKUP(Q1255,'[3]Tiempo Objeto'!$B$14:$C$22,2,FALSE),IF(P1255="ALUMINIO",VLOOKUP(Q1255,'[3]Tiempo Objeto'!$B$24:$C$32,2,FALSE))))</f>
        <v>0.3133333333333333</v>
      </c>
      <c r="Y1255" s="84">
        <f t="shared" si="137"/>
        <v>3.1333333333333329</v>
      </c>
      <c r="Z1255" s="80">
        <f t="shared" si="138"/>
        <v>4.3518518518518512</v>
      </c>
      <c r="AA1255" s="100">
        <v>4</v>
      </c>
      <c r="AB1255" s="86">
        <f>+AA1255*Analisis!$J$6</f>
        <v>100</v>
      </c>
      <c r="AC1255" s="100"/>
      <c r="AD1255" s="85">
        <f t="shared" si="139"/>
        <v>0</v>
      </c>
      <c r="AE1255" s="86">
        <f>+AC1255*Analisis!$J$7</f>
        <v>0</v>
      </c>
      <c r="AF1255" s="308">
        <f>+H1255*0.0254*I1255*0.0254*2*(1+[3]Analisis!$G$2)</f>
        <v>0.36058766591999997</v>
      </c>
      <c r="AG1255" s="86">
        <f>+AF1255*Analisis!$J$8</f>
        <v>38.419757261714295</v>
      </c>
      <c r="AH1255" s="309">
        <f t="shared" si="156"/>
        <v>266.67719899308418</v>
      </c>
      <c r="AI1255" s="86">
        <f>+AH1255/(1-Analisis!G1260)</f>
        <v>266.67719899308418</v>
      </c>
      <c r="AJ1255" s="86">
        <f t="shared" si="140"/>
        <v>286.74967633664966</v>
      </c>
      <c r="AK1255" s="86">
        <f t="shared" si="157"/>
        <v>0</v>
      </c>
      <c r="AL1255" s="310" t="e">
        <f>+VLOOKUP(B1255,#REF!,2,FALSE)</f>
        <v>#REF!</v>
      </c>
      <c r="AM1255" s="311" t="e">
        <f t="shared" si="149"/>
        <v>#REF!</v>
      </c>
      <c r="AN1255" s="312" t="e">
        <f t="shared" si="148"/>
        <v>#REF!</v>
      </c>
    </row>
    <row r="1256" spans="1:40" s="73" customFormat="1" x14ac:dyDescent="0.25">
      <c r="A1256" s="313"/>
      <c r="B1256" s="333" t="s">
        <v>1878</v>
      </c>
      <c r="D1256" s="74">
        <f>IFERROR(VLOOKUP(B1256,'REQ. PINTADO'!B:C,2,0),0)</f>
        <v>0</v>
      </c>
      <c r="E1256" s="305">
        <f t="shared" si="133"/>
        <v>323.58755149905051</v>
      </c>
      <c r="F1256" s="103" t="s">
        <v>165</v>
      </c>
      <c r="G1256" s="75" t="s">
        <v>147</v>
      </c>
      <c r="H1256" s="90">
        <v>4.92</v>
      </c>
      <c r="I1256" s="90">
        <v>55.44</v>
      </c>
      <c r="J1256" s="76">
        <v>0.105</v>
      </c>
      <c r="K1256" s="306">
        <v>16.38</v>
      </c>
      <c r="L1256" s="78">
        <f t="shared" si="134"/>
        <v>15.22645384615385</v>
      </c>
      <c r="M1256" s="58">
        <f>+VLOOKUP(F1256,Material!$H$2:$M$17,6,FALSE)*H1256*I1256*(1+Material!$K$14)</f>
        <v>113.36787000000001</v>
      </c>
      <c r="N1256" s="79" t="str">
        <f t="shared" si="158"/>
        <v>T5.0</v>
      </c>
      <c r="O1256" s="80">
        <f>+VLOOKUP(N1256,[3]Material!$A$3:$B$58,2,FALSE)</f>
        <v>5000</v>
      </c>
      <c r="P1256" s="79" t="s">
        <v>42</v>
      </c>
      <c r="Q1256" s="79" t="str">
        <f>+VLOOKUP(F1256,[3]Material!$C$2:$E$12,2,FALSE)</f>
        <v>Cal 14</v>
      </c>
      <c r="R1256" s="81">
        <f>+IF(P1256="ACERO A36",VLOOKUP(Q1256,'[3]Velocidades Std 1500 w'!$B$2:$F$15,5,FALSE),IF(P1256="INOXIDABLE",VLOOKUP(Q1256,'[3]Velocidades Std 1500 w'!$B$17:$F$28,5,FALSE),IF(P1256="ALUMINIO",VLOOKUP(Q1256,'[3]Velocidades Std 1500 w'!$B$30:$F$38,5,FALSE))))</f>
        <v>2.0080321285140564E-6</v>
      </c>
      <c r="S1256" s="82">
        <f t="shared" si="135"/>
        <v>1.0040160642570283E-2</v>
      </c>
      <c r="T1256" s="83">
        <f t="shared" si="136"/>
        <v>26.166161927710842</v>
      </c>
      <c r="U1256" s="307">
        <f t="shared" si="159"/>
        <v>3619.6523999999995</v>
      </c>
      <c r="V1256" s="80">
        <f t="shared" si="153"/>
        <v>36.341891566265062</v>
      </c>
      <c r="W1256" s="98">
        <v>10</v>
      </c>
      <c r="X1256" s="84">
        <f>+IF(P1256="ACERO A36",VLOOKUP(Q1256,'[3]Tiempo Objeto'!$B$2:$C$12,2,FALSE),IF(P1256="INOXIDABLE",VLOOKUP(Q1256,'[3]Tiempo Objeto'!$B$14:$C$22,2,FALSE),IF(P1256="ALUMINIO",VLOOKUP(Q1256,'[3]Tiempo Objeto'!$B$24:$C$32,2,FALSE))))</f>
        <v>0.3133333333333333</v>
      </c>
      <c r="Y1256" s="84">
        <f t="shared" si="137"/>
        <v>3.1333333333333329</v>
      </c>
      <c r="Z1256" s="80">
        <f t="shared" si="138"/>
        <v>4.3518518518518512</v>
      </c>
      <c r="AA1256" s="100">
        <v>4</v>
      </c>
      <c r="AB1256" s="86">
        <f>+AA1256*Analisis!$J$6</f>
        <v>100</v>
      </c>
      <c r="AC1256" s="100"/>
      <c r="AD1256" s="85">
        <f t="shared" si="139"/>
        <v>0</v>
      </c>
      <c r="AE1256" s="86">
        <f>+AC1256*Analisis!$J$7</f>
        <v>0</v>
      </c>
      <c r="AF1256" s="308">
        <f>+H1256*0.0254*I1256*0.0254*2*(1+[3]Analisis!$G$2)</f>
        <v>0.43994234591999992</v>
      </c>
      <c r="AG1256" s="86">
        <f>+AF1256*Analisis!$J$8</f>
        <v>46.874809476000003</v>
      </c>
      <c r="AH1256" s="309">
        <f t="shared" si="156"/>
        <v>300.93642289411696</v>
      </c>
      <c r="AI1256" s="86">
        <f>+AH1256/(1-Analisis!G1261)</f>
        <v>300.93642289411696</v>
      </c>
      <c r="AJ1256" s="86">
        <f t="shared" si="140"/>
        <v>323.58755149905051</v>
      </c>
      <c r="AK1256" s="86">
        <f t="shared" si="157"/>
        <v>0</v>
      </c>
      <c r="AL1256" s="310" t="e">
        <f>+VLOOKUP(B1256,#REF!,2,FALSE)</f>
        <v>#REF!</v>
      </c>
      <c r="AM1256" s="311" t="e">
        <f t="shared" si="149"/>
        <v>#REF!</v>
      </c>
      <c r="AN1256" s="312" t="e">
        <f t="shared" si="148"/>
        <v>#REF!</v>
      </c>
    </row>
    <row r="1257" spans="1:40" s="73" customFormat="1" x14ac:dyDescent="0.25">
      <c r="A1257" s="313"/>
      <c r="B1257" s="333" t="s">
        <v>1879</v>
      </c>
      <c r="D1257" s="74">
        <f>IFERROR(VLOOKUP(B1257,'REQ. PINTADO'!B:C,2,0),0)</f>
        <v>0</v>
      </c>
      <c r="E1257" s="305">
        <f t="shared" si="133"/>
        <v>208.4691916165481</v>
      </c>
      <c r="F1257" s="103" t="s">
        <v>165</v>
      </c>
      <c r="G1257" s="75" t="s">
        <v>147</v>
      </c>
      <c r="H1257" s="90">
        <v>4.92</v>
      </c>
      <c r="I1257" s="90">
        <v>24.19</v>
      </c>
      <c r="J1257" s="76">
        <v>0.105</v>
      </c>
      <c r="K1257" s="306">
        <v>16.38</v>
      </c>
      <c r="L1257" s="78">
        <f t="shared" si="134"/>
        <v>6.6437214743589763</v>
      </c>
      <c r="M1257" s="58">
        <f>+VLOOKUP(F1257,Material!$H$2:$M$17,6,FALSE)*H1257*I1257*(1+Material!$K$14)</f>
        <v>49.465526250000011</v>
      </c>
      <c r="N1257" s="79" t="str">
        <f t="shared" si="158"/>
        <v>T5.0</v>
      </c>
      <c r="O1257" s="80">
        <f>+VLOOKUP(N1257,[3]Material!$A$3:$B$58,2,FALSE)</f>
        <v>5000</v>
      </c>
      <c r="P1257" s="79" t="s">
        <v>42</v>
      </c>
      <c r="Q1257" s="79" t="str">
        <f>+VLOOKUP(F1257,[3]Material!$C$2:$E$12,2,FALSE)</f>
        <v>Cal 14</v>
      </c>
      <c r="R1257" s="81">
        <f>+IF(P1257="ACERO A36",VLOOKUP(Q1257,'[3]Velocidades Std 1500 w'!$B$2:$F$15,5,FALSE),IF(P1257="INOXIDABLE",VLOOKUP(Q1257,'[3]Velocidades Std 1500 w'!$B$17:$F$28,5,FALSE),IF(P1257="ALUMINIO",VLOOKUP(Q1257,'[3]Velocidades Std 1500 w'!$B$30:$F$38,5,FALSE))))</f>
        <v>2.0080321285140564E-6</v>
      </c>
      <c r="S1257" s="82">
        <f t="shared" si="135"/>
        <v>1.0040160642570283E-2</v>
      </c>
      <c r="T1257" s="83">
        <f t="shared" si="136"/>
        <v>14.116463132530122</v>
      </c>
      <c r="U1257" s="307">
        <f t="shared" si="159"/>
        <v>1952.7773999999999</v>
      </c>
      <c r="V1257" s="80">
        <f t="shared" si="153"/>
        <v>19.606198795180724</v>
      </c>
      <c r="W1257" s="98">
        <v>10</v>
      </c>
      <c r="X1257" s="84">
        <f>+IF(P1257="ACERO A36",VLOOKUP(Q1257,'[3]Tiempo Objeto'!$B$2:$C$12,2,FALSE),IF(P1257="INOXIDABLE",VLOOKUP(Q1257,'[3]Tiempo Objeto'!$B$14:$C$22,2,FALSE),IF(P1257="ALUMINIO",VLOOKUP(Q1257,'[3]Tiempo Objeto'!$B$24:$C$32,2,FALSE))))</f>
        <v>0.3133333333333333</v>
      </c>
      <c r="Y1257" s="84">
        <f t="shared" si="137"/>
        <v>3.1333333333333329</v>
      </c>
      <c r="Z1257" s="80">
        <f t="shared" si="138"/>
        <v>4.3518518518518512</v>
      </c>
      <c r="AA1257" s="100">
        <v>4</v>
      </c>
      <c r="AB1257" s="86">
        <f>+AA1257*Analisis!$J$6</f>
        <v>100</v>
      </c>
      <c r="AC1257" s="100"/>
      <c r="AD1257" s="85">
        <f t="shared" si="139"/>
        <v>0</v>
      </c>
      <c r="AE1257" s="86">
        <f>+AC1257*Analisis!$J$7</f>
        <v>0</v>
      </c>
      <c r="AF1257" s="308">
        <f>+H1257*0.0254*I1257*0.0254*2*(1+[3]Analisis!$G$2)</f>
        <v>0.19195897091999997</v>
      </c>
      <c r="AG1257" s="86">
        <f>+AF1257*Analisis!$J$8</f>
        <v>20.452771306357146</v>
      </c>
      <c r="AH1257" s="309">
        <f t="shared" si="156"/>
        <v>193.87634820338971</v>
      </c>
      <c r="AI1257" s="86">
        <f>+AH1257/(1-Analisis!G1262)</f>
        <v>193.87634820338971</v>
      </c>
      <c r="AJ1257" s="86">
        <f t="shared" si="140"/>
        <v>208.4691916165481</v>
      </c>
      <c r="AK1257" s="86">
        <f t="shared" si="157"/>
        <v>0</v>
      </c>
      <c r="AL1257" s="310" t="e">
        <f>+VLOOKUP(B1257,#REF!,2,FALSE)</f>
        <v>#REF!</v>
      </c>
      <c r="AM1257" s="311" t="e">
        <f t="shared" si="149"/>
        <v>#REF!</v>
      </c>
      <c r="AN1257" s="312" t="e">
        <f t="shared" si="148"/>
        <v>#REF!</v>
      </c>
    </row>
    <row r="1258" spans="1:40" s="73" customFormat="1" x14ac:dyDescent="0.25">
      <c r="A1258" s="313"/>
      <c r="B1258" s="333" t="s">
        <v>1880</v>
      </c>
      <c r="D1258" s="74">
        <f>IFERROR(VLOOKUP(B1258,'REQ. PINTADO'!B:C,2,0),0)</f>
        <v>0</v>
      </c>
      <c r="E1258" s="305">
        <f t="shared" si="133"/>
        <v>360.42542666145124</v>
      </c>
      <c r="F1258" s="103" t="s">
        <v>165</v>
      </c>
      <c r="G1258" s="75" t="s">
        <v>147</v>
      </c>
      <c r="H1258" s="90">
        <v>4.92</v>
      </c>
      <c r="I1258" s="90">
        <v>65.44</v>
      </c>
      <c r="J1258" s="76">
        <v>0.105</v>
      </c>
      <c r="K1258" s="306">
        <v>16.38</v>
      </c>
      <c r="L1258" s="78">
        <f t="shared" si="134"/>
        <v>17.972928205128206</v>
      </c>
      <c r="M1258" s="58">
        <f>+VLOOKUP(F1258,Material!$H$2:$M$17,6,FALSE)*H1258*I1258*(1+Material!$K$14)</f>
        <v>133.81662</v>
      </c>
      <c r="N1258" s="79" t="str">
        <f t="shared" si="158"/>
        <v>T5.0</v>
      </c>
      <c r="O1258" s="80">
        <f>+VLOOKUP(N1258,[3]Material!$A$3:$B$58,2,FALSE)</f>
        <v>5000</v>
      </c>
      <c r="P1258" s="79" t="s">
        <v>42</v>
      </c>
      <c r="Q1258" s="79" t="str">
        <f>+VLOOKUP(F1258,[3]Material!$C$2:$E$12,2,FALSE)</f>
        <v>Cal 14</v>
      </c>
      <c r="R1258" s="81">
        <f>+IF(P1258="ACERO A36",VLOOKUP(Q1258,'[3]Velocidades Std 1500 w'!$B$2:$F$15,5,FALSE),IF(P1258="INOXIDABLE",VLOOKUP(Q1258,'[3]Velocidades Std 1500 w'!$B$17:$F$28,5,FALSE),IF(P1258="ALUMINIO",VLOOKUP(Q1258,'[3]Velocidades Std 1500 w'!$B$30:$F$38,5,FALSE))))</f>
        <v>2.0080321285140564E-6</v>
      </c>
      <c r="S1258" s="82">
        <f t="shared" si="135"/>
        <v>1.0040160642570283E-2</v>
      </c>
      <c r="T1258" s="83">
        <f t="shared" si="136"/>
        <v>30.022065542168672</v>
      </c>
      <c r="U1258" s="307">
        <f t="shared" si="159"/>
        <v>4153.0523999999996</v>
      </c>
      <c r="V1258" s="80">
        <f t="shared" si="153"/>
        <v>41.697313253012048</v>
      </c>
      <c r="W1258" s="98">
        <v>10</v>
      </c>
      <c r="X1258" s="84">
        <f>+IF(P1258="ACERO A36",VLOOKUP(Q1258,'[3]Tiempo Objeto'!$B$2:$C$12,2,FALSE),IF(P1258="INOXIDABLE",VLOOKUP(Q1258,'[3]Tiempo Objeto'!$B$14:$C$22,2,FALSE),IF(P1258="ALUMINIO",VLOOKUP(Q1258,'[3]Tiempo Objeto'!$B$24:$C$32,2,FALSE))))</f>
        <v>0.3133333333333333</v>
      </c>
      <c r="Y1258" s="84">
        <f t="shared" si="137"/>
        <v>3.1333333333333329</v>
      </c>
      <c r="Z1258" s="80">
        <f t="shared" si="138"/>
        <v>4.3518518518518512</v>
      </c>
      <c r="AA1258" s="100">
        <v>4</v>
      </c>
      <c r="AB1258" s="86">
        <f>+AA1258*Analisis!$J$6</f>
        <v>100</v>
      </c>
      <c r="AC1258" s="100"/>
      <c r="AD1258" s="85">
        <f t="shared" si="139"/>
        <v>0</v>
      </c>
      <c r="AE1258" s="86">
        <f>+AC1258*Analisis!$J$7</f>
        <v>0</v>
      </c>
      <c r="AF1258" s="308">
        <f>+H1258*0.0254*I1258*0.0254*2*(1+[3]Analisis!$G$2)</f>
        <v>0.51929702591999993</v>
      </c>
      <c r="AG1258" s="86">
        <f>+AF1258*Analisis!$J$8</f>
        <v>55.329861690285725</v>
      </c>
      <c r="AH1258" s="309">
        <f t="shared" si="156"/>
        <v>335.19564679514963</v>
      </c>
      <c r="AI1258" s="86">
        <f>+AH1258/(1-Analisis!G1263)</f>
        <v>335.19564679514963</v>
      </c>
      <c r="AJ1258" s="86">
        <f t="shared" si="140"/>
        <v>360.42542666145124</v>
      </c>
      <c r="AK1258" s="86">
        <f t="shared" si="157"/>
        <v>0</v>
      </c>
      <c r="AL1258" s="310" t="e">
        <f>+VLOOKUP(B1258,#REF!,2,FALSE)</f>
        <v>#REF!</v>
      </c>
      <c r="AM1258" s="311" t="e">
        <f t="shared" si="149"/>
        <v>#REF!</v>
      </c>
      <c r="AN1258" s="312" t="e">
        <f t="shared" si="148"/>
        <v>#REF!</v>
      </c>
    </row>
    <row r="1259" spans="1:40" s="73" customFormat="1" x14ac:dyDescent="0.25">
      <c r="A1259" s="313"/>
      <c r="B1259" s="333" t="s">
        <v>1881</v>
      </c>
      <c r="D1259" s="74">
        <f>IFERROR(VLOOKUP(B1259,'REQ. PINTADO'!B:C,2,0),0)</f>
        <v>0</v>
      </c>
      <c r="E1259" s="305">
        <f t="shared" si="133"/>
        <v>231.49286359304858</v>
      </c>
      <c r="F1259" s="103" t="s">
        <v>165</v>
      </c>
      <c r="G1259" s="75" t="s">
        <v>147</v>
      </c>
      <c r="H1259" s="90">
        <v>4.92</v>
      </c>
      <c r="I1259" s="90">
        <v>30.44</v>
      </c>
      <c r="J1259" s="76">
        <v>0.105</v>
      </c>
      <c r="K1259" s="306">
        <v>16.38</v>
      </c>
      <c r="L1259" s="78">
        <f t="shared" si="134"/>
        <v>8.3602679487179508</v>
      </c>
      <c r="M1259" s="58">
        <f>+VLOOKUP(F1259,Material!$H$2:$M$17,6,FALSE)*H1259*I1259*(1+Material!$K$14)</f>
        <v>62.245995000000008</v>
      </c>
      <c r="N1259" s="79" t="str">
        <f t="shared" si="158"/>
        <v>T5.0</v>
      </c>
      <c r="O1259" s="80">
        <f>+VLOOKUP(N1259,[3]Material!$A$3:$B$58,2,FALSE)</f>
        <v>5000</v>
      </c>
      <c r="P1259" s="79" t="s">
        <v>42</v>
      </c>
      <c r="Q1259" s="79" t="str">
        <f>+VLOOKUP(F1259,[3]Material!$C$2:$E$12,2,FALSE)</f>
        <v>Cal 14</v>
      </c>
      <c r="R1259" s="81">
        <f>+IF(P1259="ACERO A36",VLOOKUP(Q1259,'[3]Velocidades Std 1500 w'!$B$2:$F$15,5,FALSE),IF(P1259="INOXIDABLE",VLOOKUP(Q1259,'[3]Velocidades Std 1500 w'!$B$17:$F$28,5,FALSE),IF(P1259="ALUMINIO",VLOOKUP(Q1259,'[3]Velocidades Std 1500 w'!$B$30:$F$38,5,FALSE))))</f>
        <v>2.0080321285140564E-6</v>
      </c>
      <c r="S1259" s="82">
        <f t="shared" si="135"/>
        <v>1.0040160642570283E-2</v>
      </c>
      <c r="T1259" s="83">
        <f t="shared" si="136"/>
        <v>16.526402891566267</v>
      </c>
      <c r="U1259" s="307">
        <f t="shared" si="159"/>
        <v>2286.1523999999999</v>
      </c>
      <c r="V1259" s="80">
        <f t="shared" si="153"/>
        <v>22.953337349397593</v>
      </c>
      <c r="W1259" s="98">
        <v>10</v>
      </c>
      <c r="X1259" s="84">
        <f>+IF(P1259="ACERO A36",VLOOKUP(Q1259,'[3]Tiempo Objeto'!$B$2:$C$12,2,FALSE),IF(P1259="INOXIDABLE",VLOOKUP(Q1259,'[3]Tiempo Objeto'!$B$14:$C$22,2,FALSE),IF(P1259="ALUMINIO",VLOOKUP(Q1259,'[3]Tiempo Objeto'!$B$24:$C$32,2,FALSE))))</f>
        <v>0.3133333333333333</v>
      </c>
      <c r="Y1259" s="84">
        <f t="shared" si="137"/>
        <v>3.1333333333333329</v>
      </c>
      <c r="Z1259" s="80">
        <f t="shared" si="138"/>
        <v>4.3518518518518512</v>
      </c>
      <c r="AA1259" s="100">
        <v>4</v>
      </c>
      <c r="AB1259" s="86">
        <f>+AA1259*Analisis!$J$6</f>
        <v>100</v>
      </c>
      <c r="AC1259" s="100"/>
      <c r="AD1259" s="85">
        <f t="shared" si="139"/>
        <v>0</v>
      </c>
      <c r="AE1259" s="86">
        <f>+AC1259*Analisis!$J$7</f>
        <v>0</v>
      </c>
      <c r="AF1259" s="308">
        <f>+H1259*0.0254*I1259*0.0254*2*(1+[3]Analisis!$G$2)</f>
        <v>0.24155564591999998</v>
      </c>
      <c r="AG1259" s="86">
        <f>+AF1259*Analisis!$J$8</f>
        <v>25.73717894028572</v>
      </c>
      <c r="AH1259" s="309">
        <f t="shared" si="156"/>
        <v>215.28836314153517</v>
      </c>
      <c r="AI1259" s="86">
        <f>+AH1259/(1-Analisis!G1264)</f>
        <v>215.28836314153517</v>
      </c>
      <c r="AJ1259" s="86">
        <f t="shared" si="140"/>
        <v>231.49286359304858</v>
      </c>
      <c r="AK1259" s="86">
        <f t="shared" si="157"/>
        <v>0</v>
      </c>
      <c r="AL1259" s="310" t="e">
        <f>+VLOOKUP(B1259,#REF!,2,FALSE)</f>
        <v>#REF!</v>
      </c>
      <c r="AM1259" s="311" t="e">
        <f t="shared" si="149"/>
        <v>#REF!</v>
      </c>
      <c r="AN1259" s="312" t="e">
        <f t="shared" si="148"/>
        <v>#REF!</v>
      </c>
    </row>
    <row r="1260" spans="1:40" s="73" customFormat="1" x14ac:dyDescent="0.25">
      <c r="A1260" s="313"/>
      <c r="B1260" s="333" t="s">
        <v>1882</v>
      </c>
      <c r="D1260" s="74">
        <f>IFERROR(VLOOKUP(B1260,'REQ. PINTADO'!B:C,2,0),0)</f>
        <v>0</v>
      </c>
      <c r="E1260" s="305">
        <f t="shared" si="133"/>
        <v>260.96316372296917</v>
      </c>
      <c r="F1260" s="103" t="s">
        <v>165</v>
      </c>
      <c r="G1260" s="75" t="s">
        <v>147</v>
      </c>
      <c r="H1260" s="90">
        <v>4.92</v>
      </c>
      <c r="I1260" s="90">
        <v>38.44</v>
      </c>
      <c r="J1260" s="76">
        <v>0.105</v>
      </c>
      <c r="K1260" s="306">
        <v>16.38</v>
      </c>
      <c r="L1260" s="78">
        <f t="shared" si="134"/>
        <v>10.557447435897437</v>
      </c>
      <c r="M1260" s="58">
        <f>+VLOOKUP(F1260,Material!$H$2:$M$17,6,FALSE)*H1260*I1260*(1+Material!$K$14)</f>
        <v>78.604995000000002</v>
      </c>
      <c r="N1260" s="79" t="str">
        <f t="shared" si="158"/>
        <v>T5.0</v>
      </c>
      <c r="O1260" s="80">
        <f>+VLOOKUP(N1260,[3]Material!$A$3:$B$58,2,FALSE)</f>
        <v>5000</v>
      </c>
      <c r="P1260" s="79" t="s">
        <v>42</v>
      </c>
      <c r="Q1260" s="79" t="str">
        <f>+VLOOKUP(F1260,[3]Material!$C$2:$E$12,2,FALSE)</f>
        <v>Cal 14</v>
      </c>
      <c r="R1260" s="81">
        <f>+IF(P1260="ACERO A36",VLOOKUP(Q1260,'[3]Velocidades Std 1500 w'!$B$2:$F$15,5,FALSE),IF(P1260="INOXIDABLE",VLOOKUP(Q1260,'[3]Velocidades Std 1500 w'!$B$17:$F$28,5,FALSE),IF(P1260="ALUMINIO",VLOOKUP(Q1260,'[3]Velocidades Std 1500 w'!$B$30:$F$38,5,FALSE))))</f>
        <v>2.0080321285140564E-6</v>
      </c>
      <c r="S1260" s="82">
        <f t="shared" si="135"/>
        <v>1.0040160642570283E-2</v>
      </c>
      <c r="T1260" s="83">
        <f t="shared" si="136"/>
        <v>19.611125783132529</v>
      </c>
      <c r="U1260" s="307">
        <f t="shared" si="159"/>
        <v>2712.8723999999997</v>
      </c>
      <c r="V1260" s="80">
        <f t="shared" si="153"/>
        <v>27.237674698795182</v>
      </c>
      <c r="W1260" s="98">
        <v>10</v>
      </c>
      <c r="X1260" s="84">
        <f>+IF(P1260="ACERO A36",VLOOKUP(Q1260,'[3]Tiempo Objeto'!$B$2:$C$12,2,FALSE),IF(P1260="INOXIDABLE",VLOOKUP(Q1260,'[3]Tiempo Objeto'!$B$14:$C$22,2,FALSE),IF(P1260="ALUMINIO",VLOOKUP(Q1260,'[3]Tiempo Objeto'!$B$24:$C$32,2,FALSE))))</f>
        <v>0.3133333333333333</v>
      </c>
      <c r="Y1260" s="84">
        <f t="shared" si="137"/>
        <v>3.1333333333333329</v>
      </c>
      <c r="Z1260" s="80">
        <f t="shared" si="138"/>
        <v>4.3518518518518512</v>
      </c>
      <c r="AA1260" s="100">
        <v>4</v>
      </c>
      <c r="AB1260" s="86">
        <f>+AA1260*Analisis!$J$6</f>
        <v>100</v>
      </c>
      <c r="AC1260" s="100"/>
      <c r="AD1260" s="85">
        <f t="shared" si="139"/>
        <v>0</v>
      </c>
      <c r="AE1260" s="86">
        <f>+AC1260*Analisis!$J$7</f>
        <v>0</v>
      </c>
      <c r="AF1260" s="308">
        <f>+H1260*0.0254*I1260*0.0254*2*(1+[3]Analisis!$G$2)</f>
        <v>0.30503938991999996</v>
      </c>
      <c r="AG1260" s="86">
        <f>+AF1260*Analisis!$J$8</f>
        <v>32.501220711714289</v>
      </c>
      <c r="AH1260" s="309">
        <f t="shared" si="156"/>
        <v>242.69574226236134</v>
      </c>
      <c r="AI1260" s="86">
        <f>+AH1260/(1-Analisis!G1265)</f>
        <v>242.69574226236134</v>
      </c>
      <c r="AJ1260" s="86">
        <f t="shared" si="140"/>
        <v>260.96316372296917</v>
      </c>
      <c r="AK1260" s="86">
        <f t="shared" si="157"/>
        <v>0</v>
      </c>
      <c r="AL1260" s="310" t="e">
        <f>+VLOOKUP(B1260,#REF!,2,FALSE)</f>
        <v>#REF!</v>
      </c>
      <c r="AM1260" s="311" t="e">
        <f t="shared" si="149"/>
        <v>#REF!</v>
      </c>
      <c r="AN1260" s="312" t="e">
        <f t="shared" si="148"/>
        <v>#REF!</v>
      </c>
    </row>
    <row r="1261" spans="1:40" s="73" customFormat="1" x14ac:dyDescent="0.25">
      <c r="A1261" s="313"/>
      <c r="B1261" s="333" t="s">
        <v>1883</v>
      </c>
      <c r="D1261" s="74">
        <f>IFERROR(VLOOKUP(B1261,'REQ. PINTADO'!B:C,2,0),0)</f>
        <v>0</v>
      </c>
      <c r="E1261" s="305">
        <f t="shared" si="133"/>
        <v>297.80103888536996</v>
      </c>
      <c r="F1261" s="103" t="s">
        <v>165</v>
      </c>
      <c r="G1261" s="75" t="s">
        <v>147</v>
      </c>
      <c r="H1261" s="90">
        <v>4.92</v>
      </c>
      <c r="I1261" s="90">
        <v>48.44</v>
      </c>
      <c r="J1261" s="76">
        <v>0.105</v>
      </c>
      <c r="K1261" s="306">
        <v>16.38</v>
      </c>
      <c r="L1261" s="78">
        <f t="shared" si="134"/>
        <v>13.303921794871798</v>
      </c>
      <c r="M1261" s="58">
        <f>+VLOOKUP(F1261,Material!$H$2:$M$17,6,FALSE)*H1261*I1261*(1+Material!$K$14)</f>
        <v>99.053745000000006</v>
      </c>
      <c r="N1261" s="79" t="str">
        <f t="shared" si="158"/>
        <v>T5.0</v>
      </c>
      <c r="O1261" s="80">
        <f>+VLOOKUP(N1261,[3]Material!$A$3:$B$58,2,FALSE)</f>
        <v>5000</v>
      </c>
      <c r="P1261" s="79" t="s">
        <v>42</v>
      </c>
      <c r="Q1261" s="79" t="str">
        <f>+VLOOKUP(F1261,[3]Material!$C$2:$E$12,2,FALSE)</f>
        <v>Cal 14</v>
      </c>
      <c r="R1261" s="81">
        <f>+IF(P1261="ACERO A36",VLOOKUP(Q1261,'[3]Velocidades Std 1500 w'!$B$2:$F$15,5,FALSE),IF(P1261="INOXIDABLE",VLOOKUP(Q1261,'[3]Velocidades Std 1500 w'!$B$17:$F$28,5,FALSE),IF(P1261="ALUMINIO",VLOOKUP(Q1261,'[3]Velocidades Std 1500 w'!$B$30:$F$38,5,FALSE))))</f>
        <v>2.0080321285140564E-6</v>
      </c>
      <c r="S1261" s="82">
        <f t="shared" si="135"/>
        <v>1.0040160642570283E-2</v>
      </c>
      <c r="T1261" s="83">
        <f t="shared" si="136"/>
        <v>23.467029397590363</v>
      </c>
      <c r="U1261" s="307">
        <f t="shared" si="159"/>
        <v>3246.2723999999998</v>
      </c>
      <c r="V1261" s="80">
        <f t="shared" si="153"/>
        <v>32.593096385542175</v>
      </c>
      <c r="W1261" s="98">
        <v>10</v>
      </c>
      <c r="X1261" s="84">
        <f>+IF(P1261="ACERO A36",VLOOKUP(Q1261,'[3]Tiempo Objeto'!$B$2:$C$12,2,FALSE),IF(P1261="INOXIDABLE",VLOOKUP(Q1261,'[3]Tiempo Objeto'!$B$14:$C$22,2,FALSE),IF(P1261="ALUMINIO",VLOOKUP(Q1261,'[3]Tiempo Objeto'!$B$24:$C$32,2,FALSE))))</f>
        <v>0.3133333333333333</v>
      </c>
      <c r="Y1261" s="84">
        <f t="shared" si="137"/>
        <v>3.1333333333333329</v>
      </c>
      <c r="Z1261" s="80">
        <f t="shared" si="138"/>
        <v>4.3518518518518512</v>
      </c>
      <c r="AA1261" s="100">
        <v>4</v>
      </c>
      <c r="AB1261" s="86">
        <f>+AA1261*Analisis!$J$6</f>
        <v>100</v>
      </c>
      <c r="AC1261" s="100"/>
      <c r="AD1261" s="85">
        <f t="shared" si="139"/>
        <v>0</v>
      </c>
      <c r="AE1261" s="86">
        <f>+AC1261*Analisis!$J$7</f>
        <v>0</v>
      </c>
      <c r="AF1261" s="308">
        <f>+H1261*0.0254*I1261*0.0254*2*(1+[3]Analisis!$G$2)</f>
        <v>0.38439406991999991</v>
      </c>
      <c r="AG1261" s="86">
        <f>+AF1261*Analisis!$J$8</f>
        <v>40.956272926000004</v>
      </c>
      <c r="AH1261" s="309">
        <f t="shared" si="156"/>
        <v>276.95496616339403</v>
      </c>
      <c r="AI1261" s="86">
        <f>+AH1261/(1-Analisis!G1266)</f>
        <v>276.95496616339403</v>
      </c>
      <c r="AJ1261" s="86">
        <f t="shared" si="140"/>
        <v>297.80103888536996</v>
      </c>
      <c r="AK1261" s="86">
        <f t="shared" si="157"/>
        <v>0</v>
      </c>
      <c r="AL1261" s="310" t="e">
        <f>+VLOOKUP(B1261,#REF!,2,FALSE)</f>
        <v>#REF!</v>
      </c>
      <c r="AM1261" s="311" t="e">
        <f t="shared" si="149"/>
        <v>#REF!</v>
      </c>
      <c r="AN1261" s="312" t="e">
        <f t="shared" si="148"/>
        <v>#REF!</v>
      </c>
    </row>
    <row r="1262" spans="1:40" s="73" customFormat="1" x14ac:dyDescent="0.25">
      <c r="A1262" s="313"/>
      <c r="B1262" s="333" t="s">
        <v>1884</v>
      </c>
      <c r="D1262" s="74">
        <f>IFERROR(VLOOKUP(B1262,'REQ. PINTADO'!B:C,2,0),0)</f>
        <v>0</v>
      </c>
      <c r="E1262" s="305">
        <f t="shared" si="133"/>
        <v>334.63891404777075</v>
      </c>
      <c r="F1262" s="103" t="s">
        <v>165</v>
      </c>
      <c r="G1262" s="75" t="s">
        <v>147</v>
      </c>
      <c r="H1262" s="90">
        <v>4.92</v>
      </c>
      <c r="I1262" s="90">
        <v>58.44</v>
      </c>
      <c r="J1262" s="76">
        <v>0.105</v>
      </c>
      <c r="K1262" s="306">
        <v>16.38</v>
      </c>
      <c r="L1262" s="78">
        <f t="shared" si="134"/>
        <v>16.050396153846158</v>
      </c>
      <c r="M1262" s="58">
        <f>+VLOOKUP(F1262,Material!$H$2:$M$17,6,FALSE)*H1262*I1262*(1+Material!$K$14)</f>
        <v>119.50249500000001</v>
      </c>
      <c r="N1262" s="79" t="str">
        <f t="shared" si="158"/>
        <v>T5.0</v>
      </c>
      <c r="O1262" s="80">
        <f>+VLOOKUP(N1262,[3]Material!$A$3:$B$58,2,FALSE)</f>
        <v>5000</v>
      </c>
      <c r="P1262" s="79" t="s">
        <v>42</v>
      </c>
      <c r="Q1262" s="79" t="str">
        <f>+VLOOKUP(F1262,[3]Material!$C$2:$E$12,2,FALSE)</f>
        <v>Cal 14</v>
      </c>
      <c r="R1262" s="81">
        <f>+IF(P1262="ACERO A36",VLOOKUP(Q1262,'[3]Velocidades Std 1500 w'!$B$2:$F$15,5,FALSE),IF(P1262="INOXIDABLE",VLOOKUP(Q1262,'[3]Velocidades Std 1500 w'!$B$17:$F$28,5,FALSE),IF(P1262="ALUMINIO",VLOOKUP(Q1262,'[3]Velocidades Std 1500 w'!$B$30:$F$38,5,FALSE))))</f>
        <v>2.0080321285140564E-6</v>
      </c>
      <c r="S1262" s="82">
        <f t="shared" si="135"/>
        <v>1.0040160642570283E-2</v>
      </c>
      <c r="T1262" s="83">
        <f t="shared" si="136"/>
        <v>27.322933012048193</v>
      </c>
      <c r="U1262" s="307">
        <f t="shared" si="159"/>
        <v>3779.6723999999999</v>
      </c>
      <c r="V1262" s="80">
        <f t="shared" si="153"/>
        <v>37.948518072289161</v>
      </c>
      <c r="W1262" s="98">
        <v>10</v>
      </c>
      <c r="X1262" s="84">
        <f>+IF(P1262="ACERO A36",VLOOKUP(Q1262,'[3]Tiempo Objeto'!$B$2:$C$12,2,FALSE),IF(P1262="INOXIDABLE",VLOOKUP(Q1262,'[3]Tiempo Objeto'!$B$14:$C$22,2,FALSE),IF(P1262="ALUMINIO",VLOOKUP(Q1262,'[3]Tiempo Objeto'!$B$24:$C$32,2,FALSE))))</f>
        <v>0.3133333333333333</v>
      </c>
      <c r="Y1262" s="84">
        <f t="shared" si="137"/>
        <v>3.1333333333333329</v>
      </c>
      <c r="Z1262" s="80">
        <f t="shared" si="138"/>
        <v>4.3518518518518512</v>
      </c>
      <c r="AA1262" s="100">
        <v>4</v>
      </c>
      <c r="AB1262" s="86">
        <f>+AA1262*Analisis!$J$6</f>
        <v>100</v>
      </c>
      <c r="AC1262" s="100"/>
      <c r="AD1262" s="85">
        <f t="shared" si="139"/>
        <v>0</v>
      </c>
      <c r="AE1262" s="86">
        <f>+AC1262*Analisis!$J$7</f>
        <v>0</v>
      </c>
      <c r="AF1262" s="308">
        <f>+H1262*0.0254*I1262*0.0254*2*(1+[3]Analisis!$G$2)</f>
        <v>0.46374874991999993</v>
      </c>
      <c r="AG1262" s="86">
        <f>+AF1262*Analisis!$J$8</f>
        <v>49.411325140285719</v>
      </c>
      <c r="AH1262" s="309">
        <f t="shared" si="156"/>
        <v>311.21419006442676</v>
      </c>
      <c r="AI1262" s="86">
        <f>+AH1262/(1-Analisis!G1267)</f>
        <v>311.21419006442676</v>
      </c>
      <c r="AJ1262" s="86">
        <f t="shared" si="140"/>
        <v>334.63891404777075</v>
      </c>
      <c r="AK1262" s="86">
        <f t="shared" si="157"/>
        <v>0</v>
      </c>
      <c r="AL1262" s="310" t="e">
        <f>+VLOOKUP(B1262,#REF!,2,FALSE)</f>
        <v>#REF!</v>
      </c>
      <c r="AM1262" s="311" t="e">
        <f t="shared" si="149"/>
        <v>#REF!</v>
      </c>
      <c r="AN1262" s="312" t="e">
        <f t="shared" si="148"/>
        <v>#REF!</v>
      </c>
    </row>
    <row r="1263" spans="1:40" s="73" customFormat="1" x14ac:dyDescent="0.25">
      <c r="A1263" s="313"/>
      <c r="B1263" s="333" t="s">
        <v>1885</v>
      </c>
      <c r="D1263" s="74">
        <f>IFERROR(VLOOKUP(B1263,'REQ. PINTADO'!B:C,2,0),0)</f>
        <v>0</v>
      </c>
      <c r="E1263" s="305">
        <f t="shared" si="133"/>
        <v>305.38964116882454</v>
      </c>
      <c r="F1263" s="103" t="s">
        <v>165</v>
      </c>
      <c r="G1263" s="75" t="s">
        <v>147</v>
      </c>
      <c r="H1263" s="90">
        <v>4.92</v>
      </c>
      <c r="I1263" s="90">
        <v>50.5</v>
      </c>
      <c r="J1263" s="76">
        <v>0.105</v>
      </c>
      <c r="K1263" s="306">
        <v>16.38</v>
      </c>
      <c r="L1263" s="78">
        <f t="shared" si="134"/>
        <v>13.869695512820517</v>
      </c>
      <c r="M1263" s="58">
        <f>+VLOOKUP(F1263,Material!$H$2:$M$17,6,FALSE)*H1263*I1263*(1+Material!$K$14)</f>
        <v>103.26618750000002</v>
      </c>
      <c r="N1263" s="79" t="str">
        <f t="shared" si="158"/>
        <v>T5.0</v>
      </c>
      <c r="O1263" s="80">
        <f>+VLOOKUP(N1263,[3]Material!$A$3:$B$58,2,FALSE)</f>
        <v>5000</v>
      </c>
      <c r="P1263" s="79" t="s">
        <v>42</v>
      </c>
      <c r="Q1263" s="79" t="str">
        <f>+VLOOKUP(F1263,[3]Material!$C$2:$E$12,2,FALSE)</f>
        <v>Cal 14</v>
      </c>
      <c r="R1263" s="81">
        <f>+IF(P1263="ACERO A36",VLOOKUP(Q1263,'[3]Velocidades Std 1500 w'!$B$2:$F$15,5,FALSE),IF(P1263="INOXIDABLE",VLOOKUP(Q1263,'[3]Velocidades Std 1500 w'!$B$17:$F$28,5,FALSE),IF(P1263="ALUMINIO",VLOOKUP(Q1263,'[3]Velocidades Std 1500 w'!$B$30:$F$38,5,FALSE))))</f>
        <v>2.0080321285140564E-6</v>
      </c>
      <c r="S1263" s="82">
        <f t="shared" si="135"/>
        <v>1.0040160642570283E-2</v>
      </c>
      <c r="T1263" s="83">
        <f t="shared" si="136"/>
        <v>24.261345542168677</v>
      </c>
      <c r="U1263" s="307">
        <f t="shared" si="159"/>
        <v>3356.1527999999998</v>
      </c>
      <c r="V1263" s="80">
        <f t="shared" si="153"/>
        <v>33.69631325301205</v>
      </c>
      <c r="W1263" s="98">
        <v>10</v>
      </c>
      <c r="X1263" s="84">
        <f>+IF(P1263="ACERO A36",VLOOKUP(Q1263,'[3]Tiempo Objeto'!$B$2:$C$12,2,FALSE),IF(P1263="INOXIDABLE",VLOOKUP(Q1263,'[3]Tiempo Objeto'!$B$14:$C$22,2,FALSE),IF(P1263="ALUMINIO",VLOOKUP(Q1263,'[3]Tiempo Objeto'!$B$24:$C$32,2,FALSE))))</f>
        <v>0.3133333333333333</v>
      </c>
      <c r="Y1263" s="84">
        <f t="shared" si="137"/>
        <v>3.1333333333333329</v>
      </c>
      <c r="Z1263" s="80">
        <f t="shared" si="138"/>
        <v>4.3518518518518512</v>
      </c>
      <c r="AA1263" s="100">
        <v>4</v>
      </c>
      <c r="AB1263" s="86">
        <f>+AA1263*Analisis!$J$6</f>
        <v>100</v>
      </c>
      <c r="AC1263" s="100"/>
      <c r="AD1263" s="85">
        <f t="shared" si="139"/>
        <v>0</v>
      </c>
      <c r="AE1263" s="86">
        <f>+AC1263*Analisis!$J$7</f>
        <v>0</v>
      </c>
      <c r="AF1263" s="308">
        <f>+H1263*0.0254*I1263*0.0254*2*(1+[3]Analisis!$G$2)</f>
        <v>0.400741134</v>
      </c>
      <c r="AG1263" s="86">
        <f>+AF1263*Analisis!$J$8</f>
        <v>42.698013682142872</v>
      </c>
      <c r="AH1263" s="309">
        <f t="shared" si="156"/>
        <v>284.01236628700678</v>
      </c>
      <c r="AI1263" s="86">
        <f>+AH1263/(1-Analisis!G1268)</f>
        <v>284.01236628700678</v>
      </c>
      <c r="AJ1263" s="86">
        <f t="shared" si="140"/>
        <v>305.38964116882454</v>
      </c>
      <c r="AK1263" s="86">
        <f t="shared" si="157"/>
        <v>0</v>
      </c>
      <c r="AL1263" s="310" t="e">
        <f>+VLOOKUP(B1263,#REF!,2,FALSE)</f>
        <v>#REF!</v>
      </c>
      <c r="AM1263" s="311" t="e">
        <f t="shared" si="149"/>
        <v>#REF!</v>
      </c>
      <c r="AN1263" s="312" t="e">
        <f t="shared" si="148"/>
        <v>#REF!</v>
      </c>
    </row>
    <row r="1264" spans="1:40" s="73" customFormat="1" x14ac:dyDescent="0.25">
      <c r="A1264" s="313"/>
      <c r="B1264" s="333" t="s">
        <v>1886</v>
      </c>
      <c r="D1264" s="74">
        <f>IFERROR(VLOOKUP(B1264,'REQ. PINTADO'!B:C,2,0),0)</f>
        <v>0</v>
      </c>
      <c r="E1264" s="305">
        <f t="shared" si="133"/>
        <v>342.22751633122533</v>
      </c>
      <c r="F1264" s="103" t="s">
        <v>165</v>
      </c>
      <c r="G1264" s="75" t="s">
        <v>147</v>
      </c>
      <c r="H1264" s="90">
        <v>4.92</v>
      </c>
      <c r="I1264" s="90">
        <v>60.5</v>
      </c>
      <c r="J1264" s="76">
        <v>0.105</v>
      </c>
      <c r="K1264" s="306">
        <v>16.38</v>
      </c>
      <c r="L1264" s="78">
        <f t="shared" si="134"/>
        <v>16.616169871794877</v>
      </c>
      <c r="M1264" s="58">
        <f>+VLOOKUP(F1264,Material!$H$2:$M$17,6,FALSE)*H1264*I1264*(1+Material!$K$14)</f>
        <v>123.71493750000002</v>
      </c>
      <c r="N1264" s="79" t="str">
        <f t="shared" si="158"/>
        <v>T5.0</v>
      </c>
      <c r="O1264" s="80">
        <f>+VLOOKUP(N1264,[3]Material!$A$3:$B$58,2,FALSE)</f>
        <v>5000</v>
      </c>
      <c r="P1264" s="79" t="s">
        <v>42</v>
      </c>
      <c r="Q1264" s="79" t="str">
        <f>+VLOOKUP(F1264,[3]Material!$C$2:$E$12,2,FALSE)</f>
        <v>Cal 14</v>
      </c>
      <c r="R1264" s="81">
        <f>+IF(P1264="ACERO A36",VLOOKUP(Q1264,'[3]Velocidades Std 1500 w'!$B$2:$F$15,5,FALSE),IF(P1264="INOXIDABLE",VLOOKUP(Q1264,'[3]Velocidades Std 1500 w'!$B$17:$F$28,5,FALSE),IF(P1264="ALUMINIO",VLOOKUP(Q1264,'[3]Velocidades Std 1500 w'!$B$30:$F$38,5,FALSE))))</f>
        <v>2.0080321285140564E-6</v>
      </c>
      <c r="S1264" s="82">
        <f t="shared" si="135"/>
        <v>1.0040160642570283E-2</v>
      </c>
      <c r="T1264" s="83">
        <f t="shared" si="136"/>
        <v>28.11724915662651</v>
      </c>
      <c r="U1264" s="307">
        <f t="shared" si="159"/>
        <v>3889.5527999999999</v>
      </c>
      <c r="V1264" s="80">
        <f t="shared" si="153"/>
        <v>39.051734939759044</v>
      </c>
      <c r="W1264" s="98">
        <v>10</v>
      </c>
      <c r="X1264" s="84">
        <f>+IF(P1264="ACERO A36",VLOOKUP(Q1264,'[3]Tiempo Objeto'!$B$2:$C$12,2,FALSE),IF(P1264="INOXIDABLE",VLOOKUP(Q1264,'[3]Tiempo Objeto'!$B$14:$C$22,2,FALSE),IF(P1264="ALUMINIO",VLOOKUP(Q1264,'[3]Tiempo Objeto'!$B$24:$C$32,2,FALSE))))</f>
        <v>0.3133333333333333</v>
      </c>
      <c r="Y1264" s="84">
        <f t="shared" si="137"/>
        <v>3.1333333333333329</v>
      </c>
      <c r="Z1264" s="80">
        <f t="shared" si="138"/>
        <v>4.3518518518518512</v>
      </c>
      <c r="AA1264" s="100">
        <v>4</v>
      </c>
      <c r="AB1264" s="86">
        <f>+AA1264*Analisis!$J$6</f>
        <v>100</v>
      </c>
      <c r="AC1264" s="100"/>
      <c r="AD1264" s="85">
        <f t="shared" si="139"/>
        <v>0</v>
      </c>
      <c r="AE1264" s="86">
        <f>+AC1264*Analisis!$J$7</f>
        <v>0</v>
      </c>
      <c r="AF1264" s="308">
        <f>+H1264*0.0254*I1264*0.0254*2*(1+[3]Analisis!$G$2)</f>
        <v>0.48009581399999995</v>
      </c>
      <c r="AG1264" s="86">
        <f>+AF1264*Analisis!$J$8</f>
        <v>51.153065896428579</v>
      </c>
      <c r="AH1264" s="309">
        <f t="shared" si="156"/>
        <v>318.27159018803951</v>
      </c>
      <c r="AI1264" s="86">
        <f>+AH1264/(1-Analisis!G1269)</f>
        <v>318.27159018803951</v>
      </c>
      <c r="AJ1264" s="86">
        <f t="shared" si="140"/>
        <v>342.22751633122533</v>
      </c>
      <c r="AK1264" s="86">
        <f t="shared" si="157"/>
        <v>0</v>
      </c>
      <c r="AL1264" s="310" t="e">
        <f>+VLOOKUP(B1264,#REF!,2,FALSE)</f>
        <v>#REF!</v>
      </c>
      <c r="AM1264" s="311" t="e">
        <f t="shared" si="149"/>
        <v>#REF!</v>
      </c>
      <c r="AN1264" s="312" t="e">
        <f t="shared" si="148"/>
        <v>#REF!</v>
      </c>
    </row>
    <row r="1265" spans="1:40" s="73" customFormat="1" x14ac:dyDescent="0.25">
      <c r="A1265" s="313"/>
      <c r="B1265" s="333" t="s">
        <v>1887</v>
      </c>
      <c r="D1265" s="74">
        <f>IFERROR(VLOOKUP(B1265,'REQ. PINTADO'!B:C,2,0),0)</f>
        <v>0</v>
      </c>
      <c r="E1265" s="305">
        <f t="shared" si="133"/>
        <v>379.06539149362601</v>
      </c>
      <c r="F1265" s="103" t="s">
        <v>165</v>
      </c>
      <c r="G1265" s="75" t="s">
        <v>147</v>
      </c>
      <c r="H1265" s="90">
        <v>4.92</v>
      </c>
      <c r="I1265" s="90">
        <v>70.5</v>
      </c>
      <c r="J1265" s="76">
        <v>0.105</v>
      </c>
      <c r="K1265" s="306">
        <v>16.38</v>
      </c>
      <c r="L1265" s="78">
        <f t="shared" si="134"/>
        <v>19.362644230769234</v>
      </c>
      <c r="M1265" s="58">
        <f>+VLOOKUP(F1265,Material!$H$2:$M$17,6,FALSE)*H1265*I1265*(1+Material!$K$14)</f>
        <v>144.16368750000001</v>
      </c>
      <c r="N1265" s="79" t="str">
        <f t="shared" si="158"/>
        <v>T5.0</v>
      </c>
      <c r="O1265" s="80">
        <f>+VLOOKUP(N1265,[3]Material!$A$3:$B$58,2,FALSE)</f>
        <v>5000</v>
      </c>
      <c r="P1265" s="79" t="s">
        <v>42</v>
      </c>
      <c r="Q1265" s="79" t="str">
        <f>+VLOOKUP(F1265,[3]Material!$C$2:$E$12,2,FALSE)</f>
        <v>Cal 14</v>
      </c>
      <c r="R1265" s="81">
        <f>+IF(P1265="ACERO A36",VLOOKUP(Q1265,'[3]Velocidades Std 1500 w'!$B$2:$F$15,5,FALSE),IF(P1265="INOXIDABLE",VLOOKUP(Q1265,'[3]Velocidades Std 1500 w'!$B$17:$F$28,5,FALSE),IF(P1265="ALUMINIO",VLOOKUP(Q1265,'[3]Velocidades Std 1500 w'!$B$30:$F$38,5,FALSE))))</f>
        <v>2.0080321285140564E-6</v>
      </c>
      <c r="S1265" s="82">
        <f t="shared" si="135"/>
        <v>1.0040160642570283E-2</v>
      </c>
      <c r="T1265" s="83">
        <f t="shared" si="136"/>
        <v>31.973152771084344</v>
      </c>
      <c r="U1265" s="307">
        <f t="shared" si="159"/>
        <v>4422.9528</v>
      </c>
      <c r="V1265" s="80">
        <f t="shared" si="153"/>
        <v>44.40715662650603</v>
      </c>
      <c r="W1265" s="98">
        <v>10</v>
      </c>
      <c r="X1265" s="84">
        <f>+IF(P1265="ACERO A36",VLOOKUP(Q1265,'[3]Tiempo Objeto'!$B$2:$C$12,2,FALSE),IF(P1265="INOXIDABLE",VLOOKUP(Q1265,'[3]Tiempo Objeto'!$B$14:$C$22,2,FALSE),IF(P1265="ALUMINIO",VLOOKUP(Q1265,'[3]Tiempo Objeto'!$B$24:$C$32,2,FALSE))))</f>
        <v>0.3133333333333333</v>
      </c>
      <c r="Y1265" s="84">
        <f t="shared" si="137"/>
        <v>3.1333333333333329</v>
      </c>
      <c r="Z1265" s="80">
        <f t="shared" si="138"/>
        <v>4.3518518518518512</v>
      </c>
      <c r="AA1265" s="100">
        <v>4</v>
      </c>
      <c r="AB1265" s="86">
        <f>+AA1265*Analisis!$J$6</f>
        <v>100</v>
      </c>
      <c r="AC1265" s="100"/>
      <c r="AD1265" s="85">
        <f t="shared" si="139"/>
        <v>0</v>
      </c>
      <c r="AE1265" s="86">
        <f>+AC1265*Analisis!$J$7</f>
        <v>0</v>
      </c>
      <c r="AF1265" s="308">
        <f>+H1265*0.0254*I1265*0.0254*2*(1+[3]Analisis!$G$2)</f>
        <v>0.55945049399999991</v>
      </c>
      <c r="AG1265" s="86">
        <f>+AF1265*Analisis!$J$8</f>
        <v>59.608118110714294</v>
      </c>
      <c r="AH1265" s="309">
        <f t="shared" si="156"/>
        <v>352.53081408907218</v>
      </c>
      <c r="AI1265" s="86">
        <f>+AH1265/(1-Analisis!G1270)</f>
        <v>352.53081408907218</v>
      </c>
      <c r="AJ1265" s="86">
        <f t="shared" si="140"/>
        <v>379.06539149362601</v>
      </c>
      <c r="AK1265" s="86">
        <f t="shared" si="157"/>
        <v>0</v>
      </c>
      <c r="AL1265" s="310" t="e">
        <f>+VLOOKUP(B1265,#REF!,2,FALSE)</f>
        <v>#REF!</v>
      </c>
      <c r="AM1265" s="311" t="e">
        <f t="shared" si="149"/>
        <v>#REF!</v>
      </c>
      <c r="AN1265" s="312" t="e">
        <f t="shared" si="148"/>
        <v>#REF!</v>
      </c>
    </row>
    <row r="1266" spans="1:40" s="73" customFormat="1" x14ac:dyDescent="0.25">
      <c r="A1266" s="313"/>
      <c r="B1266" s="333" t="s">
        <v>1888</v>
      </c>
      <c r="D1266" s="74">
        <f>IFERROR(VLOOKUP(B1266,'REQ. PINTADO'!B:C,2,0),0)</f>
        <v>0</v>
      </c>
      <c r="E1266" s="305">
        <f t="shared" ref="E1266:E1329" si="160">+AJ1266</f>
        <v>371.47678921017149</v>
      </c>
      <c r="F1266" s="103" t="s">
        <v>165</v>
      </c>
      <c r="G1266" s="75" t="s">
        <v>147</v>
      </c>
      <c r="H1266" s="90">
        <v>4.92</v>
      </c>
      <c r="I1266" s="90">
        <v>68.44</v>
      </c>
      <c r="J1266" s="76">
        <v>0.105</v>
      </c>
      <c r="K1266" s="306">
        <v>16.38</v>
      </c>
      <c r="L1266" s="78">
        <f t="shared" ref="L1266:L1329" si="161">+M1266*2.2/K1266</f>
        <v>18.796870512820515</v>
      </c>
      <c r="M1266" s="58">
        <f>+VLOOKUP(F1266,Material!$H$2:$M$17,6,FALSE)*H1266*I1266*(1+Material!$K$14)</f>
        <v>139.951245</v>
      </c>
      <c r="N1266" s="79" t="str">
        <f t="shared" si="158"/>
        <v>T5.0</v>
      </c>
      <c r="O1266" s="80">
        <f>+VLOOKUP(N1266,[3]Material!$A$3:$B$58,2,FALSE)</f>
        <v>5000</v>
      </c>
      <c r="P1266" s="79" t="s">
        <v>42</v>
      </c>
      <c r="Q1266" s="79" t="str">
        <f>+VLOOKUP(F1266,[3]Material!$C$2:$E$12,2,FALSE)</f>
        <v>Cal 14</v>
      </c>
      <c r="R1266" s="81">
        <f>+IF(P1266="ACERO A36",VLOOKUP(Q1266,'[3]Velocidades Std 1500 w'!$B$2:$F$15,5,FALSE),IF(P1266="INOXIDABLE",VLOOKUP(Q1266,'[3]Velocidades Std 1500 w'!$B$17:$F$28,5,FALSE),IF(P1266="ALUMINIO",VLOOKUP(Q1266,'[3]Velocidades Std 1500 w'!$B$30:$F$38,5,FALSE))))</f>
        <v>2.0080321285140564E-6</v>
      </c>
      <c r="S1266" s="82">
        <f t="shared" ref="S1266:S1329" si="162">+R1266*O1266</f>
        <v>1.0040160642570283E-2</v>
      </c>
      <c r="T1266" s="83">
        <f t="shared" ref="T1266:T1329" si="163">+R1266*U1266*3600</f>
        <v>31.178836626506026</v>
      </c>
      <c r="U1266" s="307">
        <f t="shared" si="159"/>
        <v>4313.0724</v>
      </c>
      <c r="V1266" s="80">
        <f t="shared" si="153"/>
        <v>43.303939759036155</v>
      </c>
      <c r="W1266" s="98">
        <v>10</v>
      </c>
      <c r="X1266" s="84">
        <f>+IF(P1266="ACERO A36",VLOOKUP(Q1266,'[3]Tiempo Objeto'!$B$2:$C$12,2,FALSE),IF(P1266="INOXIDABLE",VLOOKUP(Q1266,'[3]Tiempo Objeto'!$B$14:$C$22,2,FALSE),IF(P1266="ALUMINIO",VLOOKUP(Q1266,'[3]Tiempo Objeto'!$B$24:$C$32,2,FALSE))))</f>
        <v>0.3133333333333333</v>
      </c>
      <c r="Y1266" s="84">
        <f t="shared" ref="Y1266:Y1329" si="164">+X1266*W1266</f>
        <v>3.1333333333333329</v>
      </c>
      <c r="Z1266" s="80">
        <f t="shared" ref="Z1266:Z1329" si="165">+Y1266*O1266/3600</f>
        <v>4.3518518518518512</v>
      </c>
      <c r="AA1266" s="100">
        <v>4</v>
      </c>
      <c r="AB1266" s="86">
        <f>+AA1266*Analisis!$J$6</f>
        <v>100</v>
      </c>
      <c r="AC1266" s="100"/>
      <c r="AD1266" s="85">
        <f t="shared" ref="AD1266:AD1329" si="166">30*AC1266+AC1266*$D1266*1.5</f>
        <v>0</v>
      </c>
      <c r="AE1266" s="86">
        <f>+AC1266*Analisis!$J$7</f>
        <v>0</v>
      </c>
      <c r="AF1266" s="308">
        <f>+H1266*0.0254*I1266*0.0254*2*(1+[3]Analisis!$G$2)</f>
        <v>0.54310342991999994</v>
      </c>
      <c r="AG1266" s="86">
        <f>+AF1266*Analisis!$J$8</f>
        <v>57.866377354571441</v>
      </c>
      <c r="AH1266" s="309">
        <f t="shared" ref="AH1266:AH1329" si="167">+AE1266+AB1266+Z1266+V1266+M1266+AG1266</f>
        <v>345.47341396545949</v>
      </c>
      <c r="AI1266" s="86">
        <f>+AH1266/(1-Analisis!G1271)</f>
        <v>345.47341396545949</v>
      </c>
      <c r="AJ1266" s="86">
        <f t="shared" ref="AJ1266:AJ1329" si="168">+AI1266/(1-0.07)</f>
        <v>371.47678921017149</v>
      </c>
      <c r="AK1266" s="86">
        <f t="shared" ref="AK1266:AK1329" si="169">+AJ1266*D1266</f>
        <v>0</v>
      </c>
      <c r="AL1266" s="310" t="e">
        <f>+VLOOKUP(B1266,#REF!,2,FALSE)</f>
        <v>#REF!</v>
      </c>
      <c r="AM1266" s="311" t="e">
        <f t="shared" si="149"/>
        <v>#REF!</v>
      </c>
      <c r="AN1266" s="312" t="e">
        <f t="shared" si="148"/>
        <v>#REF!</v>
      </c>
    </row>
    <row r="1267" spans="1:40" s="73" customFormat="1" x14ac:dyDescent="0.25">
      <c r="A1267" s="313"/>
      <c r="B1267" s="333" t="s">
        <v>1889</v>
      </c>
      <c r="D1267" s="74">
        <f>IFERROR(VLOOKUP(B1267,'REQ. PINTADO'!B:C,2,0),0)</f>
        <v>0</v>
      </c>
      <c r="E1267" s="305">
        <f t="shared" si="160"/>
        <v>397.26330182385203</v>
      </c>
      <c r="F1267" s="103" t="s">
        <v>165</v>
      </c>
      <c r="G1267" s="75" t="s">
        <v>147</v>
      </c>
      <c r="H1267" s="90">
        <v>4.92</v>
      </c>
      <c r="I1267" s="90">
        <v>75.44</v>
      </c>
      <c r="J1267" s="76">
        <v>0.105</v>
      </c>
      <c r="K1267" s="306">
        <v>16.38</v>
      </c>
      <c r="L1267" s="78">
        <f t="shared" si="161"/>
        <v>20.71940256410257</v>
      </c>
      <c r="M1267" s="58">
        <f>+VLOOKUP(F1267,Material!$H$2:$M$17,6,FALSE)*H1267*I1267*(1+Material!$K$14)</f>
        <v>154.26537000000002</v>
      </c>
      <c r="N1267" s="79" t="str">
        <f t="shared" si="158"/>
        <v>T5.0</v>
      </c>
      <c r="O1267" s="80">
        <f>+VLOOKUP(N1267,[3]Material!$A$3:$B$58,2,FALSE)</f>
        <v>5000</v>
      </c>
      <c r="P1267" s="79" t="s">
        <v>42</v>
      </c>
      <c r="Q1267" s="79" t="str">
        <f>+VLOOKUP(F1267,[3]Material!$C$2:$E$12,2,FALSE)</f>
        <v>Cal 14</v>
      </c>
      <c r="R1267" s="81">
        <f>+IF(P1267="ACERO A36",VLOOKUP(Q1267,'[3]Velocidades Std 1500 w'!$B$2:$F$15,5,FALSE),IF(P1267="INOXIDABLE",VLOOKUP(Q1267,'[3]Velocidades Std 1500 w'!$B$17:$F$28,5,FALSE),IF(P1267="ALUMINIO",VLOOKUP(Q1267,'[3]Velocidades Std 1500 w'!$B$30:$F$38,5,FALSE))))</f>
        <v>2.0080321285140564E-6</v>
      </c>
      <c r="S1267" s="82">
        <f t="shared" si="162"/>
        <v>1.0040160642570283E-2</v>
      </c>
      <c r="T1267" s="83">
        <f t="shared" si="163"/>
        <v>33.877969156626506</v>
      </c>
      <c r="U1267" s="307">
        <f t="shared" si="159"/>
        <v>4686.4524000000001</v>
      </c>
      <c r="V1267" s="80">
        <f t="shared" si="153"/>
        <v>47.052734939759048</v>
      </c>
      <c r="W1267" s="98">
        <v>10</v>
      </c>
      <c r="X1267" s="84">
        <f>+IF(P1267="ACERO A36",VLOOKUP(Q1267,'[3]Tiempo Objeto'!$B$2:$C$12,2,FALSE),IF(P1267="INOXIDABLE",VLOOKUP(Q1267,'[3]Tiempo Objeto'!$B$14:$C$22,2,FALSE),IF(P1267="ALUMINIO",VLOOKUP(Q1267,'[3]Tiempo Objeto'!$B$24:$C$32,2,FALSE))))</f>
        <v>0.3133333333333333</v>
      </c>
      <c r="Y1267" s="84">
        <f t="shared" si="164"/>
        <v>3.1333333333333329</v>
      </c>
      <c r="Z1267" s="80">
        <f t="shared" si="165"/>
        <v>4.3518518518518512</v>
      </c>
      <c r="AA1267" s="100">
        <v>4</v>
      </c>
      <c r="AB1267" s="86">
        <f>+AA1267*Analisis!$J$6</f>
        <v>100</v>
      </c>
      <c r="AC1267" s="100"/>
      <c r="AD1267" s="85">
        <f t="shared" si="166"/>
        <v>0</v>
      </c>
      <c r="AE1267" s="86">
        <f>+AC1267*Analisis!$J$7</f>
        <v>0</v>
      </c>
      <c r="AF1267" s="308">
        <f>+H1267*0.0254*I1267*0.0254*2*(1+[3]Analisis!$G$2)</f>
        <v>0.59865170591999983</v>
      </c>
      <c r="AG1267" s="86">
        <f>+AF1267*Analisis!$J$8</f>
        <v>63.784913904571432</v>
      </c>
      <c r="AH1267" s="309">
        <f t="shared" si="167"/>
        <v>369.45487069618235</v>
      </c>
      <c r="AI1267" s="86">
        <f>+AH1267/(1-Analisis!G1272)</f>
        <v>369.45487069618235</v>
      </c>
      <c r="AJ1267" s="86">
        <f t="shared" si="168"/>
        <v>397.26330182385203</v>
      </c>
      <c r="AK1267" s="86">
        <f t="shared" si="169"/>
        <v>0</v>
      </c>
      <c r="AL1267" s="310" t="e">
        <f>+VLOOKUP(B1267,#REF!,2,FALSE)</f>
        <v>#REF!</v>
      </c>
      <c r="AM1267" s="311" t="e">
        <f t="shared" si="149"/>
        <v>#REF!</v>
      </c>
      <c r="AN1267" s="312" t="e">
        <f t="shared" si="148"/>
        <v>#REF!</v>
      </c>
    </row>
    <row r="1268" spans="1:40" s="73" customFormat="1" x14ac:dyDescent="0.25">
      <c r="A1268" s="313"/>
      <c r="B1268" s="333" t="s">
        <v>1890</v>
      </c>
      <c r="D1268" s="74">
        <f>IFERROR(VLOOKUP(B1268,'REQ. PINTADO'!B:C,2,0),0)</f>
        <v>0</v>
      </c>
      <c r="E1268" s="305">
        <f t="shared" si="160"/>
        <v>415.90326665602686</v>
      </c>
      <c r="F1268" s="103" t="s">
        <v>165</v>
      </c>
      <c r="G1268" s="75" t="s">
        <v>147</v>
      </c>
      <c r="H1268" s="90">
        <v>4.92</v>
      </c>
      <c r="I1268" s="90">
        <v>80.5</v>
      </c>
      <c r="J1268" s="76">
        <v>0.105</v>
      </c>
      <c r="K1268" s="306">
        <v>16.38</v>
      </c>
      <c r="L1268" s="78">
        <f t="shared" si="161"/>
        <v>22.109118589743598</v>
      </c>
      <c r="M1268" s="58">
        <f>+VLOOKUP(F1268,Material!$H$2:$M$17,6,FALSE)*H1268*I1268*(1+Material!$K$14)</f>
        <v>164.61243750000003</v>
      </c>
      <c r="N1268" s="79" t="str">
        <f t="shared" si="158"/>
        <v>T5.0</v>
      </c>
      <c r="O1268" s="80">
        <f>+VLOOKUP(N1268,[3]Material!$A$3:$B$58,2,FALSE)</f>
        <v>5000</v>
      </c>
      <c r="P1268" s="79" t="s">
        <v>42</v>
      </c>
      <c r="Q1268" s="79" t="str">
        <f>+VLOOKUP(F1268,[3]Material!$C$2:$E$12,2,FALSE)</f>
        <v>Cal 14</v>
      </c>
      <c r="R1268" s="81">
        <f>+IF(P1268="ACERO A36",VLOOKUP(Q1268,'[3]Velocidades Std 1500 w'!$B$2:$F$15,5,FALSE),IF(P1268="INOXIDABLE",VLOOKUP(Q1268,'[3]Velocidades Std 1500 w'!$B$17:$F$28,5,FALSE),IF(P1268="ALUMINIO",VLOOKUP(Q1268,'[3]Velocidades Std 1500 w'!$B$30:$F$38,5,FALSE))))</f>
        <v>2.0080321285140564E-6</v>
      </c>
      <c r="S1268" s="82">
        <f t="shared" si="162"/>
        <v>1.0040160642570283E-2</v>
      </c>
      <c r="T1268" s="83">
        <f t="shared" si="163"/>
        <v>35.829056385542181</v>
      </c>
      <c r="U1268" s="307">
        <f t="shared" si="159"/>
        <v>4956.3528000000006</v>
      </c>
      <c r="V1268" s="80">
        <f t="shared" si="153"/>
        <v>49.762578313253023</v>
      </c>
      <c r="W1268" s="98">
        <v>10</v>
      </c>
      <c r="X1268" s="84">
        <f>+IF(P1268="ACERO A36",VLOOKUP(Q1268,'[3]Tiempo Objeto'!$B$2:$C$12,2,FALSE),IF(P1268="INOXIDABLE",VLOOKUP(Q1268,'[3]Tiempo Objeto'!$B$14:$C$22,2,FALSE),IF(P1268="ALUMINIO",VLOOKUP(Q1268,'[3]Tiempo Objeto'!$B$24:$C$32,2,FALSE))))</f>
        <v>0.3133333333333333</v>
      </c>
      <c r="Y1268" s="84">
        <f t="shared" si="164"/>
        <v>3.1333333333333329</v>
      </c>
      <c r="Z1268" s="80">
        <f t="shared" si="165"/>
        <v>4.3518518518518512</v>
      </c>
      <c r="AA1268" s="100">
        <v>4</v>
      </c>
      <c r="AB1268" s="86">
        <f>+AA1268*Analisis!$J$6</f>
        <v>100</v>
      </c>
      <c r="AC1268" s="100"/>
      <c r="AD1268" s="85">
        <f t="shared" si="166"/>
        <v>0</v>
      </c>
      <c r="AE1268" s="86">
        <f>+AC1268*Analisis!$J$7</f>
        <v>0</v>
      </c>
      <c r="AF1268" s="308">
        <f>+H1268*0.0254*I1268*0.0254*2*(1+[3]Analisis!$G$2)</f>
        <v>0.63880517400000003</v>
      </c>
      <c r="AG1268" s="86">
        <f>+AF1268*Analisis!$J$8</f>
        <v>68.06317032500003</v>
      </c>
      <c r="AH1268" s="309">
        <f t="shared" si="167"/>
        <v>386.79003799010496</v>
      </c>
      <c r="AI1268" s="86">
        <f>+AH1268/(1-Analisis!G1273)</f>
        <v>386.79003799010496</v>
      </c>
      <c r="AJ1268" s="86">
        <f t="shared" si="168"/>
        <v>415.90326665602686</v>
      </c>
      <c r="AK1268" s="86">
        <f t="shared" si="169"/>
        <v>0</v>
      </c>
      <c r="AL1268" s="310" t="e">
        <f>+VLOOKUP(B1268,#REF!,2,FALSE)</f>
        <v>#REF!</v>
      </c>
      <c r="AM1268" s="311" t="e">
        <f t="shared" si="149"/>
        <v>#REF!</v>
      </c>
      <c r="AN1268" s="312" t="e">
        <f t="shared" si="148"/>
        <v>#REF!</v>
      </c>
    </row>
    <row r="1269" spans="1:40" s="73" customFormat="1" x14ac:dyDescent="0.25">
      <c r="A1269" s="313"/>
      <c r="B1269" s="333" t="s">
        <v>1891</v>
      </c>
      <c r="D1269" s="74">
        <f>IFERROR(VLOOKUP(B1269,'REQ. PINTADO'!B:C,2,0),0)</f>
        <v>0</v>
      </c>
      <c r="E1269" s="305">
        <f t="shared" si="160"/>
        <v>203.83591273981958</v>
      </c>
      <c r="F1269" s="103" t="s">
        <v>163</v>
      </c>
      <c r="G1269" s="75" t="s">
        <v>147</v>
      </c>
      <c r="H1269" s="90">
        <v>4.1399999999999997</v>
      </c>
      <c r="I1269" s="90">
        <v>19.63</v>
      </c>
      <c r="J1269" s="76">
        <v>0.105</v>
      </c>
      <c r="K1269" s="306">
        <v>16.38</v>
      </c>
      <c r="L1269" s="78">
        <f t="shared" si="161"/>
        <v>4.0971596440923967</v>
      </c>
      <c r="M1269" s="58">
        <f>+VLOOKUP(F1269,Material!$H$2:$M$17,6,FALSE)*H1269*I1269*(1+Material!$K$14)</f>
        <v>30.50521589556066</v>
      </c>
      <c r="N1269" s="79" t="str">
        <f t="shared" si="158"/>
        <v>T5.0</v>
      </c>
      <c r="O1269" s="80">
        <f>+VLOOKUP(N1269,[3]Material!$A$3:$B$58,2,FALSE)</f>
        <v>5000</v>
      </c>
      <c r="P1269" s="79" t="s">
        <v>42</v>
      </c>
      <c r="Q1269" s="79" t="str">
        <f>+VLOOKUP(F1269,[3]Material!$C$2:$E$12,2,FALSE)</f>
        <v>Cal 12</v>
      </c>
      <c r="R1269" s="81">
        <f>+IF(P1269="ACERO A36",VLOOKUP(Q1269,'[3]Velocidades Std 1500 w'!$B$2:$F$15,5,FALSE),IF(P1269="INOXIDABLE",VLOOKUP(Q1269,'[3]Velocidades Std 1500 w'!$B$17:$F$28,5,FALSE),IF(P1269="ALUMINIO",VLOOKUP(Q1269,'[3]Velocidades Std 1500 w'!$B$30:$F$38,5,FALSE))))</f>
        <v>4.3859649122807014E-6</v>
      </c>
      <c r="S1269" s="82">
        <f t="shared" si="162"/>
        <v>2.1929824561403508E-2</v>
      </c>
      <c r="T1269" s="83">
        <f t="shared" si="163"/>
        <v>26.335923157894733</v>
      </c>
      <c r="U1269" s="307">
        <f t="shared" si="159"/>
        <v>1667.9417999999998</v>
      </c>
      <c r="V1269" s="80">
        <f t="shared" si="153"/>
        <v>36.577671052631572</v>
      </c>
      <c r="W1269" s="98">
        <v>10</v>
      </c>
      <c r="X1269" s="84">
        <f>+IF(P1269="ACERO A36",VLOOKUP(Q1269,'[3]Tiempo Objeto'!$B$2:$C$12,2,FALSE),IF(P1269="INOXIDABLE",VLOOKUP(Q1269,'[3]Tiempo Objeto'!$B$14:$C$22,2,FALSE),IF(P1269="ALUMINIO",VLOOKUP(Q1269,'[3]Tiempo Objeto'!$B$24:$C$32,2,FALSE))))</f>
        <v>0.6133333333333334</v>
      </c>
      <c r="Y1269" s="84">
        <f t="shared" si="164"/>
        <v>6.1333333333333337</v>
      </c>
      <c r="Z1269" s="80">
        <f t="shared" si="165"/>
        <v>8.518518518518519</v>
      </c>
      <c r="AA1269" s="100">
        <v>4</v>
      </c>
      <c r="AB1269" s="86">
        <f>+AA1269*Analisis!$J$6</f>
        <v>100</v>
      </c>
      <c r="AC1269" s="100"/>
      <c r="AD1269" s="85">
        <f t="shared" si="166"/>
        <v>0</v>
      </c>
      <c r="AE1269" s="86">
        <f>+AC1269*Analisis!$J$7</f>
        <v>0</v>
      </c>
      <c r="AF1269" s="308">
        <f>+H1269*0.0254*I1269*0.0254*2*(1+[3]Analisis!$G$2)</f>
        <v>0.13107747977999995</v>
      </c>
      <c r="AG1269" s="86">
        <f>+AF1269*Analisis!$J$8</f>
        <v>13.965993381321427</v>
      </c>
      <c r="AH1269" s="309">
        <f t="shared" si="167"/>
        <v>189.56739884803218</v>
      </c>
      <c r="AI1269" s="86">
        <f>+AH1269/(1-Analisis!G1274)</f>
        <v>189.56739884803218</v>
      </c>
      <c r="AJ1269" s="86">
        <f t="shared" si="168"/>
        <v>203.83591273981958</v>
      </c>
      <c r="AK1269" s="86">
        <f t="shared" si="169"/>
        <v>0</v>
      </c>
      <c r="AL1269" s="310" t="e">
        <f>+VLOOKUP(B1269,#REF!,2,FALSE)</f>
        <v>#REF!</v>
      </c>
      <c r="AM1269" s="311" t="e">
        <f t="shared" si="149"/>
        <v>#REF!</v>
      </c>
      <c r="AN1269" s="312" t="e">
        <f t="shared" si="148"/>
        <v>#REF!</v>
      </c>
    </row>
    <row r="1270" spans="1:40" s="73" customFormat="1" x14ac:dyDescent="0.25">
      <c r="A1270" s="313"/>
      <c r="B1270" s="333" t="s">
        <v>1892</v>
      </c>
      <c r="D1270" s="74">
        <f>IFERROR(VLOOKUP(B1270,'REQ. PINTADO'!B:C,2,0),0)</f>
        <v>0</v>
      </c>
      <c r="E1270" s="305">
        <f t="shared" si="160"/>
        <v>248.16118412325733</v>
      </c>
      <c r="F1270" s="103" t="s">
        <v>163</v>
      </c>
      <c r="G1270" s="75" t="s">
        <v>147</v>
      </c>
      <c r="H1270" s="90">
        <v>4.1399999999999997</v>
      </c>
      <c r="I1270" s="90">
        <v>31.63</v>
      </c>
      <c r="J1270" s="76">
        <v>0.105</v>
      </c>
      <c r="K1270" s="306">
        <v>16.38</v>
      </c>
      <c r="L1270" s="78">
        <f t="shared" si="161"/>
        <v>6.6017911127173985</v>
      </c>
      <c r="M1270" s="58">
        <f>+VLOOKUP(F1270,Material!$H$2:$M$17,6,FALSE)*H1270*I1270*(1+Material!$K$14)</f>
        <v>49.153335648323164</v>
      </c>
      <c r="N1270" s="79" t="str">
        <f t="shared" si="158"/>
        <v>T5.0</v>
      </c>
      <c r="O1270" s="80">
        <f>+VLOOKUP(N1270,[3]Material!$A$3:$B$58,2,FALSE)</f>
        <v>5000</v>
      </c>
      <c r="P1270" s="79" t="s">
        <v>42</v>
      </c>
      <c r="Q1270" s="79" t="str">
        <f>+VLOOKUP(F1270,[3]Material!$C$2:$E$12,2,FALSE)</f>
        <v>Cal 12</v>
      </c>
      <c r="R1270" s="81">
        <f>+IF(P1270="ACERO A36",VLOOKUP(Q1270,'[3]Velocidades Std 1500 w'!$B$2:$F$15,5,FALSE),IF(P1270="INOXIDABLE",VLOOKUP(Q1270,'[3]Velocidades Std 1500 w'!$B$17:$F$28,5,FALSE),IF(P1270="ALUMINIO",VLOOKUP(Q1270,'[3]Velocidades Std 1500 w'!$B$30:$F$38,5,FALSE))))</f>
        <v>4.3859649122807014E-6</v>
      </c>
      <c r="S1270" s="82">
        <f t="shared" si="162"/>
        <v>2.1929824561403508E-2</v>
      </c>
      <c r="T1270" s="83">
        <f t="shared" si="163"/>
        <v>36.442449473684199</v>
      </c>
      <c r="U1270" s="307">
        <f t="shared" si="159"/>
        <v>2308.0217999999995</v>
      </c>
      <c r="V1270" s="80">
        <f t="shared" si="153"/>
        <v>50.614513157894727</v>
      </c>
      <c r="W1270" s="98">
        <v>10</v>
      </c>
      <c r="X1270" s="84">
        <f>+IF(P1270="ACERO A36",VLOOKUP(Q1270,'[3]Tiempo Objeto'!$B$2:$C$12,2,FALSE),IF(P1270="INOXIDABLE",VLOOKUP(Q1270,'[3]Tiempo Objeto'!$B$14:$C$22,2,FALSE),IF(P1270="ALUMINIO",VLOOKUP(Q1270,'[3]Tiempo Objeto'!$B$24:$C$32,2,FALSE))))</f>
        <v>0.6133333333333334</v>
      </c>
      <c r="Y1270" s="84">
        <f t="shared" si="164"/>
        <v>6.1333333333333337</v>
      </c>
      <c r="Z1270" s="80">
        <f t="shared" si="165"/>
        <v>8.518518518518519</v>
      </c>
      <c r="AA1270" s="100">
        <v>4</v>
      </c>
      <c r="AB1270" s="86">
        <f>+AA1270*Analisis!$J$6</f>
        <v>100</v>
      </c>
      <c r="AC1270" s="100"/>
      <c r="AD1270" s="85">
        <f t="shared" si="166"/>
        <v>0</v>
      </c>
      <c r="AE1270" s="86">
        <f>+AC1270*Analisis!$J$7</f>
        <v>0</v>
      </c>
      <c r="AF1270" s="308">
        <f>+H1270*0.0254*I1270*0.0254*2*(1+[3]Analisis!$G$2)</f>
        <v>0.21120635177999997</v>
      </c>
      <c r="AG1270" s="86">
        <f>+AF1270*Analisis!$J$8</f>
        <v>22.503533909892859</v>
      </c>
      <c r="AH1270" s="309">
        <f t="shared" si="167"/>
        <v>230.7899012346293</v>
      </c>
      <c r="AI1270" s="86">
        <f>+AH1270/(1-Analisis!G1275)</f>
        <v>230.7899012346293</v>
      </c>
      <c r="AJ1270" s="86">
        <f t="shared" si="168"/>
        <v>248.16118412325733</v>
      </c>
      <c r="AK1270" s="86">
        <f t="shared" si="169"/>
        <v>0</v>
      </c>
      <c r="AL1270" s="310" t="e">
        <f>+VLOOKUP(B1270,#REF!,2,FALSE)</f>
        <v>#REF!</v>
      </c>
      <c r="AM1270" s="311" t="e">
        <f t="shared" si="149"/>
        <v>#REF!</v>
      </c>
      <c r="AN1270" s="312" t="e">
        <f t="shared" si="148"/>
        <v>#REF!</v>
      </c>
    </row>
    <row r="1271" spans="1:40" s="73" customFormat="1" x14ac:dyDescent="0.25">
      <c r="A1271" s="313"/>
      <c r="B1271" s="333" t="s">
        <v>1893</v>
      </c>
      <c r="D1271" s="74">
        <f>IFERROR(VLOOKUP(B1271,'REQ. PINTADO'!B:C,2,0),0)</f>
        <v>0</v>
      </c>
      <c r="E1271" s="305">
        <f t="shared" si="160"/>
        <v>270.32381981497616</v>
      </c>
      <c r="F1271" s="103" t="s">
        <v>163</v>
      </c>
      <c r="G1271" s="75" t="s">
        <v>147</v>
      </c>
      <c r="H1271" s="90">
        <v>4.1399999999999997</v>
      </c>
      <c r="I1271" s="90">
        <v>37.630000000000003</v>
      </c>
      <c r="J1271" s="76">
        <v>0.105</v>
      </c>
      <c r="K1271" s="306">
        <v>16.38</v>
      </c>
      <c r="L1271" s="78">
        <f t="shared" si="161"/>
        <v>7.8541068470298985</v>
      </c>
      <c r="M1271" s="58">
        <f>+VLOOKUP(F1271,Material!$H$2:$M$17,6,FALSE)*H1271*I1271*(1+Material!$K$14)</f>
        <v>58.477395524704413</v>
      </c>
      <c r="N1271" s="79" t="str">
        <f t="shared" si="158"/>
        <v>T5.0</v>
      </c>
      <c r="O1271" s="80">
        <f>+VLOOKUP(N1271,[3]Material!$A$3:$B$58,2,FALSE)</f>
        <v>5000</v>
      </c>
      <c r="P1271" s="79" t="s">
        <v>42</v>
      </c>
      <c r="Q1271" s="79" t="str">
        <f>+VLOOKUP(F1271,[3]Material!$C$2:$E$12,2,FALSE)</f>
        <v>Cal 12</v>
      </c>
      <c r="R1271" s="81">
        <f>+IF(P1271="ACERO A36",VLOOKUP(Q1271,'[3]Velocidades Std 1500 w'!$B$2:$F$15,5,FALSE),IF(P1271="INOXIDABLE",VLOOKUP(Q1271,'[3]Velocidades Std 1500 w'!$B$17:$F$28,5,FALSE),IF(P1271="ALUMINIO",VLOOKUP(Q1271,'[3]Velocidades Std 1500 w'!$B$30:$F$38,5,FALSE))))</f>
        <v>4.3859649122807014E-6</v>
      </c>
      <c r="S1271" s="82">
        <f t="shared" si="162"/>
        <v>2.1929824561403508E-2</v>
      </c>
      <c r="T1271" s="83">
        <f t="shared" si="163"/>
        <v>41.495712631578954</v>
      </c>
      <c r="U1271" s="307">
        <f t="shared" si="159"/>
        <v>2628.0618000000004</v>
      </c>
      <c r="V1271" s="80">
        <f t="shared" si="153"/>
        <v>57.632934210526322</v>
      </c>
      <c r="W1271" s="98">
        <v>10</v>
      </c>
      <c r="X1271" s="84">
        <f>+IF(P1271="ACERO A36",VLOOKUP(Q1271,'[3]Tiempo Objeto'!$B$2:$C$12,2,FALSE),IF(P1271="INOXIDABLE",VLOOKUP(Q1271,'[3]Tiempo Objeto'!$B$14:$C$22,2,FALSE),IF(P1271="ALUMINIO",VLOOKUP(Q1271,'[3]Tiempo Objeto'!$B$24:$C$32,2,FALSE))))</f>
        <v>0.6133333333333334</v>
      </c>
      <c r="Y1271" s="84">
        <f t="shared" si="164"/>
        <v>6.1333333333333337</v>
      </c>
      <c r="Z1271" s="80">
        <f t="shared" si="165"/>
        <v>8.518518518518519</v>
      </c>
      <c r="AA1271" s="100">
        <v>4</v>
      </c>
      <c r="AB1271" s="86">
        <f>+AA1271*Analisis!$J$6</f>
        <v>100</v>
      </c>
      <c r="AC1271" s="100"/>
      <c r="AD1271" s="85">
        <f t="shared" si="166"/>
        <v>0</v>
      </c>
      <c r="AE1271" s="86">
        <f>+AC1271*Analisis!$J$7</f>
        <v>0</v>
      </c>
      <c r="AF1271" s="308">
        <f>+H1271*0.0254*I1271*0.0254*2*(1+[3]Analisis!$G$2)</f>
        <v>0.25127078777999995</v>
      </c>
      <c r="AG1271" s="86">
        <f>+AF1271*Analisis!$J$8</f>
        <v>26.772304174178576</v>
      </c>
      <c r="AH1271" s="309">
        <f t="shared" si="167"/>
        <v>251.40115242792783</v>
      </c>
      <c r="AI1271" s="86">
        <f>+AH1271/(1-Analisis!G1276)</f>
        <v>251.40115242792783</v>
      </c>
      <c r="AJ1271" s="86">
        <f t="shared" si="168"/>
        <v>270.32381981497616</v>
      </c>
      <c r="AK1271" s="86">
        <f t="shared" si="169"/>
        <v>0</v>
      </c>
      <c r="AL1271" s="310" t="e">
        <f>+VLOOKUP(B1271,#REF!,2,FALSE)</f>
        <v>#REF!</v>
      </c>
      <c r="AM1271" s="311" t="e">
        <f t="shared" si="149"/>
        <v>#REF!</v>
      </c>
      <c r="AN1271" s="312" t="e">
        <f t="shared" si="148"/>
        <v>#REF!</v>
      </c>
    </row>
    <row r="1272" spans="1:40" s="73" customFormat="1" x14ac:dyDescent="0.25">
      <c r="A1272" s="313"/>
      <c r="B1272" s="333" t="s">
        <v>1894</v>
      </c>
      <c r="D1272" s="74">
        <f>IFERROR(VLOOKUP(B1272,'REQ. PINTADO'!B:C,2,0),0)</f>
        <v>0</v>
      </c>
      <c r="E1272" s="305">
        <f t="shared" si="160"/>
        <v>181.67327704810072</v>
      </c>
      <c r="F1272" s="103" t="s">
        <v>163</v>
      </c>
      <c r="G1272" s="75" t="s">
        <v>147</v>
      </c>
      <c r="H1272" s="90">
        <v>4.1399999999999997</v>
      </c>
      <c r="I1272" s="90">
        <v>13.63</v>
      </c>
      <c r="J1272" s="76">
        <v>0.105</v>
      </c>
      <c r="K1272" s="306">
        <v>16.38</v>
      </c>
      <c r="L1272" s="78">
        <f t="shared" si="161"/>
        <v>2.8448439097798963</v>
      </c>
      <c r="M1272" s="58">
        <f>+VLOOKUP(F1272,Material!$H$2:$M$17,6,FALSE)*H1272*I1272*(1+Material!$K$14)</f>
        <v>21.181156019179408</v>
      </c>
      <c r="N1272" s="79" t="str">
        <f t="shared" si="158"/>
        <v>T5.0</v>
      </c>
      <c r="O1272" s="80">
        <f>+VLOOKUP(N1272,[3]Material!$A$3:$B$58,2,FALSE)</f>
        <v>5000</v>
      </c>
      <c r="P1272" s="79" t="s">
        <v>42</v>
      </c>
      <c r="Q1272" s="79" t="str">
        <f>+VLOOKUP(F1272,[3]Material!$C$2:$E$12,2,FALSE)</f>
        <v>Cal 12</v>
      </c>
      <c r="R1272" s="81">
        <f>+IF(P1272="ACERO A36",VLOOKUP(Q1272,'[3]Velocidades Std 1500 w'!$B$2:$F$15,5,FALSE),IF(P1272="INOXIDABLE",VLOOKUP(Q1272,'[3]Velocidades Std 1500 w'!$B$17:$F$28,5,FALSE),IF(P1272="ALUMINIO",VLOOKUP(Q1272,'[3]Velocidades Std 1500 w'!$B$30:$F$38,5,FALSE))))</f>
        <v>4.3859649122807014E-6</v>
      </c>
      <c r="S1272" s="82">
        <f t="shared" si="162"/>
        <v>2.1929824561403508E-2</v>
      </c>
      <c r="T1272" s="83">
        <f t="shared" si="163"/>
        <v>21.282659999999996</v>
      </c>
      <c r="U1272" s="307">
        <f t="shared" si="159"/>
        <v>1347.9017999999999</v>
      </c>
      <c r="V1272" s="80">
        <f t="shared" si="153"/>
        <v>29.559249999999995</v>
      </c>
      <c r="W1272" s="98">
        <v>10</v>
      </c>
      <c r="X1272" s="84">
        <f>+IF(P1272="ACERO A36",VLOOKUP(Q1272,'[3]Tiempo Objeto'!$B$2:$C$12,2,FALSE),IF(P1272="INOXIDABLE",VLOOKUP(Q1272,'[3]Tiempo Objeto'!$B$14:$C$22,2,FALSE),IF(P1272="ALUMINIO",VLOOKUP(Q1272,'[3]Tiempo Objeto'!$B$24:$C$32,2,FALSE))))</f>
        <v>0.6133333333333334</v>
      </c>
      <c r="Y1272" s="84">
        <f t="shared" si="164"/>
        <v>6.1333333333333337</v>
      </c>
      <c r="Z1272" s="80">
        <f t="shared" si="165"/>
        <v>8.518518518518519</v>
      </c>
      <c r="AA1272" s="100">
        <v>4</v>
      </c>
      <c r="AB1272" s="86">
        <f>+AA1272*Analisis!$J$6</f>
        <v>100</v>
      </c>
      <c r="AC1272" s="100"/>
      <c r="AD1272" s="85">
        <f t="shared" si="166"/>
        <v>0</v>
      </c>
      <c r="AE1272" s="86">
        <f>+AC1272*Analisis!$J$7</f>
        <v>0</v>
      </c>
      <c r="AF1272" s="308">
        <f>+H1272*0.0254*I1272*0.0254*2*(1+[3]Analisis!$G$2)</f>
        <v>9.1013043779999983E-2</v>
      </c>
      <c r="AG1272" s="86">
        <f>+AF1272*Analisis!$J$8</f>
        <v>9.6972231170357155</v>
      </c>
      <c r="AH1272" s="309">
        <f t="shared" si="167"/>
        <v>168.95614765473366</v>
      </c>
      <c r="AI1272" s="86">
        <f>+AH1272/(1-Analisis!G1277)</f>
        <v>168.95614765473366</v>
      </c>
      <c r="AJ1272" s="86">
        <f t="shared" si="168"/>
        <v>181.67327704810072</v>
      </c>
      <c r="AK1272" s="86">
        <f t="shared" si="169"/>
        <v>0</v>
      </c>
      <c r="AL1272" s="310" t="e">
        <f>+VLOOKUP(B1272,#REF!,2,FALSE)</f>
        <v>#REF!</v>
      </c>
      <c r="AM1272" s="311" t="e">
        <f t="shared" si="149"/>
        <v>#REF!</v>
      </c>
      <c r="AN1272" s="312" t="e">
        <f t="shared" si="148"/>
        <v>#REF!</v>
      </c>
    </row>
    <row r="1273" spans="1:40" s="73" customFormat="1" x14ac:dyDescent="0.25">
      <c r="A1273" s="313"/>
      <c r="B1273" s="333" t="s">
        <v>1895</v>
      </c>
      <c r="D1273" s="74">
        <f>IFERROR(VLOOKUP(B1273,'REQ. PINTADO'!B:C,2,0),0)</f>
        <v>0</v>
      </c>
      <c r="E1273" s="305">
        <f t="shared" si="160"/>
        <v>225.99854843153844</v>
      </c>
      <c r="F1273" s="103" t="s">
        <v>163</v>
      </c>
      <c r="G1273" s="75" t="s">
        <v>147</v>
      </c>
      <c r="H1273" s="90">
        <v>4.1399999999999997</v>
      </c>
      <c r="I1273" s="90">
        <v>25.63</v>
      </c>
      <c r="J1273" s="76">
        <v>0.105</v>
      </c>
      <c r="K1273" s="306">
        <v>16.38</v>
      </c>
      <c r="L1273" s="78">
        <f t="shared" si="161"/>
        <v>5.3494753784048967</v>
      </c>
      <c r="M1273" s="58">
        <f>+VLOOKUP(F1273,Material!$H$2:$M$17,6,FALSE)*H1273*I1273*(1+Material!$K$14)</f>
        <v>39.829275771941909</v>
      </c>
      <c r="N1273" s="79" t="str">
        <f t="shared" si="158"/>
        <v>T5.0</v>
      </c>
      <c r="O1273" s="80">
        <f>+VLOOKUP(N1273,[3]Material!$A$3:$B$58,2,FALSE)</f>
        <v>5000</v>
      </c>
      <c r="P1273" s="79" t="s">
        <v>42</v>
      </c>
      <c r="Q1273" s="79" t="str">
        <f>+VLOOKUP(F1273,[3]Material!$C$2:$E$12,2,FALSE)</f>
        <v>Cal 12</v>
      </c>
      <c r="R1273" s="81">
        <f>+IF(P1273="ACERO A36",VLOOKUP(Q1273,'[3]Velocidades Std 1500 w'!$B$2:$F$15,5,FALSE),IF(P1273="INOXIDABLE",VLOOKUP(Q1273,'[3]Velocidades Std 1500 w'!$B$17:$F$28,5,FALSE),IF(P1273="ALUMINIO",VLOOKUP(Q1273,'[3]Velocidades Std 1500 w'!$B$30:$F$38,5,FALSE))))</f>
        <v>4.3859649122807014E-6</v>
      </c>
      <c r="S1273" s="82">
        <f t="shared" si="162"/>
        <v>2.1929824561403508E-2</v>
      </c>
      <c r="T1273" s="83">
        <f t="shared" si="163"/>
        <v>31.389186315789466</v>
      </c>
      <c r="U1273" s="307">
        <f t="shared" si="159"/>
        <v>1987.9817999999998</v>
      </c>
      <c r="V1273" s="80">
        <f t="shared" si="153"/>
        <v>43.596092105263153</v>
      </c>
      <c r="W1273" s="98">
        <v>10</v>
      </c>
      <c r="X1273" s="84">
        <f>+IF(P1273="ACERO A36",VLOOKUP(Q1273,'[3]Tiempo Objeto'!$B$2:$C$12,2,FALSE),IF(P1273="INOXIDABLE",VLOOKUP(Q1273,'[3]Tiempo Objeto'!$B$14:$C$22,2,FALSE),IF(P1273="ALUMINIO",VLOOKUP(Q1273,'[3]Tiempo Objeto'!$B$24:$C$32,2,FALSE))))</f>
        <v>0.6133333333333334</v>
      </c>
      <c r="Y1273" s="84">
        <f t="shared" si="164"/>
        <v>6.1333333333333337</v>
      </c>
      <c r="Z1273" s="80">
        <f t="shared" si="165"/>
        <v>8.518518518518519</v>
      </c>
      <c r="AA1273" s="100">
        <v>4</v>
      </c>
      <c r="AB1273" s="86">
        <f>+AA1273*Analisis!$J$6</f>
        <v>100</v>
      </c>
      <c r="AC1273" s="100"/>
      <c r="AD1273" s="85">
        <f t="shared" si="166"/>
        <v>0</v>
      </c>
      <c r="AE1273" s="86">
        <f>+AC1273*Analisis!$J$7</f>
        <v>0</v>
      </c>
      <c r="AF1273" s="308">
        <f>+H1273*0.0254*I1273*0.0254*2*(1+[3]Analisis!$G$2)</f>
        <v>0.17114191577999996</v>
      </c>
      <c r="AG1273" s="86">
        <f>+AF1273*Analisis!$J$8</f>
        <v>18.234763645607146</v>
      </c>
      <c r="AH1273" s="309">
        <f t="shared" si="167"/>
        <v>210.17865004133074</v>
      </c>
      <c r="AI1273" s="86">
        <f>+AH1273/(1-Analisis!G1278)</f>
        <v>210.17865004133074</v>
      </c>
      <c r="AJ1273" s="86">
        <f t="shared" si="168"/>
        <v>225.99854843153844</v>
      </c>
      <c r="AK1273" s="86">
        <f t="shared" si="169"/>
        <v>0</v>
      </c>
      <c r="AL1273" s="310" t="e">
        <f>+VLOOKUP(B1273,#REF!,2,FALSE)</f>
        <v>#REF!</v>
      </c>
      <c r="AM1273" s="311" t="e">
        <f t="shared" si="149"/>
        <v>#REF!</v>
      </c>
      <c r="AN1273" s="312" t="e">
        <f t="shared" si="148"/>
        <v>#REF!</v>
      </c>
    </row>
    <row r="1274" spans="1:40" s="73" customFormat="1" x14ac:dyDescent="0.25">
      <c r="A1274" s="313"/>
      <c r="B1274" s="333" t="s">
        <v>1896</v>
      </c>
      <c r="D1274" s="74">
        <f>IFERROR(VLOOKUP(B1274,'REQ. PINTADO'!B:C,2,0),0)</f>
        <v>0</v>
      </c>
      <c r="E1274" s="305">
        <f t="shared" si="160"/>
        <v>299.87400073726798</v>
      </c>
      <c r="F1274" s="103" t="s">
        <v>163</v>
      </c>
      <c r="G1274" s="75" t="s">
        <v>147</v>
      </c>
      <c r="H1274" s="90">
        <v>4.1399999999999997</v>
      </c>
      <c r="I1274" s="90">
        <v>45.63</v>
      </c>
      <c r="J1274" s="76">
        <v>0.105</v>
      </c>
      <c r="K1274" s="306">
        <v>16.38</v>
      </c>
      <c r="L1274" s="78">
        <f t="shared" si="161"/>
        <v>9.5238611594465663</v>
      </c>
      <c r="M1274" s="58">
        <f>+VLOOKUP(F1274,Material!$H$2:$M$17,6,FALSE)*H1274*I1274*(1+Material!$K$14)</f>
        <v>70.909475359879423</v>
      </c>
      <c r="N1274" s="79" t="str">
        <f t="shared" si="158"/>
        <v>T5.0</v>
      </c>
      <c r="O1274" s="80">
        <f>+VLOOKUP(N1274,[3]Material!$A$3:$B$58,2,FALSE)</f>
        <v>5000</v>
      </c>
      <c r="P1274" s="79" t="s">
        <v>42</v>
      </c>
      <c r="Q1274" s="79" t="str">
        <f>+VLOOKUP(F1274,[3]Material!$C$2:$E$12,2,FALSE)</f>
        <v>Cal 12</v>
      </c>
      <c r="R1274" s="81">
        <f>+IF(P1274="ACERO A36",VLOOKUP(Q1274,'[3]Velocidades Std 1500 w'!$B$2:$F$15,5,FALSE),IF(P1274="INOXIDABLE",VLOOKUP(Q1274,'[3]Velocidades Std 1500 w'!$B$17:$F$28,5,FALSE),IF(P1274="ALUMINIO",VLOOKUP(Q1274,'[3]Velocidades Std 1500 w'!$B$30:$F$38,5,FALSE))))</f>
        <v>4.3859649122807014E-6</v>
      </c>
      <c r="S1274" s="82">
        <f t="shared" si="162"/>
        <v>2.1929824561403508E-2</v>
      </c>
      <c r="T1274" s="83">
        <f t="shared" si="163"/>
        <v>48.233396842105257</v>
      </c>
      <c r="U1274" s="307">
        <f t="shared" si="159"/>
        <v>3054.7817999999997</v>
      </c>
      <c r="V1274" s="80">
        <f t="shared" si="153"/>
        <v>66.990828947368414</v>
      </c>
      <c r="W1274" s="98">
        <v>10</v>
      </c>
      <c r="X1274" s="84">
        <f>+IF(P1274="ACERO A36",VLOOKUP(Q1274,'[3]Tiempo Objeto'!$B$2:$C$12,2,FALSE),IF(P1274="INOXIDABLE",VLOOKUP(Q1274,'[3]Tiempo Objeto'!$B$14:$C$22,2,FALSE),IF(P1274="ALUMINIO",VLOOKUP(Q1274,'[3]Tiempo Objeto'!$B$24:$C$32,2,FALSE))))</f>
        <v>0.6133333333333334</v>
      </c>
      <c r="Y1274" s="84">
        <f t="shared" si="164"/>
        <v>6.1333333333333337</v>
      </c>
      <c r="Z1274" s="80">
        <f t="shared" si="165"/>
        <v>8.518518518518519</v>
      </c>
      <c r="AA1274" s="100">
        <v>4</v>
      </c>
      <c r="AB1274" s="86">
        <f>+AA1274*Analisis!$J$6</f>
        <v>100</v>
      </c>
      <c r="AC1274" s="100"/>
      <c r="AD1274" s="85">
        <f t="shared" si="166"/>
        <v>0</v>
      </c>
      <c r="AE1274" s="86">
        <f>+AC1274*Analisis!$J$7</f>
        <v>0</v>
      </c>
      <c r="AF1274" s="308">
        <f>+H1274*0.0254*I1274*0.0254*2*(1+[3]Analisis!$G$2)</f>
        <v>0.30469003577999998</v>
      </c>
      <c r="AG1274" s="86">
        <f>+AF1274*Analisis!$J$8</f>
        <v>32.463997859892864</v>
      </c>
      <c r="AH1274" s="309">
        <f t="shared" si="167"/>
        <v>278.88282068565923</v>
      </c>
      <c r="AI1274" s="86">
        <f>+AH1274/(1-Analisis!G1279)</f>
        <v>278.88282068565923</v>
      </c>
      <c r="AJ1274" s="86">
        <f t="shared" si="168"/>
        <v>299.87400073726798</v>
      </c>
      <c r="AK1274" s="86">
        <f t="shared" si="169"/>
        <v>0</v>
      </c>
      <c r="AL1274" s="310" t="e">
        <f>+VLOOKUP(B1274,#REF!,2,FALSE)</f>
        <v>#REF!</v>
      </c>
      <c r="AM1274" s="311" t="e">
        <f t="shared" si="149"/>
        <v>#REF!</v>
      </c>
      <c r="AN1274" s="312" t="e">
        <f t="shared" si="148"/>
        <v>#REF!</v>
      </c>
    </row>
    <row r="1275" spans="1:40" s="73" customFormat="1" x14ac:dyDescent="0.25">
      <c r="A1275" s="313"/>
      <c r="B1275" s="333" t="s">
        <v>1897</v>
      </c>
      <c r="D1275" s="74">
        <f>IFERROR(VLOOKUP(B1275,'REQ. PINTADO'!B:C,2,0),0)</f>
        <v>0</v>
      </c>
      <c r="E1275" s="305">
        <f t="shared" si="160"/>
        <v>322.03663642898687</v>
      </c>
      <c r="F1275" s="103" t="s">
        <v>163</v>
      </c>
      <c r="G1275" s="75" t="s">
        <v>147</v>
      </c>
      <c r="H1275" s="90">
        <v>4.1399999999999997</v>
      </c>
      <c r="I1275" s="90">
        <v>51.63</v>
      </c>
      <c r="J1275" s="76">
        <v>0.105</v>
      </c>
      <c r="K1275" s="306">
        <v>16.38</v>
      </c>
      <c r="L1275" s="78">
        <f t="shared" si="161"/>
        <v>10.776176893759065</v>
      </c>
      <c r="M1275" s="58">
        <f>+VLOOKUP(F1275,Material!$H$2:$M$17,6,FALSE)*H1275*I1275*(1+Material!$K$14)</f>
        <v>80.233535236260664</v>
      </c>
      <c r="N1275" s="79" t="str">
        <f t="shared" si="158"/>
        <v>T5.0</v>
      </c>
      <c r="O1275" s="80">
        <f>+VLOOKUP(N1275,[3]Material!$A$3:$B$58,2,FALSE)</f>
        <v>5000</v>
      </c>
      <c r="P1275" s="79" t="s">
        <v>42</v>
      </c>
      <c r="Q1275" s="79" t="str">
        <f>+VLOOKUP(F1275,[3]Material!$C$2:$E$12,2,FALSE)</f>
        <v>Cal 12</v>
      </c>
      <c r="R1275" s="81">
        <f>+IF(P1275="ACERO A36",VLOOKUP(Q1275,'[3]Velocidades Std 1500 w'!$B$2:$F$15,5,FALSE),IF(P1275="INOXIDABLE",VLOOKUP(Q1275,'[3]Velocidades Std 1500 w'!$B$17:$F$28,5,FALSE),IF(P1275="ALUMINIO",VLOOKUP(Q1275,'[3]Velocidades Std 1500 w'!$B$30:$F$38,5,FALSE))))</f>
        <v>4.3859649122807014E-6</v>
      </c>
      <c r="S1275" s="82">
        <f t="shared" si="162"/>
        <v>2.1929824561403508E-2</v>
      </c>
      <c r="T1275" s="83">
        <f t="shared" si="163"/>
        <v>53.286659999999998</v>
      </c>
      <c r="U1275" s="307">
        <f t="shared" si="159"/>
        <v>3374.8218000000002</v>
      </c>
      <c r="V1275" s="80">
        <f t="shared" si="153"/>
        <v>74.009249999999994</v>
      </c>
      <c r="W1275" s="98">
        <v>10</v>
      </c>
      <c r="X1275" s="84">
        <f>+IF(P1275="ACERO A36",VLOOKUP(Q1275,'[3]Tiempo Objeto'!$B$2:$C$12,2,FALSE),IF(P1275="INOXIDABLE",VLOOKUP(Q1275,'[3]Tiempo Objeto'!$B$14:$C$22,2,FALSE),IF(P1275="ALUMINIO",VLOOKUP(Q1275,'[3]Tiempo Objeto'!$B$24:$C$32,2,FALSE))))</f>
        <v>0.6133333333333334</v>
      </c>
      <c r="Y1275" s="84">
        <f t="shared" si="164"/>
        <v>6.1333333333333337</v>
      </c>
      <c r="Z1275" s="80">
        <f t="shared" si="165"/>
        <v>8.518518518518519</v>
      </c>
      <c r="AA1275" s="100">
        <v>4</v>
      </c>
      <c r="AB1275" s="86">
        <f>+AA1275*Analisis!$J$6</f>
        <v>100</v>
      </c>
      <c r="AC1275" s="100"/>
      <c r="AD1275" s="85">
        <f t="shared" si="166"/>
        <v>0</v>
      </c>
      <c r="AE1275" s="86">
        <f>+AC1275*Analisis!$J$7</f>
        <v>0</v>
      </c>
      <c r="AF1275" s="308">
        <f>+H1275*0.0254*I1275*0.0254*2*(1+[3]Analisis!$G$2)</f>
        <v>0.34475447177999996</v>
      </c>
      <c r="AG1275" s="86">
        <f>+AF1275*Analisis!$J$8</f>
        <v>36.732768124178577</v>
      </c>
      <c r="AH1275" s="309">
        <f t="shared" si="167"/>
        <v>299.49407187895775</v>
      </c>
      <c r="AI1275" s="86">
        <f>+AH1275/(1-Analisis!G1280)</f>
        <v>299.49407187895775</v>
      </c>
      <c r="AJ1275" s="86">
        <f t="shared" si="168"/>
        <v>322.03663642898687</v>
      </c>
      <c r="AK1275" s="86">
        <f t="shared" si="169"/>
        <v>0</v>
      </c>
      <c r="AL1275" s="310" t="e">
        <f>+VLOOKUP(B1275,#REF!,2,FALSE)</f>
        <v>#REF!</v>
      </c>
      <c r="AM1275" s="311" t="e">
        <f t="shared" si="149"/>
        <v>#REF!</v>
      </c>
      <c r="AN1275" s="312" t="e">
        <f t="shared" si="148"/>
        <v>#REF!</v>
      </c>
    </row>
    <row r="1276" spans="1:40" s="73" customFormat="1" x14ac:dyDescent="0.25">
      <c r="A1276" s="313"/>
      <c r="B1276" s="333" t="s">
        <v>1898</v>
      </c>
      <c r="D1276" s="74">
        <f>IFERROR(VLOOKUP(B1276,'REQ. PINTADO'!B:C,2,0),0)</f>
        <v>0</v>
      </c>
      <c r="E1276" s="305">
        <f t="shared" si="160"/>
        <v>277.71136504554909</v>
      </c>
      <c r="F1276" s="103" t="s">
        <v>163</v>
      </c>
      <c r="G1276" s="75" t="s">
        <v>147</v>
      </c>
      <c r="H1276" s="90">
        <v>4.1399999999999997</v>
      </c>
      <c r="I1276" s="90">
        <v>39.630000000000003</v>
      </c>
      <c r="J1276" s="76">
        <v>0.105</v>
      </c>
      <c r="K1276" s="306">
        <v>16.38</v>
      </c>
      <c r="L1276" s="78">
        <f t="shared" si="161"/>
        <v>8.2715454251340645</v>
      </c>
      <c r="M1276" s="58">
        <f>+VLOOKUP(F1276,Material!$H$2:$M$17,6,FALSE)*H1276*I1276*(1+Material!$K$14)</f>
        <v>61.58541548349816</v>
      </c>
      <c r="N1276" s="79" t="str">
        <f t="shared" si="158"/>
        <v>T5.0</v>
      </c>
      <c r="O1276" s="80">
        <f>+VLOOKUP(N1276,[3]Material!$A$3:$B$58,2,FALSE)</f>
        <v>5000</v>
      </c>
      <c r="P1276" s="79" t="s">
        <v>42</v>
      </c>
      <c r="Q1276" s="79" t="str">
        <f>+VLOOKUP(F1276,[3]Material!$C$2:$E$12,2,FALSE)</f>
        <v>Cal 12</v>
      </c>
      <c r="R1276" s="81">
        <f>+IF(P1276="ACERO A36",VLOOKUP(Q1276,'[3]Velocidades Std 1500 w'!$B$2:$F$15,5,FALSE),IF(P1276="INOXIDABLE",VLOOKUP(Q1276,'[3]Velocidades Std 1500 w'!$B$17:$F$28,5,FALSE),IF(P1276="ALUMINIO",VLOOKUP(Q1276,'[3]Velocidades Std 1500 w'!$B$30:$F$38,5,FALSE))))</f>
        <v>4.3859649122807014E-6</v>
      </c>
      <c r="S1276" s="82">
        <f t="shared" si="162"/>
        <v>2.1929824561403508E-2</v>
      </c>
      <c r="T1276" s="83">
        <f t="shared" si="163"/>
        <v>43.180133684210524</v>
      </c>
      <c r="U1276" s="307">
        <f t="shared" si="159"/>
        <v>2734.7418000000002</v>
      </c>
      <c r="V1276" s="80">
        <f t="shared" si="153"/>
        <v>59.972407894736847</v>
      </c>
      <c r="W1276" s="98">
        <v>10</v>
      </c>
      <c r="X1276" s="84">
        <f>+IF(P1276="ACERO A36",VLOOKUP(Q1276,'[3]Tiempo Objeto'!$B$2:$C$12,2,FALSE),IF(P1276="INOXIDABLE",VLOOKUP(Q1276,'[3]Tiempo Objeto'!$B$14:$C$22,2,FALSE),IF(P1276="ALUMINIO",VLOOKUP(Q1276,'[3]Tiempo Objeto'!$B$24:$C$32,2,FALSE))))</f>
        <v>0.6133333333333334</v>
      </c>
      <c r="Y1276" s="84">
        <f t="shared" si="164"/>
        <v>6.1333333333333337</v>
      </c>
      <c r="Z1276" s="80">
        <f t="shared" si="165"/>
        <v>8.518518518518519</v>
      </c>
      <c r="AA1276" s="100">
        <v>4</v>
      </c>
      <c r="AB1276" s="86">
        <f>+AA1276*Analisis!$J$6</f>
        <v>100</v>
      </c>
      <c r="AC1276" s="100"/>
      <c r="AD1276" s="85">
        <f t="shared" si="166"/>
        <v>0</v>
      </c>
      <c r="AE1276" s="86">
        <f>+AC1276*Analisis!$J$7</f>
        <v>0</v>
      </c>
      <c r="AF1276" s="308">
        <f>+H1276*0.0254*I1276*0.0254*2*(1+[3]Analisis!$G$2)</f>
        <v>0.26462559978</v>
      </c>
      <c r="AG1276" s="86">
        <f>+AF1276*Analisis!$J$8</f>
        <v>28.19522759560715</v>
      </c>
      <c r="AH1276" s="309">
        <f t="shared" si="167"/>
        <v>258.27156949236064</v>
      </c>
      <c r="AI1276" s="86">
        <f>+AH1276/(1-Analisis!G1281)</f>
        <v>258.27156949236064</v>
      </c>
      <c r="AJ1276" s="86">
        <f t="shared" si="168"/>
        <v>277.71136504554909</v>
      </c>
      <c r="AK1276" s="86">
        <f t="shared" si="169"/>
        <v>0</v>
      </c>
      <c r="AL1276" s="310" t="e">
        <f>+VLOOKUP(B1276,#REF!,2,FALSE)</f>
        <v>#REF!</v>
      </c>
      <c r="AM1276" s="311" t="e">
        <f t="shared" si="149"/>
        <v>#REF!</v>
      </c>
      <c r="AN1276" s="312" t="e">
        <f t="shared" si="148"/>
        <v>#REF!</v>
      </c>
    </row>
    <row r="1277" spans="1:40" s="73" customFormat="1" x14ac:dyDescent="0.25">
      <c r="A1277" s="313"/>
      <c r="B1277" s="333" t="s">
        <v>1899</v>
      </c>
      <c r="D1277" s="74">
        <f>IFERROR(VLOOKUP(B1277,'REQ. PINTADO'!B:C,2,0),0)</f>
        <v>0</v>
      </c>
      <c r="E1277" s="305">
        <f t="shared" si="160"/>
        <v>307.26154596784096</v>
      </c>
      <c r="F1277" s="103" t="s">
        <v>163</v>
      </c>
      <c r="G1277" s="75" t="s">
        <v>147</v>
      </c>
      <c r="H1277" s="90">
        <v>4.1399999999999997</v>
      </c>
      <c r="I1277" s="90">
        <v>47.63</v>
      </c>
      <c r="J1277" s="76">
        <v>0.105</v>
      </c>
      <c r="K1277" s="306">
        <v>16.38</v>
      </c>
      <c r="L1277" s="78">
        <f t="shared" si="161"/>
        <v>9.9412997375507324</v>
      </c>
      <c r="M1277" s="58">
        <f>+VLOOKUP(F1277,Material!$H$2:$M$17,6,FALSE)*H1277*I1277*(1+Material!$K$14)</f>
        <v>74.01749531867317</v>
      </c>
      <c r="N1277" s="79" t="str">
        <f t="shared" si="158"/>
        <v>T5.0</v>
      </c>
      <c r="O1277" s="80">
        <f>+VLOOKUP(N1277,[3]Material!$A$3:$B$58,2,FALSE)</f>
        <v>5000</v>
      </c>
      <c r="P1277" s="79" t="s">
        <v>42</v>
      </c>
      <c r="Q1277" s="79" t="str">
        <f>+VLOOKUP(F1277,[3]Material!$C$2:$E$12,2,FALSE)</f>
        <v>Cal 12</v>
      </c>
      <c r="R1277" s="81">
        <f>+IF(P1277="ACERO A36",VLOOKUP(Q1277,'[3]Velocidades Std 1500 w'!$B$2:$F$15,5,FALSE),IF(P1277="INOXIDABLE",VLOOKUP(Q1277,'[3]Velocidades Std 1500 w'!$B$17:$F$28,5,FALSE),IF(P1277="ALUMINIO",VLOOKUP(Q1277,'[3]Velocidades Std 1500 w'!$B$30:$F$38,5,FALSE))))</f>
        <v>4.3859649122807014E-6</v>
      </c>
      <c r="S1277" s="82">
        <f t="shared" si="162"/>
        <v>2.1929824561403508E-2</v>
      </c>
      <c r="T1277" s="83">
        <f t="shared" si="163"/>
        <v>49.917817894736849</v>
      </c>
      <c r="U1277" s="307">
        <f t="shared" si="159"/>
        <v>3161.4618000000005</v>
      </c>
      <c r="V1277" s="80">
        <f t="shared" si="153"/>
        <v>69.330302631578959</v>
      </c>
      <c r="W1277" s="98">
        <v>10</v>
      </c>
      <c r="X1277" s="84">
        <f>+IF(P1277="ACERO A36",VLOOKUP(Q1277,'[3]Tiempo Objeto'!$B$2:$C$12,2,FALSE),IF(P1277="INOXIDABLE",VLOOKUP(Q1277,'[3]Tiempo Objeto'!$B$14:$C$22,2,FALSE),IF(P1277="ALUMINIO",VLOOKUP(Q1277,'[3]Tiempo Objeto'!$B$24:$C$32,2,FALSE))))</f>
        <v>0.6133333333333334</v>
      </c>
      <c r="Y1277" s="84">
        <f t="shared" si="164"/>
        <v>6.1333333333333337</v>
      </c>
      <c r="Z1277" s="80">
        <f t="shared" si="165"/>
        <v>8.518518518518519</v>
      </c>
      <c r="AA1277" s="100">
        <v>4</v>
      </c>
      <c r="AB1277" s="86">
        <f>+AA1277*Analisis!$J$6</f>
        <v>100</v>
      </c>
      <c r="AC1277" s="100"/>
      <c r="AD1277" s="85">
        <f t="shared" si="166"/>
        <v>0</v>
      </c>
      <c r="AE1277" s="86">
        <f>+AC1277*Analisis!$J$7</f>
        <v>0</v>
      </c>
      <c r="AF1277" s="308">
        <f>+H1277*0.0254*I1277*0.0254*2*(1+[3]Analisis!$G$2)</f>
        <v>0.31804484777999992</v>
      </c>
      <c r="AG1277" s="86">
        <f>+AF1277*Analisis!$J$8</f>
        <v>33.886921281321428</v>
      </c>
      <c r="AH1277" s="309">
        <f t="shared" si="167"/>
        <v>285.75323775009207</v>
      </c>
      <c r="AI1277" s="86">
        <f>+AH1277/(1-Analisis!G1282)</f>
        <v>285.75323775009207</v>
      </c>
      <c r="AJ1277" s="86">
        <f t="shared" si="168"/>
        <v>307.26154596784096</v>
      </c>
      <c r="AK1277" s="86">
        <f t="shared" si="169"/>
        <v>0</v>
      </c>
      <c r="AL1277" s="310" t="e">
        <f>+VLOOKUP(B1277,#REF!,2,FALSE)</f>
        <v>#REF!</v>
      </c>
      <c r="AM1277" s="311" t="e">
        <f t="shared" si="149"/>
        <v>#REF!</v>
      </c>
      <c r="AN1277" s="312" t="e">
        <f t="shared" si="148"/>
        <v>#REF!</v>
      </c>
    </row>
    <row r="1278" spans="1:40" s="73" customFormat="1" x14ac:dyDescent="0.25">
      <c r="A1278" s="313"/>
      <c r="B1278" s="333" t="s">
        <v>1900</v>
      </c>
      <c r="D1278" s="74">
        <f>IFERROR(VLOOKUP(B1278,'REQ. PINTADO'!B:C,2,0),0)</f>
        <v>0</v>
      </c>
      <c r="E1278" s="305">
        <f t="shared" si="160"/>
        <v>196.44836750924659</v>
      </c>
      <c r="F1278" s="103" t="s">
        <v>163</v>
      </c>
      <c r="G1278" s="75" t="s">
        <v>147</v>
      </c>
      <c r="H1278" s="90">
        <v>4.1399999999999997</v>
      </c>
      <c r="I1278" s="90">
        <v>17.63</v>
      </c>
      <c r="J1278" s="76">
        <v>0.105</v>
      </c>
      <c r="K1278" s="306">
        <v>16.38</v>
      </c>
      <c r="L1278" s="78">
        <f t="shared" si="161"/>
        <v>3.6797210659882298</v>
      </c>
      <c r="M1278" s="58">
        <f>+VLOOKUP(F1278,Material!$H$2:$M$17,6,FALSE)*H1278*I1278*(1+Material!$K$14)</f>
        <v>27.397195936766906</v>
      </c>
      <c r="N1278" s="79" t="str">
        <f t="shared" si="158"/>
        <v>T5.0</v>
      </c>
      <c r="O1278" s="80">
        <f>+VLOOKUP(N1278,[3]Material!$A$3:$B$58,2,FALSE)</f>
        <v>5000</v>
      </c>
      <c r="P1278" s="79" t="s">
        <v>42</v>
      </c>
      <c r="Q1278" s="79" t="str">
        <f>+VLOOKUP(F1278,[3]Material!$C$2:$E$12,2,FALSE)</f>
        <v>Cal 12</v>
      </c>
      <c r="R1278" s="81">
        <f>+IF(P1278="ACERO A36",VLOOKUP(Q1278,'[3]Velocidades Std 1500 w'!$B$2:$F$15,5,FALSE),IF(P1278="INOXIDABLE",VLOOKUP(Q1278,'[3]Velocidades Std 1500 w'!$B$17:$F$28,5,FALSE),IF(P1278="ALUMINIO",VLOOKUP(Q1278,'[3]Velocidades Std 1500 w'!$B$30:$F$38,5,FALSE))))</f>
        <v>4.3859649122807014E-6</v>
      </c>
      <c r="S1278" s="82">
        <f t="shared" si="162"/>
        <v>2.1929824561403508E-2</v>
      </c>
      <c r="T1278" s="83">
        <f t="shared" si="163"/>
        <v>24.651502105263155</v>
      </c>
      <c r="U1278" s="307">
        <f t="shared" si="159"/>
        <v>1561.2618</v>
      </c>
      <c r="V1278" s="80">
        <f t="shared" si="153"/>
        <v>34.238197368421048</v>
      </c>
      <c r="W1278" s="98">
        <v>10</v>
      </c>
      <c r="X1278" s="84">
        <f>+IF(P1278="ACERO A36",VLOOKUP(Q1278,'[3]Tiempo Objeto'!$B$2:$C$12,2,FALSE),IF(P1278="INOXIDABLE",VLOOKUP(Q1278,'[3]Tiempo Objeto'!$B$14:$C$22,2,FALSE),IF(P1278="ALUMINIO",VLOOKUP(Q1278,'[3]Tiempo Objeto'!$B$24:$C$32,2,FALSE))))</f>
        <v>0.6133333333333334</v>
      </c>
      <c r="Y1278" s="84">
        <f t="shared" si="164"/>
        <v>6.1333333333333337</v>
      </c>
      <c r="Z1278" s="80">
        <f t="shared" si="165"/>
        <v>8.518518518518519</v>
      </c>
      <c r="AA1278" s="100">
        <v>4</v>
      </c>
      <c r="AB1278" s="86">
        <f>+AA1278*Analisis!$J$6</f>
        <v>100</v>
      </c>
      <c r="AC1278" s="100"/>
      <c r="AD1278" s="85">
        <f t="shared" si="166"/>
        <v>0</v>
      </c>
      <c r="AE1278" s="86">
        <f>+AC1278*Analisis!$J$7</f>
        <v>0</v>
      </c>
      <c r="AF1278" s="308">
        <f>+H1278*0.0254*I1278*0.0254*2*(1+[3]Analisis!$G$2)</f>
        <v>0.11772266777999998</v>
      </c>
      <c r="AG1278" s="86">
        <f>+AF1278*Analisis!$J$8</f>
        <v>12.543069959892859</v>
      </c>
      <c r="AH1278" s="309">
        <f t="shared" si="167"/>
        <v>182.69698178359931</v>
      </c>
      <c r="AI1278" s="86">
        <f>+AH1278/(1-Analisis!G1283)</f>
        <v>182.69698178359931</v>
      </c>
      <c r="AJ1278" s="86">
        <f t="shared" si="168"/>
        <v>196.44836750924659</v>
      </c>
      <c r="AK1278" s="86">
        <f t="shared" si="169"/>
        <v>0</v>
      </c>
      <c r="AL1278" s="310" t="e">
        <f>+VLOOKUP(B1278,#REF!,2,FALSE)</f>
        <v>#REF!</v>
      </c>
      <c r="AM1278" s="311" t="e">
        <f t="shared" si="149"/>
        <v>#REF!</v>
      </c>
      <c r="AN1278" s="312" t="e">
        <f t="shared" si="148"/>
        <v>#REF!</v>
      </c>
    </row>
    <row r="1279" spans="1:40" s="73" customFormat="1" x14ac:dyDescent="0.25">
      <c r="A1279" s="313"/>
      <c r="B1279" s="333" t="s">
        <v>1901</v>
      </c>
      <c r="D1279" s="74">
        <f>IFERROR(VLOOKUP(B1279,'REQ. PINTADO'!B:C,2,0),0)</f>
        <v>0</v>
      </c>
      <c r="E1279" s="305">
        <f t="shared" si="160"/>
        <v>222.30477581625195</v>
      </c>
      <c r="F1279" s="103" t="s">
        <v>163</v>
      </c>
      <c r="G1279" s="75" t="s">
        <v>147</v>
      </c>
      <c r="H1279" s="90">
        <v>4.1399999999999997</v>
      </c>
      <c r="I1279" s="90">
        <v>24.63</v>
      </c>
      <c r="J1279" s="76">
        <v>0.105</v>
      </c>
      <c r="K1279" s="306">
        <v>16.38</v>
      </c>
      <c r="L1279" s="78">
        <f t="shared" si="161"/>
        <v>5.1407560893528137</v>
      </c>
      <c r="M1279" s="58">
        <f>+VLOOKUP(F1279,Material!$H$2:$M$17,6,FALSE)*H1279*I1279*(1+Material!$K$14)</f>
        <v>38.275265792545035</v>
      </c>
      <c r="N1279" s="79" t="str">
        <f t="shared" si="158"/>
        <v>T5.0</v>
      </c>
      <c r="O1279" s="80">
        <f>+VLOOKUP(N1279,[3]Material!$A$3:$B$58,2,FALSE)</f>
        <v>5000</v>
      </c>
      <c r="P1279" s="79" t="s">
        <v>42</v>
      </c>
      <c r="Q1279" s="79" t="str">
        <f>+VLOOKUP(F1279,[3]Material!$C$2:$E$12,2,FALSE)</f>
        <v>Cal 12</v>
      </c>
      <c r="R1279" s="81">
        <f>+IF(P1279="ACERO A36",VLOOKUP(Q1279,'[3]Velocidades Std 1500 w'!$B$2:$F$15,5,FALSE),IF(P1279="INOXIDABLE",VLOOKUP(Q1279,'[3]Velocidades Std 1500 w'!$B$17:$F$28,5,FALSE),IF(P1279="ALUMINIO",VLOOKUP(Q1279,'[3]Velocidades Std 1500 w'!$B$30:$F$38,5,FALSE))))</f>
        <v>4.3859649122807014E-6</v>
      </c>
      <c r="S1279" s="82">
        <f t="shared" si="162"/>
        <v>2.1929824561403508E-2</v>
      </c>
      <c r="T1279" s="83">
        <f t="shared" si="163"/>
        <v>30.546975789473677</v>
      </c>
      <c r="U1279" s="307">
        <f t="shared" si="159"/>
        <v>1934.6417999999996</v>
      </c>
      <c r="V1279" s="80">
        <f t="shared" si="153"/>
        <v>42.426355263157888</v>
      </c>
      <c r="W1279" s="98">
        <v>10</v>
      </c>
      <c r="X1279" s="84">
        <f>+IF(P1279="ACERO A36",VLOOKUP(Q1279,'[3]Tiempo Objeto'!$B$2:$C$12,2,FALSE),IF(P1279="INOXIDABLE",VLOOKUP(Q1279,'[3]Tiempo Objeto'!$B$14:$C$22,2,FALSE),IF(P1279="ALUMINIO",VLOOKUP(Q1279,'[3]Tiempo Objeto'!$B$24:$C$32,2,FALSE))))</f>
        <v>0.6133333333333334</v>
      </c>
      <c r="Y1279" s="84">
        <f t="shared" si="164"/>
        <v>6.1333333333333337</v>
      </c>
      <c r="Z1279" s="80">
        <f t="shared" si="165"/>
        <v>8.518518518518519</v>
      </c>
      <c r="AA1279" s="100">
        <v>4</v>
      </c>
      <c r="AB1279" s="86">
        <f>+AA1279*Analisis!$J$6</f>
        <v>100</v>
      </c>
      <c r="AC1279" s="100"/>
      <c r="AD1279" s="85">
        <f t="shared" si="166"/>
        <v>0</v>
      </c>
      <c r="AE1279" s="86">
        <f>+AC1279*Analisis!$J$7</f>
        <v>0</v>
      </c>
      <c r="AF1279" s="308">
        <f>+H1279*0.0254*I1279*0.0254*2*(1+[3]Analisis!$G$2)</f>
        <v>0.16446450977999999</v>
      </c>
      <c r="AG1279" s="86">
        <f>+AF1279*Analisis!$J$8</f>
        <v>17.52330193489286</v>
      </c>
      <c r="AH1279" s="309">
        <f t="shared" si="167"/>
        <v>206.74344150911429</v>
      </c>
      <c r="AI1279" s="86">
        <f>+AH1279/(1-Analisis!G1284)</f>
        <v>206.74344150911429</v>
      </c>
      <c r="AJ1279" s="86">
        <f t="shared" si="168"/>
        <v>222.30477581625195</v>
      </c>
      <c r="AK1279" s="86">
        <f t="shared" si="169"/>
        <v>0</v>
      </c>
      <c r="AL1279" s="310" t="e">
        <f>+VLOOKUP(B1279,#REF!,2,FALSE)</f>
        <v>#REF!</v>
      </c>
      <c r="AM1279" s="311" t="e">
        <f t="shared" si="149"/>
        <v>#REF!</v>
      </c>
      <c r="AN1279" s="312" t="e">
        <f t="shared" si="148"/>
        <v>#REF!</v>
      </c>
    </row>
    <row r="1280" spans="1:40" s="73" customFormat="1" x14ac:dyDescent="0.25">
      <c r="A1280" s="313"/>
      <c r="B1280" s="333" t="s">
        <v>1902</v>
      </c>
      <c r="D1280" s="74">
        <f>IFERROR(VLOOKUP(B1280,'REQ. PINTADO'!B:C,2,0),0)</f>
        <v>0</v>
      </c>
      <c r="E1280" s="305">
        <f t="shared" si="160"/>
        <v>344.1992721207057</v>
      </c>
      <c r="F1280" s="103" t="s">
        <v>163</v>
      </c>
      <c r="G1280" s="75" t="s">
        <v>147</v>
      </c>
      <c r="H1280" s="90">
        <v>4.1399999999999997</v>
      </c>
      <c r="I1280" s="90">
        <v>57.63</v>
      </c>
      <c r="J1280" s="76">
        <v>0.105</v>
      </c>
      <c r="K1280" s="306">
        <v>16.38</v>
      </c>
      <c r="L1280" s="78">
        <f t="shared" si="161"/>
        <v>12.028492628071566</v>
      </c>
      <c r="M1280" s="58">
        <f>+VLOOKUP(F1280,Material!$H$2:$M$17,6,FALSE)*H1280*I1280*(1+Material!$K$14)</f>
        <v>89.55759511264192</v>
      </c>
      <c r="N1280" s="79" t="str">
        <f t="shared" si="158"/>
        <v>T5.0</v>
      </c>
      <c r="O1280" s="80">
        <f>+VLOOKUP(N1280,[3]Material!$A$3:$B$58,2,FALSE)</f>
        <v>5000</v>
      </c>
      <c r="P1280" s="79" t="s">
        <v>42</v>
      </c>
      <c r="Q1280" s="79" t="str">
        <f>+VLOOKUP(F1280,[3]Material!$C$2:$E$12,2,FALSE)</f>
        <v>Cal 12</v>
      </c>
      <c r="R1280" s="81">
        <f>+IF(P1280="ACERO A36",VLOOKUP(Q1280,'[3]Velocidades Std 1500 w'!$B$2:$F$15,5,FALSE),IF(P1280="INOXIDABLE",VLOOKUP(Q1280,'[3]Velocidades Std 1500 w'!$B$17:$F$28,5,FALSE),IF(P1280="ALUMINIO",VLOOKUP(Q1280,'[3]Velocidades Std 1500 w'!$B$30:$F$38,5,FALSE))))</f>
        <v>4.3859649122807014E-6</v>
      </c>
      <c r="S1280" s="82">
        <f t="shared" si="162"/>
        <v>2.1929824561403508E-2</v>
      </c>
      <c r="T1280" s="83">
        <f t="shared" si="163"/>
        <v>58.339923157894738</v>
      </c>
      <c r="U1280" s="307">
        <f t="shared" si="159"/>
        <v>3694.8618000000001</v>
      </c>
      <c r="V1280" s="80">
        <f t="shared" si="153"/>
        <v>81.027671052631575</v>
      </c>
      <c r="W1280" s="98">
        <v>10</v>
      </c>
      <c r="X1280" s="84">
        <f>+IF(P1280="ACERO A36",VLOOKUP(Q1280,'[3]Tiempo Objeto'!$B$2:$C$12,2,FALSE),IF(P1280="INOXIDABLE",VLOOKUP(Q1280,'[3]Tiempo Objeto'!$B$14:$C$22,2,FALSE),IF(P1280="ALUMINIO",VLOOKUP(Q1280,'[3]Tiempo Objeto'!$B$24:$C$32,2,FALSE))))</f>
        <v>0.6133333333333334</v>
      </c>
      <c r="Y1280" s="84">
        <f t="shared" si="164"/>
        <v>6.1333333333333337</v>
      </c>
      <c r="Z1280" s="80">
        <f t="shared" si="165"/>
        <v>8.518518518518519</v>
      </c>
      <c r="AA1280" s="100">
        <v>4</v>
      </c>
      <c r="AB1280" s="86">
        <f>+AA1280*Analisis!$J$6</f>
        <v>100</v>
      </c>
      <c r="AC1280" s="100"/>
      <c r="AD1280" s="85">
        <f t="shared" si="166"/>
        <v>0</v>
      </c>
      <c r="AE1280" s="86">
        <f>+AC1280*Analisis!$J$7</f>
        <v>0</v>
      </c>
      <c r="AF1280" s="308">
        <f>+H1280*0.0254*I1280*0.0254*2*(1+[3]Analisis!$G$2)</f>
        <v>0.38481890777999994</v>
      </c>
      <c r="AG1280" s="86">
        <f>+AF1280*Analisis!$J$8</f>
        <v>41.00153838846429</v>
      </c>
      <c r="AH1280" s="309">
        <f t="shared" si="167"/>
        <v>320.10532307225628</v>
      </c>
      <c r="AI1280" s="86">
        <f>+AH1280/(1-Analisis!G1285)</f>
        <v>320.10532307225628</v>
      </c>
      <c r="AJ1280" s="86">
        <f t="shared" si="168"/>
        <v>344.1992721207057</v>
      </c>
      <c r="AK1280" s="86">
        <f t="shared" si="169"/>
        <v>0</v>
      </c>
      <c r="AL1280" s="310" t="e">
        <f>+VLOOKUP(B1280,#REF!,2,FALSE)</f>
        <v>#REF!</v>
      </c>
      <c r="AM1280" s="311" t="e">
        <f t="shared" si="149"/>
        <v>#REF!</v>
      </c>
      <c r="AN1280" s="312" t="e">
        <f t="shared" si="148"/>
        <v>#REF!</v>
      </c>
    </row>
    <row r="1281" spans="1:40" s="73" customFormat="1" x14ac:dyDescent="0.25">
      <c r="A1281" s="313"/>
      <c r="B1281" s="333" t="s">
        <v>1903</v>
      </c>
      <c r="D1281" s="74">
        <f>IFERROR(VLOOKUP(B1281,'REQ. PINTADO'!B:C,2,0),0)</f>
        <v>0</v>
      </c>
      <c r="E1281" s="305">
        <f t="shared" si="160"/>
        <v>1164.1040007787442</v>
      </c>
      <c r="F1281" s="103" t="s">
        <v>165</v>
      </c>
      <c r="G1281" s="75" t="s">
        <v>147</v>
      </c>
      <c r="H1281" s="90">
        <v>16.03</v>
      </c>
      <c r="I1281" s="90">
        <v>91.16</v>
      </c>
      <c r="J1281" s="76">
        <v>0.105</v>
      </c>
      <c r="K1281" s="306">
        <v>16.38</v>
      </c>
      <c r="L1281" s="78">
        <f t="shared" si="161"/>
        <v>81.57334754273505</v>
      </c>
      <c r="M1281" s="58">
        <f>+VLOOKUP(F1281,Material!$H$2:$M$17,6,FALSE)*H1281*I1281*(1+Material!$K$14)</f>
        <v>607.35065125000006</v>
      </c>
      <c r="N1281" s="79" t="str">
        <f t="shared" si="158"/>
        <v>T5.0</v>
      </c>
      <c r="O1281" s="80">
        <f>+VLOOKUP(N1281,[3]Material!$A$3:$B$58,2,FALSE)</f>
        <v>5000</v>
      </c>
      <c r="P1281" s="79" t="s">
        <v>42</v>
      </c>
      <c r="Q1281" s="79" t="str">
        <f>+VLOOKUP(F1281,[3]Material!$C$2:$E$12,2,FALSE)</f>
        <v>Cal 14</v>
      </c>
      <c r="R1281" s="81">
        <f>+IF(P1281="ACERO A36",VLOOKUP(Q1281,'[3]Velocidades Std 1500 w'!$B$2:$F$15,5,FALSE),IF(P1281="INOXIDABLE",VLOOKUP(Q1281,'[3]Velocidades Std 1500 w'!$B$17:$F$28,5,FALSE),IF(P1281="ALUMINIO",VLOOKUP(Q1281,'[3]Velocidades Std 1500 w'!$B$30:$F$38,5,FALSE))))</f>
        <v>2.0080321285140564E-6</v>
      </c>
      <c r="S1281" s="82">
        <f t="shared" si="162"/>
        <v>1.0040160642570283E-2</v>
      </c>
      <c r="T1281" s="83">
        <f t="shared" si="163"/>
        <v>47.115286265060242</v>
      </c>
      <c r="U1281" s="307">
        <f t="shared" si="159"/>
        <v>6517.6145999999999</v>
      </c>
      <c r="V1281" s="80">
        <f t="shared" si="153"/>
        <v>65.437897590361459</v>
      </c>
      <c r="W1281" s="98">
        <v>20</v>
      </c>
      <c r="X1281" s="84">
        <f>+IF(P1281="ACERO A36",VLOOKUP(Q1281,'[3]Tiempo Objeto'!$B$2:$C$12,2,FALSE),IF(P1281="INOXIDABLE",VLOOKUP(Q1281,'[3]Tiempo Objeto'!$B$14:$C$22,2,FALSE),IF(P1281="ALUMINIO",VLOOKUP(Q1281,'[3]Tiempo Objeto'!$B$24:$C$32,2,FALSE))))</f>
        <v>0.3133333333333333</v>
      </c>
      <c r="Y1281" s="84">
        <f t="shared" si="164"/>
        <v>6.2666666666666657</v>
      </c>
      <c r="Z1281" s="80">
        <f t="shared" si="165"/>
        <v>8.7037037037037024</v>
      </c>
      <c r="AA1281" s="100">
        <v>6</v>
      </c>
      <c r="AB1281" s="86">
        <f>+AA1281*Analisis!$J$6</f>
        <v>150</v>
      </c>
      <c r="AC1281" s="100"/>
      <c r="AD1281" s="85">
        <f t="shared" si="166"/>
        <v>0</v>
      </c>
      <c r="AE1281" s="86">
        <f>+AC1281*Analisis!$J$7</f>
        <v>0</v>
      </c>
      <c r="AF1281" s="308">
        <f>+H1281*0.0254*I1281*0.0254*2*(1+[3]Analisis!$G$2)</f>
        <v>2.3569223829200001</v>
      </c>
      <c r="AG1281" s="86">
        <f>+AF1281*Analisis!$J$8</f>
        <v>251.12446818016676</v>
      </c>
      <c r="AH1281" s="309">
        <f t="shared" si="167"/>
        <v>1082.616720724232</v>
      </c>
      <c r="AI1281" s="86">
        <f>+AH1281/(1-Analisis!G1286)</f>
        <v>1082.616720724232</v>
      </c>
      <c r="AJ1281" s="86">
        <f t="shared" si="168"/>
        <v>1164.1040007787442</v>
      </c>
      <c r="AK1281" s="86">
        <f t="shared" si="169"/>
        <v>0</v>
      </c>
      <c r="AL1281" s="310" t="e">
        <f>+VLOOKUP(B1281,#REF!,2,FALSE)</f>
        <v>#REF!</v>
      </c>
      <c r="AM1281" s="311" t="e">
        <f t="shared" si="149"/>
        <v>#REF!</v>
      </c>
      <c r="AN1281" s="312" t="e">
        <f t="shared" si="148"/>
        <v>#REF!</v>
      </c>
    </row>
    <row r="1282" spans="1:40" s="73" customFormat="1" x14ac:dyDescent="0.25">
      <c r="A1282" s="313"/>
      <c r="B1282" s="333" t="s">
        <v>1904</v>
      </c>
      <c r="D1282" s="74">
        <f>IFERROR(VLOOKUP(B1282,'REQ. PINTADO'!B:C,2,0),0)</f>
        <v>0</v>
      </c>
      <c r="E1282" s="305">
        <f t="shared" si="160"/>
        <v>582.49300231885218</v>
      </c>
      <c r="F1282" s="103" t="s">
        <v>165</v>
      </c>
      <c r="G1282" s="75" t="s">
        <v>147</v>
      </c>
      <c r="H1282" s="90">
        <v>6.03</v>
      </c>
      <c r="I1282" s="90">
        <v>91.16</v>
      </c>
      <c r="J1282" s="76">
        <v>0.105</v>
      </c>
      <c r="K1282" s="306">
        <v>16.38</v>
      </c>
      <c r="L1282" s="78">
        <f t="shared" si="161"/>
        <v>30.685420192307703</v>
      </c>
      <c r="M1282" s="58">
        <f>+VLOOKUP(F1282,Material!$H$2:$M$17,6,FALSE)*H1282*I1282*(1+Material!$K$14)</f>
        <v>228.46690125000003</v>
      </c>
      <c r="N1282" s="79" t="str">
        <f t="shared" si="158"/>
        <v>T5.0</v>
      </c>
      <c r="O1282" s="80">
        <f>+VLOOKUP(N1282,[3]Material!$A$3:$B$58,2,FALSE)</f>
        <v>5000</v>
      </c>
      <c r="P1282" s="79" t="s">
        <v>42</v>
      </c>
      <c r="Q1282" s="79" t="str">
        <f>+VLOOKUP(F1282,[3]Material!$C$2:$E$12,2,FALSE)</f>
        <v>Cal 14</v>
      </c>
      <c r="R1282" s="81">
        <f>+IF(P1282="ACERO A36",VLOOKUP(Q1282,'[3]Velocidades Std 1500 w'!$B$2:$F$15,5,FALSE),IF(P1282="INOXIDABLE",VLOOKUP(Q1282,'[3]Velocidades Std 1500 w'!$B$17:$F$28,5,FALSE),IF(P1282="ALUMINIO",VLOOKUP(Q1282,'[3]Velocidades Std 1500 w'!$B$30:$F$38,5,FALSE))))</f>
        <v>2.0080321285140564E-6</v>
      </c>
      <c r="S1282" s="82">
        <f t="shared" si="162"/>
        <v>1.0040160642570283E-2</v>
      </c>
      <c r="T1282" s="83">
        <f t="shared" si="163"/>
        <v>43.259382650602412</v>
      </c>
      <c r="U1282" s="307">
        <f t="shared" si="159"/>
        <v>5984.2145999999993</v>
      </c>
      <c r="V1282" s="80">
        <f t="shared" si="153"/>
        <v>60.082475903614458</v>
      </c>
      <c r="W1282" s="98">
        <v>20</v>
      </c>
      <c r="X1282" s="84">
        <f>+IF(P1282="ACERO A36",VLOOKUP(Q1282,'[3]Tiempo Objeto'!$B$2:$C$12,2,FALSE),IF(P1282="INOXIDABLE",VLOOKUP(Q1282,'[3]Tiempo Objeto'!$B$14:$C$22,2,FALSE),IF(P1282="ALUMINIO",VLOOKUP(Q1282,'[3]Tiempo Objeto'!$B$24:$C$32,2,FALSE))))</f>
        <v>0.3133333333333333</v>
      </c>
      <c r="Y1282" s="84">
        <f t="shared" si="164"/>
        <v>6.2666666666666657</v>
      </c>
      <c r="Z1282" s="80">
        <f t="shared" si="165"/>
        <v>8.7037037037037024</v>
      </c>
      <c r="AA1282" s="100">
        <v>6</v>
      </c>
      <c r="AB1282" s="86">
        <f>+AA1282*Analisis!$J$6</f>
        <v>150</v>
      </c>
      <c r="AC1282" s="100"/>
      <c r="AD1282" s="85">
        <f t="shared" si="166"/>
        <v>0</v>
      </c>
      <c r="AE1282" s="86">
        <f>+AC1282*Analisis!$J$7</f>
        <v>0</v>
      </c>
      <c r="AF1282" s="308">
        <f>+H1282*0.0254*I1282*0.0254*2*(1+[3]Analisis!$G$2)</f>
        <v>0.88660274291999985</v>
      </c>
      <c r="AG1282" s="86">
        <f>+AF1282*Analisis!$J$8</f>
        <v>94.465411299214296</v>
      </c>
      <c r="AH1282" s="309">
        <f t="shared" si="167"/>
        <v>541.71849215653253</v>
      </c>
      <c r="AI1282" s="86">
        <f>+AH1282/(1-Analisis!G1287)</f>
        <v>541.71849215653253</v>
      </c>
      <c r="AJ1282" s="86">
        <f t="shared" si="168"/>
        <v>582.49300231885218</v>
      </c>
      <c r="AK1282" s="86">
        <f t="shared" si="169"/>
        <v>0</v>
      </c>
      <c r="AL1282" s="310" t="e">
        <f>+VLOOKUP(B1282,#REF!,2,FALSE)</f>
        <v>#REF!</v>
      </c>
      <c r="AM1282" s="311" t="e">
        <f t="shared" si="149"/>
        <v>#REF!</v>
      </c>
      <c r="AN1282" s="312" t="e">
        <f t="shared" si="148"/>
        <v>#REF!</v>
      </c>
    </row>
    <row r="1283" spans="1:40" s="73" customFormat="1" x14ac:dyDescent="0.25">
      <c r="A1283" s="313"/>
      <c r="B1283" s="333" t="s">
        <v>1905</v>
      </c>
      <c r="D1283" s="74">
        <f>IFERROR(VLOOKUP(B1283,'REQ. PINTADO'!B:C,2,0),0)</f>
        <v>0</v>
      </c>
      <c r="E1283" s="305">
        <f t="shared" si="160"/>
        <v>1745.7149992386358</v>
      </c>
      <c r="F1283" s="103" t="s">
        <v>165</v>
      </c>
      <c r="G1283" s="75" t="s">
        <v>147</v>
      </c>
      <c r="H1283" s="90">
        <v>26.03</v>
      </c>
      <c r="I1283" s="90">
        <v>91.16</v>
      </c>
      <c r="J1283" s="76">
        <v>0.105</v>
      </c>
      <c r="K1283" s="306">
        <v>16.38</v>
      </c>
      <c r="L1283" s="78">
        <f t="shared" si="161"/>
        <v>132.46127489316243</v>
      </c>
      <c r="M1283" s="58">
        <f>+VLOOKUP(F1283,Material!$H$2:$M$17,6,FALSE)*H1283*I1283*(1+Material!$K$14)</f>
        <v>986.23440125000002</v>
      </c>
      <c r="N1283" s="79" t="str">
        <f t="shared" si="158"/>
        <v>T5.0</v>
      </c>
      <c r="O1283" s="80">
        <f>+VLOOKUP(N1283,[3]Material!$A$3:$B$58,2,FALSE)</f>
        <v>5000</v>
      </c>
      <c r="P1283" s="79" t="s">
        <v>42</v>
      </c>
      <c r="Q1283" s="79" t="str">
        <f>+VLOOKUP(F1283,[3]Material!$C$2:$E$12,2,FALSE)</f>
        <v>Cal 14</v>
      </c>
      <c r="R1283" s="81">
        <f>+IF(P1283="ACERO A36",VLOOKUP(Q1283,'[3]Velocidades Std 1500 w'!$B$2:$F$15,5,FALSE),IF(P1283="INOXIDABLE",VLOOKUP(Q1283,'[3]Velocidades Std 1500 w'!$B$17:$F$28,5,FALSE),IF(P1283="ALUMINIO",VLOOKUP(Q1283,'[3]Velocidades Std 1500 w'!$B$30:$F$38,5,FALSE))))</f>
        <v>2.0080321285140564E-6</v>
      </c>
      <c r="S1283" s="82">
        <f t="shared" si="162"/>
        <v>1.0040160642570283E-2</v>
      </c>
      <c r="T1283" s="83">
        <f t="shared" si="163"/>
        <v>50.971189879518072</v>
      </c>
      <c r="U1283" s="307">
        <f t="shared" si="159"/>
        <v>7051.0145999999995</v>
      </c>
      <c r="V1283" s="80">
        <f t="shared" si="153"/>
        <v>70.793319277108438</v>
      </c>
      <c r="W1283" s="98">
        <v>20</v>
      </c>
      <c r="X1283" s="84">
        <f>+IF(P1283="ACERO A36",VLOOKUP(Q1283,'[3]Tiempo Objeto'!$B$2:$C$12,2,FALSE),IF(P1283="INOXIDABLE",VLOOKUP(Q1283,'[3]Tiempo Objeto'!$B$14:$C$22,2,FALSE),IF(P1283="ALUMINIO",VLOOKUP(Q1283,'[3]Tiempo Objeto'!$B$24:$C$32,2,FALSE))))</f>
        <v>0.3133333333333333</v>
      </c>
      <c r="Y1283" s="84">
        <f t="shared" si="164"/>
        <v>6.2666666666666657</v>
      </c>
      <c r="Z1283" s="80">
        <f t="shared" si="165"/>
        <v>8.7037037037037024</v>
      </c>
      <c r="AA1283" s="100">
        <v>6</v>
      </c>
      <c r="AB1283" s="86">
        <f>+AA1283*Analisis!$J$6</f>
        <v>150</v>
      </c>
      <c r="AC1283" s="100"/>
      <c r="AD1283" s="85">
        <f t="shared" si="166"/>
        <v>0</v>
      </c>
      <c r="AE1283" s="86">
        <f>+AC1283*Analisis!$J$7</f>
        <v>0</v>
      </c>
      <c r="AF1283" s="308">
        <f>+H1283*0.0254*I1283*0.0254*2*(1+[3]Analisis!$G$2)</f>
        <v>3.8272420229199993</v>
      </c>
      <c r="AG1283" s="86">
        <f>+AF1283*Analisis!$J$8</f>
        <v>407.78352506111906</v>
      </c>
      <c r="AH1283" s="309">
        <f t="shared" si="167"/>
        <v>1623.5149492919311</v>
      </c>
      <c r="AI1283" s="86">
        <f>+AH1283/(1-Analisis!G1288)</f>
        <v>1623.5149492919311</v>
      </c>
      <c r="AJ1283" s="86">
        <f t="shared" si="168"/>
        <v>1745.7149992386358</v>
      </c>
      <c r="AK1283" s="86">
        <f t="shared" si="169"/>
        <v>0</v>
      </c>
      <c r="AL1283" s="310" t="e">
        <f>+VLOOKUP(B1283,#REF!,2,FALSE)</f>
        <v>#REF!</v>
      </c>
      <c r="AM1283" s="311" t="e">
        <f t="shared" si="149"/>
        <v>#REF!</v>
      </c>
      <c r="AN1283" s="312" t="e">
        <f t="shared" si="148"/>
        <v>#REF!</v>
      </c>
    </row>
    <row r="1284" spans="1:40" s="73" customFormat="1" x14ac:dyDescent="0.25">
      <c r="A1284" s="313"/>
      <c r="B1284" s="333" t="s">
        <v>1906</v>
      </c>
      <c r="D1284" s="74">
        <f>IFERROR(VLOOKUP(B1284,'REQ. PINTADO'!B:C,2,0),0)</f>
        <v>0</v>
      </c>
      <c r="E1284" s="305">
        <f t="shared" si="160"/>
        <v>800.59712674131151</v>
      </c>
      <c r="F1284" s="103" t="s">
        <v>165</v>
      </c>
      <c r="G1284" s="75" t="s">
        <v>147</v>
      </c>
      <c r="H1284" s="90">
        <v>9.7799999999999994</v>
      </c>
      <c r="I1284" s="90">
        <v>91.16</v>
      </c>
      <c r="J1284" s="76">
        <v>0.105</v>
      </c>
      <c r="K1284" s="306">
        <v>16.38</v>
      </c>
      <c r="L1284" s="78">
        <f t="shared" si="161"/>
        <v>49.768392948717946</v>
      </c>
      <c r="M1284" s="58">
        <f>+VLOOKUP(F1284,Material!$H$2:$M$17,6,FALSE)*H1284*I1284*(1+Material!$K$14)</f>
        <v>370.54830749999996</v>
      </c>
      <c r="N1284" s="79" t="str">
        <f t="shared" ref="N1284:N1727" si="170">+N1283</f>
        <v>T5.0</v>
      </c>
      <c r="O1284" s="80">
        <f>+VLOOKUP(N1284,[3]Material!$A$3:$B$58,2,FALSE)</f>
        <v>5000</v>
      </c>
      <c r="P1284" s="79" t="s">
        <v>42</v>
      </c>
      <c r="Q1284" s="79" t="str">
        <f>+VLOOKUP(F1284,[3]Material!$C$2:$E$12,2,FALSE)</f>
        <v>Cal 14</v>
      </c>
      <c r="R1284" s="81">
        <f>+IF(P1284="ACERO A36",VLOOKUP(Q1284,'[3]Velocidades Std 1500 w'!$B$2:$F$15,5,FALSE),IF(P1284="INOXIDABLE",VLOOKUP(Q1284,'[3]Velocidades Std 1500 w'!$B$17:$F$28,5,FALSE),IF(P1284="ALUMINIO",VLOOKUP(Q1284,'[3]Velocidades Std 1500 w'!$B$30:$F$38,5,FALSE))))</f>
        <v>2.0080321285140564E-6</v>
      </c>
      <c r="S1284" s="82">
        <f t="shared" si="162"/>
        <v>1.0040160642570283E-2</v>
      </c>
      <c r="T1284" s="83">
        <f t="shared" si="163"/>
        <v>44.7053465060241</v>
      </c>
      <c r="U1284" s="307">
        <f t="shared" si="159"/>
        <v>6184.2395999999999</v>
      </c>
      <c r="V1284" s="80">
        <f t="shared" si="153"/>
        <v>62.09075903614459</v>
      </c>
      <c r="W1284" s="98">
        <v>20</v>
      </c>
      <c r="X1284" s="84">
        <f>+IF(P1284="ACERO A36",VLOOKUP(Q1284,'[3]Tiempo Objeto'!$B$2:$C$12,2,FALSE),IF(P1284="INOXIDABLE",VLOOKUP(Q1284,'[3]Tiempo Objeto'!$B$14:$C$22,2,FALSE),IF(P1284="ALUMINIO",VLOOKUP(Q1284,'[3]Tiempo Objeto'!$B$24:$C$32,2,FALSE))))</f>
        <v>0.3133333333333333</v>
      </c>
      <c r="Y1284" s="84">
        <f t="shared" si="164"/>
        <v>6.2666666666666657</v>
      </c>
      <c r="Z1284" s="80">
        <f t="shared" si="165"/>
        <v>8.7037037037037024</v>
      </c>
      <c r="AA1284" s="100">
        <v>6</v>
      </c>
      <c r="AB1284" s="86">
        <f>+AA1284*Analisis!$J$6</f>
        <v>150</v>
      </c>
      <c r="AC1284" s="100"/>
      <c r="AD1284" s="85">
        <f t="shared" si="166"/>
        <v>0</v>
      </c>
      <c r="AE1284" s="86">
        <f>+AC1284*Analisis!$J$7</f>
        <v>0</v>
      </c>
      <c r="AF1284" s="308">
        <f>+H1284*0.0254*I1284*0.0254*2*(1+[3]Analisis!$G$2)</f>
        <v>1.4379726079199997</v>
      </c>
      <c r="AG1284" s="86">
        <f>+AF1284*Analisis!$J$8</f>
        <v>153.21255762957145</v>
      </c>
      <c r="AH1284" s="309">
        <f t="shared" si="167"/>
        <v>744.55532786941967</v>
      </c>
      <c r="AI1284" s="86">
        <f>+AH1284/(1-Analisis!G1289)</f>
        <v>744.55532786941967</v>
      </c>
      <c r="AJ1284" s="86">
        <f t="shared" si="168"/>
        <v>800.59712674131151</v>
      </c>
      <c r="AK1284" s="86">
        <f t="shared" si="169"/>
        <v>0</v>
      </c>
      <c r="AL1284" s="310" t="e">
        <f>+VLOOKUP(B1284,#REF!,2,FALSE)</f>
        <v>#REF!</v>
      </c>
      <c r="AM1284" s="311" t="e">
        <f t="shared" si="149"/>
        <v>#REF!</v>
      </c>
      <c r="AN1284" s="312" t="e">
        <f t="shared" si="148"/>
        <v>#REF!</v>
      </c>
    </row>
    <row r="1285" spans="1:40" s="73" customFormat="1" x14ac:dyDescent="0.25">
      <c r="A1285" s="313"/>
      <c r="B1285" s="333" t="s">
        <v>1907</v>
      </c>
      <c r="D1285" s="74">
        <f>IFERROR(VLOOKUP(B1285,'REQ. PINTADO'!B:C,2,0),0)</f>
        <v>0</v>
      </c>
      <c r="E1285" s="305">
        <f t="shared" si="160"/>
        <v>665.52069508010447</v>
      </c>
      <c r="F1285" s="103" t="s">
        <v>165</v>
      </c>
      <c r="G1285" s="75" t="s">
        <v>147</v>
      </c>
      <c r="H1285" s="90">
        <v>9.7799999999999994</v>
      </c>
      <c r="I1285" s="90">
        <v>71.16</v>
      </c>
      <c r="J1285" s="76">
        <v>0.105</v>
      </c>
      <c r="K1285" s="306">
        <v>16.38</v>
      </c>
      <c r="L1285" s="78">
        <f t="shared" si="161"/>
        <v>38.849482692307696</v>
      </c>
      <c r="M1285" s="58">
        <f>+VLOOKUP(F1285,Material!$H$2:$M$17,6,FALSE)*H1285*I1285*(1+Material!$K$14)</f>
        <v>289.25205749999998</v>
      </c>
      <c r="N1285" s="79" t="str">
        <f t="shared" si="170"/>
        <v>T5.0</v>
      </c>
      <c r="O1285" s="80">
        <f>+VLOOKUP(N1285,[3]Material!$A$3:$B$58,2,FALSE)</f>
        <v>5000</v>
      </c>
      <c r="P1285" s="79" t="s">
        <v>42</v>
      </c>
      <c r="Q1285" s="79" t="str">
        <f>+VLOOKUP(F1285,[3]Material!$C$2:$E$12,2,FALSE)</f>
        <v>Cal 14</v>
      </c>
      <c r="R1285" s="81">
        <f>+IF(P1285="ACERO A36",VLOOKUP(Q1285,'[3]Velocidades Std 1500 w'!$B$2:$F$15,5,FALSE),IF(P1285="INOXIDABLE",VLOOKUP(Q1285,'[3]Velocidades Std 1500 w'!$B$17:$F$28,5,FALSE),IF(P1285="ALUMINIO",VLOOKUP(Q1285,'[3]Velocidades Std 1500 w'!$B$30:$F$38,5,FALSE))))</f>
        <v>2.0080321285140564E-6</v>
      </c>
      <c r="S1285" s="82">
        <f t="shared" si="162"/>
        <v>1.0040160642570283E-2</v>
      </c>
      <c r="T1285" s="83">
        <f t="shared" si="163"/>
        <v>36.993539277108439</v>
      </c>
      <c r="U1285" s="307">
        <f t="shared" si="159"/>
        <v>5117.4395999999997</v>
      </c>
      <c r="V1285" s="80">
        <f t="shared" si="153"/>
        <v>51.37991566265061</v>
      </c>
      <c r="W1285" s="98">
        <v>20</v>
      </c>
      <c r="X1285" s="84">
        <f>+IF(P1285="ACERO A36",VLOOKUP(Q1285,'[3]Tiempo Objeto'!$B$2:$C$12,2,FALSE),IF(P1285="INOXIDABLE",VLOOKUP(Q1285,'[3]Tiempo Objeto'!$B$14:$C$22,2,FALSE),IF(P1285="ALUMINIO",VLOOKUP(Q1285,'[3]Tiempo Objeto'!$B$24:$C$32,2,FALSE))))</f>
        <v>0.3133333333333333</v>
      </c>
      <c r="Y1285" s="84">
        <f t="shared" si="164"/>
        <v>6.2666666666666657</v>
      </c>
      <c r="Z1285" s="80">
        <f t="shared" si="165"/>
        <v>8.7037037037037024</v>
      </c>
      <c r="AA1285" s="100">
        <v>6</v>
      </c>
      <c r="AB1285" s="86">
        <f>+AA1285*Analisis!$J$6</f>
        <v>150</v>
      </c>
      <c r="AC1285" s="100"/>
      <c r="AD1285" s="85">
        <f t="shared" si="166"/>
        <v>0</v>
      </c>
      <c r="AE1285" s="86">
        <f>+AC1285*Analisis!$J$7</f>
        <v>0</v>
      </c>
      <c r="AF1285" s="308">
        <f>+H1285*0.0254*I1285*0.0254*2*(1+[3]Analisis!$G$2)</f>
        <v>1.1224893679199999</v>
      </c>
      <c r="AG1285" s="86">
        <f>+AF1285*Analisis!$J$8</f>
        <v>119.59856955814288</v>
      </c>
      <c r="AH1285" s="309">
        <f t="shared" si="167"/>
        <v>618.93424642449713</v>
      </c>
      <c r="AI1285" s="86">
        <f>+AH1285/(1-Analisis!G1290)</f>
        <v>618.93424642449713</v>
      </c>
      <c r="AJ1285" s="86">
        <f t="shared" si="168"/>
        <v>665.52069508010447</v>
      </c>
      <c r="AK1285" s="86">
        <f t="shared" si="169"/>
        <v>0</v>
      </c>
      <c r="AL1285" s="310" t="e">
        <f>+VLOOKUP(B1285,#REF!,2,FALSE)</f>
        <v>#REF!</v>
      </c>
      <c r="AM1285" s="311" t="e">
        <f t="shared" si="149"/>
        <v>#REF!</v>
      </c>
      <c r="AN1285" s="312" t="e">
        <f t="shared" si="148"/>
        <v>#REF!</v>
      </c>
    </row>
    <row r="1286" spans="1:40" s="73" customFormat="1" x14ac:dyDescent="0.25">
      <c r="A1286" s="313"/>
      <c r="B1286" s="333" t="s">
        <v>1908</v>
      </c>
      <c r="D1286" s="74">
        <f>IFERROR(VLOOKUP(B1286,'REQ. PINTADO'!B:C,2,0),0)</f>
        <v>0</v>
      </c>
      <c r="E1286" s="305">
        <f t="shared" si="160"/>
        <v>597.98247924950101</v>
      </c>
      <c r="F1286" s="103" t="s">
        <v>165</v>
      </c>
      <c r="G1286" s="75" t="s">
        <v>147</v>
      </c>
      <c r="H1286" s="90">
        <v>9.7799999999999994</v>
      </c>
      <c r="I1286" s="90">
        <v>61.16</v>
      </c>
      <c r="J1286" s="76">
        <v>0.105</v>
      </c>
      <c r="K1286" s="306">
        <v>16.38</v>
      </c>
      <c r="L1286" s="78">
        <f t="shared" si="161"/>
        <v>33.390027564102567</v>
      </c>
      <c r="M1286" s="58">
        <f>+VLOOKUP(F1286,Material!$H$2:$M$17,6,FALSE)*H1286*I1286*(1+Material!$K$14)</f>
        <v>248.60393249999998</v>
      </c>
      <c r="N1286" s="79" t="str">
        <f t="shared" si="170"/>
        <v>T5.0</v>
      </c>
      <c r="O1286" s="80">
        <f>+VLOOKUP(N1286,[3]Material!$A$3:$B$58,2,FALSE)</f>
        <v>5000</v>
      </c>
      <c r="P1286" s="79" t="s">
        <v>42</v>
      </c>
      <c r="Q1286" s="79" t="str">
        <f>+VLOOKUP(F1286,[3]Material!$C$2:$E$12,2,FALSE)</f>
        <v>Cal 14</v>
      </c>
      <c r="R1286" s="81">
        <f>+IF(P1286="ACERO A36",VLOOKUP(Q1286,'[3]Velocidades Std 1500 w'!$B$2:$F$15,5,FALSE),IF(P1286="INOXIDABLE",VLOOKUP(Q1286,'[3]Velocidades Std 1500 w'!$B$17:$F$28,5,FALSE),IF(P1286="ALUMINIO",VLOOKUP(Q1286,'[3]Velocidades Std 1500 w'!$B$30:$F$38,5,FALSE))))</f>
        <v>2.0080321285140564E-6</v>
      </c>
      <c r="S1286" s="82">
        <f t="shared" si="162"/>
        <v>1.0040160642570283E-2</v>
      </c>
      <c r="T1286" s="83">
        <f t="shared" si="163"/>
        <v>33.137635662650609</v>
      </c>
      <c r="U1286" s="307">
        <f t="shared" si="159"/>
        <v>4584.0396000000001</v>
      </c>
      <c r="V1286" s="80">
        <f t="shared" si="153"/>
        <v>46.024493975903624</v>
      </c>
      <c r="W1286" s="98">
        <v>20</v>
      </c>
      <c r="X1286" s="84">
        <f>+IF(P1286="ACERO A36",VLOOKUP(Q1286,'[3]Tiempo Objeto'!$B$2:$C$12,2,FALSE),IF(P1286="INOXIDABLE",VLOOKUP(Q1286,'[3]Tiempo Objeto'!$B$14:$C$22,2,FALSE),IF(P1286="ALUMINIO",VLOOKUP(Q1286,'[3]Tiempo Objeto'!$B$24:$C$32,2,FALSE))))</f>
        <v>0.3133333333333333</v>
      </c>
      <c r="Y1286" s="84">
        <f t="shared" si="164"/>
        <v>6.2666666666666657</v>
      </c>
      <c r="Z1286" s="80">
        <f t="shared" si="165"/>
        <v>8.7037037037037024</v>
      </c>
      <c r="AA1286" s="100">
        <v>6</v>
      </c>
      <c r="AB1286" s="86">
        <f>+AA1286*Analisis!$J$6</f>
        <v>150</v>
      </c>
      <c r="AC1286" s="100"/>
      <c r="AD1286" s="85">
        <f t="shared" si="166"/>
        <v>0</v>
      </c>
      <c r="AE1286" s="86">
        <f>+AC1286*Analisis!$J$7</f>
        <v>0</v>
      </c>
      <c r="AF1286" s="308">
        <f>+H1286*0.0254*I1286*0.0254*2*(1+[3]Analisis!$G$2)</f>
        <v>0.96474774791999973</v>
      </c>
      <c r="AG1286" s="86">
        <f>+AF1286*Analisis!$J$8</f>
        <v>102.79157552242857</v>
      </c>
      <c r="AH1286" s="309">
        <f t="shared" si="167"/>
        <v>556.12370570203586</v>
      </c>
      <c r="AI1286" s="86">
        <f>+AH1286/(1-Analisis!G1291)</f>
        <v>556.12370570203586</v>
      </c>
      <c r="AJ1286" s="86">
        <f t="shared" si="168"/>
        <v>597.98247924950101</v>
      </c>
      <c r="AK1286" s="86">
        <f t="shared" si="169"/>
        <v>0</v>
      </c>
      <c r="AL1286" s="310" t="e">
        <f>+VLOOKUP(B1286,#REF!,2,FALSE)</f>
        <v>#REF!</v>
      </c>
      <c r="AM1286" s="311" t="e">
        <f t="shared" si="149"/>
        <v>#REF!</v>
      </c>
      <c r="AN1286" s="312" t="e">
        <f t="shared" si="148"/>
        <v>#REF!</v>
      </c>
    </row>
    <row r="1287" spans="1:40" s="73" customFormat="1" x14ac:dyDescent="0.25">
      <c r="A1287" s="313"/>
      <c r="B1287" s="333" t="s">
        <v>1909</v>
      </c>
      <c r="D1287" s="74">
        <f>IFERROR(VLOOKUP(B1287,'REQ. PINTADO'!B:C,2,0),0)</f>
        <v>0</v>
      </c>
      <c r="E1287" s="305">
        <f t="shared" si="160"/>
        <v>808.15806972129019</v>
      </c>
      <c r="F1287" s="103" t="s">
        <v>165</v>
      </c>
      <c r="G1287" s="75" t="s">
        <v>147</v>
      </c>
      <c r="H1287" s="90">
        <v>9.91</v>
      </c>
      <c r="I1287" s="90">
        <v>91.16</v>
      </c>
      <c r="J1287" s="76">
        <v>0.105</v>
      </c>
      <c r="K1287" s="306">
        <v>16.38</v>
      </c>
      <c r="L1287" s="78">
        <f t="shared" si="161"/>
        <v>50.429936004273507</v>
      </c>
      <c r="M1287" s="58">
        <f>+VLOOKUP(F1287,Material!$H$2:$M$17,6,FALSE)*H1287*I1287*(1+Material!$K$14)</f>
        <v>375.47379624999996</v>
      </c>
      <c r="N1287" s="79" t="str">
        <f t="shared" si="170"/>
        <v>T5.0</v>
      </c>
      <c r="O1287" s="80">
        <f>+VLOOKUP(N1287,[3]Material!$A$3:$B$58,2,FALSE)</f>
        <v>5000</v>
      </c>
      <c r="P1287" s="79" t="s">
        <v>42</v>
      </c>
      <c r="Q1287" s="79" t="str">
        <f>+VLOOKUP(F1287,[3]Material!$C$2:$E$12,2,FALSE)</f>
        <v>Cal 14</v>
      </c>
      <c r="R1287" s="81">
        <f>+IF(P1287="ACERO A36",VLOOKUP(Q1287,'[3]Velocidades Std 1500 w'!$B$2:$F$15,5,FALSE),IF(P1287="INOXIDABLE",VLOOKUP(Q1287,'[3]Velocidades Std 1500 w'!$B$17:$F$28,5,FALSE),IF(P1287="ALUMINIO",VLOOKUP(Q1287,'[3]Velocidades Std 1500 w'!$B$30:$F$38,5,FALSE))))</f>
        <v>2.0080321285140564E-6</v>
      </c>
      <c r="S1287" s="82">
        <f t="shared" si="162"/>
        <v>1.0040160642570283E-2</v>
      </c>
      <c r="T1287" s="83">
        <f t="shared" si="163"/>
        <v>44.755473253012049</v>
      </c>
      <c r="U1287" s="307">
        <f t="shared" si="159"/>
        <v>6191.1737999999996</v>
      </c>
      <c r="V1287" s="80">
        <f t="shared" si="153"/>
        <v>62.160379518072297</v>
      </c>
      <c r="W1287" s="98">
        <v>20</v>
      </c>
      <c r="X1287" s="84">
        <f>+IF(P1287="ACERO A36",VLOOKUP(Q1287,'[3]Tiempo Objeto'!$B$2:$C$12,2,FALSE),IF(P1287="INOXIDABLE",VLOOKUP(Q1287,'[3]Tiempo Objeto'!$B$14:$C$22,2,FALSE),IF(P1287="ALUMINIO",VLOOKUP(Q1287,'[3]Tiempo Objeto'!$B$24:$C$32,2,FALSE))))</f>
        <v>0.3133333333333333</v>
      </c>
      <c r="Y1287" s="84">
        <f t="shared" si="164"/>
        <v>6.2666666666666657</v>
      </c>
      <c r="Z1287" s="80">
        <f t="shared" si="165"/>
        <v>8.7037037037037024</v>
      </c>
      <c r="AA1287" s="100">
        <v>6</v>
      </c>
      <c r="AB1287" s="86">
        <f>+AA1287*Analisis!$J$6</f>
        <v>150</v>
      </c>
      <c r="AC1287" s="100"/>
      <c r="AD1287" s="85">
        <f t="shared" si="166"/>
        <v>0</v>
      </c>
      <c r="AE1287" s="86">
        <f>+AC1287*Analisis!$J$7</f>
        <v>0</v>
      </c>
      <c r="AF1287" s="308">
        <f>+H1287*0.0254*I1287*0.0254*2*(1+[3]Analisis!$G$2)</f>
        <v>1.45708676324</v>
      </c>
      <c r="AG1287" s="86">
        <f>+AF1287*Analisis!$J$8</f>
        <v>155.24912536902386</v>
      </c>
      <c r="AH1287" s="309">
        <f t="shared" si="167"/>
        <v>751.58700484079986</v>
      </c>
      <c r="AI1287" s="86">
        <f>+AH1287/(1-Analisis!G1292)</f>
        <v>751.58700484079986</v>
      </c>
      <c r="AJ1287" s="86">
        <f t="shared" si="168"/>
        <v>808.15806972129019</v>
      </c>
      <c r="AK1287" s="86">
        <f t="shared" si="169"/>
        <v>0</v>
      </c>
      <c r="AL1287" s="310" t="e">
        <f>+VLOOKUP(B1287,#REF!,2,FALSE)</f>
        <v>#REF!</v>
      </c>
      <c r="AM1287" s="311" t="e">
        <f t="shared" si="149"/>
        <v>#REF!</v>
      </c>
      <c r="AN1287" s="312" t="e">
        <f t="shared" si="148"/>
        <v>#REF!</v>
      </c>
    </row>
    <row r="1288" spans="1:40" s="73" customFormat="1" x14ac:dyDescent="0.25">
      <c r="A1288" s="313"/>
      <c r="B1288" s="333" t="s">
        <v>1910</v>
      </c>
      <c r="D1288" s="74">
        <f>IFERROR(VLOOKUP(B1288,'REQ. PINTADO'!B:C,2,0),0)</f>
        <v>0</v>
      </c>
      <c r="E1288" s="305">
        <f t="shared" si="160"/>
        <v>667.98981909245629</v>
      </c>
      <c r="F1288" s="103" t="s">
        <v>165</v>
      </c>
      <c r="G1288" s="75" t="s">
        <v>147</v>
      </c>
      <c r="H1288" s="90">
        <v>7.5</v>
      </c>
      <c r="I1288" s="90">
        <v>91.16</v>
      </c>
      <c r="J1288" s="76">
        <v>0.105</v>
      </c>
      <c r="K1288" s="306">
        <v>16.38</v>
      </c>
      <c r="L1288" s="78">
        <f t="shared" si="161"/>
        <v>38.165945512820528</v>
      </c>
      <c r="M1288" s="58">
        <f>+VLOOKUP(F1288,Material!$H$2:$M$17,6,FALSE)*H1288*I1288*(1+Material!$K$14)</f>
        <v>284.16281250000003</v>
      </c>
      <c r="N1288" s="79" t="str">
        <f t="shared" si="170"/>
        <v>T5.0</v>
      </c>
      <c r="O1288" s="80">
        <f>+VLOOKUP(N1288,[3]Material!$A$3:$B$58,2,FALSE)</f>
        <v>5000</v>
      </c>
      <c r="P1288" s="79" t="s">
        <v>42</v>
      </c>
      <c r="Q1288" s="79" t="str">
        <f>+VLOOKUP(F1288,[3]Material!$C$2:$E$12,2,FALSE)</f>
        <v>Cal 14</v>
      </c>
      <c r="R1288" s="81">
        <f>+IF(P1288="ACERO A36",VLOOKUP(Q1288,'[3]Velocidades Std 1500 w'!$B$2:$F$15,5,FALSE),IF(P1288="INOXIDABLE",VLOOKUP(Q1288,'[3]Velocidades Std 1500 w'!$B$17:$F$28,5,FALSE),IF(P1288="ALUMINIO",VLOOKUP(Q1288,'[3]Velocidades Std 1500 w'!$B$30:$F$38,5,FALSE))))</f>
        <v>2.0080321285140564E-6</v>
      </c>
      <c r="S1288" s="82">
        <f t="shared" si="162"/>
        <v>1.0040160642570283E-2</v>
      </c>
      <c r="T1288" s="83">
        <f t="shared" si="163"/>
        <v>43.826200481927714</v>
      </c>
      <c r="U1288" s="307">
        <f t="shared" si="159"/>
        <v>6062.6243999999997</v>
      </c>
      <c r="V1288" s="80">
        <f t="shared" si="153"/>
        <v>60.869722891566269</v>
      </c>
      <c r="W1288" s="98">
        <v>20</v>
      </c>
      <c r="X1288" s="84">
        <f>+IF(P1288="ACERO A36",VLOOKUP(Q1288,'[3]Tiempo Objeto'!$B$2:$C$12,2,FALSE),IF(P1288="INOXIDABLE",VLOOKUP(Q1288,'[3]Tiempo Objeto'!$B$14:$C$22,2,FALSE),IF(P1288="ALUMINIO",VLOOKUP(Q1288,'[3]Tiempo Objeto'!$B$24:$C$32,2,FALSE))))</f>
        <v>0.3133333333333333</v>
      </c>
      <c r="Y1288" s="84">
        <f t="shared" si="164"/>
        <v>6.2666666666666657</v>
      </c>
      <c r="Z1288" s="80">
        <f t="shared" si="165"/>
        <v>8.7037037037037024</v>
      </c>
      <c r="AA1288" s="100">
        <v>6</v>
      </c>
      <c r="AB1288" s="86">
        <f>+AA1288*Analisis!$J$6</f>
        <v>150</v>
      </c>
      <c r="AC1288" s="100"/>
      <c r="AD1288" s="85">
        <f t="shared" si="166"/>
        <v>0</v>
      </c>
      <c r="AE1288" s="86">
        <f>+AC1288*Analisis!$J$7</f>
        <v>0</v>
      </c>
      <c r="AF1288" s="308">
        <f>+H1288*0.0254*I1288*0.0254*2*(1+[3]Analisis!$G$2)</f>
        <v>1.1027397299999999</v>
      </c>
      <c r="AG1288" s="86">
        <f>+AF1288*Analisis!$J$8</f>
        <v>117.49429266071431</v>
      </c>
      <c r="AH1288" s="309">
        <f t="shared" si="167"/>
        <v>621.23053175598432</v>
      </c>
      <c r="AI1288" s="86">
        <f>+AH1288/(1-Analisis!G1293)</f>
        <v>621.23053175598432</v>
      </c>
      <c r="AJ1288" s="86">
        <f t="shared" si="168"/>
        <v>667.98981909245629</v>
      </c>
      <c r="AK1288" s="86">
        <f t="shared" si="169"/>
        <v>0</v>
      </c>
      <c r="AL1288" s="310" t="e">
        <f>+VLOOKUP(B1288,#REF!,2,FALSE)</f>
        <v>#REF!</v>
      </c>
      <c r="AM1288" s="311" t="e">
        <f t="shared" si="149"/>
        <v>#REF!</v>
      </c>
      <c r="AN1288" s="312" t="e">
        <f t="shared" si="148"/>
        <v>#REF!</v>
      </c>
    </row>
    <row r="1289" spans="1:40" s="73" customFormat="1" x14ac:dyDescent="0.25">
      <c r="A1289" s="313"/>
      <c r="B1289" s="333" t="s">
        <v>1911</v>
      </c>
      <c r="D1289" s="74">
        <f>IFERROR(VLOOKUP(B1289,'REQ. PINTADO'!B:C,2,0),0)</f>
        <v>0</v>
      </c>
      <c r="E1289" s="305">
        <f t="shared" si="160"/>
        <v>1629.3927995466574</v>
      </c>
      <c r="F1289" s="103" t="s">
        <v>165</v>
      </c>
      <c r="G1289" s="75" t="s">
        <v>147</v>
      </c>
      <c r="H1289" s="90">
        <v>24.03</v>
      </c>
      <c r="I1289" s="90">
        <v>91.16</v>
      </c>
      <c r="J1289" s="76">
        <v>0.105</v>
      </c>
      <c r="K1289" s="306">
        <v>16.38</v>
      </c>
      <c r="L1289" s="78">
        <f t="shared" si="161"/>
        <v>122.28368942307695</v>
      </c>
      <c r="M1289" s="58">
        <f>+VLOOKUP(F1289,Material!$H$2:$M$17,6,FALSE)*H1289*I1289*(1+Material!$K$14)</f>
        <v>910.45765125000003</v>
      </c>
      <c r="N1289" s="79" t="str">
        <f t="shared" si="170"/>
        <v>T5.0</v>
      </c>
      <c r="O1289" s="80">
        <f>+VLOOKUP(N1289,[3]Material!$A$3:$B$58,2,FALSE)</f>
        <v>5000</v>
      </c>
      <c r="P1289" s="79" t="s">
        <v>42</v>
      </c>
      <c r="Q1289" s="79" t="str">
        <f>+VLOOKUP(F1289,[3]Material!$C$2:$E$12,2,FALSE)</f>
        <v>Cal 14</v>
      </c>
      <c r="R1289" s="81">
        <f>+IF(P1289="ACERO A36",VLOOKUP(Q1289,'[3]Velocidades Std 1500 w'!$B$2:$F$15,5,FALSE),IF(P1289="INOXIDABLE",VLOOKUP(Q1289,'[3]Velocidades Std 1500 w'!$B$17:$F$28,5,FALSE),IF(P1289="ALUMINIO",VLOOKUP(Q1289,'[3]Velocidades Std 1500 w'!$B$30:$F$38,5,FALSE))))</f>
        <v>2.0080321285140564E-6</v>
      </c>
      <c r="S1289" s="82">
        <f t="shared" si="162"/>
        <v>1.0040160642570283E-2</v>
      </c>
      <c r="T1289" s="83">
        <f t="shared" si="163"/>
        <v>50.2000091566265</v>
      </c>
      <c r="U1289" s="307">
        <f t="shared" si="159"/>
        <v>6944.3345999999992</v>
      </c>
      <c r="V1289" s="80">
        <f t="shared" si="153"/>
        <v>69.722234939759034</v>
      </c>
      <c r="W1289" s="98">
        <v>20</v>
      </c>
      <c r="X1289" s="84">
        <f>+IF(P1289="ACERO A36",VLOOKUP(Q1289,'[3]Tiempo Objeto'!$B$2:$C$12,2,FALSE),IF(P1289="INOXIDABLE",VLOOKUP(Q1289,'[3]Tiempo Objeto'!$B$14:$C$22,2,FALSE),IF(P1289="ALUMINIO",VLOOKUP(Q1289,'[3]Tiempo Objeto'!$B$24:$C$32,2,FALSE))))</f>
        <v>0.3133333333333333</v>
      </c>
      <c r="Y1289" s="84">
        <f t="shared" si="164"/>
        <v>6.2666666666666657</v>
      </c>
      <c r="Z1289" s="80">
        <f t="shared" si="165"/>
        <v>8.7037037037037024</v>
      </c>
      <c r="AA1289" s="100">
        <v>6</v>
      </c>
      <c r="AB1289" s="86">
        <f>+AA1289*Analisis!$J$6</f>
        <v>150</v>
      </c>
      <c r="AC1289" s="100"/>
      <c r="AD1289" s="85">
        <f t="shared" si="166"/>
        <v>0</v>
      </c>
      <c r="AE1289" s="86">
        <f>+AC1289*Analisis!$J$7</f>
        <v>0</v>
      </c>
      <c r="AF1289" s="308">
        <f>+H1289*0.0254*I1289*0.0254*2*(1+[3]Analisis!$G$2)</f>
        <v>3.5331780949199993</v>
      </c>
      <c r="AG1289" s="86">
        <f>+AF1289*Analisis!$J$8</f>
        <v>376.45171368492862</v>
      </c>
      <c r="AH1289" s="309">
        <f t="shared" si="167"/>
        <v>1515.3353035783914</v>
      </c>
      <c r="AI1289" s="86">
        <f>+AH1289/(1-Analisis!G1294)</f>
        <v>1515.3353035783914</v>
      </c>
      <c r="AJ1289" s="86">
        <f t="shared" si="168"/>
        <v>1629.3927995466574</v>
      </c>
      <c r="AK1289" s="86">
        <f t="shared" si="169"/>
        <v>0</v>
      </c>
      <c r="AL1289" s="310" t="e">
        <f>+VLOOKUP(B1289,#REF!,2,FALSE)</f>
        <v>#REF!</v>
      </c>
      <c r="AM1289" s="311" t="e">
        <f t="shared" si="149"/>
        <v>#REF!</v>
      </c>
      <c r="AN1289" s="312" t="e">
        <f t="shared" si="148"/>
        <v>#REF!</v>
      </c>
    </row>
    <row r="1290" spans="1:40" s="73" customFormat="1" x14ac:dyDescent="0.25">
      <c r="A1290" s="313"/>
      <c r="B1290" s="333" t="s">
        <v>1912</v>
      </c>
      <c r="D1290" s="74">
        <f>IFERROR(VLOOKUP(B1290,'REQ. PINTADO'!B:C,2,0),0)</f>
        <v>0</v>
      </c>
      <c r="E1290" s="305">
        <f t="shared" si="160"/>
        <v>1280.4262004707225</v>
      </c>
      <c r="F1290" s="103" t="s">
        <v>165</v>
      </c>
      <c r="G1290" s="75" t="s">
        <v>147</v>
      </c>
      <c r="H1290" s="90">
        <v>18.03</v>
      </c>
      <c r="I1290" s="90">
        <v>91.16</v>
      </c>
      <c r="J1290" s="76">
        <v>0.105</v>
      </c>
      <c r="K1290" s="306">
        <v>16.38</v>
      </c>
      <c r="L1290" s="78">
        <f t="shared" si="161"/>
        <v>91.750933012820539</v>
      </c>
      <c r="M1290" s="58">
        <f>+VLOOKUP(F1290,Material!$H$2:$M$17,6,FALSE)*H1290*I1290*(1+Material!$K$14)</f>
        <v>683.12740125000005</v>
      </c>
      <c r="N1290" s="79" t="str">
        <f t="shared" si="170"/>
        <v>T5.0</v>
      </c>
      <c r="O1290" s="80">
        <f>+VLOOKUP(N1290,[3]Material!$A$3:$B$58,2,FALSE)</f>
        <v>5000</v>
      </c>
      <c r="P1290" s="79" t="s">
        <v>42</v>
      </c>
      <c r="Q1290" s="79" t="str">
        <f>+VLOOKUP(F1290,[3]Material!$C$2:$E$12,2,FALSE)</f>
        <v>Cal 14</v>
      </c>
      <c r="R1290" s="81">
        <f>+IF(P1290="ACERO A36",VLOOKUP(Q1290,'[3]Velocidades Std 1500 w'!$B$2:$F$15,5,FALSE),IF(P1290="INOXIDABLE",VLOOKUP(Q1290,'[3]Velocidades Std 1500 w'!$B$17:$F$28,5,FALSE),IF(P1290="ALUMINIO",VLOOKUP(Q1290,'[3]Velocidades Std 1500 w'!$B$30:$F$38,5,FALSE))))</f>
        <v>2.0080321285140564E-6</v>
      </c>
      <c r="S1290" s="82">
        <f t="shared" si="162"/>
        <v>1.0040160642570283E-2</v>
      </c>
      <c r="T1290" s="83">
        <f t="shared" si="163"/>
        <v>47.886466987951813</v>
      </c>
      <c r="U1290" s="307">
        <f t="shared" si="159"/>
        <v>6624.2946000000002</v>
      </c>
      <c r="V1290" s="80">
        <f t="shared" si="153"/>
        <v>66.508981927710863</v>
      </c>
      <c r="W1290" s="98">
        <v>20</v>
      </c>
      <c r="X1290" s="84">
        <f>+IF(P1290="ACERO A36",VLOOKUP(Q1290,'[3]Tiempo Objeto'!$B$2:$C$12,2,FALSE),IF(P1290="INOXIDABLE",VLOOKUP(Q1290,'[3]Tiempo Objeto'!$B$14:$C$22,2,FALSE),IF(P1290="ALUMINIO",VLOOKUP(Q1290,'[3]Tiempo Objeto'!$B$24:$C$32,2,FALSE))))</f>
        <v>0.3133333333333333</v>
      </c>
      <c r="Y1290" s="84">
        <f t="shared" si="164"/>
        <v>6.2666666666666657</v>
      </c>
      <c r="Z1290" s="80">
        <f t="shared" si="165"/>
        <v>8.7037037037037024</v>
      </c>
      <c r="AA1290" s="100">
        <v>6</v>
      </c>
      <c r="AB1290" s="86">
        <f>+AA1290*Analisis!$J$6</f>
        <v>150</v>
      </c>
      <c r="AC1290" s="100"/>
      <c r="AD1290" s="85">
        <f t="shared" si="166"/>
        <v>0</v>
      </c>
      <c r="AE1290" s="86">
        <f>+AC1290*Analisis!$J$7</f>
        <v>0</v>
      </c>
      <c r="AF1290" s="308">
        <f>+H1290*0.0254*I1290*0.0254*2*(1+[3]Analisis!$G$2)</f>
        <v>2.65098631092</v>
      </c>
      <c r="AG1290" s="86">
        <f>+AF1290*Analisis!$J$8</f>
        <v>282.45627955635723</v>
      </c>
      <c r="AH1290" s="309">
        <f t="shared" si="167"/>
        <v>1190.7963664377719</v>
      </c>
      <c r="AI1290" s="86">
        <f>+AH1290/(1-Analisis!G1295)</f>
        <v>1190.7963664377719</v>
      </c>
      <c r="AJ1290" s="86">
        <f t="shared" si="168"/>
        <v>1280.4262004707225</v>
      </c>
      <c r="AK1290" s="86">
        <f t="shared" si="169"/>
        <v>0</v>
      </c>
      <c r="AL1290" s="310" t="e">
        <f>+VLOOKUP(B1290,#REF!,2,FALSE)</f>
        <v>#REF!</v>
      </c>
      <c r="AM1290" s="311" t="e">
        <f t="shared" si="149"/>
        <v>#REF!</v>
      </c>
      <c r="AN1290" s="312" t="e">
        <f t="shared" si="148"/>
        <v>#REF!</v>
      </c>
    </row>
    <row r="1291" spans="1:40" s="73" customFormat="1" x14ac:dyDescent="0.25">
      <c r="A1291" s="313"/>
      <c r="B1291" s="333" t="s">
        <v>1913</v>
      </c>
      <c r="D1291" s="74">
        <f>IFERROR(VLOOKUP(B1291,'REQ. PINTADO'!B:C,2,0),0)</f>
        <v>0</v>
      </c>
      <c r="E1291" s="305">
        <f t="shared" si="160"/>
        <v>800.59712674131151</v>
      </c>
      <c r="F1291" s="103" t="s">
        <v>165</v>
      </c>
      <c r="G1291" s="75" t="s">
        <v>147</v>
      </c>
      <c r="H1291" s="90">
        <v>9.7799999999999994</v>
      </c>
      <c r="I1291" s="90">
        <v>91.16</v>
      </c>
      <c r="J1291" s="76">
        <v>0.105</v>
      </c>
      <c r="K1291" s="306">
        <v>16.38</v>
      </c>
      <c r="L1291" s="78">
        <f t="shared" si="161"/>
        <v>49.768392948717946</v>
      </c>
      <c r="M1291" s="58">
        <f>+VLOOKUP(F1291,Material!$H$2:$M$17,6,FALSE)*H1291*I1291*(1+Material!$K$14)</f>
        <v>370.54830749999996</v>
      </c>
      <c r="N1291" s="79" t="str">
        <f t="shared" si="170"/>
        <v>T5.0</v>
      </c>
      <c r="O1291" s="80">
        <f>+VLOOKUP(N1291,[3]Material!$A$3:$B$58,2,FALSE)</f>
        <v>5000</v>
      </c>
      <c r="P1291" s="79" t="s">
        <v>42</v>
      </c>
      <c r="Q1291" s="79" t="str">
        <f>+VLOOKUP(F1291,[3]Material!$C$2:$E$12,2,FALSE)</f>
        <v>Cal 14</v>
      </c>
      <c r="R1291" s="81">
        <f>+IF(P1291="ACERO A36",VLOOKUP(Q1291,'[3]Velocidades Std 1500 w'!$B$2:$F$15,5,FALSE),IF(P1291="INOXIDABLE",VLOOKUP(Q1291,'[3]Velocidades Std 1500 w'!$B$17:$F$28,5,FALSE),IF(P1291="ALUMINIO",VLOOKUP(Q1291,'[3]Velocidades Std 1500 w'!$B$30:$F$38,5,FALSE))))</f>
        <v>2.0080321285140564E-6</v>
      </c>
      <c r="S1291" s="82">
        <f t="shared" si="162"/>
        <v>1.0040160642570283E-2</v>
      </c>
      <c r="T1291" s="83">
        <f t="shared" si="163"/>
        <v>44.7053465060241</v>
      </c>
      <c r="U1291" s="307">
        <f t="shared" si="159"/>
        <v>6184.2395999999999</v>
      </c>
      <c r="V1291" s="80">
        <f t="shared" si="153"/>
        <v>62.09075903614459</v>
      </c>
      <c r="W1291" s="98">
        <v>20</v>
      </c>
      <c r="X1291" s="84">
        <f>+IF(P1291="ACERO A36",VLOOKUP(Q1291,'[3]Tiempo Objeto'!$B$2:$C$12,2,FALSE),IF(P1291="INOXIDABLE",VLOOKUP(Q1291,'[3]Tiempo Objeto'!$B$14:$C$22,2,FALSE),IF(P1291="ALUMINIO",VLOOKUP(Q1291,'[3]Tiempo Objeto'!$B$24:$C$32,2,FALSE))))</f>
        <v>0.3133333333333333</v>
      </c>
      <c r="Y1291" s="84">
        <f t="shared" si="164"/>
        <v>6.2666666666666657</v>
      </c>
      <c r="Z1291" s="80">
        <f t="shared" si="165"/>
        <v>8.7037037037037024</v>
      </c>
      <c r="AA1291" s="100">
        <v>6</v>
      </c>
      <c r="AB1291" s="86">
        <f>+AA1291*Analisis!$J$6</f>
        <v>150</v>
      </c>
      <c r="AC1291" s="100"/>
      <c r="AD1291" s="85">
        <f t="shared" si="166"/>
        <v>0</v>
      </c>
      <c r="AE1291" s="86">
        <f>+AC1291*Analisis!$J$7</f>
        <v>0</v>
      </c>
      <c r="AF1291" s="308">
        <f>+H1291*0.0254*I1291*0.0254*2*(1+[3]Analisis!$G$2)</f>
        <v>1.4379726079199997</v>
      </c>
      <c r="AG1291" s="86">
        <f>+AF1291*Analisis!$J$8</f>
        <v>153.21255762957145</v>
      </c>
      <c r="AH1291" s="309">
        <f t="shared" si="167"/>
        <v>744.55532786941967</v>
      </c>
      <c r="AI1291" s="86">
        <f>+AH1291/(1-Analisis!G1296)</f>
        <v>744.55532786941967</v>
      </c>
      <c r="AJ1291" s="86">
        <f t="shared" si="168"/>
        <v>800.59712674131151</v>
      </c>
      <c r="AK1291" s="86">
        <f t="shared" si="169"/>
        <v>0</v>
      </c>
      <c r="AL1291" s="310" t="e">
        <f>+VLOOKUP(B1291,#REF!,2,FALSE)</f>
        <v>#REF!</v>
      </c>
      <c r="AM1291" s="311" t="e">
        <f t="shared" si="149"/>
        <v>#REF!</v>
      </c>
      <c r="AN1291" s="312" t="e">
        <f t="shared" si="148"/>
        <v>#REF!</v>
      </c>
    </row>
    <row r="1292" spans="1:40" s="73" customFormat="1" x14ac:dyDescent="0.25">
      <c r="A1292" s="313"/>
      <c r="B1292" s="333" t="s">
        <v>1914</v>
      </c>
      <c r="D1292" s="74">
        <f>IFERROR(VLOOKUP(B1292,'REQ. PINTADO'!B:C,2,0),0)</f>
        <v>0</v>
      </c>
      <c r="E1292" s="305">
        <f t="shared" si="160"/>
        <v>665.52069508010447</v>
      </c>
      <c r="F1292" s="103" t="s">
        <v>165</v>
      </c>
      <c r="G1292" s="75" t="s">
        <v>147</v>
      </c>
      <c r="H1292" s="90">
        <v>9.7799999999999994</v>
      </c>
      <c r="I1292" s="90">
        <v>71.16</v>
      </c>
      <c r="J1292" s="76">
        <v>0.105</v>
      </c>
      <c r="K1292" s="306">
        <v>16.38</v>
      </c>
      <c r="L1292" s="78">
        <f t="shared" si="161"/>
        <v>38.849482692307696</v>
      </c>
      <c r="M1292" s="58">
        <f>+VLOOKUP(F1292,Material!$H$2:$M$17,6,FALSE)*H1292*I1292*(1+Material!$K$14)</f>
        <v>289.25205749999998</v>
      </c>
      <c r="N1292" s="79" t="str">
        <f t="shared" si="170"/>
        <v>T5.0</v>
      </c>
      <c r="O1292" s="80">
        <f>+VLOOKUP(N1292,[3]Material!$A$3:$B$58,2,FALSE)</f>
        <v>5000</v>
      </c>
      <c r="P1292" s="79" t="s">
        <v>42</v>
      </c>
      <c r="Q1292" s="79" t="str">
        <f>+VLOOKUP(F1292,[3]Material!$C$2:$E$12,2,FALSE)</f>
        <v>Cal 14</v>
      </c>
      <c r="R1292" s="81">
        <f>+IF(P1292="ACERO A36",VLOOKUP(Q1292,'[3]Velocidades Std 1500 w'!$B$2:$F$15,5,FALSE),IF(P1292="INOXIDABLE",VLOOKUP(Q1292,'[3]Velocidades Std 1500 w'!$B$17:$F$28,5,FALSE),IF(P1292="ALUMINIO",VLOOKUP(Q1292,'[3]Velocidades Std 1500 w'!$B$30:$F$38,5,FALSE))))</f>
        <v>2.0080321285140564E-6</v>
      </c>
      <c r="S1292" s="82">
        <f t="shared" si="162"/>
        <v>1.0040160642570283E-2</v>
      </c>
      <c r="T1292" s="83">
        <f t="shared" si="163"/>
        <v>36.993539277108439</v>
      </c>
      <c r="U1292" s="307">
        <f t="shared" si="159"/>
        <v>5117.4395999999997</v>
      </c>
      <c r="V1292" s="80">
        <f t="shared" si="153"/>
        <v>51.37991566265061</v>
      </c>
      <c r="W1292" s="98">
        <v>20</v>
      </c>
      <c r="X1292" s="84">
        <f>+IF(P1292="ACERO A36",VLOOKUP(Q1292,'[3]Tiempo Objeto'!$B$2:$C$12,2,FALSE),IF(P1292="INOXIDABLE",VLOOKUP(Q1292,'[3]Tiempo Objeto'!$B$14:$C$22,2,FALSE),IF(P1292="ALUMINIO",VLOOKUP(Q1292,'[3]Tiempo Objeto'!$B$24:$C$32,2,FALSE))))</f>
        <v>0.3133333333333333</v>
      </c>
      <c r="Y1292" s="84">
        <f t="shared" si="164"/>
        <v>6.2666666666666657</v>
      </c>
      <c r="Z1292" s="80">
        <f t="shared" si="165"/>
        <v>8.7037037037037024</v>
      </c>
      <c r="AA1292" s="100">
        <v>6</v>
      </c>
      <c r="AB1292" s="86">
        <f>+AA1292*Analisis!$J$6</f>
        <v>150</v>
      </c>
      <c r="AC1292" s="100"/>
      <c r="AD1292" s="85">
        <f t="shared" si="166"/>
        <v>0</v>
      </c>
      <c r="AE1292" s="86">
        <f>+AC1292*Analisis!$J$7</f>
        <v>0</v>
      </c>
      <c r="AF1292" s="308">
        <f>+H1292*0.0254*I1292*0.0254*2*(1+[3]Analisis!$G$2)</f>
        <v>1.1224893679199999</v>
      </c>
      <c r="AG1292" s="86">
        <f>+AF1292*Analisis!$J$8</f>
        <v>119.59856955814288</v>
      </c>
      <c r="AH1292" s="309">
        <f t="shared" si="167"/>
        <v>618.93424642449713</v>
      </c>
      <c r="AI1292" s="86">
        <f>+AH1292/(1-Analisis!G1297)</f>
        <v>618.93424642449713</v>
      </c>
      <c r="AJ1292" s="86">
        <f t="shared" si="168"/>
        <v>665.52069508010447</v>
      </c>
      <c r="AK1292" s="86">
        <f t="shared" si="169"/>
        <v>0</v>
      </c>
      <c r="AL1292" s="310" t="e">
        <f>+VLOOKUP(B1292,#REF!,2,FALSE)</f>
        <v>#REF!</v>
      </c>
      <c r="AM1292" s="311" t="e">
        <f t="shared" si="149"/>
        <v>#REF!</v>
      </c>
      <c r="AN1292" s="312" t="e">
        <f t="shared" si="148"/>
        <v>#REF!</v>
      </c>
    </row>
    <row r="1293" spans="1:40" s="73" customFormat="1" x14ac:dyDescent="0.25">
      <c r="A1293" s="313"/>
      <c r="B1293" s="333" t="s">
        <v>1915</v>
      </c>
      <c r="D1293" s="74">
        <f>IFERROR(VLOOKUP(B1293,'REQ. PINTADO'!B:C,2,0),0)</f>
        <v>0</v>
      </c>
      <c r="E1293" s="305">
        <f t="shared" si="160"/>
        <v>950.06578756351757</v>
      </c>
      <c r="F1293" s="103" t="s">
        <v>165</v>
      </c>
      <c r="G1293" s="75" t="s">
        <v>147</v>
      </c>
      <c r="H1293" s="90">
        <v>16.03</v>
      </c>
      <c r="I1293" s="90">
        <v>71.16</v>
      </c>
      <c r="J1293" s="76">
        <v>0.105</v>
      </c>
      <c r="K1293" s="306">
        <v>16.38</v>
      </c>
      <c r="L1293" s="78">
        <f t="shared" si="161"/>
        <v>63.676606089743601</v>
      </c>
      <c r="M1293" s="58">
        <f>+VLOOKUP(F1293,Material!$H$2:$M$17,6,FALSE)*H1293*I1293*(1+Material!$K$14)</f>
        <v>474.10127625000001</v>
      </c>
      <c r="N1293" s="79" t="str">
        <f t="shared" si="170"/>
        <v>T5.0</v>
      </c>
      <c r="O1293" s="80">
        <f>+VLOOKUP(N1293,[3]Material!$A$3:$B$58,2,FALSE)</f>
        <v>5000</v>
      </c>
      <c r="P1293" s="79" t="s">
        <v>42</v>
      </c>
      <c r="Q1293" s="79" t="str">
        <f>+VLOOKUP(F1293,[3]Material!$C$2:$E$12,2,FALSE)</f>
        <v>Cal 14</v>
      </c>
      <c r="R1293" s="81">
        <f>+IF(P1293="ACERO A36",VLOOKUP(Q1293,'[3]Velocidades Std 1500 w'!$B$2:$F$15,5,FALSE),IF(P1293="INOXIDABLE",VLOOKUP(Q1293,'[3]Velocidades Std 1500 w'!$B$17:$F$28,5,FALSE),IF(P1293="ALUMINIO",VLOOKUP(Q1293,'[3]Velocidades Std 1500 w'!$B$30:$F$38,5,FALSE))))</f>
        <v>2.0080321285140564E-6</v>
      </c>
      <c r="S1293" s="82">
        <f t="shared" si="162"/>
        <v>1.0040160642570283E-2</v>
      </c>
      <c r="T1293" s="83">
        <f t="shared" si="163"/>
        <v>39.403479036144581</v>
      </c>
      <c r="U1293" s="307">
        <f t="shared" si="159"/>
        <v>5450.8145999999997</v>
      </c>
      <c r="V1293" s="80">
        <f t="shared" si="153"/>
        <v>54.727054216867479</v>
      </c>
      <c r="W1293" s="98">
        <v>20</v>
      </c>
      <c r="X1293" s="84">
        <f>+IF(P1293="ACERO A36",VLOOKUP(Q1293,'[3]Tiempo Objeto'!$B$2:$C$12,2,FALSE),IF(P1293="INOXIDABLE",VLOOKUP(Q1293,'[3]Tiempo Objeto'!$B$14:$C$22,2,FALSE),IF(P1293="ALUMINIO",VLOOKUP(Q1293,'[3]Tiempo Objeto'!$B$24:$C$32,2,FALSE))))</f>
        <v>0.3133333333333333</v>
      </c>
      <c r="Y1293" s="84">
        <f t="shared" si="164"/>
        <v>6.2666666666666657</v>
      </c>
      <c r="Z1293" s="80">
        <f t="shared" si="165"/>
        <v>8.7037037037037024</v>
      </c>
      <c r="AA1293" s="100">
        <v>6</v>
      </c>
      <c r="AB1293" s="86">
        <f>+AA1293*Analisis!$J$6</f>
        <v>150</v>
      </c>
      <c r="AC1293" s="100"/>
      <c r="AD1293" s="85">
        <f t="shared" si="166"/>
        <v>0</v>
      </c>
      <c r="AE1293" s="86">
        <f>+AC1293*Analisis!$J$7</f>
        <v>0</v>
      </c>
      <c r="AF1293" s="308">
        <f>+H1293*0.0254*I1293*0.0254*2*(1+[3]Analisis!$G$2)</f>
        <v>1.8398266429199999</v>
      </c>
      <c r="AG1293" s="86">
        <f>+AF1293*Analisis!$J$8</f>
        <v>196.02914826350005</v>
      </c>
      <c r="AH1293" s="309">
        <f t="shared" si="167"/>
        <v>883.56118243407127</v>
      </c>
      <c r="AI1293" s="86">
        <f>+AH1293/(1-Analisis!G1298)</f>
        <v>883.56118243407127</v>
      </c>
      <c r="AJ1293" s="86">
        <f t="shared" si="168"/>
        <v>950.06578756351757</v>
      </c>
      <c r="AK1293" s="86">
        <f t="shared" si="169"/>
        <v>0</v>
      </c>
      <c r="AL1293" s="310" t="e">
        <f>+VLOOKUP(B1293,#REF!,2,FALSE)</f>
        <v>#REF!</v>
      </c>
      <c r="AM1293" s="311" t="e">
        <f t="shared" si="149"/>
        <v>#REF!</v>
      </c>
      <c r="AN1293" s="312" t="e">
        <f t="shared" si="148"/>
        <v>#REF!</v>
      </c>
    </row>
    <row r="1294" spans="1:40" s="73" customFormat="1" x14ac:dyDescent="0.25">
      <c r="A1294" s="313"/>
      <c r="B1294" s="333" t="s">
        <v>1916</v>
      </c>
      <c r="D1294" s="74">
        <f>IFERROR(VLOOKUP(B1294,'REQ. PINTADO'!B:C,2,0),0)</f>
        <v>0</v>
      </c>
      <c r="E1294" s="305">
        <f t="shared" si="160"/>
        <v>561.71864534215558</v>
      </c>
      <c r="F1294" s="103" t="s">
        <v>165</v>
      </c>
      <c r="G1294" s="75" t="s">
        <v>147</v>
      </c>
      <c r="H1294" s="90">
        <v>7.5</v>
      </c>
      <c r="I1294" s="90">
        <v>71.16</v>
      </c>
      <c r="J1294" s="76">
        <v>0.105</v>
      </c>
      <c r="K1294" s="306">
        <v>16.38</v>
      </c>
      <c r="L1294" s="78">
        <f t="shared" si="161"/>
        <v>29.792548076923083</v>
      </c>
      <c r="M1294" s="58">
        <f>+VLOOKUP(F1294,Material!$H$2:$M$17,6,FALSE)*H1294*I1294*(1+Material!$K$14)</f>
        <v>221.8190625</v>
      </c>
      <c r="N1294" s="79" t="str">
        <f t="shared" si="170"/>
        <v>T5.0</v>
      </c>
      <c r="O1294" s="80">
        <f>+VLOOKUP(N1294,[3]Material!$A$3:$B$58,2,FALSE)</f>
        <v>5000</v>
      </c>
      <c r="P1294" s="79" t="s">
        <v>42</v>
      </c>
      <c r="Q1294" s="79" t="str">
        <f>+VLOOKUP(F1294,[3]Material!$C$2:$E$12,2,FALSE)</f>
        <v>Cal 14</v>
      </c>
      <c r="R1294" s="81">
        <f>+IF(P1294="ACERO A36",VLOOKUP(Q1294,'[3]Velocidades Std 1500 w'!$B$2:$F$15,5,FALSE),IF(P1294="INOXIDABLE",VLOOKUP(Q1294,'[3]Velocidades Std 1500 w'!$B$17:$F$28,5,FALSE),IF(P1294="ALUMINIO",VLOOKUP(Q1294,'[3]Velocidades Std 1500 w'!$B$30:$F$38,5,FALSE))))</f>
        <v>2.0080321285140564E-6</v>
      </c>
      <c r="S1294" s="82">
        <f t="shared" si="162"/>
        <v>1.0040160642570283E-2</v>
      </c>
      <c r="T1294" s="83">
        <f t="shared" si="163"/>
        <v>36.114393253012054</v>
      </c>
      <c r="U1294" s="307">
        <f t="shared" si="159"/>
        <v>4995.8244000000004</v>
      </c>
      <c r="V1294" s="80">
        <f t="shared" si="153"/>
        <v>50.158879518072304</v>
      </c>
      <c r="W1294" s="98">
        <v>20</v>
      </c>
      <c r="X1294" s="84">
        <f>+IF(P1294="ACERO A36",VLOOKUP(Q1294,'[3]Tiempo Objeto'!$B$2:$C$12,2,FALSE),IF(P1294="INOXIDABLE",VLOOKUP(Q1294,'[3]Tiempo Objeto'!$B$14:$C$22,2,FALSE),IF(P1294="ALUMINIO",VLOOKUP(Q1294,'[3]Tiempo Objeto'!$B$24:$C$32,2,FALSE))))</f>
        <v>0.3133333333333333</v>
      </c>
      <c r="Y1294" s="84">
        <f t="shared" si="164"/>
        <v>6.2666666666666657</v>
      </c>
      <c r="Z1294" s="80">
        <f t="shared" si="165"/>
        <v>8.7037037037037024</v>
      </c>
      <c r="AA1294" s="100">
        <v>6</v>
      </c>
      <c r="AB1294" s="86">
        <f>+AA1294*Analisis!$J$6</f>
        <v>150</v>
      </c>
      <c r="AC1294" s="100"/>
      <c r="AD1294" s="85">
        <f t="shared" si="166"/>
        <v>0</v>
      </c>
      <c r="AE1294" s="86">
        <f>+AC1294*Analisis!$J$7</f>
        <v>0</v>
      </c>
      <c r="AF1294" s="308">
        <f>+H1294*0.0254*I1294*0.0254*2*(1+[3]Analisis!$G$2)</f>
        <v>0.86080472999999991</v>
      </c>
      <c r="AG1294" s="86">
        <f>+AF1294*Analisis!$J$8</f>
        <v>91.71669444642859</v>
      </c>
      <c r="AH1294" s="309">
        <f t="shared" si="167"/>
        <v>522.39834016820464</v>
      </c>
      <c r="AI1294" s="86">
        <f>+AH1294/(1-Analisis!G1299)</f>
        <v>522.39834016820464</v>
      </c>
      <c r="AJ1294" s="86">
        <f t="shared" si="168"/>
        <v>561.71864534215558</v>
      </c>
      <c r="AK1294" s="86">
        <f t="shared" si="169"/>
        <v>0</v>
      </c>
      <c r="AL1294" s="310" t="e">
        <f>+VLOOKUP(B1294,#REF!,2,FALSE)</f>
        <v>#REF!</v>
      </c>
      <c r="AM1294" s="311" t="e">
        <f t="shared" si="149"/>
        <v>#REF!</v>
      </c>
      <c r="AN1294" s="312" t="e">
        <f t="shared" si="148"/>
        <v>#REF!</v>
      </c>
    </row>
    <row r="1295" spans="1:40" s="73" customFormat="1" x14ac:dyDescent="0.25">
      <c r="A1295" s="313"/>
      <c r="B1295" s="333" t="s">
        <v>1917</v>
      </c>
      <c r="D1295" s="74">
        <f>IFERROR(VLOOKUP(B1295,'REQ. PINTADO'!B:C,2,0),0)</f>
        <v>0</v>
      </c>
      <c r="E1295" s="305">
        <f t="shared" si="160"/>
        <v>671.43923300375957</v>
      </c>
      <c r="F1295" s="103" t="s">
        <v>165</v>
      </c>
      <c r="G1295" s="75" t="s">
        <v>147</v>
      </c>
      <c r="H1295" s="90">
        <v>9.91</v>
      </c>
      <c r="I1295" s="90">
        <v>71.16</v>
      </c>
      <c r="J1295" s="76">
        <v>0.105</v>
      </c>
      <c r="K1295" s="306">
        <v>16.38</v>
      </c>
      <c r="L1295" s="78">
        <f t="shared" si="161"/>
        <v>39.365886858974363</v>
      </c>
      <c r="M1295" s="58">
        <f>+VLOOKUP(F1295,Material!$H$2:$M$17,6,FALSE)*H1295*I1295*(1+Material!$K$14)</f>
        <v>293.09692124999998</v>
      </c>
      <c r="N1295" s="79" t="str">
        <f t="shared" si="170"/>
        <v>T5.0</v>
      </c>
      <c r="O1295" s="80">
        <f>+VLOOKUP(N1295,[3]Material!$A$3:$B$58,2,FALSE)</f>
        <v>5000</v>
      </c>
      <c r="P1295" s="79" t="s">
        <v>42</v>
      </c>
      <c r="Q1295" s="79" t="str">
        <f>+VLOOKUP(F1295,[3]Material!$C$2:$E$12,2,FALSE)</f>
        <v>Cal 14</v>
      </c>
      <c r="R1295" s="81">
        <f>+IF(P1295="ACERO A36",VLOOKUP(Q1295,'[3]Velocidades Std 1500 w'!$B$2:$F$15,5,FALSE),IF(P1295="INOXIDABLE",VLOOKUP(Q1295,'[3]Velocidades Std 1500 w'!$B$17:$F$28,5,FALSE),IF(P1295="ALUMINIO",VLOOKUP(Q1295,'[3]Velocidades Std 1500 w'!$B$30:$F$38,5,FALSE))))</f>
        <v>2.0080321285140564E-6</v>
      </c>
      <c r="S1295" s="82">
        <f t="shared" si="162"/>
        <v>1.0040160642570283E-2</v>
      </c>
      <c r="T1295" s="83">
        <f t="shared" si="163"/>
        <v>37.043666024096389</v>
      </c>
      <c r="U1295" s="307">
        <f t="shared" si="159"/>
        <v>5124.3738000000003</v>
      </c>
      <c r="V1295" s="80">
        <f t="shared" si="153"/>
        <v>51.449536144578325</v>
      </c>
      <c r="W1295" s="98">
        <v>20</v>
      </c>
      <c r="X1295" s="84">
        <f>+IF(P1295="ACERO A36",VLOOKUP(Q1295,'[3]Tiempo Objeto'!$B$2:$C$12,2,FALSE),IF(P1295="INOXIDABLE",VLOOKUP(Q1295,'[3]Tiempo Objeto'!$B$14:$C$22,2,FALSE),IF(P1295="ALUMINIO",VLOOKUP(Q1295,'[3]Tiempo Objeto'!$B$24:$C$32,2,FALSE))))</f>
        <v>0.3133333333333333</v>
      </c>
      <c r="Y1295" s="84">
        <f t="shared" si="164"/>
        <v>6.2666666666666657</v>
      </c>
      <c r="Z1295" s="80">
        <f t="shared" si="165"/>
        <v>8.7037037037037024</v>
      </c>
      <c r="AA1295" s="100">
        <v>6</v>
      </c>
      <c r="AB1295" s="86">
        <f>+AA1295*Analisis!$J$6</f>
        <v>150</v>
      </c>
      <c r="AC1295" s="100"/>
      <c r="AD1295" s="85">
        <f t="shared" si="166"/>
        <v>0</v>
      </c>
      <c r="AE1295" s="86">
        <f>+AC1295*Analisis!$J$7</f>
        <v>0</v>
      </c>
      <c r="AF1295" s="308">
        <f>+H1295*0.0254*I1295*0.0254*2*(1+[3]Analisis!$G$2)</f>
        <v>1.13740998324</v>
      </c>
      <c r="AG1295" s="86">
        <f>+AF1295*Analisis!$J$8</f>
        <v>121.18832559521432</v>
      </c>
      <c r="AH1295" s="309">
        <f t="shared" si="167"/>
        <v>624.43848669349632</v>
      </c>
      <c r="AI1295" s="86">
        <f>+AH1295/(1-Analisis!G1300)</f>
        <v>624.43848669349632</v>
      </c>
      <c r="AJ1295" s="86">
        <f t="shared" si="168"/>
        <v>671.43923300375957</v>
      </c>
      <c r="AK1295" s="86">
        <f t="shared" si="169"/>
        <v>0</v>
      </c>
      <c r="AL1295" s="310" t="e">
        <f>+VLOOKUP(B1295,#REF!,2,FALSE)</f>
        <v>#REF!</v>
      </c>
      <c r="AM1295" s="311" t="e">
        <f t="shared" si="149"/>
        <v>#REF!</v>
      </c>
      <c r="AN1295" s="312" t="e">
        <f t="shared" si="148"/>
        <v>#REF!</v>
      </c>
    </row>
    <row r="1296" spans="1:40" s="73" customFormat="1" x14ac:dyDescent="0.25">
      <c r="A1296" s="313"/>
      <c r="B1296" s="333" t="s">
        <v>1918</v>
      </c>
      <c r="D1296" s="74">
        <f>IFERROR(VLOOKUP(B1296,'REQ. PINTADO'!B:C,2,0),0)</f>
        <v>0</v>
      </c>
      <c r="E1296" s="305">
        <f t="shared" si="160"/>
        <v>1405.3379355369784</v>
      </c>
      <c r="F1296" s="103" t="s">
        <v>165</v>
      </c>
      <c r="G1296" s="75" t="s">
        <v>147</v>
      </c>
      <c r="H1296" s="90">
        <v>26.03</v>
      </c>
      <c r="I1296" s="90">
        <v>71.16</v>
      </c>
      <c r="J1296" s="76">
        <v>0.105</v>
      </c>
      <c r="K1296" s="306">
        <v>16.38</v>
      </c>
      <c r="L1296" s="78">
        <f t="shared" si="161"/>
        <v>103.40000352564104</v>
      </c>
      <c r="M1296" s="58">
        <f>+VLOOKUP(F1296,Material!$H$2:$M$17,6,FALSE)*H1296*I1296*(1+Material!$K$14)</f>
        <v>769.86002625000003</v>
      </c>
      <c r="N1296" s="79" t="str">
        <f t="shared" si="170"/>
        <v>T5.0</v>
      </c>
      <c r="O1296" s="80">
        <f>+VLOOKUP(N1296,[3]Material!$A$3:$B$58,2,FALSE)</f>
        <v>5000</v>
      </c>
      <c r="P1296" s="79" t="s">
        <v>42</v>
      </c>
      <c r="Q1296" s="79" t="str">
        <f>+VLOOKUP(F1296,[3]Material!$C$2:$E$12,2,FALSE)</f>
        <v>Cal 14</v>
      </c>
      <c r="R1296" s="81">
        <f>+IF(P1296="ACERO A36",VLOOKUP(Q1296,'[3]Velocidades Std 1500 w'!$B$2:$F$15,5,FALSE),IF(P1296="INOXIDABLE",VLOOKUP(Q1296,'[3]Velocidades Std 1500 w'!$B$17:$F$28,5,FALSE),IF(P1296="ALUMINIO",VLOOKUP(Q1296,'[3]Velocidades Std 1500 w'!$B$30:$F$38,5,FALSE))))</f>
        <v>2.0080321285140564E-6</v>
      </c>
      <c r="S1296" s="82">
        <f t="shared" si="162"/>
        <v>1.0040160642570283E-2</v>
      </c>
      <c r="T1296" s="83">
        <f t="shared" si="163"/>
        <v>43.259382650602412</v>
      </c>
      <c r="U1296" s="307">
        <f t="shared" si="159"/>
        <v>5984.2145999999993</v>
      </c>
      <c r="V1296" s="80">
        <f t="shared" si="153"/>
        <v>60.082475903614458</v>
      </c>
      <c r="W1296" s="98">
        <v>20</v>
      </c>
      <c r="X1296" s="84">
        <f>+IF(P1296="ACERO A36",VLOOKUP(Q1296,'[3]Tiempo Objeto'!$B$2:$C$12,2,FALSE),IF(P1296="INOXIDABLE",VLOOKUP(Q1296,'[3]Tiempo Objeto'!$B$14:$C$22,2,FALSE),IF(P1296="ALUMINIO",VLOOKUP(Q1296,'[3]Tiempo Objeto'!$B$24:$C$32,2,FALSE))))</f>
        <v>0.3133333333333333</v>
      </c>
      <c r="Y1296" s="84">
        <f t="shared" si="164"/>
        <v>6.2666666666666657</v>
      </c>
      <c r="Z1296" s="80">
        <f t="shared" si="165"/>
        <v>8.7037037037037024</v>
      </c>
      <c r="AA1296" s="100">
        <v>6</v>
      </c>
      <c r="AB1296" s="86">
        <f>+AA1296*Analisis!$J$6</f>
        <v>150</v>
      </c>
      <c r="AC1296" s="100"/>
      <c r="AD1296" s="85">
        <f t="shared" si="166"/>
        <v>0</v>
      </c>
      <c r="AE1296" s="86">
        <f>+AC1296*Analisis!$J$7</f>
        <v>0</v>
      </c>
      <c r="AF1296" s="308">
        <f>+H1296*0.0254*I1296*0.0254*2*(1+[3]Analisis!$G$2)</f>
        <v>2.98756628292</v>
      </c>
      <c r="AG1296" s="86">
        <f>+AF1296*Analisis!$J$8</f>
        <v>318.31807419207155</v>
      </c>
      <c r="AH1296" s="309">
        <f t="shared" si="167"/>
        <v>1306.9642800493898</v>
      </c>
      <c r="AI1296" s="86">
        <f>+AH1296/(1-Analisis!G1301)</f>
        <v>1306.9642800493898</v>
      </c>
      <c r="AJ1296" s="86">
        <f t="shared" si="168"/>
        <v>1405.3379355369784</v>
      </c>
      <c r="AK1296" s="86">
        <f t="shared" si="169"/>
        <v>0</v>
      </c>
      <c r="AL1296" s="310" t="e">
        <f>+VLOOKUP(B1296,#REF!,2,FALSE)</f>
        <v>#REF!</v>
      </c>
      <c r="AM1296" s="311" t="e">
        <f t="shared" si="149"/>
        <v>#REF!</v>
      </c>
      <c r="AN1296" s="312" t="e">
        <f t="shared" si="148"/>
        <v>#REF!</v>
      </c>
    </row>
    <row r="1297" spans="1:40" s="73" customFormat="1" x14ac:dyDescent="0.25">
      <c r="A1297" s="313"/>
      <c r="B1297" s="333" t="s">
        <v>1919</v>
      </c>
      <c r="D1297" s="74">
        <f>IFERROR(VLOOKUP(B1297,'REQ. PINTADO'!B:C,2,0),0)</f>
        <v>0</v>
      </c>
      <c r="E1297" s="305">
        <f t="shared" si="160"/>
        <v>1041.1202171582097</v>
      </c>
      <c r="F1297" s="103" t="s">
        <v>165</v>
      </c>
      <c r="G1297" s="75" t="s">
        <v>147</v>
      </c>
      <c r="H1297" s="90">
        <v>18.03</v>
      </c>
      <c r="I1297" s="90">
        <v>71.16</v>
      </c>
      <c r="J1297" s="76">
        <v>0.105</v>
      </c>
      <c r="K1297" s="306">
        <v>16.38</v>
      </c>
      <c r="L1297" s="78">
        <f t="shared" si="161"/>
        <v>71.6212855769231</v>
      </c>
      <c r="M1297" s="58">
        <f>+VLOOKUP(F1297,Material!$H$2:$M$17,6,FALSE)*H1297*I1297*(1+Material!$K$14)</f>
        <v>533.25302625000006</v>
      </c>
      <c r="N1297" s="79" t="str">
        <f t="shared" si="170"/>
        <v>T5.0</v>
      </c>
      <c r="O1297" s="80">
        <f>+VLOOKUP(N1297,[3]Material!$A$3:$B$58,2,FALSE)</f>
        <v>5000</v>
      </c>
      <c r="P1297" s="79" t="s">
        <v>42</v>
      </c>
      <c r="Q1297" s="79" t="str">
        <f>+VLOOKUP(F1297,[3]Material!$C$2:$E$12,2,FALSE)</f>
        <v>Cal 14</v>
      </c>
      <c r="R1297" s="81">
        <f>+IF(P1297="ACERO A36",VLOOKUP(Q1297,'[3]Velocidades Std 1500 w'!$B$2:$F$15,5,FALSE),IF(P1297="INOXIDABLE",VLOOKUP(Q1297,'[3]Velocidades Std 1500 w'!$B$17:$F$28,5,FALSE),IF(P1297="ALUMINIO",VLOOKUP(Q1297,'[3]Velocidades Std 1500 w'!$B$30:$F$38,5,FALSE))))</f>
        <v>2.0080321285140564E-6</v>
      </c>
      <c r="S1297" s="82">
        <f t="shared" si="162"/>
        <v>1.0040160642570283E-2</v>
      </c>
      <c r="T1297" s="83">
        <f t="shared" si="163"/>
        <v>40.174659759036146</v>
      </c>
      <c r="U1297" s="307">
        <f t="shared" si="159"/>
        <v>5557.4946</v>
      </c>
      <c r="V1297" s="80">
        <f t="shared" si="153"/>
        <v>55.798138554216877</v>
      </c>
      <c r="W1297" s="98">
        <v>20</v>
      </c>
      <c r="X1297" s="84">
        <f>+IF(P1297="ACERO A36",VLOOKUP(Q1297,'[3]Tiempo Objeto'!$B$2:$C$12,2,FALSE),IF(P1297="INOXIDABLE",VLOOKUP(Q1297,'[3]Tiempo Objeto'!$B$14:$C$22,2,FALSE),IF(P1297="ALUMINIO",VLOOKUP(Q1297,'[3]Tiempo Objeto'!$B$24:$C$32,2,FALSE))))</f>
        <v>0.3133333333333333</v>
      </c>
      <c r="Y1297" s="84">
        <f t="shared" si="164"/>
        <v>6.2666666666666657</v>
      </c>
      <c r="Z1297" s="80">
        <f t="shared" si="165"/>
        <v>8.7037037037037024</v>
      </c>
      <c r="AA1297" s="100">
        <v>6</v>
      </c>
      <c r="AB1297" s="86">
        <f>+AA1297*Analisis!$J$6</f>
        <v>150</v>
      </c>
      <c r="AC1297" s="100"/>
      <c r="AD1297" s="85">
        <f t="shared" si="166"/>
        <v>0</v>
      </c>
      <c r="AE1297" s="86">
        <f>+AC1297*Analisis!$J$7</f>
        <v>0</v>
      </c>
      <c r="AF1297" s="308">
        <f>+H1297*0.0254*I1297*0.0254*2*(1+[3]Analisis!$G$2)</f>
        <v>2.06937457092</v>
      </c>
      <c r="AG1297" s="86">
        <f>+AF1297*Analisis!$J$8</f>
        <v>220.48693344921435</v>
      </c>
      <c r="AH1297" s="309">
        <f t="shared" si="167"/>
        <v>968.24180195713495</v>
      </c>
      <c r="AI1297" s="86">
        <f>+AH1297/(1-Analisis!G1302)</f>
        <v>968.24180195713495</v>
      </c>
      <c r="AJ1297" s="86">
        <f t="shared" si="168"/>
        <v>1041.1202171582097</v>
      </c>
      <c r="AK1297" s="86">
        <f t="shared" si="169"/>
        <v>0</v>
      </c>
      <c r="AL1297" s="310" t="e">
        <f>+VLOOKUP(B1297,#REF!,2,FALSE)</f>
        <v>#REF!</v>
      </c>
      <c r="AM1297" s="311" t="e">
        <f t="shared" si="149"/>
        <v>#REF!</v>
      </c>
      <c r="AN1297" s="312" t="e">
        <f t="shared" si="148"/>
        <v>#REF!</v>
      </c>
    </row>
    <row r="1298" spans="1:40" s="73" customFormat="1" x14ac:dyDescent="0.25">
      <c r="A1298" s="313"/>
      <c r="B1298" s="333" t="s">
        <v>1920</v>
      </c>
      <c r="D1298" s="74">
        <f>IFERROR(VLOOKUP(B1298,'REQ. PINTADO'!B:C,2,0),0)</f>
        <v>0</v>
      </c>
      <c r="E1298" s="305">
        <f t="shared" si="160"/>
        <v>495.00232284764593</v>
      </c>
      <c r="F1298" s="103" t="s">
        <v>165</v>
      </c>
      <c r="G1298" s="75" t="s">
        <v>147</v>
      </c>
      <c r="H1298" s="90">
        <v>6.52</v>
      </c>
      <c r="I1298" s="90">
        <v>55</v>
      </c>
      <c r="J1298" s="76">
        <v>0.105</v>
      </c>
      <c r="K1298" s="306">
        <v>16.38</v>
      </c>
      <c r="L1298" s="78">
        <f t="shared" si="161"/>
        <v>20.018002136752134</v>
      </c>
      <c r="M1298" s="58">
        <f>+VLOOKUP(F1298,Material!$H$2:$M$17,6,FALSE)*H1298*I1298*(1+Material!$K$14)</f>
        <v>149.04312499999997</v>
      </c>
      <c r="N1298" s="79" t="str">
        <f t="shared" si="170"/>
        <v>T5.0</v>
      </c>
      <c r="O1298" s="80">
        <f>+VLOOKUP(N1298,[3]Material!$A$3:$B$58,2,FALSE)</f>
        <v>5000</v>
      </c>
      <c r="P1298" s="79" t="s">
        <v>42</v>
      </c>
      <c r="Q1298" s="79" t="str">
        <f>+VLOOKUP(F1298,[3]Material!$C$2:$E$12,2,FALSE)</f>
        <v>Cal 14</v>
      </c>
      <c r="R1298" s="81">
        <f>+IF(P1298="ACERO A36",VLOOKUP(Q1298,'[3]Velocidades Std 1500 w'!$B$2:$F$15,5,FALSE),IF(P1298="INOXIDABLE",VLOOKUP(Q1298,'[3]Velocidades Std 1500 w'!$B$17:$F$28,5,FALSE),IF(P1298="ALUMINIO",VLOOKUP(Q1298,'[3]Velocidades Std 1500 w'!$B$30:$F$38,5,FALSE))))</f>
        <v>2.0080321285140564E-6</v>
      </c>
      <c r="S1298" s="82">
        <f t="shared" si="162"/>
        <v>1.0040160642570283E-2</v>
      </c>
      <c r="T1298" s="83">
        <f t="shared" si="163"/>
        <v>29.505374457831323</v>
      </c>
      <c r="U1298" s="307">
        <f t="shared" si="159"/>
        <v>4081.5767999999994</v>
      </c>
      <c r="V1298" s="80">
        <f t="shared" si="153"/>
        <v>40.979686746987952</v>
      </c>
      <c r="W1298" s="98">
        <v>20</v>
      </c>
      <c r="X1298" s="84">
        <f>+IF(P1298="ACERO A36",VLOOKUP(Q1298,'[3]Tiempo Objeto'!$B$2:$C$12,2,FALSE),IF(P1298="INOXIDABLE",VLOOKUP(Q1298,'[3]Tiempo Objeto'!$B$14:$C$22,2,FALSE),IF(P1298="ALUMINIO",VLOOKUP(Q1298,'[3]Tiempo Objeto'!$B$24:$C$32,2,FALSE))))</f>
        <v>0.3133333333333333</v>
      </c>
      <c r="Y1298" s="84">
        <f t="shared" si="164"/>
        <v>6.2666666666666657</v>
      </c>
      <c r="Z1298" s="80">
        <f t="shared" si="165"/>
        <v>8.7037037037037024</v>
      </c>
      <c r="AA1298" s="100">
        <v>8</v>
      </c>
      <c r="AB1298" s="86">
        <f>+AA1298*Analisis!$J$6</f>
        <v>200</v>
      </c>
      <c r="AC1298" s="100"/>
      <c r="AD1298" s="85">
        <f t="shared" si="166"/>
        <v>0</v>
      </c>
      <c r="AE1298" s="86">
        <f>+AC1298*Analisis!$J$7</f>
        <v>0</v>
      </c>
      <c r="AF1298" s="308">
        <f>+H1298*0.0254*I1298*0.0254*2*(1+[3]Analisis!$G$2)</f>
        <v>0.57838593999999988</v>
      </c>
      <c r="AG1298" s="86">
        <f>+AF1298*Analisis!$J$8</f>
        <v>61.625644797619053</v>
      </c>
      <c r="AH1298" s="309">
        <f t="shared" si="167"/>
        <v>460.35216024831067</v>
      </c>
      <c r="AI1298" s="86">
        <f>+AH1298/(1-Analisis!G1303)</f>
        <v>460.35216024831067</v>
      </c>
      <c r="AJ1298" s="86">
        <f t="shared" si="168"/>
        <v>495.00232284764593</v>
      </c>
      <c r="AK1298" s="86">
        <f t="shared" si="169"/>
        <v>0</v>
      </c>
      <c r="AL1298" s="310" t="e">
        <f>+VLOOKUP(B1298,#REF!,2,FALSE)</f>
        <v>#REF!</v>
      </c>
      <c r="AM1298" s="311" t="e">
        <f t="shared" si="149"/>
        <v>#REF!</v>
      </c>
      <c r="AN1298" s="312" t="e">
        <f t="shared" si="148"/>
        <v>#REF!</v>
      </c>
    </row>
    <row r="1299" spans="1:40" s="73" customFormat="1" x14ac:dyDescent="0.25">
      <c r="A1299" s="313"/>
      <c r="B1299" s="333" t="s">
        <v>1921</v>
      </c>
      <c r="D1299" s="74">
        <f>IFERROR(VLOOKUP(B1299,'REQ. PINTADO'!B:C,2,0),0)</f>
        <v>0</v>
      </c>
      <c r="E1299" s="305">
        <f t="shared" si="160"/>
        <v>565.41979764961877</v>
      </c>
      <c r="F1299" s="103" t="s">
        <v>165</v>
      </c>
      <c r="G1299" s="75" t="s">
        <v>147</v>
      </c>
      <c r="H1299" s="90">
        <v>6.52</v>
      </c>
      <c r="I1299" s="90">
        <v>70</v>
      </c>
      <c r="J1299" s="76">
        <v>0.105</v>
      </c>
      <c r="K1299" s="306">
        <v>16.38</v>
      </c>
      <c r="L1299" s="78">
        <f t="shared" si="161"/>
        <v>25.477457264957266</v>
      </c>
      <c r="M1299" s="58">
        <f>+VLOOKUP(F1299,Material!$H$2:$M$17,6,FALSE)*H1299*I1299*(1+Material!$K$14)</f>
        <v>189.69124999999997</v>
      </c>
      <c r="N1299" s="79" t="str">
        <f t="shared" si="170"/>
        <v>T5.0</v>
      </c>
      <c r="O1299" s="80">
        <f>+VLOOKUP(N1299,[3]Material!$A$3:$B$58,2,FALSE)</f>
        <v>5000</v>
      </c>
      <c r="P1299" s="79" t="s">
        <v>42</v>
      </c>
      <c r="Q1299" s="79" t="str">
        <f>+VLOOKUP(F1299,[3]Material!$C$2:$E$12,2,FALSE)</f>
        <v>Cal 14</v>
      </c>
      <c r="R1299" s="81">
        <f>+IF(P1299="ACERO A36",VLOOKUP(Q1299,'[3]Velocidades Std 1500 w'!$B$2:$F$15,5,FALSE),IF(P1299="INOXIDABLE",VLOOKUP(Q1299,'[3]Velocidades Std 1500 w'!$B$17:$F$28,5,FALSE),IF(P1299="ALUMINIO",VLOOKUP(Q1299,'[3]Velocidades Std 1500 w'!$B$30:$F$38,5,FALSE))))</f>
        <v>2.0080321285140564E-6</v>
      </c>
      <c r="S1299" s="82">
        <f t="shared" si="162"/>
        <v>1.0040160642570283E-2</v>
      </c>
      <c r="T1299" s="83">
        <f t="shared" si="163"/>
        <v>35.289229879518075</v>
      </c>
      <c r="U1299" s="307">
        <f t="shared" si="159"/>
        <v>4881.6767999999993</v>
      </c>
      <c r="V1299" s="80">
        <f t="shared" si="153"/>
        <v>49.012819277108434</v>
      </c>
      <c r="W1299" s="98">
        <v>20</v>
      </c>
      <c r="X1299" s="84">
        <f>+IF(P1299="ACERO A36",VLOOKUP(Q1299,'[3]Tiempo Objeto'!$B$2:$C$12,2,FALSE),IF(P1299="INOXIDABLE",VLOOKUP(Q1299,'[3]Tiempo Objeto'!$B$14:$C$22,2,FALSE),IF(P1299="ALUMINIO",VLOOKUP(Q1299,'[3]Tiempo Objeto'!$B$24:$C$32,2,FALSE))))</f>
        <v>0.3133333333333333</v>
      </c>
      <c r="Y1299" s="84">
        <f t="shared" si="164"/>
        <v>6.2666666666666657</v>
      </c>
      <c r="Z1299" s="80">
        <f t="shared" si="165"/>
        <v>8.7037037037037024</v>
      </c>
      <c r="AA1299" s="100">
        <v>8</v>
      </c>
      <c r="AB1299" s="86">
        <f>+AA1299*Analisis!$J$6</f>
        <v>200</v>
      </c>
      <c r="AC1299" s="100"/>
      <c r="AD1299" s="85">
        <f t="shared" si="166"/>
        <v>0</v>
      </c>
      <c r="AE1299" s="86">
        <f>+AC1299*Analisis!$J$7</f>
        <v>0</v>
      </c>
      <c r="AF1299" s="308">
        <f>+H1299*0.0254*I1299*0.0254*2*(1+[3]Analisis!$G$2)</f>
        <v>0.7361275599999999</v>
      </c>
      <c r="AG1299" s="86">
        <f>+AF1299*Analisis!$J$8</f>
        <v>78.432638833333343</v>
      </c>
      <c r="AH1299" s="309">
        <f t="shared" si="167"/>
        <v>525.84041181414545</v>
      </c>
      <c r="AI1299" s="86">
        <f>+AH1299/(1-Analisis!G1304)</f>
        <v>525.84041181414545</v>
      </c>
      <c r="AJ1299" s="86">
        <f t="shared" si="168"/>
        <v>565.41979764961877</v>
      </c>
      <c r="AK1299" s="86">
        <f t="shared" si="169"/>
        <v>0</v>
      </c>
      <c r="AL1299" s="310" t="e">
        <f>+VLOOKUP(B1299,#REF!,2,FALSE)</f>
        <v>#REF!</v>
      </c>
      <c r="AM1299" s="311" t="e">
        <f t="shared" si="149"/>
        <v>#REF!</v>
      </c>
      <c r="AN1299" s="312" t="e">
        <f t="shared" si="148"/>
        <v>#REF!</v>
      </c>
    </row>
    <row r="1300" spans="1:40" s="73" customFormat="1" x14ac:dyDescent="0.25">
      <c r="A1300" s="313"/>
      <c r="B1300" s="333" t="s">
        <v>1922</v>
      </c>
      <c r="D1300" s="74">
        <f>IFERROR(VLOOKUP(B1300,'REQ. PINTADO'!B:C,2,0),0)</f>
        <v>0</v>
      </c>
      <c r="E1300" s="305">
        <f t="shared" si="160"/>
        <v>659.30976405224942</v>
      </c>
      <c r="F1300" s="103" t="s">
        <v>165</v>
      </c>
      <c r="G1300" s="75" t="s">
        <v>147</v>
      </c>
      <c r="H1300" s="90">
        <v>6.52</v>
      </c>
      <c r="I1300" s="90">
        <v>90</v>
      </c>
      <c r="J1300" s="76">
        <v>0.105</v>
      </c>
      <c r="K1300" s="306">
        <v>16.38</v>
      </c>
      <c r="L1300" s="78">
        <f t="shared" si="161"/>
        <v>32.756730769230771</v>
      </c>
      <c r="M1300" s="58">
        <f>+VLOOKUP(F1300,Material!$H$2:$M$17,6,FALSE)*H1300*I1300*(1+Material!$K$14)</f>
        <v>243.88874999999999</v>
      </c>
      <c r="N1300" s="79" t="str">
        <f t="shared" si="170"/>
        <v>T5.0</v>
      </c>
      <c r="O1300" s="80">
        <f>+VLOOKUP(N1300,[3]Material!$A$3:$B$58,2,FALSE)</f>
        <v>5000</v>
      </c>
      <c r="P1300" s="79" t="s">
        <v>42</v>
      </c>
      <c r="Q1300" s="79" t="str">
        <f>+VLOOKUP(F1300,[3]Material!$C$2:$E$12,2,FALSE)</f>
        <v>Cal 14</v>
      </c>
      <c r="R1300" s="81">
        <f>+IF(P1300="ACERO A36",VLOOKUP(Q1300,'[3]Velocidades Std 1500 w'!$B$2:$F$15,5,FALSE),IF(P1300="INOXIDABLE",VLOOKUP(Q1300,'[3]Velocidades Std 1500 w'!$B$17:$F$28,5,FALSE),IF(P1300="ALUMINIO",VLOOKUP(Q1300,'[3]Velocidades Std 1500 w'!$B$30:$F$38,5,FALSE))))</f>
        <v>2.0080321285140564E-6</v>
      </c>
      <c r="S1300" s="82">
        <f t="shared" si="162"/>
        <v>1.0040160642570283E-2</v>
      </c>
      <c r="T1300" s="83">
        <f t="shared" si="163"/>
        <v>43.001037108433735</v>
      </c>
      <c r="U1300" s="307">
        <f t="shared" si="159"/>
        <v>5948.4767999999995</v>
      </c>
      <c r="V1300" s="80">
        <f t="shared" si="153"/>
        <v>59.723662650602414</v>
      </c>
      <c r="W1300" s="98">
        <v>20</v>
      </c>
      <c r="X1300" s="84">
        <f>+IF(P1300="ACERO A36",VLOOKUP(Q1300,'[3]Tiempo Objeto'!$B$2:$C$12,2,FALSE),IF(P1300="INOXIDABLE",VLOOKUP(Q1300,'[3]Tiempo Objeto'!$B$14:$C$22,2,FALSE),IF(P1300="ALUMINIO",VLOOKUP(Q1300,'[3]Tiempo Objeto'!$B$24:$C$32,2,FALSE))))</f>
        <v>0.3133333333333333</v>
      </c>
      <c r="Y1300" s="84">
        <f t="shared" si="164"/>
        <v>6.2666666666666657</v>
      </c>
      <c r="Z1300" s="80">
        <f t="shared" si="165"/>
        <v>8.7037037037037024</v>
      </c>
      <c r="AA1300" s="100">
        <v>8</v>
      </c>
      <c r="AB1300" s="86">
        <f>+AA1300*Analisis!$J$6</f>
        <v>200</v>
      </c>
      <c r="AC1300" s="100"/>
      <c r="AD1300" s="85">
        <f t="shared" si="166"/>
        <v>0</v>
      </c>
      <c r="AE1300" s="86">
        <f>+AC1300*Analisis!$J$7</f>
        <v>0</v>
      </c>
      <c r="AF1300" s="308">
        <f>+H1300*0.0254*I1300*0.0254*2*(1+[3]Analisis!$G$2)</f>
        <v>0.94644971999999983</v>
      </c>
      <c r="AG1300" s="86">
        <f>+AF1300*Analisis!$J$8</f>
        <v>100.84196421428572</v>
      </c>
      <c r="AH1300" s="309">
        <f t="shared" si="167"/>
        <v>613.15808056859191</v>
      </c>
      <c r="AI1300" s="86">
        <f>+AH1300/(1-Analisis!G1305)</f>
        <v>613.15808056859191</v>
      </c>
      <c r="AJ1300" s="86">
        <f t="shared" si="168"/>
        <v>659.30976405224942</v>
      </c>
      <c r="AK1300" s="86">
        <f t="shared" si="169"/>
        <v>0</v>
      </c>
      <c r="AL1300" s="310" t="e">
        <f>+VLOOKUP(B1300,#REF!,2,FALSE)</f>
        <v>#REF!</v>
      </c>
      <c r="AM1300" s="311" t="e">
        <f t="shared" si="149"/>
        <v>#REF!</v>
      </c>
      <c r="AN1300" s="312" t="e">
        <f t="shared" si="148"/>
        <v>#REF!</v>
      </c>
    </row>
    <row r="1301" spans="1:40" s="73" customFormat="1" x14ac:dyDescent="0.25">
      <c r="A1301" s="313"/>
      <c r="B1301" s="333" t="s">
        <v>1923</v>
      </c>
      <c r="D1301" s="74">
        <f>IFERROR(VLOOKUP(B1301,'REQ. PINTADO'!B:C,2,0),0)</f>
        <v>0</v>
      </c>
      <c r="E1301" s="305">
        <f t="shared" si="160"/>
        <v>495.00232284764593</v>
      </c>
      <c r="F1301" s="103" t="s">
        <v>165</v>
      </c>
      <c r="G1301" s="75" t="s">
        <v>147</v>
      </c>
      <c r="H1301" s="90">
        <v>6.52</v>
      </c>
      <c r="I1301" s="90">
        <v>55</v>
      </c>
      <c r="J1301" s="76">
        <v>0.105</v>
      </c>
      <c r="K1301" s="306">
        <v>16.38</v>
      </c>
      <c r="L1301" s="78">
        <f t="shared" si="161"/>
        <v>20.018002136752134</v>
      </c>
      <c r="M1301" s="58">
        <f>+VLOOKUP(F1301,Material!$H$2:$M$17,6,FALSE)*H1301*I1301*(1+Material!$K$14)</f>
        <v>149.04312499999997</v>
      </c>
      <c r="N1301" s="79" t="str">
        <f t="shared" si="170"/>
        <v>T5.0</v>
      </c>
      <c r="O1301" s="80">
        <f>+VLOOKUP(N1301,[3]Material!$A$3:$B$58,2,FALSE)</f>
        <v>5000</v>
      </c>
      <c r="P1301" s="79" t="s">
        <v>42</v>
      </c>
      <c r="Q1301" s="79" t="str">
        <f>+VLOOKUP(F1301,[3]Material!$C$2:$E$12,2,FALSE)</f>
        <v>Cal 14</v>
      </c>
      <c r="R1301" s="81">
        <f>+IF(P1301="ACERO A36",VLOOKUP(Q1301,'[3]Velocidades Std 1500 w'!$B$2:$F$15,5,FALSE),IF(P1301="INOXIDABLE",VLOOKUP(Q1301,'[3]Velocidades Std 1500 w'!$B$17:$F$28,5,FALSE),IF(P1301="ALUMINIO",VLOOKUP(Q1301,'[3]Velocidades Std 1500 w'!$B$30:$F$38,5,FALSE))))</f>
        <v>2.0080321285140564E-6</v>
      </c>
      <c r="S1301" s="82">
        <f t="shared" si="162"/>
        <v>1.0040160642570283E-2</v>
      </c>
      <c r="T1301" s="83">
        <f t="shared" si="163"/>
        <v>29.505374457831323</v>
      </c>
      <c r="U1301" s="307">
        <f t="shared" si="159"/>
        <v>4081.5767999999994</v>
      </c>
      <c r="V1301" s="80">
        <f t="shared" si="153"/>
        <v>40.979686746987952</v>
      </c>
      <c r="W1301" s="98">
        <v>20</v>
      </c>
      <c r="X1301" s="84">
        <f>+IF(P1301="ACERO A36",VLOOKUP(Q1301,'[3]Tiempo Objeto'!$B$2:$C$12,2,FALSE),IF(P1301="INOXIDABLE",VLOOKUP(Q1301,'[3]Tiempo Objeto'!$B$14:$C$22,2,FALSE),IF(P1301="ALUMINIO",VLOOKUP(Q1301,'[3]Tiempo Objeto'!$B$24:$C$32,2,FALSE))))</f>
        <v>0.3133333333333333</v>
      </c>
      <c r="Y1301" s="84">
        <f t="shared" si="164"/>
        <v>6.2666666666666657</v>
      </c>
      <c r="Z1301" s="80">
        <f t="shared" si="165"/>
        <v>8.7037037037037024</v>
      </c>
      <c r="AA1301" s="100">
        <v>8</v>
      </c>
      <c r="AB1301" s="86">
        <f>+AA1301*Analisis!$J$6</f>
        <v>200</v>
      </c>
      <c r="AC1301" s="100"/>
      <c r="AD1301" s="85">
        <f t="shared" si="166"/>
        <v>0</v>
      </c>
      <c r="AE1301" s="86">
        <f>+AC1301*Analisis!$J$7</f>
        <v>0</v>
      </c>
      <c r="AF1301" s="308">
        <f>+H1301*0.0254*I1301*0.0254*2*(1+[3]Analisis!$G$2)</f>
        <v>0.57838593999999988</v>
      </c>
      <c r="AG1301" s="86">
        <f>+AF1301*Analisis!$J$8</f>
        <v>61.625644797619053</v>
      </c>
      <c r="AH1301" s="309">
        <f t="shared" si="167"/>
        <v>460.35216024831067</v>
      </c>
      <c r="AI1301" s="86">
        <f>+AH1301/(1-Analisis!G1306)</f>
        <v>460.35216024831067</v>
      </c>
      <c r="AJ1301" s="86">
        <f t="shared" si="168"/>
        <v>495.00232284764593</v>
      </c>
      <c r="AK1301" s="86">
        <f t="shared" si="169"/>
        <v>0</v>
      </c>
      <c r="AL1301" s="310" t="e">
        <f>+VLOOKUP(B1301,#REF!,2,FALSE)</f>
        <v>#REF!</v>
      </c>
      <c r="AM1301" s="311" t="e">
        <f t="shared" si="149"/>
        <v>#REF!</v>
      </c>
      <c r="AN1301" s="312" t="e">
        <f t="shared" si="148"/>
        <v>#REF!</v>
      </c>
    </row>
    <row r="1302" spans="1:40" s="73" customFormat="1" x14ac:dyDescent="0.25">
      <c r="A1302" s="313"/>
      <c r="B1302" s="333" t="s">
        <v>1924</v>
      </c>
      <c r="D1302" s="74">
        <f>IFERROR(VLOOKUP(B1302,'REQ. PINTADO'!B:C,2,0),0)</f>
        <v>0</v>
      </c>
      <c r="E1302" s="305">
        <f t="shared" si="160"/>
        <v>565.41979764961877</v>
      </c>
      <c r="F1302" s="103" t="s">
        <v>165</v>
      </c>
      <c r="G1302" s="75" t="s">
        <v>147</v>
      </c>
      <c r="H1302" s="90">
        <v>6.52</v>
      </c>
      <c r="I1302" s="90">
        <v>70</v>
      </c>
      <c r="J1302" s="76">
        <v>0.105</v>
      </c>
      <c r="K1302" s="306">
        <v>16.38</v>
      </c>
      <c r="L1302" s="78">
        <f t="shared" si="161"/>
        <v>25.477457264957266</v>
      </c>
      <c r="M1302" s="58">
        <f>+VLOOKUP(F1302,Material!$H$2:$M$17,6,FALSE)*H1302*I1302*(1+Material!$K$14)</f>
        <v>189.69124999999997</v>
      </c>
      <c r="N1302" s="79" t="str">
        <f t="shared" si="170"/>
        <v>T5.0</v>
      </c>
      <c r="O1302" s="80">
        <f>+VLOOKUP(N1302,[3]Material!$A$3:$B$58,2,FALSE)</f>
        <v>5000</v>
      </c>
      <c r="P1302" s="79" t="s">
        <v>42</v>
      </c>
      <c r="Q1302" s="79" t="str">
        <f>+VLOOKUP(F1302,[3]Material!$C$2:$E$12,2,FALSE)</f>
        <v>Cal 14</v>
      </c>
      <c r="R1302" s="81">
        <f>+IF(P1302="ACERO A36",VLOOKUP(Q1302,'[3]Velocidades Std 1500 w'!$B$2:$F$15,5,FALSE),IF(P1302="INOXIDABLE",VLOOKUP(Q1302,'[3]Velocidades Std 1500 w'!$B$17:$F$28,5,FALSE),IF(P1302="ALUMINIO",VLOOKUP(Q1302,'[3]Velocidades Std 1500 w'!$B$30:$F$38,5,FALSE))))</f>
        <v>2.0080321285140564E-6</v>
      </c>
      <c r="S1302" s="82">
        <f t="shared" si="162"/>
        <v>1.0040160642570283E-2</v>
      </c>
      <c r="T1302" s="83">
        <f t="shared" si="163"/>
        <v>35.289229879518075</v>
      </c>
      <c r="U1302" s="307">
        <f t="shared" si="159"/>
        <v>4881.6767999999993</v>
      </c>
      <c r="V1302" s="80">
        <f t="shared" si="153"/>
        <v>49.012819277108434</v>
      </c>
      <c r="W1302" s="98">
        <v>20</v>
      </c>
      <c r="X1302" s="84">
        <f>+IF(P1302="ACERO A36",VLOOKUP(Q1302,'[3]Tiempo Objeto'!$B$2:$C$12,2,FALSE),IF(P1302="INOXIDABLE",VLOOKUP(Q1302,'[3]Tiempo Objeto'!$B$14:$C$22,2,FALSE),IF(P1302="ALUMINIO",VLOOKUP(Q1302,'[3]Tiempo Objeto'!$B$24:$C$32,2,FALSE))))</f>
        <v>0.3133333333333333</v>
      </c>
      <c r="Y1302" s="84">
        <f t="shared" si="164"/>
        <v>6.2666666666666657</v>
      </c>
      <c r="Z1302" s="80">
        <f t="shared" si="165"/>
        <v>8.7037037037037024</v>
      </c>
      <c r="AA1302" s="100">
        <v>8</v>
      </c>
      <c r="AB1302" s="86">
        <f>+AA1302*Analisis!$J$6</f>
        <v>200</v>
      </c>
      <c r="AC1302" s="100"/>
      <c r="AD1302" s="85">
        <f t="shared" si="166"/>
        <v>0</v>
      </c>
      <c r="AE1302" s="86">
        <f>+AC1302*Analisis!$J$7</f>
        <v>0</v>
      </c>
      <c r="AF1302" s="308">
        <f>+H1302*0.0254*I1302*0.0254*2*(1+[3]Analisis!$G$2)</f>
        <v>0.7361275599999999</v>
      </c>
      <c r="AG1302" s="86">
        <f>+AF1302*Analisis!$J$8</f>
        <v>78.432638833333343</v>
      </c>
      <c r="AH1302" s="309">
        <f t="shared" si="167"/>
        <v>525.84041181414545</v>
      </c>
      <c r="AI1302" s="86">
        <f>+AH1302/(1-Analisis!G1307)</f>
        <v>525.84041181414545</v>
      </c>
      <c r="AJ1302" s="86">
        <f t="shared" si="168"/>
        <v>565.41979764961877</v>
      </c>
      <c r="AK1302" s="86">
        <f t="shared" si="169"/>
        <v>0</v>
      </c>
      <c r="AL1302" s="310" t="e">
        <f>+VLOOKUP(B1302,#REF!,2,FALSE)</f>
        <v>#REF!</v>
      </c>
      <c r="AM1302" s="311" t="e">
        <f t="shared" si="149"/>
        <v>#REF!</v>
      </c>
      <c r="AN1302" s="312" t="e">
        <f t="shared" si="148"/>
        <v>#REF!</v>
      </c>
    </row>
    <row r="1303" spans="1:40" s="73" customFormat="1" x14ac:dyDescent="0.25">
      <c r="A1303" s="313"/>
      <c r="B1303" s="333" t="s">
        <v>1925</v>
      </c>
      <c r="D1303" s="74">
        <f>IFERROR(VLOOKUP(B1303,'REQ. PINTADO'!B:C,2,0),0)</f>
        <v>0</v>
      </c>
      <c r="E1303" s="305">
        <f t="shared" si="160"/>
        <v>659.30976405224942</v>
      </c>
      <c r="F1303" s="103" t="s">
        <v>165</v>
      </c>
      <c r="G1303" s="75" t="s">
        <v>147</v>
      </c>
      <c r="H1303" s="90">
        <v>6.52</v>
      </c>
      <c r="I1303" s="90">
        <v>90</v>
      </c>
      <c r="J1303" s="76">
        <v>0.105</v>
      </c>
      <c r="K1303" s="306">
        <v>16.38</v>
      </c>
      <c r="L1303" s="78">
        <f t="shared" si="161"/>
        <v>32.756730769230771</v>
      </c>
      <c r="M1303" s="58">
        <f>+VLOOKUP(F1303,Material!$H$2:$M$17,6,FALSE)*H1303*I1303*(1+Material!$K$14)</f>
        <v>243.88874999999999</v>
      </c>
      <c r="N1303" s="79" t="str">
        <f t="shared" si="170"/>
        <v>T5.0</v>
      </c>
      <c r="O1303" s="80">
        <f>+VLOOKUP(N1303,[3]Material!$A$3:$B$58,2,FALSE)</f>
        <v>5000</v>
      </c>
      <c r="P1303" s="79" t="s">
        <v>42</v>
      </c>
      <c r="Q1303" s="79" t="str">
        <f>+VLOOKUP(F1303,[3]Material!$C$2:$E$12,2,FALSE)</f>
        <v>Cal 14</v>
      </c>
      <c r="R1303" s="81">
        <f>+IF(P1303="ACERO A36",VLOOKUP(Q1303,'[3]Velocidades Std 1500 w'!$B$2:$F$15,5,FALSE),IF(P1303="INOXIDABLE",VLOOKUP(Q1303,'[3]Velocidades Std 1500 w'!$B$17:$F$28,5,FALSE),IF(P1303="ALUMINIO",VLOOKUP(Q1303,'[3]Velocidades Std 1500 w'!$B$30:$F$38,5,FALSE))))</f>
        <v>2.0080321285140564E-6</v>
      </c>
      <c r="S1303" s="82">
        <f t="shared" si="162"/>
        <v>1.0040160642570283E-2</v>
      </c>
      <c r="T1303" s="83">
        <f t="shared" si="163"/>
        <v>43.001037108433735</v>
      </c>
      <c r="U1303" s="307">
        <f t="shared" si="159"/>
        <v>5948.4767999999995</v>
      </c>
      <c r="V1303" s="80">
        <f t="shared" si="153"/>
        <v>59.723662650602414</v>
      </c>
      <c r="W1303" s="98">
        <v>20</v>
      </c>
      <c r="X1303" s="84">
        <f>+IF(P1303="ACERO A36",VLOOKUP(Q1303,'[3]Tiempo Objeto'!$B$2:$C$12,2,FALSE),IF(P1303="INOXIDABLE",VLOOKUP(Q1303,'[3]Tiempo Objeto'!$B$14:$C$22,2,FALSE),IF(P1303="ALUMINIO",VLOOKUP(Q1303,'[3]Tiempo Objeto'!$B$24:$C$32,2,FALSE))))</f>
        <v>0.3133333333333333</v>
      </c>
      <c r="Y1303" s="84">
        <f t="shared" si="164"/>
        <v>6.2666666666666657</v>
      </c>
      <c r="Z1303" s="80">
        <f t="shared" si="165"/>
        <v>8.7037037037037024</v>
      </c>
      <c r="AA1303" s="100">
        <v>8</v>
      </c>
      <c r="AB1303" s="86">
        <f>+AA1303*Analisis!$J$6</f>
        <v>200</v>
      </c>
      <c r="AC1303" s="100"/>
      <c r="AD1303" s="85">
        <f t="shared" si="166"/>
        <v>0</v>
      </c>
      <c r="AE1303" s="86">
        <f>+AC1303*Analisis!$J$7</f>
        <v>0</v>
      </c>
      <c r="AF1303" s="308">
        <f>+H1303*0.0254*I1303*0.0254*2*(1+[3]Analisis!$G$2)</f>
        <v>0.94644971999999983</v>
      </c>
      <c r="AG1303" s="86">
        <f>+AF1303*Analisis!$J$8</f>
        <v>100.84196421428572</v>
      </c>
      <c r="AH1303" s="309">
        <f t="shared" si="167"/>
        <v>613.15808056859191</v>
      </c>
      <c r="AI1303" s="86">
        <f>+AH1303/(1-Analisis!G1308)</f>
        <v>613.15808056859191</v>
      </c>
      <c r="AJ1303" s="86">
        <f t="shared" si="168"/>
        <v>659.30976405224942</v>
      </c>
      <c r="AK1303" s="86">
        <f t="shared" si="169"/>
        <v>0</v>
      </c>
      <c r="AL1303" s="310" t="e">
        <f>+VLOOKUP(B1303,#REF!,2,FALSE)</f>
        <v>#REF!</v>
      </c>
      <c r="AM1303" s="311" t="e">
        <f t="shared" si="149"/>
        <v>#REF!</v>
      </c>
      <c r="AN1303" s="312" t="e">
        <f t="shared" si="148"/>
        <v>#REF!</v>
      </c>
    </row>
    <row r="1304" spans="1:40" s="73" customFormat="1" x14ac:dyDescent="0.25">
      <c r="A1304" s="313"/>
      <c r="B1304" s="333" t="s">
        <v>1926</v>
      </c>
      <c r="D1304" s="74">
        <f>IFERROR(VLOOKUP(B1304,'REQ. PINTADO'!B:C,2,0),0)</f>
        <v>0</v>
      </c>
      <c r="E1304" s="305">
        <f t="shared" si="160"/>
        <v>659.30976405224942</v>
      </c>
      <c r="F1304" s="103" t="s">
        <v>165</v>
      </c>
      <c r="G1304" s="75" t="s">
        <v>147</v>
      </c>
      <c r="H1304" s="90">
        <v>6.52</v>
      </c>
      <c r="I1304" s="90">
        <v>90</v>
      </c>
      <c r="J1304" s="76">
        <v>0.105</v>
      </c>
      <c r="K1304" s="306">
        <v>16.38</v>
      </c>
      <c r="L1304" s="78">
        <f t="shared" si="161"/>
        <v>32.756730769230771</v>
      </c>
      <c r="M1304" s="58">
        <f>+VLOOKUP(F1304,Material!$H$2:$M$17,6,FALSE)*H1304*I1304*(1+Material!$K$14)</f>
        <v>243.88874999999999</v>
      </c>
      <c r="N1304" s="79" t="str">
        <f t="shared" si="170"/>
        <v>T5.0</v>
      </c>
      <c r="O1304" s="80">
        <f>+VLOOKUP(N1304,[3]Material!$A$3:$B$58,2,FALSE)</f>
        <v>5000</v>
      </c>
      <c r="P1304" s="79" t="s">
        <v>42</v>
      </c>
      <c r="Q1304" s="79" t="str">
        <f>+VLOOKUP(F1304,[3]Material!$C$2:$E$12,2,FALSE)</f>
        <v>Cal 14</v>
      </c>
      <c r="R1304" s="81">
        <f>+IF(P1304="ACERO A36",VLOOKUP(Q1304,'[3]Velocidades Std 1500 w'!$B$2:$F$15,5,FALSE),IF(P1304="INOXIDABLE",VLOOKUP(Q1304,'[3]Velocidades Std 1500 w'!$B$17:$F$28,5,FALSE),IF(P1304="ALUMINIO",VLOOKUP(Q1304,'[3]Velocidades Std 1500 w'!$B$30:$F$38,5,FALSE))))</f>
        <v>2.0080321285140564E-6</v>
      </c>
      <c r="S1304" s="82">
        <f t="shared" si="162"/>
        <v>1.0040160642570283E-2</v>
      </c>
      <c r="T1304" s="83">
        <f t="shared" si="163"/>
        <v>43.001037108433735</v>
      </c>
      <c r="U1304" s="307">
        <f t="shared" si="159"/>
        <v>5948.4767999999995</v>
      </c>
      <c r="V1304" s="80">
        <f t="shared" si="153"/>
        <v>59.723662650602414</v>
      </c>
      <c r="W1304" s="98">
        <v>20</v>
      </c>
      <c r="X1304" s="84">
        <f>+IF(P1304="ACERO A36",VLOOKUP(Q1304,'[3]Tiempo Objeto'!$B$2:$C$12,2,FALSE),IF(P1304="INOXIDABLE",VLOOKUP(Q1304,'[3]Tiempo Objeto'!$B$14:$C$22,2,FALSE),IF(P1304="ALUMINIO",VLOOKUP(Q1304,'[3]Tiempo Objeto'!$B$24:$C$32,2,FALSE))))</f>
        <v>0.3133333333333333</v>
      </c>
      <c r="Y1304" s="84">
        <f t="shared" si="164"/>
        <v>6.2666666666666657</v>
      </c>
      <c r="Z1304" s="80">
        <f t="shared" si="165"/>
        <v>8.7037037037037024</v>
      </c>
      <c r="AA1304" s="100">
        <v>8</v>
      </c>
      <c r="AB1304" s="86">
        <f>+AA1304*Analisis!$J$6</f>
        <v>200</v>
      </c>
      <c r="AC1304" s="100"/>
      <c r="AD1304" s="85">
        <f t="shared" si="166"/>
        <v>0</v>
      </c>
      <c r="AE1304" s="86">
        <f>+AC1304*Analisis!$J$7</f>
        <v>0</v>
      </c>
      <c r="AF1304" s="308">
        <f>+H1304*0.0254*I1304*0.0254*2*(1+[3]Analisis!$G$2)</f>
        <v>0.94644971999999983</v>
      </c>
      <c r="AG1304" s="86">
        <f>+AF1304*Analisis!$J$8</f>
        <v>100.84196421428572</v>
      </c>
      <c r="AH1304" s="309">
        <f t="shared" si="167"/>
        <v>613.15808056859191</v>
      </c>
      <c r="AI1304" s="86">
        <f>+AH1304/(1-Analisis!G1309)</f>
        <v>613.15808056859191</v>
      </c>
      <c r="AJ1304" s="86">
        <f t="shared" si="168"/>
        <v>659.30976405224942</v>
      </c>
      <c r="AK1304" s="86">
        <f t="shared" si="169"/>
        <v>0</v>
      </c>
      <c r="AL1304" s="310" t="e">
        <f>+VLOOKUP(B1304,#REF!,2,FALSE)</f>
        <v>#REF!</v>
      </c>
      <c r="AM1304" s="311" t="e">
        <f t="shared" si="149"/>
        <v>#REF!</v>
      </c>
      <c r="AN1304" s="312" t="e">
        <f t="shared" si="148"/>
        <v>#REF!</v>
      </c>
    </row>
    <row r="1305" spans="1:40" s="73" customFormat="1" x14ac:dyDescent="0.25">
      <c r="A1305" s="313"/>
      <c r="B1305" s="333" t="s">
        <v>1927</v>
      </c>
      <c r="D1305" s="74">
        <f>IFERROR(VLOOKUP(B1305,'REQ. PINTADO'!B:C,2,0),0)</f>
        <v>0</v>
      </c>
      <c r="E1305" s="305">
        <f t="shared" si="160"/>
        <v>565.41979764961877</v>
      </c>
      <c r="F1305" s="103" t="s">
        <v>165</v>
      </c>
      <c r="G1305" s="75" t="s">
        <v>147</v>
      </c>
      <c r="H1305" s="90">
        <v>6.52</v>
      </c>
      <c r="I1305" s="90">
        <v>70</v>
      </c>
      <c r="J1305" s="76">
        <v>0.105</v>
      </c>
      <c r="K1305" s="306">
        <v>16.38</v>
      </c>
      <c r="L1305" s="78">
        <f t="shared" si="161"/>
        <v>25.477457264957266</v>
      </c>
      <c r="M1305" s="58">
        <f>+VLOOKUP(F1305,Material!$H$2:$M$17,6,FALSE)*H1305*I1305*(1+Material!$K$14)</f>
        <v>189.69124999999997</v>
      </c>
      <c r="N1305" s="79" t="str">
        <f t="shared" si="170"/>
        <v>T5.0</v>
      </c>
      <c r="O1305" s="80">
        <f>+VLOOKUP(N1305,[3]Material!$A$3:$B$58,2,FALSE)</f>
        <v>5000</v>
      </c>
      <c r="P1305" s="79" t="s">
        <v>42</v>
      </c>
      <c r="Q1305" s="79" t="str">
        <f>+VLOOKUP(F1305,[3]Material!$C$2:$E$12,2,FALSE)</f>
        <v>Cal 14</v>
      </c>
      <c r="R1305" s="81">
        <f>+IF(P1305="ACERO A36",VLOOKUP(Q1305,'[3]Velocidades Std 1500 w'!$B$2:$F$15,5,FALSE),IF(P1305="INOXIDABLE",VLOOKUP(Q1305,'[3]Velocidades Std 1500 w'!$B$17:$F$28,5,FALSE),IF(P1305="ALUMINIO",VLOOKUP(Q1305,'[3]Velocidades Std 1500 w'!$B$30:$F$38,5,FALSE))))</f>
        <v>2.0080321285140564E-6</v>
      </c>
      <c r="S1305" s="82">
        <f t="shared" si="162"/>
        <v>1.0040160642570283E-2</v>
      </c>
      <c r="T1305" s="83">
        <f t="shared" si="163"/>
        <v>35.289229879518075</v>
      </c>
      <c r="U1305" s="307">
        <f t="shared" si="159"/>
        <v>4881.6767999999993</v>
      </c>
      <c r="V1305" s="80">
        <f t="shared" si="153"/>
        <v>49.012819277108434</v>
      </c>
      <c r="W1305" s="98">
        <v>20</v>
      </c>
      <c r="X1305" s="84">
        <f>+IF(P1305="ACERO A36",VLOOKUP(Q1305,'[3]Tiempo Objeto'!$B$2:$C$12,2,FALSE),IF(P1305="INOXIDABLE",VLOOKUP(Q1305,'[3]Tiempo Objeto'!$B$14:$C$22,2,FALSE),IF(P1305="ALUMINIO",VLOOKUP(Q1305,'[3]Tiempo Objeto'!$B$24:$C$32,2,FALSE))))</f>
        <v>0.3133333333333333</v>
      </c>
      <c r="Y1305" s="84">
        <f t="shared" si="164"/>
        <v>6.2666666666666657</v>
      </c>
      <c r="Z1305" s="80">
        <f t="shared" si="165"/>
        <v>8.7037037037037024</v>
      </c>
      <c r="AA1305" s="100">
        <v>8</v>
      </c>
      <c r="AB1305" s="86">
        <f>+AA1305*Analisis!$J$6</f>
        <v>200</v>
      </c>
      <c r="AC1305" s="100"/>
      <c r="AD1305" s="85">
        <f t="shared" si="166"/>
        <v>0</v>
      </c>
      <c r="AE1305" s="86">
        <f>+AC1305*Analisis!$J$7</f>
        <v>0</v>
      </c>
      <c r="AF1305" s="308">
        <f>+H1305*0.0254*I1305*0.0254*2*(1+[3]Analisis!$G$2)</f>
        <v>0.7361275599999999</v>
      </c>
      <c r="AG1305" s="86">
        <f>+AF1305*Analisis!$J$8</f>
        <v>78.432638833333343</v>
      </c>
      <c r="AH1305" s="309">
        <f t="shared" si="167"/>
        <v>525.84041181414545</v>
      </c>
      <c r="AI1305" s="86">
        <f>+AH1305/(1-Analisis!G1310)</f>
        <v>525.84041181414545</v>
      </c>
      <c r="AJ1305" s="86">
        <f t="shared" si="168"/>
        <v>565.41979764961877</v>
      </c>
      <c r="AK1305" s="86">
        <f t="shared" si="169"/>
        <v>0</v>
      </c>
      <c r="AL1305" s="310" t="e">
        <f>+VLOOKUP(B1305,#REF!,2,FALSE)</f>
        <v>#REF!</v>
      </c>
      <c r="AM1305" s="311" t="e">
        <f t="shared" si="149"/>
        <v>#REF!</v>
      </c>
      <c r="AN1305" s="312" t="e">
        <f t="shared" si="148"/>
        <v>#REF!</v>
      </c>
    </row>
    <row r="1306" spans="1:40" s="73" customFormat="1" x14ac:dyDescent="0.25">
      <c r="A1306" s="313"/>
      <c r="B1306" s="333" t="s">
        <v>1928</v>
      </c>
      <c r="D1306" s="74">
        <f>IFERROR(VLOOKUP(B1306,'REQ. PINTADO'!B:C,2,0),0)</f>
        <v>0</v>
      </c>
      <c r="E1306" s="305">
        <f t="shared" si="160"/>
        <v>659.30976405224942</v>
      </c>
      <c r="F1306" s="103" t="s">
        <v>165</v>
      </c>
      <c r="G1306" s="75" t="s">
        <v>147</v>
      </c>
      <c r="H1306" s="90">
        <v>6.52</v>
      </c>
      <c r="I1306" s="90">
        <v>90</v>
      </c>
      <c r="J1306" s="76">
        <v>0.105</v>
      </c>
      <c r="K1306" s="306">
        <v>16.38</v>
      </c>
      <c r="L1306" s="78">
        <f t="shared" si="161"/>
        <v>32.756730769230771</v>
      </c>
      <c r="M1306" s="58">
        <f>+VLOOKUP(F1306,Material!$H$2:$M$17,6,FALSE)*H1306*I1306*(1+Material!$K$14)</f>
        <v>243.88874999999999</v>
      </c>
      <c r="N1306" s="79" t="str">
        <f t="shared" si="170"/>
        <v>T5.0</v>
      </c>
      <c r="O1306" s="80">
        <f>+VLOOKUP(N1306,[3]Material!$A$3:$B$58,2,FALSE)</f>
        <v>5000</v>
      </c>
      <c r="P1306" s="79" t="s">
        <v>42</v>
      </c>
      <c r="Q1306" s="79" t="str">
        <f>+VLOOKUP(F1306,[3]Material!$C$2:$E$12,2,FALSE)</f>
        <v>Cal 14</v>
      </c>
      <c r="R1306" s="81">
        <f>+IF(P1306="ACERO A36",VLOOKUP(Q1306,'[3]Velocidades Std 1500 w'!$B$2:$F$15,5,FALSE),IF(P1306="INOXIDABLE",VLOOKUP(Q1306,'[3]Velocidades Std 1500 w'!$B$17:$F$28,5,FALSE),IF(P1306="ALUMINIO",VLOOKUP(Q1306,'[3]Velocidades Std 1500 w'!$B$30:$F$38,5,FALSE))))</f>
        <v>2.0080321285140564E-6</v>
      </c>
      <c r="S1306" s="82">
        <f t="shared" si="162"/>
        <v>1.0040160642570283E-2</v>
      </c>
      <c r="T1306" s="83">
        <f t="shared" si="163"/>
        <v>43.001037108433735</v>
      </c>
      <c r="U1306" s="307">
        <f t="shared" si="159"/>
        <v>5948.4767999999995</v>
      </c>
      <c r="V1306" s="80">
        <f t="shared" si="153"/>
        <v>59.723662650602414</v>
      </c>
      <c r="W1306" s="98">
        <v>20</v>
      </c>
      <c r="X1306" s="84">
        <f>+IF(P1306="ACERO A36",VLOOKUP(Q1306,'[3]Tiempo Objeto'!$B$2:$C$12,2,FALSE),IF(P1306="INOXIDABLE",VLOOKUP(Q1306,'[3]Tiempo Objeto'!$B$14:$C$22,2,FALSE),IF(P1306="ALUMINIO",VLOOKUP(Q1306,'[3]Tiempo Objeto'!$B$24:$C$32,2,FALSE))))</f>
        <v>0.3133333333333333</v>
      </c>
      <c r="Y1306" s="84">
        <f t="shared" si="164"/>
        <v>6.2666666666666657</v>
      </c>
      <c r="Z1306" s="80">
        <f t="shared" si="165"/>
        <v>8.7037037037037024</v>
      </c>
      <c r="AA1306" s="100">
        <v>8</v>
      </c>
      <c r="AB1306" s="86">
        <f>+AA1306*Analisis!$J$6</f>
        <v>200</v>
      </c>
      <c r="AC1306" s="100"/>
      <c r="AD1306" s="85">
        <f t="shared" si="166"/>
        <v>0</v>
      </c>
      <c r="AE1306" s="86">
        <f>+AC1306*Analisis!$J$7</f>
        <v>0</v>
      </c>
      <c r="AF1306" s="308">
        <f>+H1306*0.0254*I1306*0.0254*2*(1+[3]Analisis!$G$2)</f>
        <v>0.94644971999999983</v>
      </c>
      <c r="AG1306" s="86">
        <f>+AF1306*Analisis!$J$8</f>
        <v>100.84196421428572</v>
      </c>
      <c r="AH1306" s="309">
        <f t="shared" si="167"/>
        <v>613.15808056859191</v>
      </c>
      <c r="AI1306" s="86">
        <f>+AH1306/(1-Analisis!G1311)</f>
        <v>613.15808056859191</v>
      </c>
      <c r="AJ1306" s="86">
        <f t="shared" si="168"/>
        <v>659.30976405224942</v>
      </c>
      <c r="AK1306" s="86">
        <f t="shared" si="169"/>
        <v>0</v>
      </c>
      <c r="AL1306" s="310" t="e">
        <f>+VLOOKUP(B1306,#REF!,2,FALSE)</f>
        <v>#REF!</v>
      </c>
      <c r="AM1306" s="311" t="e">
        <f t="shared" si="149"/>
        <v>#REF!</v>
      </c>
      <c r="AN1306" s="312" t="e">
        <f t="shared" si="148"/>
        <v>#REF!</v>
      </c>
    </row>
    <row r="1307" spans="1:40" s="73" customFormat="1" x14ac:dyDescent="0.25">
      <c r="A1307" s="313"/>
      <c r="B1307" s="333" t="s">
        <v>1929</v>
      </c>
      <c r="D1307" s="74">
        <f>IFERROR(VLOOKUP(B1307,'REQ. PINTADO'!B:C,2,0),0)</f>
        <v>0</v>
      </c>
      <c r="E1307" s="305">
        <f t="shared" si="160"/>
        <v>565.41979764961877</v>
      </c>
      <c r="F1307" s="103" t="s">
        <v>165</v>
      </c>
      <c r="G1307" s="75" t="s">
        <v>147</v>
      </c>
      <c r="H1307" s="90">
        <v>6.52</v>
      </c>
      <c r="I1307" s="90">
        <v>70</v>
      </c>
      <c r="J1307" s="76">
        <v>0.105</v>
      </c>
      <c r="K1307" s="306">
        <v>16.38</v>
      </c>
      <c r="L1307" s="78">
        <f t="shared" si="161"/>
        <v>25.477457264957266</v>
      </c>
      <c r="M1307" s="58">
        <f>+VLOOKUP(F1307,Material!$H$2:$M$17,6,FALSE)*H1307*I1307*(1+Material!$K$14)</f>
        <v>189.69124999999997</v>
      </c>
      <c r="N1307" s="79" t="str">
        <f t="shared" si="170"/>
        <v>T5.0</v>
      </c>
      <c r="O1307" s="80">
        <f>+VLOOKUP(N1307,[3]Material!$A$3:$B$58,2,FALSE)</f>
        <v>5000</v>
      </c>
      <c r="P1307" s="79" t="s">
        <v>42</v>
      </c>
      <c r="Q1307" s="79" t="str">
        <f>+VLOOKUP(F1307,[3]Material!$C$2:$E$12,2,FALSE)</f>
        <v>Cal 14</v>
      </c>
      <c r="R1307" s="81">
        <f>+IF(P1307="ACERO A36",VLOOKUP(Q1307,'[3]Velocidades Std 1500 w'!$B$2:$F$15,5,FALSE),IF(P1307="INOXIDABLE",VLOOKUP(Q1307,'[3]Velocidades Std 1500 w'!$B$17:$F$28,5,FALSE),IF(P1307="ALUMINIO",VLOOKUP(Q1307,'[3]Velocidades Std 1500 w'!$B$30:$F$38,5,FALSE))))</f>
        <v>2.0080321285140564E-6</v>
      </c>
      <c r="S1307" s="82">
        <f t="shared" si="162"/>
        <v>1.0040160642570283E-2</v>
      </c>
      <c r="T1307" s="83">
        <f t="shared" si="163"/>
        <v>35.289229879518075</v>
      </c>
      <c r="U1307" s="307">
        <f t="shared" si="159"/>
        <v>4881.6767999999993</v>
      </c>
      <c r="V1307" s="80">
        <f t="shared" si="153"/>
        <v>49.012819277108434</v>
      </c>
      <c r="W1307" s="98">
        <v>20</v>
      </c>
      <c r="X1307" s="84">
        <f>+IF(P1307="ACERO A36",VLOOKUP(Q1307,'[3]Tiempo Objeto'!$B$2:$C$12,2,FALSE),IF(P1307="INOXIDABLE",VLOOKUP(Q1307,'[3]Tiempo Objeto'!$B$14:$C$22,2,FALSE),IF(P1307="ALUMINIO",VLOOKUP(Q1307,'[3]Tiempo Objeto'!$B$24:$C$32,2,FALSE))))</f>
        <v>0.3133333333333333</v>
      </c>
      <c r="Y1307" s="84">
        <f t="shared" si="164"/>
        <v>6.2666666666666657</v>
      </c>
      <c r="Z1307" s="80">
        <f t="shared" si="165"/>
        <v>8.7037037037037024</v>
      </c>
      <c r="AA1307" s="100">
        <v>8</v>
      </c>
      <c r="AB1307" s="86">
        <f>+AA1307*Analisis!$J$6</f>
        <v>200</v>
      </c>
      <c r="AC1307" s="100"/>
      <c r="AD1307" s="85">
        <f t="shared" si="166"/>
        <v>0</v>
      </c>
      <c r="AE1307" s="86">
        <f>+AC1307*Analisis!$J$7</f>
        <v>0</v>
      </c>
      <c r="AF1307" s="308">
        <f>+H1307*0.0254*I1307*0.0254*2*(1+[3]Analisis!$G$2)</f>
        <v>0.7361275599999999</v>
      </c>
      <c r="AG1307" s="86">
        <f>+AF1307*Analisis!$J$8</f>
        <v>78.432638833333343</v>
      </c>
      <c r="AH1307" s="309">
        <f t="shared" si="167"/>
        <v>525.84041181414545</v>
      </c>
      <c r="AI1307" s="86">
        <f>+AH1307/(1-Analisis!G1312)</f>
        <v>525.84041181414545</v>
      </c>
      <c r="AJ1307" s="86">
        <f t="shared" si="168"/>
        <v>565.41979764961877</v>
      </c>
      <c r="AK1307" s="86">
        <f t="shared" si="169"/>
        <v>0</v>
      </c>
      <c r="AL1307" s="310" t="e">
        <f>+VLOOKUP(B1307,#REF!,2,FALSE)</f>
        <v>#REF!</v>
      </c>
      <c r="AM1307" s="311" t="e">
        <f t="shared" si="149"/>
        <v>#REF!</v>
      </c>
      <c r="AN1307" s="312" t="e">
        <f t="shared" si="148"/>
        <v>#REF!</v>
      </c>
    </row>
    <row r="1308" spans="1:40" s="73" customFormat="1" x14ac:dyDescent="0.25">
      <c r="A1308" s="313"/>
      <c r="B1308" s="333" t="s">
        <v>1930</v>
      </c>
      <c r="D1308" s="74">
        <f>IFERROR(VLOOKUP(B1308,'REQ. PINTADO'!B:C,2,0),0)</f>
        <v>0</v>
      </c>
      <c r="E1308" s="305">
        <f t="shared" si="160"/>
        <v>659.30976405224942</v>
      </c>
      <c r="F1308" s="103" t="s">
        <v>165</v>
      </c>
      <c r="G1308" s="75" t="s">
        <v>147</v>
      </c>
      <c r="H1308" s="90">
        <v>6.52</v>
      </c>
      <c r="I1308" s="90">
        <v>90</v>
      </c>
      <c r="J1308" s="76">
        <v>0.105</v>
      </c>
      <c r="K1308" s="306">
        <v>16.38</v>
      </c>
      <c r="L1308" s="78">
        <f t="shared" si="161"/>
        <v>32.756730769230771</v>
      </c>
      <c r="M1308" s="58">
        <f>+VLOOKUP(F1308,Material!$H$2:$M$17,6,FALSE)*H1308*I1308*(1+Material!$K$14)</f>
        <v>243.88874999999999</v>
      </c>
      <c r="N1308" s="79" t="str">
        <f t="shared" si="170"/>
        <v>T5.0</v>
      </c>
      <c r="O1308" s="80">
        <f>+VLOOKUP(N1308,[3]Material!$A$3:$B$58,2,FALSE)</f>
        <v>5000</v>
      </c>
      <c r="P1308" s="79" t="s">
        <v>42</v>
      </c>
      <c r="Q1308" s="79" t="str">
        <f>+VLOOKUP(F1308,[3]Material!$C$2:$E$12,2,FALSE)</f>
        <v>Cal 14</v>
      </c>
      <c r="R1308" s="81">
        <f>+IF(P1308="ACERO A36",VLOOKUP(Q1308,'[3]Velocidades Std 1500 w'!$B$2:$F$15,5,FALSE),IF(P1308="INOXIDABLE",VLOOKUP(Q1308,'[3]Velocidades Std 1500 w'!$B$17:$F$28,5,FALSE),IF(P1308="ALUMINIO",VLOOKUP(Q1308,'[3]Velocidades Std 1500 w'!$B$30:$F$38,5,FALSE))))</f>
        <v>2.0080321285140564E-6</v>
      </c>
      <c r="S1308" s="82">
        <f t="shared" si="162"/>
        <v>1.0040160642570283E-2</v>
      </c>
      <c r="T1308" s="83">
        <f t="shared" si="163"/>
        <v>43.001037108433735</v>
      </c>
      <c r="U1308" s="307">
        <f t="shared" ref="U1308:U1731" si="171">(+I1308*2+H1308*2+W1308*1.5)*25.4*1.05</f>
        <v>5948.4767999999995</v>
      </c>
      <c r="V1308" s="80">
        <f t="shared" si="153"/>
        <v>59.723662650602414</v>
      </c>
      <c r="W1308" s="98">
        <v>20</v>
      </c>
      <c r="X1308" s="84">
        <f>+IF(P1308="ACERO A36",VLOOKUP(Q1308,'[3]Tiempo Objeto'!$B$2:$C$12,2,FALSE),IF(P1308="INOXIDABLE",VLOOKUP(Q1308,'[3]Tiempo Objeto'!$B$14:$C$22,2,FALSE),IF(P1308="ALUMINIO",VLOOKUP(Q1308,'[3]Tiempo Objeto'!$B$24:$C$32,2,FALSE))))</f>
        <v>0.3133333333333333</v>
      </c>
      <c r="Y1308" s="84">
        <f t="shared" si="164"/>
        <v>6.2666666666666657</v>
      </c>
      <c r="Z1308" s="80">
        <f t="shared" si="165"/>
        <v>8.7037037037037024</v>
      </c>
      <c r="AA1308" s="100">
        <v>8</v>
      </c>
      <c r="AB1308" s="86">
        <f>+AA1308*Analisis!$J$6</f>
        <v>200</v>
      </c>
      <c r="AC1308" s="100"/>
      <c r="AD1308" s="85">
        <f t="shared" si="166"/>
        <v>0</v>
      </c>
      <c r="AE1308" s="86">
        <f>+AC1308*Analisis!$J$7</f>
        <v>0</v>
      </c>
      <c r="AF1308" s="308">
        <f>+H1308*0.0254*I1308*0.0254*2*(1+[3]Analisis!$G$2)</f>
        <v>0.94644971999999983</v>
      </c>
      <c r="AG1308" s="86">
        <f>+AF1308*Analisis!$J$8</f>
        <v>100.84196421428572</v>
      </c>
      <c r="AH1308" s="309">
        <f t="shared" si="167"/>
        <v>613.15808056859191</v>
      </c>
      <c r="AI1308" s="86">
        <f>+AH1308/(1-Analisis!G1313)</f>
        <v>613.15808056859191</v>
      </c>
      <c r="AJ1308" s="86">
        <f t="shared" si="168"/>
        <v>659.30976405224942</v>
      </c>
      <c r="AK1308" s="86">
        <f t="shared" si="169"/>
        <v>0</v>
      </c>
      <c r="AL1308" s="310" t="e">
        <f>+VLOOKUP(B1308,#REF!,2,FALSE)</f>
        <v>#REF!</v>
      </c>
      <c r="AM1308" s="311" t="e">
        <f t="shared" si="149"/>
        <v>#REF!</v>
      </c>
      <c r="AN1308" s="312" t="e">
        <f t="shared" si="148"/>
        <v>#REF!</v>
      </c>
    </row>
    <row r="1309" spans="1:40" s="73" customFormat="1" x14ac:dyDescent="0.25">
      <c r="A1309" s="313"/>
      <c r="B1309" s="333" t="s">
        <v>1931</v>
      </c>
      <c r="D1309" s="74">
        <f>IFERROR(VLOOKUP(B1309,'REQ. PINTADO'!B:C,2,0),0)</f>
        <v>0</v>
      </c>
      <c r="E1309" s="305">
        <f t="shared" si="160"/>
        <v>40.521228992861708</v>
      </c>
      <c r="F1309" s="103" t="s">
        <v>165</v>
      </c>
      <c r="G1309" s="75" t="s">
        <v>147</v>
      </c>
      <c r="H1309" s="90">
        <v>3</v>
      </c>
      <c r="I1309" s="90">
        <v>3</v>
      </c>
      <c r="J1309" s="76">
        <v>0.105</v>
      </c>
      <c r="K1309" s="306">
        <v>16.38</v>
      </c>
      <c r="L1309" s="78">
        <f t="shared" si="161"/>
        <v>0.50240384615384626</v>
      </c>
      <c r="M1309" s="58">
        <f>+VLOOKUP(F1309,Material!$H$2:$M$17,6,FALSE)*H1309*I1309*(1+Material!$K$14)</f>
        <v>3.7406250000000001</v>
      </c>
      <c r="N1309" s="79" t="str">
        <f t="shared" si="170"/>
        <v>T5.0</v>
      </c>
      <c r="O1309" s="80">
        <f>+VLOOKUP(N1309,[3]Material!$A$3:$B$58,2,FALSE)</f>
        <v>5000</v>
      </c>
      <c r="P1309" s="79" t="s">
        <v>42</v>
      </c>
      <c r="Q1309" s="79" t="str">
        <f>+VLOOKUP(F1309,[3]Material!$C$2:$E$12,2,FALSE)</f>
        <v>Cal 14</v>
      </c>
      <c r="R1309" s="81">
        <f>+IF(P1309="ACERO A36",VLOOKUP(Q1309,'[3]Velocidades Std 1500 w'!$B$2:$F$15,5,FALSE),IF(P1309="INOXIDABLE",VLOOKUP(Q1309,'[3]Velocidades Std 1500 w'!$B$17:$F$28,5,FALSE),IF(P1309="ALUMINIO",VLOOKUP(Q1309,'[3]Velocidades Std 1500 w'!$B$30:$F$38,5,FALSE))))</f>
        <v>2.0080321285140564E-6</v>
      </c>
      <c r="S1309" s="82">
        <f t="shared" si="162"/>
        <v>1.0040160642570283E-2</v>
      </c>
      <c r="T1309" s="83">
        <f t="shared" si="163"/>
        <v>3.7595060240963853</v>
      </c>
      <c r="U1309" s="307">
        <f t="shared" si="171"/>
        <v>520.06499999999994</v>
      </c>
      <c r="V1309" s="80">
        <f t="shared" si="153"/>
        <v>5.2215361445783133</v>
      </c>
      <c r="W1309" s="98">
        <v>5</v>
      </c>
      <c r="X1309" s="84">
        <f>+IF(P1309="ACERO A36",VLOOKUP(Q1309,'[3]Tiempo Objeto'!$B$2:$C$12,2,FALSE),IF(P1309="INOXIDABLE",VLOOKUP(Q1309,'[3]Tiempo Objeto'!$B$14:$C$22,2,FALSE),IF(P1309="ALUMINIO",VLOOKUP(Q1309,'[3]Tiempo Objeto'!$B$24:$C$32,2,FALSE))))</f>
        <v>0.3133333333333333</v>
      </c>
      <c r="Y1309" s="84">
        <f t="shared" si="164"/>
        <v>1.5666666666666664</v>
      </c>
      <c r="Z1309" s="80">
        <f t="shared" si="165"/>
        <v>2.1759259259259256</v>
      </c>
      <c r="AA1309" s="100">
        <v>1</v>
      </c>
      <c r="AB1309" s="86">
        <f>+AA1309*Analisis!$J$6</f>
        <v>25</v>
      </c>
      <c r="AC1309" s="100"/>
      <c r="AD1309" s="85">
        <f t="shared" si="166"/>
        <v>0</v>
      </c>
      <c r="AE1309" s="86">
        <f>+AC1309*Analisis!$J$7</f>
        <v>0</v>
      </c>
      <c r="AF1309" s="308">
        <f>+H1309*0.0254*I1309*0.0254*2*(1+[3]Analisis!$G$2)</f>
        <v>1.4516099999999997E-2</v>
      </c>
      <c r="AG1309" s="86">
        <f>+AF1309*Analisis!$J$8</f>
        <v>1.546655892857143</v>
      </c>
      <c r="AH1309" s="309">
        <f t="shared" si="167"/>
        <v>37.684742963361387</v>
      </c>
      <c r="AI1309" s="86">
        <f>+AH1309/(1-Analisis!G1314)</f>
        <v>37.684742963361387</v>
      </c>
      <c r="AJ1309" s="86">
        <f t="shared" si="168"/>
        <v>40.521228992861708</v>
      </c>
      <c r="AK1309" s="86">
        <f t="shared" si="169"/>
        <v>0</v>
      </c>
      <c r="AL1309" s="310" t="e">
        <f>+VLOOKUP(B1309,#REF!,2,FALSE)</f>
        <v>#REF!</v>
      </c>
      <c r="AM1309" s="311" t="e">
        <f t="shared" si="149"/>
        <v>#REF!</v>
      </c>
      <c r="AN1309" s="312" t="e">
        <f t="shared" si="148"/>
        <v>#REF!</v>
      </c>
    </row>
    <row r="1310" spans="1:40" s="73" customFormat="1" x14ac:dyDescent="0.25">
      <c r="A1310" s="313"/>
      <c r="B1310" s="333" t="s">
        <v>1932</v>
      </c>
      <c r="D1310" s="74">
        <f>IFERROR(VLOOKUP(B1310,'REQ. PINTADO'!B:C,2,0),0)</f>
        <v>0</v>
      </c>
      <c r="E1310" s="305">
        <f t="shared" si="160"/>
        <v>723.01557988630771</v>
      </c>
      <c r="F1310" s="103" t="s">
        <v>166</v>
      </c>
      <c r="G1310" s="75" t="s">
        <v>147</v>
      </c>
      <c r="H1310" s="90">
        <v>31.206</v>
      </c>
      <c r="I1310" s="90">
        <v>35.826000000000001</v>
      </c>
      <c r="J1310" s="76">
        <v>0.105</v>
      </c>
      <c r="K1310" s="306">
        <v>16.38</v>
      </c>
      <c r="L1310" s="78">
        <f t="shared" si="161"/>
        <v>34.03301229099926</v>
      </c>
      <c r="M1310" s="58">
        <f>+VLOOKUP(F1310,Material!$H$2:$M$17,6,FALSE)*H1310*I1310*(1+Material!$K$14)</f>
        <v>253.39124605753079</v>
      </c>
      <c r="N1310" s="79" t="str">
        <f t="shared" si="170"/>
        <v>T5.0</v>
      </c>
      <c r="O1310" s="80">
        <f>+VLOOKUP(N1310,[3]Material!$A$3:$B$58,2,FALSE)</f>
        <v>5000</v>
      </c>
      <c r="P1310" s="79" t="s">
        <v>42</v>
      </c>
      <c r="Q1310" s="79" t="str">
        <f>+VLOOKUP(F1310,[3]Material!$C$2:$E$12,2,FALSE)</f>
        <v>Cal 16</v>
      </c>
      <c r="R1310" s="81">
        <f>+IF(P1310="ACERO A36",VLOOKUP(Q1310,'[3]Velocidades Std 1500 w'!$B$2:$F$15,5,FALSE),IF(P1310="INOXIDABLE",VLOOKUP(Q1310,'[3]Velocidades Std 1500 w'!$B$17:$F$28,5,FALSE),IF(P1310="ALUMINIO",VLOOKUP(Q1310,'[3]Velocidades Std 1500 w'!$B$30:$F$38,5,FALSE))))</f>
        <v>9.1575091575091579E-7</v>
      </c>
      <c r="S1310" s="82">
        <f t="shared" si="162"/>
        <v>4.578754578754579E-3</v>
      </c>
      <c r="T1310" s="83">
        <f t="shared" si="163"/>
        <v>14.425011692307692</v>
      </c>
      <c r="U1310" s="307">
        <f t="shared" si="171"/>
        <v>4375.5868799999998</v>
      </c>
      <c r="V1310" s="80">
        <f t="shared" si="153"/>
        <v>20.034738461538463</v>
      </c>
      <c r="W1310" s="98">
        <v>20</v>
      </c>
      <c r="X1310" s="84">
        <f>+IF(P1310="ACERO A36",VLOOKUP(Q1310,'[3]Tiempo Objeto'!$B$2:$C$12,2,FALSE),IF(P1310="INOXIDABLE",VLOOKUP(Q1310,'[3]Tiempo Objeto'!$B$14:$C$22,2,FALSE),IF(P1310="ALUMINIO",VLOOKUP(Q1310,'[3]Tiempo Objeto'!$B$24:$C$32,2,FALSE))))</f>
        <v>0.24666666666666667</v>
      </c>
      <c r="Y1310" s="84">
        <f t="shared" si="164"/>
        <v>4.9333333333333336</v>
      </c>
      <c r="Z1310" s="80">
        <f t="shared" si="165"/>
        <v>6.8518518518518521</v>
      </c>
      <c r="AA1310" s="100">
        <v>8</v>
      </c>
      <c r="AB1310" s="86">
        <f>+AA1310*Analisis!$J$6</f>
        <v>200</v>
      </c>
      <c r="AC1310" s="100"/>
      <c r="AD1310" s="85">
        <f t="shared" si="166"/>
        <v>0</v>
      </c>
      <c r="AE1310" s="86">
        <f>+AC1310*Analisis!$J$7</f>
        <v>0</v>
      </c>
      <c r="AF1310" s="308">
        <f>+H1310*0.0254*I1310*0.0254*2*(1+[3]Analisis!$G$2)</f>
        <v>1.8031998710123998</v>
      </c>
      <c r="AG1310" s="86">
        <f>+AF1310*Analisis!$J$8</f>
        <v>192.12665292334503</v>
      </c>
      <c r="AH1310" s="309">
        <f t="shared" si="167"/>
        <v>672.40448929426611</v>
      </c>
      <c r="AI1310" s="86">
        <f>+AH1310/(1-Analisis!G1315)</f>
        <v>672.40448929426611</v>
      </c>
      <c r="AJ1310" s="86">
        <f t="shared" si="168"/>
        <v>723.01557988630771</v>
      </c>
      <c r="AK1310" s="86">
        <f t="shared" si="169"/>
        <v>0</v>
      </c>
      <c r="AL1310" s="310" t="e">
        <f>+VLOOKUP(B1310,#REF!,2,FALSE)</f>
        <v>#REF!</v>
      </c>
      <c r="AM1310" s="311" t="e">
        <f t="shared" si="149"/>
        <v>#REF!</v>
      </c>
      <c r="AN1310" s="312" t="e">
        <f t="shared" si="148"/>
        <v>#REF!</v>
      </c>
    </row>
    <row r="1311" spans="1:40" s="73" customFormat="1" x14ac:dyDescent="0.25">
      <c r="A1311" s="313"/>
      <c r="B1311" s="333" t="s">
        <v>1933</v>
      </c>
      <c r="D1311" s="74">
        <f>IFERROR(VLOOKUP(B1311,'REQ. PINTADO'!B:C,2,0),0)</f>
        <v>0</v>
      </c>
      <c r="E1311" s="305">
        <f t="shared" si="160"/>
        <v>2512.3794790850429</v>
      </c>
      <c r="F1311" s="103" t="s">
        <v>165</v>
      </c>
      <c r="G1311" s="75" t="s">
        <v>147</v>
      </c>
      <c r="H1311" s="90">
        <v>38.767000000000003</v>
      </c>
      <c r="I1311" s="90">
        <v>88.97</v>
      </c>
      <c r="J1311" s="76">
        <v>0.105</v>
      </c>
      <c r="K1311" s="306">
        <v>16.38</v>
      </c>
      <c r="L1311" s="78">
        <f t="shared" si="161"/>
        <v>192.53790008279921</v>
      </c>
      <c r="M1311" s="58">
        <f>+VLOOKUP(F1311,Material!$H$2:$M$17,6,FALSE)*H1311*I1311*(1+Material!$K$14)</f>
        <v>1433.5321833437501</v>
      </c>
      <c r="N1311" s="79" t="str">
        <f t="shared" si="170"/>
        <v>T5.0</v>
      </c>
      <c r="O1311" s="80">
        <f>+VLOOKUP(N1311,[3]Material!$A$3:$B$58,2,FALSE)</f>
        <v>5000</v>
      </c>
      <c r="P1311" s="79" t="s">
        <v>42</v>
      </c>
      <c r="Q1311" s="79" t="str">
        <f>+VLOOKUP(F1311,[3]Material!$C$2:$E$12,2,FALSE)</f>
        <v>Cal 14</v>
      </c>
      <c r="R1311" s="81">
        <f>+IF(P1311="ACERO A36",VLOOKUP(Q1311,'[3]Velocidades Std 1500 w'!$B$2:$F$15,5,FALSE),IF(P1311="INOXIDABLE",VLOOKUP(Q1311,'[3]Velocidades Std 1500 w'!$B$17:$F$28,5,FALSE),IF(P1311="ALUMINIO",VLOOKUP(Q1311,'[3]Velocidades Std 1500 w'!$B$30:$F$38,5,FALSE))))</f>
        <v>2.0080321285140564E-6</v>
      </c>
      <c r="S1311" s="82">
        <f t="shared" si="162"/>
        <v>1.0040160642570283E-2</v>
      </c>
      <c r="T1311" s="83">
        <f t="shared" si="163"/>
        <v>63.713794554216875</v>
      </c>
      <c r="U1311" s="307">
        <f t="shared" si="171"/>
        <v>8813.7415799999999</v>
      </c>
      <c r="V1311" s="80">
        <f t="shared" si="153"/>
        <v>88.491381325301219</v>
      </c>
      <c r="W1311" s="98">
        <v>50</v>
      </c>
      <c r="X1311" s="84">
        <f>+IF(P1311="ACERO A36",VLOOKUP(Q1311,'[3]Tiempo Objeto'!$B$2:$C$12,2,FALSE),IF(P1311="INOXIDABLE",VLOOKUP(Q1311,'[3]Tiempo Objeto'!$B$14:$C$22,2,FALSE),IF(P1311="ALUMINIO",VLOOKUP(Q1311,'[3]Tiempo Objeto'!$B$24:$C$32,2,FALSE))))</f>
        <v>0.3133333333333333</v>
      </c>
      <c r="Y1311" s="84">
        <f t="shared" si="164"/>
        <v>15.666666666666664</v>
      </c>
      <c r="Z1311" s="80">
        <f t="shared" si="165"/>
        <v>21.75925925925926</v>
      </c>
      <c r="AA1311" s="100">
        <v>8</v>
      </c>
      <c r="AB1311" s="86">
        <f>+AA1311*Analisis!$J$6</f>
        <v>200</v>
      </c>
      <c r="AC1311" s="100"/>
      <c r="AD1311" s="85">
        <f t="shared" si="166"/>
        <v>0</v>
      </c>
      <c r="AE1311" s="86">
        <f>+AC1311*Analisis!$J$7</f>
        <v>0</v>
      </c>
      <c r="AF1311" s="308">
        <f>+H1311*0.0254*I1311*0.0254*2*(1+[3]Analisis!$G$2)</f>
        <v>5.563053373871</v>
      </c>
      <c r="AG1311" s="86">
        <f>+AF1311*Analisis!$J$8</f>
        <v>592.73009162077938</v>
      </c>
      <c r="AH1311" s="309">
        <f t="shared" si="167"/>
        <v>2336.5129155490899</v>
      </c>
      <c r="AI1311" s="86">
        <f>+AH1311/(1-Analisis!G1316)</f>
        <v>2336.5129155490899</v>
      </c>
      <c r="AJ1311" s="86">
        <f t="shared" si="168"/>
        <v>2512.3794790850429</v>
      </c>
      <c r="AK1311" s="86">
        <f t="shared" si="169"/>
        <v>0</v>
      </c>
      <c r="AL1311" s="310" t="e">
        <f>+VLOOKUP(B1311,#REF!,2,FALSE)</f>
        <v>#REF!</v>
      </c>
      <c r="AM1311" s="311" t="e">
        <f t="shared" si="149"/>
        <v>#REF!</v>
      </c>
      <c r="AN1311" s="312" t="e">
        <f t="shared" si="148"/>
        <v>#REF!</v>
      </c>
    </row>
    <row r="1312" spans="1:40" s="73" customFormat="1" x14ac:dyDescent="0.25">
      <c r="A1312" s="313"/>
      <c r="B1312" s="333" t="s">
        <v>1934</v>
      </c>
      <c r="D1312" s="74">
        <f>IFERROR(VLOOKUP(B1312,'REQ. PINTADO'!B:C,2,0),0)</f>
        <v>0</v>
      </c>
      <c r="E1312" s="305">
        <f t="shared" si="160"/>
        <v>198.33631705197837</v>
      </c>
      <c r="F1312" s="103" t="s">
        <v>165</v>
      </c>
      <c r="G1312" s="75" t="s">
        <v>147</v>
      </c>
      <c r="H1312" s="90">
        <v>3.1419999999999999</v>
      </c>
      <c r="I1312" s="90">
        <v>33</v>
      </c>
      <c r="J1312" s="76">
        <v>0.105</v>
      </c>
      <c r="K1312" s="306">
        <v>16.38</v>
      </c>
      <c r="L1312" s="78">
        <f t="shared" si="161"/>
        <v>5.7880272435897444</v>
      </c>
      <c r="M1312" s="58">
        <f>+VLOOKUP(F1312,Material!$H$2:$M$17,6,FALSE)*H1312*I1312*(1+Material!$K$14)</f>
        <v>43.094493749999998</v>
      </c>
      <c r="N1312" s="79" t="str">
        <f t="shared" si="170"/>
        <v>T5.0</v>
      </c>
      <c r="O1312" s="80">
        <f>+VLOOKUP(N1312,[3]Material!$A$3:$B$58,2,FALSE)</f>
        <v>5000</v>
      </c>
      <c r="P1312" s="79" t="s">
        <v>42</v>
      </c>
      <c r="Q1312" s="79" t="str">
        <f>+VLOOKUP(F1312,[3]Material!$C$2:$E$12,2,FALSE)</f>
        <v>Cal 14</v>
      </c>
      <c r="R1312" s="81">
        <f>+IF(P1312="ACERO A36",VLOOKUP(Q1312,'[3]Velocidades Std 1500 w'!$B$2:$F$15,5,FALSE),IF(P1312="INOXIDABLE",VLOOKUP(Q1312,'[3]Velocidades Std 1500 w'!$B$17:$F$28,5,FALSE),IF(P1312="ALUMINIO",VLOOKUP(Q1312,'[3]Velocidades Std 1500 w'!$B$30:$F$38,5,FALSE))))</f>
        <v>2.0080321285140564E-6</v>
      </c>
      <c r="S1312" s="82">
        <f t="shared" si="162"/>
        <v>1.0040160642570283E-2</v>
      </c>
      <c r="T1312" s="83">
        <f t="shared" si="163"/>
        <v>15.381970698795183</v>
      </c>
      <c r="U1312" s="307">
        <f t="shared" si="171"/>
        <v>2127.8392800000001</v>
      </c>
      <c r="V1312" s="80">
        <f t="shared" si="153"/>
        <v>21.363848192771091</v>
      </c>
      <c r="W1312" s="98">
        <v>5</v>
      </c>
      <c r="X1312" s="84">
        <f>+IF(P1312="ACERO A36",VLOOKUP(Q1312,'[3]Tiempo Objeto'!$B$2:$C$12,2,FALSE),IF(P1312="INOXIDABLE",VLOOKUP(Q1312,'[3]Tiempo Objeto'!$B$14:$C$22,2,FALSE),IF(P1312="ALUMINIO",VLOOKUP(Q1312,'[3]Tiempo Objeto'!$B$24:$C$32,2,FALSE))))</f>
        <v>0.3133333333333333</v>
      </c>
      <c r="Y1312" s="84">
        <f t="shared" si="164"/>
        <v>1.5666666666666664</v>
      </c>
      <c r="Z1312" s="80">
        <f t="shared" si="165"/>
        <v>2.1759259259259256</v>
      </c>
      <c r="AA1312" s="100">
        <v>4</v>
      </c>
      <c r="AB1312" s="86">
        <f>+AA1312*Analisis!$J$6</f>
        <v>100</v>
      </c>
      <c r="AC1312" s="100"/>
      <c r="AD1312" s="85">
        <f t="shared" si="166"/>
        <v>0</v>
      </c>
      <c r="AE1312" s="86">
        <f>+AC1312*Analisis!$J$7</f>
        <v>0</v>
      </c>
      <c r="AF1312" s="308">
        <f>+H1312*0.0254*I1312*0.0254*2*(1+[3]Analisis!$G$2)</f>
        <v>0.1672351494</v>
      </c>
      <c r="AG1312" s="86">
        <f>+AF1312*Analisis!$J$8</f>
        <v>17.818506989642863</v>
      </c>
      <c r="AH1312" s="309">
        <f t="shared" si="167"/>
        <v>184.45277485833986</v>
      </c>
      <c r="AI1312" s="86">
        <f>+AH1312/(1-Analisis!G1317)</f>
        <v>184.45277485833986</v>
      </c>
      <c r="AJ1312" s="86">
        <f t="shared" si="168"/>
        <v>198.33631705197837</v>
      </c>
      <c r="AK1312" s="86">
        <f t="shared" si="169"/>
        <v>0</v>
      </c>
      <c r="AL1312" s="310" t="e">
        <f>+VLOOKUP(B1312,#REF!,2,FALSE)</f>
        <v>#REF!</v>
      </c>
      <c r="AM1312" s="311" t="e">
        <f t="shared" si="149"/>
        <v>#REF!</v>
      </c>
      <c r="AN1312" s="312" t="e">
        <f t="shared" si="148"/>
        <v>#REF!</v>
      </c>
    </row>
    <row r="1313" spans="1:40" s="73" customFormat="1" x14ac:dyDescent="0.25">
      <c r="A1313" s="313"/>
      <c r="B1313" s="333" t="s">
        <v>1935</v>
      </c>
      <c r="D1313" s="74">
        <f>IFERROR(VLOOKUP(B1313,'REQ. PINTADO'!B:C,2,0),0)</f>
        <v>0</v>
      </c>
      <c r="E1313" s="305">
        <f t="shared" si="160"/>
        <v>289.12515264165989</v>
      </c>
      <c r="F1313" s="103" t="s">
        <v>163</v>
      </c>
      <c r="G1313" s="75" t="s">
        <v>147</v>
      </c>
      <c r="H1313" s="90">
        <v>8.8719999999999999</v>
      </c>
      <c r="I1313" s="90">
        <v>24.875</v>
      </c>
      <c r="J1313" s="76">
        <v>0.105</v>
      </c>
      <c r="K1313" s="306">
        <v>16.38</v>
      </c>
      <c r="L1313" s="78">
        <f t="shared" si="161"/>
        <v>11.126200149805154</v>
      </c>
      <c r="M1313" s="58">
        <f>+VLOOKUP(F1313,Material!$H$2:$M$17,6,FALSE)*H1313*I1313*(1+Material!$K$14)</f>
        <v>82.83961747900382</v>
      </c>
      <c r="N1313" s="79" t="str">
        <f t="shared" si="170"/>
        <v>T5.0</v>
      </c>
      <c r="O1313" s="80">
        <f>+VLOOKUP(N1313,[3]Material!$A$3:$B$58,2,FALSE)</f>
        <v>5000</v>
      </c>
      <c r="P1313" s="79" t="s">
        <v>42</v>
      </c>
      <c r="Q1313" s="79" t="str">
        <f>+VLOOKUP(F1313,[3]Material!$C$2:$E$12,2,FALSE)</f>
        <v>Cal 12</v>
      </c>
      <c r="R1313" s="81">
        <f>+IF(P1313="ACERO A36",VLOOKUP(Q1313,'[3]Velocidades Std 1500 w'!$B$2:$F$15,5,FALSE),IF(P1313="INOXIDABLE",VLOOKUP(Q1313,'[3]Velocidades Std 1500 w'!$B$17:$F$28,5,FALSE),IF(P1313="ALUMINIO",VLOOKUP(Q1313,'[3]Velocidades Std 1500 w'!$B$30:$F$38,5,FALSE))))</f>
        <v>4.3859649122807014E-6</v>
      </c>
      <c r="S1313" s="82">
        <f t="shared" si="162"/>
        <v>2.1929824561403508E-2</v>
      </c>
      <c r="T1313" s="83">
        <f t="shared" si="163"/>
        <v>31.580368105263155</v>
      </c>
      <c r="U1313" s="307">
        <f t="shared" si="171"/>
        <v>2000.08998</v>
      </c>
      <c r="V1313" s="80">
        <f t="shared" si="153"/>
        <v>43.861622368421052</v>
      </c>
      <c r="W1313" s="98">
        <v>5</v>
      </c>
      <c r="X1313" s="84">
        <f>+IF(P1313="ACERO A36",VLOOKUP(Q1313,'[3]Tiempo Objeto'!$B$2:$C$12,2,FALSE),IF(P1313="INOXIDABLE",VLOOKUP(Q1313,'[3]Tiempo Objeto'!$B$14:$C$22,2,FALSE),IF(P1313="ALUMINIO",VLOOKUP(Q1313,'[3]Tiempo Objeto'!$B$24:$C$32,2,FALSE))))</f>
        <v>0.6133333333333334</v>
      </c>
      <c r="Y1313" s="84">
        <f t="shared" si="164"/>
        <v>3.0666666666666669</v>
      </c>
      <c r="Z1313" s="80">
        <f t="shared" si="165"/>
        <v>4.2592592592592595</v>
      </c>
      <c r="AA1313" s="100">
        <v>4</v>
      </c>
      <c r="AB1313" s="86">
        <f>+AA1313*Analisis!$J$6</f>
        <v>100</v>
      </c>
      <c r="AC1313" s="100"/>
      <c r="AD1313" s="85">
        <f t="shared" si="166"/>
        <v>0</v>
      </c>
      <c r="AE1313" s="86">
        <f>+AC1313*Analisis!$J$7</f>
        <v>0</v>
      </c>
      <c r="AF1313" s="308">
        <f>+H1313*0.0254*I1313*0.0254*2*(1+[3]Analisis!$G$2)</f>
        <v>0.35595251389999999</v>
      </c>
      <c r="AG1313" s="86">
        <f>+AF1313*Analisis!$J$8</f>
        <v>37.925892850059533</v>
      </c>
      <c r="AH1313" s="309">
        <f t="shared" si="167"/>
        <v>268.88639195674369</v>
      </c>
      <c r="AI1313" s="86">
        <f>+AH1313/(1-Analisis!G1318)</f>
        <v>268.88639195674369</v>
      </c>
      <c r="AJ1313" s="86">
        <f t="shared" si="168"/>
        <v>289.12515264165989</v>
      </c>
      <c r="AK1313" s="86">
        <f t="shared" si="169"/>
        <v>0</v>
      </c>
      <c r="AL1313" s="310" t="e">
        <f>+VLOOKUP(B1313,#REF!,2,FALSE)</f>
        <v>#REF!</v>
      </c>
      <c r="AM1313" s="311" t="e">
        <f t="shared" si="149"/>
        <v>#REF!</v>
      </c>
      <c r="AN1313" s="312" t="e">
        <f t="shared" si="148"/>
        <v>#REF!</v>
      </c>
    </row>
    <row r="1314" spans="1:40" s="73" customFormat="1" x14ac:dyDescent="0.25">
      <c r="A1314" s="313"/>
      <c r="B1314" s="333" t="s">
        <v>1936</v>
      </c>
      <c r="D1314" s="74">
        <f>IFERROR(VLOOKUP(B1314,'REQ. PINTADO'!B:C,2,0),0)</f>
        <v>0</v>
      </c>
      <c r="E1314" s="305">
        <f t="shared" si="160"/>
        <v>38.763751441166185</v>
      </c>
      <c r="F1314" s="103" t="s">
        <v>166</v>
      </c>
      <c r="G1314" s="75" t="s">
        <v>147</v>
      </c>
      <c r="H1314" s="90">
        <v>1.7629999999999999</v>
      </c>
      <c r="I1314" s="90">
        <v>8.44</v>
      </c>
      <c r="J1314" s="76">
        <v>0.105</v>
      </c>
      <c r="K1314" s="306">
        <v>16.38</v>
      </c>
      <c r="L1314" s="78">
        <f t="shared" si="161"/>
        <v>0.4529588232634853</v>
      </c>
      <c r="M1314" s="58">
        <f>+VLOOKUP(F1314,Material!$H$2:$M$17,6,FALSE)*H1314*I1314*(1+Material!$K$14)</f>
        <v>3.3724843295708586</v>
      </c>
      <c r="N1314" s="79" t="str">
        <f t="shared" si="170"/>
        <v>T5.0</v>
      </c>
      <c r="O1314" s="80">
        <f>+VLOOKUP(N1314,[3]Material!$A$3:$B$58,2,FALSE)</f>
        <v>5000</v>
      </c>
      <c r="P1314" s="79" t="s">
        <v>42</v>
      </c>
      <c r="Q1314" s="79" t="str">
        <f>+VLOOKUP(F1314,[3]Material!$C$2:$E$12,2,FALSE)</f>
        <v>Cal 16</v>
      </c>
      <c r="R1314" s="81">
        <f>+IF(P1314="ACERO A36",VLOOKUP(Q1314,'[3]Velocidades Std 1500 w'!$B$2:$F$15,5,FALSE),IF(P1314="INOXIDABLE",VLOOKUP(Q1314,'[3]Velocidades Std 1500 w'!$B$17:$F$28,5,FALSE),IF(P1314="ALUMINIO",VLOOKUP(Q1314,'[3]Velocidades Std 1500 w'!$B$30:$F$38,5,FALSE))))</f>
        <v>9.1575091575091579E-7</v>
      </c>
      <c r="S1314" s="82">
        <f t="shared" si="162"/>
        <v>4.578754578754579E-3</v>
      </c>
      <c r="T1314" s="83">
        <f t="shared" si="163"/>
        <v>2.4535813846153847</v>
      </c>
      <c r="U1314" s="307">
        <f t="shared" si="171"/>
        <v>744.25301999999999</v>
      </c>
      <c r="V1314" s="80">
        <f t="shared" si="153"/>
        <v>3.4077519230769231</v>
      </c>
      <c r="W1314" s="98">
        <v>5</v>
      </c>
      <c r="X1314" s="84">
        <f>+IF(P1314="ACERO A36",VLOOKUP(Q1314,'[3]Tiempo Objeto'!$B$2:$C$12,2,FALSE),IF(P1314="INOXIDABLE",VLOOKUP(Q1314,'[3]Tiempo Objeto'!$B$14:$C$22,2,FALSE),IF(P1314="ALUMINIO",VLOOKUP(Q1314,'[3]Tiempo Objeto'!$B$24:$C$32,2,FALSE))))</f>
        <v>0.24666666666666667</v>
      </c>
      <c r="Y1314" s="84">
        <f t="shared" si="164"/>
        <v>1.2333333333333334</v>
      </c>
      <c r="Z1314" s="80">
        <f t="shared" si="165"/>
        <v>1.712962962962963</v>
      </c>
      <c r="AA1314" s="100">
        <v>1</v>
      </c>
      <c r="AB1314" s="86">
        <f>+AA1314*Analisis!$J$6</f>
        <v>25</v>
      </c>
      <c r="AC1314" s="100"/>
      <c r="AD1314" s="85">
        <f t="shared" si="166"/>
        <v>0</v>
      </c>
      <c r="AE1314" s="86">
        <f>+AC1314*Analisis!$J$7</f>
        <v>0</v>
      </c>
      <c r="AF1314" s="308">
        <f>+H1314*0.0254*I1314*0.0254*2*(1+[3]Analisis!$G$2)</f>
        <v>2.3999500387999993E-2</v>
      </c>
      <c r="AG1314" s="86">
        <f>+AF1314*Analisis!$J$8</f>
        <v>2.5570896246738095</v>
      </c>
      <c r="AH1314" s="309">
        <f t="shared" si="167"/>
        <v>36.050288840284551</v>
      </c>
      <c r="AI1314" s="86">
        <f>+AH1314/(1-Analisis!G1319)</f>
        <v>36.050288840284551</v>
      </c>
      <c r="AJ1314" s="86">
        <f t="shared" si="168"/>
        <v>38.763751441166185</v>
      </c>
      <c r="AK1314" s="86">
        <f t="shared" si="169"/>
        <v>0</v>
      </c>
      <c r="AL1314" s="310" t="e">
        <f>+VLOOKUP(B1314,#REF!,2,FALSE)</f>
        <v>#REF!</v>
      </c>
      <c r="AM1314" s="311" t="e">
        <f t="shared" si="149"/>
        <v>#REF!</v>
      </c>
      <c r="AN1314" s="312" t="e">
        <f t="shared" si="148"/>
        <v>#REF!</v>
      </c>
    </row>
    <row r="1315" spans="1:40" s="73" customFormat="1" x14ac:dyDescent="0.25">
      <c r="A1315" s="313"/>
      <c r="B1315" s="333" t="s">
        <v>1937</v>
      </c>
      <c r="D1315" s="74">
        <f>IFERROR(VLOOKUP(B1315,'REQ. PINTADO'!B:C,2,0),0)</f>
        <v>0</v>
      </c>
      <c r="E1315" s="305">
        <f t="shared" si="160"/>
        <v>38.763751441166185</v>
      </c>
      <c r="F1315" s="103" t="s">
        <v>166</v>
      </c>
      <c r="G1315" s="75" t="s">
        <v>147</v>
      </c>
      <c r="H1315" s="90">
        <v>1.7629999999999999</v>
      </c>
      <c r="I1315" s="90">
        <v>8.44</v>
      </c>
      <c r="J1315" s="76">
        <v>0.105</v>
      </c>
      <c r="K1315" s="306">
        <v>16.38</v>
      </c>
      <c r="L1315" s="78">
        <f t="shared" si="161"/>
        <v>0.4529588232634853</v>
      </c>
      <c r="M1315" s="58">
        <f>+VLOOKUP(F1315,Material!$H$2:$M$17,6,FALSE)*H1315*I1315*(1+Material!$K$14)</f>
        <v>3.3724843295708586</v>
      </c>
      <c r="N1315" s="79" t="str">
        <f t="shared" si="170"/>
        <v>T5.0</v>
      </c>
      <c r="O1315" s="80">
        <f>+VLOOKUP(N1315,[3]Material!$A$3:$B$58,2,FALSE)</f>
        <v>5000</v>
      </c>
      <c r="P1315" s="79" t="s">
        <v>42</v>
      </c>
      <c r="Q1315" s="79" t="str">
        <f>+VLOOKUP(F1315,[3]Material!$C$2:$E$12,2,FALSE)</f>
        <v>Cal 16</v>
      </c>
      <c r="R1315" s="81">
        <f>+IF(P1315="ACERO A36",VLOOKUP(Q1315,'[3]Velocidades Std 1500 w'!$B$2:$F$15,5,FALSE),IF(P1315="INOXIDABLE",VLOOKUP(Q1315,'[3]Velocidades Std 1500 w'!$B$17:$F$28,5,FALSE),IF(P1315="ALUMINIO",VLOOKUP(Q1315,'[3]Velocidades Std 1500 w'!$B$30:$F$38,5,FALSE))))</f>
        <v>9.1575091575091579E-7</v>
      </c>
      <c r="S1315" s="82">
        <f t="shared" si="162"/>
        <v>4.578754578754579E-3</v>
      </c>
      <c r="T1315" s="83">
        <f t="shared" si="163"/>
        <v>2.4535813846153847</v>
      </c>
      <c r="U1315" s="307">
        <f t="shared" si="171"/>
        <v>744.25301999999999</v>
      </c>
      <c r="V1315" s="80">
        <f t="shared" si="153"/>
        <v>3.4077519230769231</v>
      </c>
      <c r="W1315" s="98">
        <v>5</v>
      </c>
      <c r="X1315" s="84">
        <f>+IF(P1315="ACERO A36",VLOOKUP(Q1315,'[3]Tiempo Objeto'!$B$2:$C$12,2,FALSE),IF(P1315="INOXIDABLE",VLOOKUP(Q1315,'[3]Tiempo Objeto'!$B$14:$C$22,2,FALSE),IF(P1315="ALUMINIO",VLOOKUP(Q1315,'[3]Tiempo Objeto'!$B$24:$C$32,2,FALSE))))</f>
        <v>0.24666666666666667</v>
      </c>
      <c r="Y1315" s="84">
        <f t="shared" si="164"/>
        <v>1.2333333333333334</v>
      </c>
      <c r="Z1315" s="80">
        <f t="shared" si="165"/>
        <v>1.712962962962963</v>
      </c>
      <c r="AA1315" s="100">
        <v>1</v>
      </c>
      <c r="AB1315" s="86">
        <f>+AA1315*Analisis!$J$6</f>
        <v>25</v>
      </c>
      <c r="AC1315" s="100"/>
      <c r="AD1315" s="85">
        <f t="shared" si="166"/>
        <v>0</v>
      </c>
      <c r="AE1315" s="86">
        <f>+AC1315*Analisis!$J$7</f>
        <v>0</v>
      </c>
      <c r="AF1315" s="308">
        <f>+H1315*0.0254*I1315*0.0254*2*(1+[3]Analisis!$G$2)</f>
        <v>2.3999500387999993E-2</v>
      </c>
      <c r="AG1315" s="86">
        <f>+AF1315*Analisis!$J$8</f>
        <v>2.5570896246738095</v>
      </c>
      <c r="AH1315" s="309">
        <f t="shared" si="167"/>
        <v>36.050288840284551</v>
      </c>
      <c r="AI1315" s="86">
        <f>+AH1315/(1-Analisis!G1320)</f>
        <v>36.050288840284551</v>
      </c>
      <c r="AJ1315" s="86">
        <f t="shared" si="168"/>
        <v>38.763751441166185</v>
      </c>
      <c r="AK1315" s="86">
        <f t="shared" si="169"/>
        <v>0</v>
      </c>
      <c r="AL1315" s="310" t="e">
        <f>+VLOOKUP(B1315,#REF!,2,FALSE)</f>
        <v>#REF!</v>
      </c>
      <c r="AM1315" s="311" t="e">
        <f t="shared" si="149"/>
        <v>#REF!</v>
      </c>
      <c r="AN1315" s="312" t="e">
        <f t="shared" si="148"/>
        <v>#REF!</v>
      </c>
    </row>
    <row r="1316" spans="1:40" s="73" customFormat="1" x14ac:dyDescent="0.25">
      <c r="A1316" s="313"/>
      <c r="B1316" s="333" t="s">
        <v>1938</v>
      </c>
      <c r="D1316" s="74">
        <f>IFERROR(VLOOKUP(B1316,'REQ. PINTADO'!B:C,2,0),0)</f>
        <v>0</v>
      </c>
      <c r="E1316" s="305">
        <f t="shared" si="160"/>
        <v>790.02976832328409</v>
      </c>
      <c r="F1316" s="103" t="s">
        <v>165</v>
      </c>
      <c r="G1316" s="75" t="s">
        <v>147</v>
      </c>
      <c r="H1316" s="90">
        <v>23.582000000000001</v>
      </c>
      <c r="I1316" s="90">
        <v>35.701999999999998</v>
      </c>
      <c r="J1316" s="76">
        <v>0.105</v>
      </c>
      <c r="K1316" s="306">
        <v>16.38</v>
      </c>
      <c r="L1316" s="78">
        <f t="shared" si="161"/>
        <v>46.998459902777789</v>
      </c>
      <c r="M1316" s="58">
        <f>+VLOOKUP(F1316,Material!$H$2:$M$17,6,FALSE)*H1316*I1316*(1+Material!$K$14)</f>
        <v>349.9248969125</v>
      </c>
      <c r="N1316" s="79" t="str">
        <f t="shared" si="170"/>
        <v>T5.0</v>
      </c>
      <c r="O1316" s="80">
        <f>+VLOOKUP(N1316,[3]Material!$A$3:$B$58,2,FALSE)</f>
        <v>5000</v>
      </c>
      <c r="P1316" s="79" t="s">
        <v>42</v>
      </c>
      <c r="Q1316" s="79" t="str">
        <f>+VLOOKUP(F1316,[3]Material!$C$2:$E$12,2,FALSE)</f>
        <v>Cal 14</v>
      </c>
      <c r="R1316" s="81">
        <f>+IF(P1316="ACERO A36",VLOOKUP(Q1316,'[3]Velocidades Std 1500 w'!$B$2:$F$15,5,FALSE),IF(P1316="INOXIDABLE",VLOOKUP(Q1316,'[3]Velocidades Std 1500 w'!$B$17:$F$28,5,FALSE),IF(P1316="ALUMINIO",VLOOKUP(Q1316,'[3]Velocidades Std 1500 w'!$B$30:$F$38,5,FALSE))))</f>
        <v>2.0080321285140564E-6</v>
      </c>
      <c r="S1316" s="82">
        <f t="shared" si="162"/>
        <v>1.0040160642570283E-2</v>
      </c>
      <c r="T1316" s="83">
        <f t="shared" si="163"/>
        <v>25.751266698795181</v>
      </c>
      <c r="U1316" s="307">
        <f t="shared" si="171"/>
        <v>3562.2585599999998</v>
      </c>
      <c r="V1316" s="80">
        <f t="shared" si="153"/>
        <v>35.765648192771089</v>
      </c>
      <c r="W1316" s="98">
        <v>10</v>
      </c>
      <c r="X1316" s="84">
        <f>+IF(P1316="ACERO A36",VLOOKUP(Q1316,'[3]Tiempo Objeto'!$B$2:$C$12,2,FALSE),IF(P1316="INOXIDABLE",VLOOKUP(Q1316,'[3]Tiempo Objeto'!$B$14:$C$22,2,FALSE),IF(P1316="ALUMINIO",VLOOKUP(Q1316,'[3]Tiempo Objeto'!$B$24:$C$32,2,FALSE))))</f>
        <v>0.3133333333333333</v>
      </c>
      <c r="Y1316" s="84">
        <f t="shared" si="164"/>
        <v>3.1333333333333329</v>
      </c>
      <c r="Z1316" s="80">
        <f t="shared" si="165"/>
        <v>4.3518518518518512</v>
      </c>
      <c r="AA1316" s="100">
        <v>8</v>
      </c>
      <c r="AB1316" s="86">
        <f>+AA1316*Analisis!$J$6</f>
        <v>200</v>
      </c>
      <c r="AC1316" s="100"/>
      <c r="AD1316" s="85">
        <f t="shared" si="166"/>
        <v>0</v>
      </c>
      <c r="AE1316" s="86">
        <f>+AC1316*Analisis!$J$7</f>
        <v>0</v>
      </c>
      <c r="AF1316" s="308">
        <f>+H1316*0.0254*I1316*0.0254*2*(1+[3]Analisis!$G$2)</f>
        <v>1.3579401292755999</v>
      </c>
      <c r="AG1316" s="86">
        <f>+AF1316*Analisis!$J$8</f>
        <v>144.68528758353122</v>
      </c>
      <c r="AH1316" s="309">
        <f t="shared" si="167"/>
        <v>734.7276845406542</v>
      </c>
      <c r="AI1316" s="86">
        <f>+AH1316/(1-Analisis!G1321)</f>
        <v>734.7276845406542</v>
      </c>
      <c r="AJ1316" s="86">
        <f t="shared" si="168"/>
        <v>790.02976832328409</v>
      </c>
      <c r="AK1316" s="86">
        <f t="shared" si="169"/>
        <v>0</v>
      </c>
      <c r="AL1316" s="310" t="e">
        <f>+VLOOKUP(B1316,#REF!,2,FALSE)</f>
        <v>#REF!</v>
      </c>
      <c r="AM1316" s="311" t="e">
        <f t="shared" si="149"/>
        <v>#REF!</v>
      </c>
      <c r="AN1316" s="312" t="e">
        <f t="shared" si="148"/>
        <v>#REF!</v>
      </c>
    </row>
    <row r="1317" spans="1:40" s="73" customFormat="1" x14ac:dyDescent="0.25">
      <c r="A1317" s="313"/>
      <c r="B1317" s="333" t="s">
        <v>1939</v>
      </c>
      <c r="D1317" s="74">
        <f>IFERROR(VLOOKUP(B1317,'REQ. PINTADO'!B:C,2,0),0)</f>
        <v>0</v>
      </c>
      <c r="E1317" s="305">
        <f t="shared" si="160"/>
        <v>790.02976832328409</v>
      </c>
      <c r="F1317" s="103" t="s">
        <v>165</v>
      </c>
      <c r="G1317" s="75" t="s">
        <v>147</v>
      </c>
      <c r="H1317" s="90">
        <v>23.582000000000001</v>
      </c>
      <c r="I1317" s="90">
        <v>35.701999999999998</v>
      </c>
      <c r="J1317" s="76">
        <v>0.105</v>
      </c>
      <c r="K1317" s="306">
        <v>16.38</v>
      </c>
      <c r="L1317" s="78">
        <f t="shared" si="161"/>
        <v>46.998459902777789</v>
      </c>
      <c r="M1317" s="58">
        <f>+VLOOKUP(F1317,Material!$H$2:$M$17,6,FALSE)*H1317*I1317*(1+Material!$K$14)</f>
        <v>349.9248969125</v>
      </c>
      <c r="N1317" s="79" t="str">
        <f t="shared" si="170"/>
        <v>T5.0</v>
      </c>
      <c r="O1317" s="80">
        <f>+VLOOKUP(N1317,[3]Material!$A$3:$B$58,2,FALSE)</f>
        <v>5000</v>
      </c>
      <c r="P1317" s="79" t="s">
        <v>42</v>
      </c>
      <c r="Q1317" s="79" t="str">
        <f>+VLOOKUP(F1317,[3]Material!$C$2:$E$12,2,FALSE)</f>
        <v>Cal 14</v>
      </c>
      <c r="R1317" s="81">
        <f>+IF(P1317="ACERO A36",VLOOKUP(Q1317,'[3]Velocidades Std 1500 w'!$B$2:$F$15,5,FALSE),IF(P1317="INOXIDABLE",VLOOKUP(Q1317,'[3]Velocidades Std 1500 w'!$B$17:$F$28,5,FALSE),IF(P1317="ALUMINIO",VLOOKUP(Q1317,'[3]Velocidades Std 1500 w'!$B$30:$F$38,5,FALSE))))</f>
        <v>2.0080321285140564E-6</v>
      </c>
      <c r="S1317" s="82">
        <f t="shared" si="162"/>
        <v>1.0040160642570283E-2</v>
      </c>
      <c r="T1317" s="83">
        <f t="shared" si="163"/>
        <v>25.751266698795181</v>
      </c>
      <c r="U1317" s="307">
        <f t="shared" si="171"/>
        <v>3562.2585599999998</v>
      </c>
      <c r="V1317" s="80">
        <f t="shared" si="153"/>
        <v>35.765648192771089</v>
      </c>
      <c r="W1317" s="98">
        <v>10</v>
      </c>
      <c r="X1317" s="84">
        <f>+IF(P1317="ACERO A36",VLOOKUP(Q1317,'[3]Tiempo Objeto'!$B$2:$C$12,2,FALSE),IF(P1317="INOXIDABLE",VLOOKUP(Q1317,'[3]Tiempo Objeto'!$B$14:$C$22,2,FALSE),IF(P1317="ALUMINIO",VLOOKUP(Q1317,'[3]Tiempo Objeto'!$B$24:$C$32,2,FALSE))))</f>
        <v>0.3133333333333333</v>
      </c>
      <c r="Y1317" s="84">
        <f t="shared" si="164"/>
        <v>3.1333333333333329</v>
      </c>
      <c r="Z1317" s="80">
        <f t="shared" si="165"/>
        <v>4.3518518518518512</v>
      </c>
      <c r="AA1317" s="100">
        <v>8</v>
      </c>
      <c r="AB1317" s="86">
        <f>+AA1317*Analisis!$J$6</f>
        <v>200</v>
      </c>
      <c r="AC1317" s="100"/>
      <c r="AD1317" s="85">
        <f t="shared" si="166"/>
        <v>0</v>
      </c>
      <c r="AE1317" s="86">
        <f>+AC1317*Analisis!$J$7</f>
        <v>0</v>
      </c>
      <c r="AF1317" s="308">
        <f>+H1317*0.0254*I1317*0.0254*2*(1+[3]Analisis!$G$2)</f>
        <v>1.3579401292755999</v>
      </c>
      <c r="AG1317" s="86">
        <f>+AF1317*Analisis!$J$8</f>
        <v>144.68528758353122</v>
      </c>
      <c r="AH1317" s="309">
        <f t="shared" si="167"/>
        <v>734.7276845406542</v>
      </c>
      <c r="AI1317" s="86">
        <f>+AH1317/(1-Analisis!G1322)</f>
        <v>734.7276845406542</v>
      </c>
      <c r="AJ1317" s="86">
        <f t="shared" si="168"/>
        <v>790.02976832328409</v>
      </c>
      <c r="AK1317" s="86">
        <f t="shared" si="169"/>
        <v>0</v>
      </c>
      <c r="AL1317" s="310" t="e">
        <f>+VLOOKUP(B1317,#REF!,2,FALSE)</f>
        <v>#REF!</v>
      </c>
      <c r="AM1317" s="311" t="e">
        <f t="shared" si="149"/>
        <v>#REF!</v>
      </c>
      <c r="AN1317" s="312" t="e">
        <f t="shared" si="148"/>
        <v>#REF!</v>
      </c>
    </row>
    <row r="1318" spans="1:40" s="73" customFormat="1" x14ac:dyDescent="0.25">
      <c r="A1318" s="313"/>
      <c r="B1318" s="314" t="s">
        <v>1940</v>
      </c>
      <c r="D1318" s="352">
        <f>IFERROR(VLOOKUP(B1318,'REQ. PINTADO'!B:C,2,0),0)</f>
        <v>0</v>
      </c>
      <c r="E1318" s="305">
        <f t="shared" si="160"/>
        <v>651.29730386127835</v>
      </c>
      <c r="F1318" s="397" t="s">
        <v>163</v>
      </c>
      <c r="G1318" s="75" t="s">
        <v>147</v>
      </c>
      <c r="H1318" s="90">
        <v>90</v>
      </c>
      <c r="I1318" s="90">
        <v>6</v>
      </c>
      <c r="J1318" s="76">
        <v>0.105</v>
      </c>
      <c r="K1318" s="306">
        <v>16.38</v>
      </c>
      <c r="L1318" s="78">
        <f t="shared" si="161"/>
        <v>27.224255093750006</v>
      </c>
      <c r="M1318" s="58">
        <f>+VLOOKUP(F1318,Material!$H$2:$M$17,6,FALSE)*H1318*I1318*(1+Material!$K$14)</f>
        <v>202.69695383437502</v>
      </c>
      <c r="N1318" s="79" t="str">
        <f t="shared" si="170"/>
        <v>T5.0</v>
      </c>
      <c r="O1318" s="80">
        <f>+VLOOKUP(N1318,[3]Material!$A$3:$B$58,2,FALSE)</f>
        <v>5000</v>
      </c>
      <c r="P1318" s="79" t="s">
        <v>42</v>
      </c>
      <c r="Q1318" s="79" t="str">
        <f>+VLOOKUP(F1318,[3]Material!$C$2:$E$12,2,FALSE)</f>
        <v>Cal 12</v>
      </c>
      <c r="R1318" s="81">
        <f>+IF(P1318="ACERO A36",VLOOKUP(Q1318,'[3]Velocidades Std 1500 w'!$B$2:$F$15,5,FALSE),IF(P1318="INOXIDABLE",VLOOKUP(Q1318,'[3]Velocidades Std 1500 w'!$B$17:$F$28,5,FALSE),IF(P1318="ALUMINIO",VLOOKUP(Q1318,'[3]Velocidades Std 1500 w'!$B$30:$F$38,5,FALSE))))</f>
        <v>4.3859649122807014E-6</v>
      </c>
      <c r="S1318" s="82">
        <f t="shared" si="162"/>
        <v>2.1929824561403508E-2</v>
      </c>
      <c r="T1318" s="83">
        <f t="shared" si="163"/>
        <v>144.01799999999997</v>
      </c>
      <c r="U1318" s="307">
        <f t="shared" si="171"/>
        <v>9121.14</v>
      </c>
      <c r="V1318" s="80">
        <f t="shared" si="153"/>
        <v>200.02499999999998</v>
      </c>
      <c r="W1318" s="98">
        <v>100</v>
      </c>
      <c r="X1318" s="84">
        <f>+IF(P1318="ACERO A36",VLOOKUP(Q1318,'[3]Tiempo Objeto'!$B$2:$C$12,2,FALSE),IF(P1318="INOXIDABLE",VLOOKUP(Q1318,'[3]Tiempo Objeto'!$B$14:$C$22,2,FALSE),IF(P1318="ALUMINIO",VLOOKUP(Q1318,'[3]Tiempo Objeto'!$B$24:$C$32,2,FALSE))))</f>
        <v>0.6133333333333334</v>
      </c>
      <c r="Y1318" s="84">
        <f t="shared" si="164"/>
        <v>61.333333333333343</v>
      </c>
      <c r="Z1318" s="80">
        <f t="shared" si="165"/>
        <v>85.18518518518519</v>
      </c>
      <c r="AA1318" s="100">
        <v>1</v>
      </c>
      <c r="AB1318" s="86">
        <f>+AA1318*Analisis!$J$6</f>
        <v>25</v>
      </c>
      <c r="AC1318" s="100"/>
      <c r="AD1318" s="85">
        <f t="shared" si="166"/>
        <v>0</v>
      </c>
      <c r="AE1318" s="86">
        <f>+AC1318*Analisis!$J$7</f>
        <v>0</v>
      </c>
      <c r="AF1318" s="308">
        <f>+H1318*0.0254*I1318*0.0254*2*(1+[3]Analisis!$G$2)</f>
        <v>0.87096600000000013</v>
      </c>
      <c r="AG1318" s="86">
        <f>+AF1318*Analisis!$J$8</f>
        <v>92.799353571428611</v>
      </c>
      <c r="AH1318" s="309">
        <f t="shared" si="167"/>
        <v>605.70649259098877</v>
      </c>
      <c r="AI1318" s="86">
        <f>+AH1318/(1-Analisis!G1323)</f>
        <v>605.70649259098877</v>
      </c>
      <c r="AJ1318" s="86">
        <f t="shared" si="168"/>
        <v>651.29730386127835</v>
      </c>
      <c r="AK1318" s="86">
        <f t="shared" si="169"/>
        <v>0</v>
      </c>
      <c r="AL1318" s="310" t="e">
        <f>+VLOOKUP(B1318,#REF!,2,FALSE)</f>
        <v>#REF!</v>
      </c>
      <c r="AM1318" s="311" t="e">
        <f t="shared" si="149"/>
        <v>#REF!</v>
      </c>
      <c r="AN1318" s="312" t="e">
        <f t="shared" si="148"/>
        <v>#REF!</v>
      </c>
    </row>
    <row r="1319" spans="1:40" s="73" customFormat="1" x14ac:dyDescent="0.25">
      <c r="A1319" s="313"/>
      <c r="B1319" s="314" t="s">
        <v>1941</v>
      </c>
      <c r="D1319" s="352">
        <f>IFERROR(VLOOKUP(B1319,'REQ. PINTADO'!B:C,2,0),0)</f>
        <v>0</v>
      </c>
      <c r="E1319" s="305">
        <f t="shared" si="160"/>
        <v>832.45841549315026</v>
      </c>
      <c r="F1319" s="397" t="s">
        <v>166</v>
      </c>
      <c r="G1319" s="75" t="s">
        <v>147</v>
      </c>
      <c r="H1319" s="90">
        <v>36.08</v>
      </c>
      <c r="I1319" s="90">
        <v>31.21</v>
      </c>
      <c r="J1319" s="76">
        <v>0.105</v>
      </c>
      <c r="K1319" s="306">
        <v>16.38</v>
      </c>
      <c r="L1319" s="78">
        <f t="shared" si="161"/>
        <v>34.278693621643811</v>
      </c>
      <c r="M1319" s="58">
        <f>+VLOOKUP(F1319,Material!$H$2:$M$17,6,FALSE)*H1319*I1319*(1+Material!$K$14)</f>
        <v>255.22045523751166</v>
      </c>
      <c r="N1319" s="79" t="str">
        <f t="shared" si="170"/>
        <v>T5.0</v>
      </c>
      <c r="O1319" s="80">
        <f>+VLOOKUP(N1319,[3]Material!$A$3:$B$58,2,FALSE)</f>
        <v>5000</v>
      </c>
      <c r="P1319" s="79" t="s">
        <v>42</v>
      </c>
      <c r="Q1319" s="79" t="str">
        <f>+VLOOKUP(F1319,[3]Material!$C$2:$E$12,2,FALSE)</f>
        <v>Cal 16</v>
      </c>
      <c r="R1319" s="81">
        <f>+IF(P1319="ACERO A36",VLOOKUP(Q1319,'[3]Velocidades Std 1500 w'!$B$2:$F$15,5,FALSE),IF(P1319="INOXIDABLE",VLOOKUP(Q1319,'[3]Velocidades Std 1500 w'!$B$17:$F$28,5,FALSE),IF(P1319="ALUMINIO",VLOOKUP(Q1319,'[3]Velocidades Std 1500 w'!$B$30:$F$38,5,FALSE))))</f>
        <v>9.1575091575091579E-7</v>
      </c>
      <c r="S1319" s="82">
        <f t="shared" si="162"/>
        <v>4.578754578754579E-3</v>
      </c>
      <c r="T1319" s="83">
        <f t="shared" si="163"/>
        <v>57.992303076923079</v>
      </c>
      <c r="U1319" s="307">
        <f t="shared" si="171"/>
        <v>17590.998599999999</v>
      </c>
      <c r="V1319" s="80">
        <f t="shared" si="153"/>
        <v>80.544865384615377</v>
      </c>
      <c r="W1319" s="98">
        <v>350</v>
      </c>
      <c r="X1319" s="84">
        <f>+IF(P1319="ACERO A36",VLOOKUP(Q1319,'[3]Tiempo Objeto'!$B$2:$C$12,2,FALSE),IF(P1319="INOXIDABLE",VLOOKUP(Q1319,'[3]Tiempo Objeto'!$B$14:$C$22,2,FALSE),IF(P1319="ALUMINIO",VLOOKUP(Q1319,'[3]Tiempo Objeto'!$B$24:$C$32,2,FALSE))))</f>
        <v>0.24666666666666667</v>
      </c>
      <c r="Y1319" s="84">
        <f t="shared" si="164"/>
        <v>86.333333333333329</v>
      </c>
      <c r="Z1319" s="80">
        <f t="shared" si="165"/>
        <v>119.90740740740739</v>
      </c>
      <c r="AA1319" s="100">
        <v>5</v>
      </c>
      <c r="AB1319" s="86">
        <f>+AA1319*Analisis!$J$6</f>
        <v>125</v>
      </c>
      <c r="AC1319" s="100"/>
      <c r="AD1319" s="85">
        <f t="shared" si="166"/>
        <v>0</v>
      </c>
      <c r="AE1319" s="86">
        <f>+AC1319*Analisis!$J$7</f>
        <v>0</v>
      </c>
      <c r="AF1319" s="308">
        <f>+H1319*0.0254*I1319*0.0254*2*(1+[3]Analisis!$G$2)</f>
        <v>1.8162170127199997</v>
      </c>
      <c r="AG1319" s="86">
        <f>+AF1319*Analisis!$J$8</f>
        <v>193.51359837909527</v>
      </c>
      <c r="AH1319" s="309">
        <f t="shared" si="167"/>
        <v>774.18632640862972</v>
      </c>
      <c r="AI1319" s="86">
        <f>+AH1319/(1-Analisis!G1324)</f>
        <v>774.18632640862972</v>
      </c>
      <c r="AJ1319" s="86">
        <f t="shared" si="168"/>
        <v>832.45841549315026</v>
      </c>
      <c r="AK1319" s="86">
        <f t="shared" si="169"/>
        <v>0</v>
      </c>
      <c r="AL1319" s="310" t="e">
        <f>+VLOOKUP(B1319,#REF!,2,FALSE)</f>
        <v>#REF!</v>
      </c>
      <c r="AM1319" s="311" t="e">
        <f t="shared" si="149"/>
        <v>#REF!</v>
      </c>
      <c r="AN1319" s="312" t="e">
        <f t="shared" si="148"/>
        <v>#REF!</v>
      </c>
    </row>
    <row r="1320" spans="1:40" s="73" customFormat="1" x14ac:dyDescent="0.25">
      <c r="A1320" s="313"/>
      <c r="B1320" s="314" t="s">
        <v>1942</v>
      </c>
      <c r="D1320" s="352">
        <f>IFERROR(VLOOKUP(B1320,'REQ. PINTADO'!B:C,2,0),0)</f>
        <v>0</v>
      </c>
      <c r="E1320" s="305">
        <f t="shared" si="160"/>
        <v>561.62943852753506</v>
      </c>
      <c r="F1320" s="103" t="s">
        <v>166</v>
      </c>
      <c r="G1320" s="75" t="s">
        <v>147</v>
      </c>
      <c r="H1320" s="90">
        <v>26.21</v>
      </c>
      <c r="I1320" s="90">
        <v>36.08</v>
      </c>
      <c r="J1320" s="76">
        <v>0.105</v>
      </c>
      <c r="K1320" s="306">
        <v>16.38</v>
      </c>
      <c r="L1320" s="78">
        <f t="shared" si="161"/>
        <v>28.787073368256468</v>
      </c>
      <c r="M1320" s="58">
        <f>+VLOOKUP(F1320,Material!$H$2:$M$17,6,FALSE)*H1320*I1320*(1+Material!$K$14)</f>
        <v>214.33284626001858</v>
      </c>
      <c r="N1320" s="79" t="str">
        <f t="shared" si="170"/>
        <v>T5.0</v>
      </c>
      <c r="O1320" s="80">
        <f>+VLOOKUP(N1320,[3]Material!$A$3:$B$58,2,FALSE)</f>
        <v>5000</v>
      </c>
      <c r="P1320" s="79" t="s">
        <v>42</v>
      </c>
      <c r="Q1320" s="79" t="str">
        <f>+VLOOKUP(F1320,[3]Material!$C$2:$E$12,2,FALSE)</f>
        <v>Cal 16</v>
      </c>
      <c r="R1320" s="81">
        <f>+IF(P1320="ACERO A36",VLOOKUP(Q1320,'[3]Velocidades Std 1500 w'!$B$2:$F$15,5,FALSE),IF(P1320="INOXIDABLE",VLOOKUP(Q1320,'[3]Velocidades Std 1500 w'!$B$17:$F$28,5,FALSE),IF(P1320="ALUMINIO",VLOOKUP(Q1320,'[3]Velocidades Std 1500 w'!$B$30:$F$38,5,FALSE))))</f>
        <v>9.1575091575091579E-7</v>
      </c>
      <c r="S1320" s="82">
        <f t="shared" si="162"/>
        <v>4.578754578754579E-3</v>
      </c>
      <c r="T1320" s="83">
        <f t="shared" si="163"/>
        <v>12.272303076923075</v>
      </c>
      <c r="U1320" s="307">
        <f t="shared" si="171"/>
        <v>3722.5985999999994</v>
      </c>
      <c r="V1320" s="80">
        <f t="shared" si="153"/>
        <v>17.044865384615381</v>
      </c>
      <c r="W1320" s="98">
        <v>10</v>
      </c>
      <c r="X1320" s="84">
        <f>+IF(P1320="ACERO A36",VLOOKUP(Q1320,'[3]Tiempo Objeto'!$B$2:$C$12,2,FALSE),IF(P1320="INOXIDABLE",VLOOKUP(Q1320,'[3]Tiempo Objeto'!$B$14:$C$22,2,FALSE),IF(P1320="ALUMINIO",VLOOKUP(Q1320,'[3]Tiempo Objeto'!$B$24:$C$32,2,FALSE))))</f>
        <v>0.24666666666666667</v>
      </c>
      <c r="Y1320" s="84">
        <f t="shared" si="164"/>
        <v>2.4666666666666668</v>
      </c>
      <c r="Z1320" s="80">
        <f t="shared" si="165"/>
        <v>3.425925925925926</v>
      </c>
      <c r="AA1320" s="100">
        <v>5</v>
      </c>
      <c r="AB1320" s="86">
        <f>+AA1320*Analisis!$J$6</f>
        <v>125</v>
      </c>
      <c r="AC1320" s="100"/>
      <c r="AD1320" s="85">
        <f t="shared" si="166"/>
        <v>0</v>
      </c>
      <c r="AE1320" s="86">
        <f>+AC1320*Analisis!$J$7</f>
        <v>0</v>
      </c>
      <c r="AF1320" s="308">
        <f>+H1320*0.0254*I1320*0.0254*2*(1+[3]Analisis!$G$2)</f>
        <v>1.52524985272</v>
      </c>
      <c r="AG1320" s="86">
        <f>+AF1320*Analisis!$J$8</f>
        <v>162.51174026004767</v>
      </c>
      <c r="AH1320" s="309">
        <f t="shared" si="167"/>
        <v>522.31537783060753</v>
      </c>
      <c r="AI1320" s="86">
        <f>+AH1320/(1-Analisis!G1325)</f>
        <v>522.31537783060753</v>
      </c>
      <c r="AJ1320" s="86">
        <f t="shared" si="168"/>
        <v>561.62943852753506</v>
      </c>
      <c r="AK1320" s="86">
        <f t="shared" si="169"/>
        <v>0</v>
      </c>
      <c r="AL1320" s="310" t="e">
        <f>+VLOOKUP(B1320,#REF!,2,FALSE)</f>
        <v>#REF!</v>
      </c>
      <c r="AM1320" s="311" t="e">
        <f t="shared" si="149"/>
        <v>#REF!</v>
      </c>
      <c r="AN1320" s="312" t="e">
        <f t="shared" si="148"/>
        <v>#REF!</v>
      </c>
    </row>
    <row r="1321" spans="1:40" s="73" customFormat="1" x14ac:dyDescent="0.25">
      <c r="A1321" s="313"/>
      <c r="B1321" s="314" t="s">
        <v>1943</v>
      </c>
      <c r="D1321" s="352">
        <f>IFERROR(VLOOKUP(B1321,'REQ. PINTADO'!B:C,2,0),0)</f>
        <v>0</v>
      </c>
      <c r="E1321" s="305">
        <f t="shared" si="160"/>
        <v>484.79075162949118</v>
      </c>
      <c r="F1321" s="103" t="s">
        <v>165</v>
      </c>
      <c r="G1321" s="75" t="s">
        <v>147</v>
      </c>
      <c r="H1321" s="90">
        <v>21.11</v>
      </c>
      <c r="I1321" s="90">
        <v>23.02</v>
      </c>
      <c r="J1321" s="76">
        <v>0.105</v>
      </c>
      <c r="K1321" s="306">
        <v>16.38</v>
      </c>
      <c r="L1321" s="78">
        <f t="shared" si="161"/>
        <v>27.127139369658124</v>
      </c>
      <c r="M1321" s="58">
        <f>+VLOOKUP(F1321,Material!$H$2:$M$17,6,FALSE)*H1321*I1321*(1+Material!$K$14)</f>
        <v>201.97388312500001</v>
      </c>
      <c r="N1321" s="79" t="str">
        <f t="shared" si="170"/>
        <v>T5.0</v>
      </c>
      <c r="O1321" s="80">
        <f>+VLOOKUP(N1321,[3]Material!$A$3:$B$58,2,FALSE)</f>
        <v>5000</v>
      </c>
      <c r="P1321" s="79" t="s">
        <v>42</v>
      </c>
      <c r="Q1321" s="79" t="str">
        <f>+VLOOKUP(F1321,[3]Material!$C$2:$E$12,2,FALSE)</f>
        <v>Cal 14</v>
      </c>
      <c r="R1321" s="81">
        <f>+IF(P1321="ACERO A36",VLOOKUP(Q1321,'[3]Velocidades Std 1500 w'!$B$2:$F$15,5,FALSE),IF(P1321="INOXIDABLE",VLOOKUP(Q1321,'[3]Velocidades Std 1500 w'!$B$17:$F$28,5,FALSE),IF(P1321="ALUMINIO",VLOOKUP(Q1321,'[3]Velocidades Std 1500 w'!$B$30:$F$38,5,FALSE))))</f>
        <v>2.0080321285140564E-6</v>
      </c>
      <c r="S1321" s="82">
        <f t="shared" si="162"/>
        <v>1.0040160642570283E-2</v>
      </c>
      <c r="T1321" s="83">
        <f t="shared" si="163"/>
        <v>22.799958072289154</v>
      </c>
      <c r="U1321" s="307">
        <f t="shared" si="171"/>
        <v>3153.9941999999996</v>
      </c>
      <c r="V1321" s="80">
        <f t="shared" si="153"/>
        <v>31.666608433734943</v>
      </c>
      <c r="W1321" s="98">
        <v>20</v>
      </c>
      <c r="X1321" s="84">
        <f>+IF(P1321="ACERO A36",VLOOKUP(Q1321,'[3]Tiempo Objeto'!$B$2:$C$12,2,FALSE),IF(P1321="INOXIDABLE",VLOOKUP(Q1321,'[3]Tiempo Objeto'!$B$14:$C$22,2,FALSE),IF(P1321="ALUMINIO",VLOOKUP(Q1321,'[3]Tiempo Objeto'!$B$24:$C$32,2,FALSE))))</f>
        <v>0.3133333333333333</v>
      </c>
      <c r="Y1321" s="84">
        <f t="shared" si="164"/>
        <v>6.2666666666666657</v>
      </c>
      <c r="Z1321" s="80">
        <f t="shared" si="165"/>
        <v>8.7037037037037024</v>
      </c>
      <c r="AA1321" s="100">
        <v>5</v>
      </c>
      <c r="AB1321" s="86">
        <f>+AA1321*Analisis!$J$6</f>
        <v>125</v>
      </c>
      <c r="AC1321" s="100"/>
      <c r="AD1321" s="85">
        <f t="shared" si="166"/>
        <v>0</v>
      </c>
      <c r="AE1321" s="86">
        <f>+AC1321*Analisis!$J$7</f>
        <v>0</v>
      </c>
      <c r="AF1321" s="308">
        <f>+H1321*0.0254*I1321*0.0254*2*(1+[3]Analisis!$G$2)</f>
        <v>0.78379230337999983</v>
      </c>
      <c r="AG1321" s="86">
        <f>+AF1321*Analisis!$J$8</f>
        <v>83.511203752988109</v>
      </c>
      <c r="AH1321" s="309">
        <f t="shared" si="167"/>
        <v>450.85539901542677</v>
      </c>
      <c r="AI1321" s="86">
        <f>+AH1321/(1-Analisis!G1326)</f>
        <v>450.85539901542677</v>
      </c>
      <c r="AJ1321" s="86">
        <f t="shared" si="168"/>
        <v>484.79075162949118</v>
      </c>
      <c r="AK1321" s="86">
        <f t="shared" si="169"/>
        <v>0</v>
      </c>
      <c r="AL1321" s="310" t="e">
        <f>+VLOOKUP(B1321,#REF!,2,FALSE)</f>
        <v>#REF!</v>
      </c>
      <c r="AM1321" s="311" t="e">
        <f t="shared" si="149"/>
        <v>#REF!</v>
      </c>
      <c r="AN1321" s="312" t="e">
        <f t="shared" si="148"/>
        <v>#REF!</v>
      </c>
    </row>
    <row r="1322" spans="1:40" s="73" customFormat="1" x14ac:dyDescent="0.25">
      <c r="A1322" s="313"/>
      <c r="B1322" s="314" t="s">
        <v>1944</v>
      </c>
      <c r="D1322" s="352">
        <f>IFERROR(VLOOKUP(B1322,'REQ. PINTADO'!B:C,2,0),0)</f>
        <v>0</v>
      </c>
      <c r="E1322" s="305">
        <f t="shared" si="160"/>
        <v>365.09551126222721</v>
      </c>
      <c r="F1322" s="397" t="s">
        <v>166</v>
      </c>
      <c r="G1322" s="75" t="s">
        <v>147</v>
      </c>
      <c r="H1322" s="90">
        <v>36.08</v>
      </c>
      <c r="I1322" s="90">
        <v>13.71</v>
      </c>
      <c r="J1322" s="76">
        <v>0.105</v>
      </c>
      <c r="K1322" s="306">
        <v>16.38</v>
      </c>
      <c r="L1322" s="78">
        <f t="shared" si="161"/>
        <v>15.058022734788107</v>
      </c>
      <c r="M1322" s="58">
        <f>+VLOOKUP(F1322,Material!$H$2:$M$17,6,FALSE)*H1322*I1322*(1+Material!$K$14)</f>
        <v>112.11382381628597</v>
      </c>
      <c r="N1322" s="79" t="str">
        <f t="shared" si="170"/>
        <v>T5.0</v>
      </c>
      <c r="O1322" s="80">
        <f>+VLOOKUP(N1322,[3]Material!$A$3:$B$58,2,FALSE)</f>
        <v>5000</v>
      </c>
      <c r="P1322" s="79" t="s">
        <v>42</v>
      </c>
      <c r="Q1322" s="79" t="str">
        <f>+VLOOKUP(F1322,[3]Material!$C$2:$E$12,2,FALSE)</f>
        <v>Cal 16</v>
      </c>
      <c r="R1322" s="81">
        <f>+IF(P1322="ACERO A36",VLOOKUP(Q1322,'[3]Velocidades Std 1500 w'!$B$2:$F$15,5,FALSE),IF(P1322="INOXIDABLE",VLOOKUP(Q1322,'[3]Velocidades Std 1500 w'!$B$17:$F$28,5,FALSE),IF(P1322="ALUMINIO",VLOOKUP(Q1322,'[3]Velocidades Std 1500 w'!$B$30:$F$38,5,FALSE))))</f>
        <v>9.1575091575091579E-7</v>
      </c>
      <c r="S1322" s="82">
        <f t="shared" si="162"/>
        <v>4.578754578754579E-3</v>
      </c>
      <c r="T1322" s="83">
        <f t="shared" si="163"/>
        <v>10.074226153846155</v>
      </c>
      <c r="U1322" s="307">
        <f t="shared" si="171"/>
        <v>3055.8485999999998</v>
      </c>
      <c r="V1322" s="80">
        <f t="shared" si="153"/>
        <v>13.99198076923077</v>
      </c>
      <c r="W1322" s="98">
        <v>10</v>
      </c>
      <c r="X1322" s="84">
        <f>+IF(P1322="ACERO A36",VLOOKUP(Q1322,'[3]Tiempo Objeto'!$B$2:$C$12,2,FALSE),IF(P1322="INOXIDABLE",VLOOKUP(Q1322,'[3]Tiempo Objeto'!$B$14:$C$22,2,FALSE),IF(P1322="ALUMINIO",VLOOKUP(Q1322,'[3]Tiempo Objeto'!$B$24:$C$32,2,FALSE))))</f>
        <v>0.24666666666666667</v>
      </c>
      <c r="Y1322" s="84">
        <f t="shared" si="164"/>
        <v>2.4666666666666668</v>
      </c>
      <c r="Z1322" s="80">
        <f t="shared" si="165"/>
        <v>3.425925925925926</v>
      </c>
      <c r="AA1322" s="100">
        <v>5</v>
      </c>
      <c r="AB1322" s="86">
        <f>+AA1322*Analisis!$J$6</f>
        <v>125</v>
      </c>
      <c r="AC1322" s="100"/>
      <c r="AD1322" s="85">
        <f t="shared" si="166"/>
        <v>0</v>
      </c>
      <c r="AE1322" s="86">
        <f>+AC1322*Analisis!$J$7</f>
        <v>0</v>
      </c>
      <c r="AF1322" s="308">
        <f>+H1322*0.0254*I1322*0.0254*2*(1+[3]Analisis!$G$2)</f>
        <v>0.79783195271999996</v>
      </c>
      <c r="AG1322" s="86">
        <f>+AF1322*Analisis!$J$8</f>
        <v>85.007094962428596</v>
      </c>
      <c r="AH1322" s="309">
        <f t="shared" si="167"/>
        <v>339.53882547387127</v>
      </c>
      <c r="AI1322" s="86">
        <f>+AH1322/(1-Analisis!G1327)</f>
        <v>339.53882547387127</v>
      </c>
      <c r="AJ1322" s="86">
        <f t="shared" si="168"/>
        <v>365.09551126222721</v>
      </c>
      <c r="AK1322" s="86">
        <f t="shared" si="169"/>
        <v>0</v>
      </c>
      <c r="AL1322" s="310" t="e">
        <f>+VLOOKUP(B1322,#REF!,2,FALSE)</f>
        <v>#REF!</v>
      </c>
      <c r="AM1322" s="311" t="e">
        <f t="shared" si="149"/>
        <v>#REF!</v>
      </c>
      <c r="AN1322" s="312" t="e">
        <f t="shared" si="148"/>
        <v>#REF!</v>
      </c>
    </row>
    <row r="1323" spans="1:40" s="73" customFormat="1" x14ac:dyDescent="0.25">
      <c r="A1323" s="313"/>
      <c r="B1323" s="314" t="s">
        <v>1945</v>
      </c>
      <c r="D1323" s="352">
        <f>IFERROR(VLOOKUP(B1323,'REQ. PINTADO'!B:C,2,0),0)</f>
        <v>0</v>
      </c>
      <c r="E1323" s="305">
        <f t="shared" si="160"/>
        <v>1480.8726291696146</v>
      </c>
      <c r="F1323" s="103" t="s">
        <v>165</v>
      </c>
      <c r="G1323" s="75" t="s">
        <v>147</v>
      </c>
      <c r="H1323" s="90">
        <v>50.03</v>
      </c>
      <c r="I1323" s="90">
        <v>31.16</v>
      </c>
      <c r="J1323" s="76">
        <v>0.105</v>
      </c>
      <c r="K1323" s="306">
        <v>16.38</v>
      </c>
      <c r="L1323" s="78">
        <f t="shared" si="161"/>
        <v>87.023871047008569</v>
      </c>
      <c r="M1323" s="58">
        <f>+VLOOKUP(F1323,Material!$H$2:$M$17,6,FALSE)*H1323*I1323*(1+Material!$K$14)</f>
        <v>647.93227625000009</v>
      </c>
      <c r="N1323" s="79" t="str">
        <f t="shared" si="170"/>
        <v>T5.0</v>
      </c>
      <c r="O1323" s="80">
        <f>+VLOOKUP(N1323,[3]Material!$A$3:$B$58,2,FALSE)</f>
        <v>5000</v>
      </c>
      <c r="P1323" s="79" t="s">
        <v>42</v>
      </c>
      <c r="Q1323" s="79" t="str">
        <f>+VLOOKUP(F1323,[3]Material!$C$2:$E$12,2,FALSE)</f>
        <v>Cal 14</v>
      </c>
      <c r="R1323" s="81">
        <f>+IF(P1323="ACERO A36",VLOOKUP(Q1323,'[3]Velocidades Std 1500 w'!$B$2:$F$15,5,FALSE),IF(P1323="INOXIDABLE",VLOOKUP(Q1323,'[3]Velocidades Std 1500 w'!$B$17:$F$28,5,FALSE),IF(P1323="ALUMINIO",VLOOKUP(Q1323,'[3]Velocidades Std 1500 w'!$B$30:$F$38,5,FALSE))))</f>
        <v>2.0080321285140564E-6</v>
      </c>
      <c r="S1323" s="82">
        <f t="shared" si="162"/>
        <v>1.0040160642570283E-2</v>
      </c>
      <c r="T1323" s="83">
        <f t="shared" si="163"/>
        <v>132.52355132530121</v>
      </c>
      <c r="U1323" s="307">
        <f t="shared" si="171"/>
        <v>18332.424599999998</v>
      </c>
      <c r="V1323" s="80">
        <f t="shared" si="153"/>
        <v>184.06048795180723</v>
      </c>
      <c r="W1323" s="98">
        <v>350</v>
      </c>
      <c r="X1323" s="84">
        <f>+IF(P1323="ACERO A36",VLOOKUP(Q1323,'[3]Tiempo Objeto'!$B$2:$C$12,2,FALSE),IF(P1323="INOXIDABLE",VLOOKUP(Q1323,'[3]Tiempo Objeto'!$B$14:$C$22,2,FALSE),IF(P1323="ALUMINIO",VLOOKUP(Q1323,'[3]Tiempo Objeto'!$B$24:$C$32,2,FALSE))))</f>
        <v>0.3133333333333333</v>
      </c>
      <c r="Y1323" s="84">
        <f t="shared" si="164"/>
        <v>109.66666666666666</v>
      </c>
      <c r="Z1323" s="80">
        <f t="shared" si="165"/>
        <v>152.31481481481478</v>
      </c>
      <c r="AA1323" s="100">
        <v>5</v>
      </c>
      <c r="AB1323" s="86">
        <f>+AA1323*Analisis!$J$6</f>
        <v>125</v>
      </c>
      <c r="AC1323" s="100"/>
      <c r="AD1323" s="85">
        <f t="shared" si="166"/>
        <v>0</v>
      </c>
      <c r="AE1323" s="86">
        <f>+AC1323*Analisis!$J$7</f>
        <v>0</v>
      </c>
      <c r="AF1323" s="308">
        <f>+H1323*0.0254*I1323*0.0254*2*(1+[3]Analisis!$G$2)</f>
        <v>2.5144059389200004</v>
      </c>
      <c r="AG1323" s="86">
        <f>+AF1323*Analisis!$J$8</f>
        <v>267.90396611111919</v>
      </c>
      <c r="AH1323" s="309">
        <f t="shared" si="167"/>
        <v>1377.2115451277414</v>
      </c>
      <c r="AI1323" s="86">
        <f>+AH1323/(1-Analisis!G1328)</f>
        <v>1377.2115451277414</v>
      </c>
      <c r="AJ1323" s="86">
        <f t="shared" si="168"/>
        <v>1480.8726291696146</v>
      </c>
      <c r="AK1323" s="86">
        <f t="shared" si="169"/>
        <v>0</v>
      </c>
      <c r="AL1323" s="310" t="e">
        <f>+VLOOKUP(B1323,#REF!,2,FALSE)</f>
        <v>#REF!</v>
      </c>
      <c r="AM1323" s="311" t="e">
        <f t="shared" si="149"/>
        <v>#REF!</v>
      </c>
      <c r="AN1323" s="312" t="e">
        <f t="shared" si="148"/>
        <v>#REF!</v>
      </c>
    </row>
    <row r="1324" spans="1:40" s="73" customFormat="1" x14ac:dyDescent="0.25">
      <c r="A1324" s="313"/>
      <c r="B1324" s="314" t="s">
        <v>1946</v>
      </c>
      <c r="D1324" s="352">
        <f>IFERROR(VLOOKUP(B1324,'REQ. PINTADO'!B:C,2,0),0)</f>
        <v>0</v>
      </c>
      <c r="E1324" s="305">
        <f t="shared" si="160"/>
        <v>979.29707375614464</v>
      </c>
      <c r="F1324" s="103" t="s">
        <v>165</v>
      </c>
      <c r="G1324" s="75" t="s">
        <v>147</v>
      </c>
      <c r="H1324" s="90">
        <v>35.96</v>
      </c>
      <c r="I1324" s="90">
        <v>35.96</v>
      </c>
      <c r="J1324" s="76">
        <v>0.105</v>
      </c>
      <c r="K1324" s="306">
        <v>16.38</v>
      </c>
      <c r="L1324" s="78">
        <f t="shared" si="161"/>
        <v>72.185473931623946</v>
      </c>
      <c r="M1324" s="58">
        <f>+VLOOKUP(F1324,Material!$H$2:$M$17,6,FALSE)*H1324*I1324*(1+Material!$K$14)</f>
        <v>537.453665</v>
      </c>
      <c r="N1324" s="79" t="str">
        <f t="shared" si="170"/>
        <v>T5.0</v>
      </c>
      <c r="O1324" s="80">
        <f>+VLOOKUP(N1324,[3]Material!$A$3:$B$58,2,FALSE)</f>
        <v>5000</v>
      </c>
      <c r="P1324" s="79" t="s">
        <v>42</v>
      </c>
      <c r="Q1324" s="79" t="str">
        <f>+VLOOKUP(F1324,[3]Material!$C$2:$E$12,2,FALSE)</f>
        <v>Cal 14</v>
      </c>
      <c r="R1324" s="81">
        <f>+IF(P1324="ACERO A36",VLOOKUP(Q1324,'[3]Velocidades Std 1500 w'!$B$2:$F$15,5,FALSE),IF(P1324="INOXIDABLE",VLOOKUP(Q1324,'[3]Velocidades Std 1500 w'!$B$17:$F$28,5,FALSE),IF(P1324="ALUMINIO",VLOOKUP(Q1324,'[3]Velocidades Std 1500 w'!$B$30:$F$38,5,FALSE))))</f>
        <v>2.0080321285140564E-6</v>
      </c>
      <c r="S1324" s="82">
        <f t="shared" si="162"/>
        <v>1.0040160642570283E-2</v>
      </c>
      <c r="T1324" s="83">
        <f t="shared" si="163"/>
        <v>32.069550361445785</v>
      </c>
      <c r="U1324" s="307">
        <f t="shared" si="171"/>
        <v>4436.2878000000001</v>
      </c>
      <c r="V1324" s="80">
        <f t="shared" si="153"/>
        <v>44.541042168674707</v>
      </c>
      <c r="W1324" s="98">
        <v>15</v>
      </c>
      <c r="X1324" s="84">
        <f>+IF(P1324="ACERO A36",VLOOKUP(Q1324,'[3]Tiempo Objeto'!$B$2:$C$12,2,FALSE),IF(P1324="INOXIDABLE",VLOOKUP(Q1324,'[3]Tiempo Objeto'!$B$14:$C$22,2,FALSE),IF(P1324="ALUMINIO",VLOOKUP(Q1324,'[3]Tiempo Objeto'!$B$24:$C$32,2,FALSE))))</f>
        <v>0.3133333333333333</v>
      </c>
      <c r="Y1324" s="84">
        <f t="shared" si="164"/>
        <v>4.6999999999999993</v>
      </c>
      <c r="Z1324" s="80">
        <f t="shared" si="165"/>
        <v>6.5277777777777768</v>
      </c>
      <c r="AA1324" s="100">
        <v>4</v>
      </c>
      <c r="AB1324" s="86">
        <f>+AA1324*Analisis!$J$6</f>
        <v>100</v>
      </c>
      <c r="AC1324" s="100"/>
      <c r="AD1324" s="85">
        <f t="shared" si="166"/>
        <v>0</v>
      </c>
      <c r="AE1324" s="86">
        <f>+AC1324*Analisis!$J$7</f>
        <v>0</v>
      </c>
      <c r="AF1324" s="308">
        <f>+H1324*0.0254*I1324*0.0254*2*(1+[3]Analisis!$G$2)</f>
        <v>2.0856758286399999</v>
      </c>
      <c r="AG1324" s="86">
        <f>+AF1324*Analisis!$J$8</f>
        <v>222.22379364676195</v>
      </c>
      <c r="AH1324" s="309">
        <f t="shared" si="167"/>
        <v>910.74627859321447</v>
      </c>
      <c r="AI1324" s="86">
        <f>+AH1324/(1-Analisis!G1329)</f>
        <v>910.74627859321447</v>
      </c>
      <c r="AJ1324" s="86">
        <f t="shared" si="168"/>
        <v>979.29707375614464</v>
      </c>
      <c r="AK1324" s="86">
        <f t="shared" si="169"/>
        <v>0</v>
      </c>
      <c r="AL1324" s="310" t="e">
        <f>+VLOOKUP(B1324,#REF!,2,FALSE)</f>
        <v>#REF!</v>
      </c>
      <c r="AM1324" s="311" t="e">
        <f t="shared" si="149"/>
        <v>#REF!</v>
      </c>
      <c r="AN1324" s="312" t="e">
        <f t="shared" si="148"/>
        <v>#REF!</v>
      </c>
    </row>
    <row r="1325" spans="1:40" s="73" customFormat="1" x14ac:dyDescent="0.25">
      <c r="A1325" s="313"/>
      <c r="B1325" s="314" t="s">
        <v>1947</v>
      </c>
      <c r="D1325" s="352">
        <f>IFERROR(VLOOKUP(B1325,'REQ. PINTADO'!B:C,2,0),0)</f>
        <v>0</v>
      </c>
      <c r="E1325" s="305">
        <f t="shared" si="160"/>
        <v>214.49268824815059</v>
      </c>
      <c r="F1325" s="103" t="s">
        <v>163</v>
      </c>
      <c r="G1325" s="75" t="s">
        <v>147</v>
      </c>
      <c r="H1325" s="90">
        <v>12</v>
      </c>
      <c r="I1325" s="90">
        <v>19.5</v>
      </c>
      <c r="J1325" s="76">
        <v>0.105</v>
      </c>
      <c r="K1325" s="306">
        <v>16.38</v>
      </c>
      <c r="L1325" s="78">
        <f t="shared" si="161"/>
        <v>11.797177207291671</v>
      </c>
      <c r="M1325" s="58">
        <f>+VLOOKUP(F1325,Material!$H$2:$M$17,6,FALSE)*H1325*I1325*(1+Material!$K$14)</f>
        <v>87.835346661562525</v>
      </c>
      <c r="N1325" s="79" t="str">
        <f t="shared" si="170"/>
        <v>T5.0</v>
      </c>
      <c r="O1325" s="80">
        <f>+VLOOKUP(N1325,[3]Material!$A$3:$B$58,2,FALSE)</f>
        <v>5000</v>
      </c>
      <c r="P1325" s="79" t="s">
        <v>42</v>
      </c>
      <c r="Q1325" s="79" t="str">
        <f>+VLOOKUP(F1325,[3]Material!$C$2:$E$12,2,FALSE)</f>
        <v>Cal 12</v>
      </c>
      <c r="R1325" s="81">
        <f>+IF(P1325="ACERO A36",VLOOKUP(Q1325,'[3]Velocidades Std 1500 w'!$B$2:$F$15,5,FALSE),IF(P1325="INOXIDABLE",VLOOKUP(Q1325,'[3]Velocidades Std 1500 w'!$B$17:$F$28,5,FALSE),IF(P1325="ALUMINIO",VLOOKUP(Q1325,'[3]Velocidades Std 1500 w'!$B$30:$F$38,5,FALSE))))</f>
        <v>4.3859649122807014E-6</v>
      </c>
      <c r="S1325" s="82">
        <f t="shared" si="162"/>
        <v>2.1929824561403508E-2</v>
      </c>
      <c r="T1325" s="83">
        <f t="shared" si="163"/>
        <v>39.162789473684207</v>
      </c>
      <c r="U1325" s="307">
        <f t="shared" si="171"/>
        <v>2480.31</v>
      </c>
      <c r="V1325" s="80">
        <f t="shared" si="153"/>
        <v>54.392763157894734</v>
      </c>
      <c r="W1325" s="98">
        <v>20</v>
      </c>
      <c r="X1325" s="84">
        <f>+IF(P1325="ACERO A36",VLOOKUP(Q1325,'[3]Tiempo Objeto'!$B$2:$C$12,2,FALSE),IF(P1325="INOXIDABLE",VLOOKUP(Q1325,'[3]Tiempo Objeto'!$B$14:$C$22,2,FALSE),IF(P1325="ALUMINIO",VLOOKUP(Q1325,'[3]Tiempo Objeto'!$B$24:$C$32,2,FALSE))))</f>
        <v>0.6133333333333334</v>
      </c>
      <c r="Y1325" s="84">
        <f t="shared" si="164"/>
        <v>12.266666666666667</v>
      </c>
      <c r="Z1325" s="80">
        <f t="shared" si="165"/>
        <v>17.037037037037038</v>
      </c>
      <c r="AA1325" s="100">
        <v>0</v>
      </c>
      <c r="AB1325" s="86">
        <f>+AA1325*Analisis!$J$6</f>
        <v>0</v>
      </c>
      <c r="AC1325" s="100"/>
      <c r="AD1325" s="85">
        <f t="shared" si="166"/>
        <v>0</v>
      </c>
      <c r="AE1325" s="86">
        <f>+AC1325*Analisis!$J$7</f>
        <v>0</v>
      </c>
      <c r="AF1325" s="308">
        <f>+H1325*0.0254*I1325*0.0254*2*(1+[3]Analisis!$G$2)</f>
        <v>0.37741859999999994</v>
      </c>
      <c r="AG1325" s="86">
        <f>+AF1325*Analisis!$J$8</f>
        <v>40.213053214285722</v>
      </c>
      <c r="AH1325" s="309">
        <f t="shared" si="167"/>
        <v>199.47820007078002</v>
      </c>
      <c r="AI1325" s="86">
        <f>+AH1325/(1-Analisis!G1330)</f>
        <v>199.47820007078002</v>
      </c>
      <c r="AJ1325" s="86">
        <f t="shared" si="168"/>
        <v>214.49268824815059</v>
      </c>
      <c r="AK1325" s="86">
        <f t="shared" si="169"/>
        <v>0</v>
      </c>
      <c r="AL1325" s="310" t="e">
        <f>+VLOOKUP(B1325,#REF!,2,FALSE)</f>
        <v>#REF!</v>
      </c>
      <c r="AM1325" s="311" t="e">
        <f t="shared" si="149"/>
        <v>#REF!</v>
      </c>
      <c r="AN1325" s="312" t="e">
        <f t="shared" si="148"/>
        <v>#REF!</v>
      </c>
    </row>
    <row r="1326" spans="1:40" s="73" customFormat="1" x14ac:dyDescent="0.25">
      <c r="A1326" s="313"/>
      <c r="B1326" s="314" t="s">
        <v>1948</v>
      </c>
      <c r="D1326" s="352">
        <f>IFERROR(VLOOKUP(B1326,'REQ. PINTADO'!B:C,2,0),0)</f>
        <v>0</v>
      </c>
      <c r="E1326" s="305">
        <f t="shared" si="160"/>
        <v>639.9532789154174</v>
      </c>
      <c r="F1326" s="103" t="s">
        <v>166</v>
      </c>
      <c r="G1326" s="75" t="s">
        <v>147</v>
      </c>
      <c r="H1326" s="90">
        <v>31.22</v>
      </c>
      <c r="I1326" s="90">
        <v>35.840000000000003</v>
      </c>
      <c r="J1326" s="76">
        <v>0.105</v>
      </c>
      <c r="K1326" s="306">
        <v>16.38</v>
      </c>
      <c r="L1326" s="78">
        <f t="shared" si="161"/>
        <v>34.061585885240497</v>
      </c>
      <c r="M1326" s="58">
        <f>+VLOOKUP(F1326,Material!$H$2:$M$17,6,FALSE)*H1326*I1326*(1+Material!$K$14)</f>
        <v>253.60398945465425</v>
      </c>
      <c r="N1326" s="79" t="str">
        <f t="shared" si="170"/>
        <v>T5.0</v>
      </c>
      <c r="O1326" s="80">
        <f>+VLOOKUP(N1326,[3]Material!$A$3:$B$58,2,FALSE)</f>
        <v>5000</v>
      </c>
      <c r="P1326" s="79" t="s">
        <v>42</v>
      </c>
      <c r="Q1326" s="79" t="str">
        <f>+VLOOKUP(F1326,[3]Material!$C$2:$E$12,2,FALSE)</f>
        <v>Cal 16</v>
      </c>
      <c r="R1326" s="81">
        <f>+IF(P1326="ACERO A36",VLOOKUP(Q1326,'[3]Velocidades Std 1500 w'!$B$2:$F$15,5,FALSE),IF(P1326="INOXIDABLE",VLOOKUP(Q1326,'[3]Velocidades Std 1500 w'!$B$17:$F$28,5,FALSE),IF(P1326="ALUMINIO",VLOOKUP(Q1326,'[3]Velocidades Std 1500 w'!$B$30:$F$38,5,FALSE))))</f>
        <v>9.1575091575091579E-7</v>
      </c>
      <c r="S1326" s="82">
        <f t="shared" si="162"/>
        <v>4.578754578754579E-3</v>
      </c>
      <c r="T1326" s="83">
        <f t="shared" si="163"/>
        <v>13.770512307692309</v>
      </c>
      <c r="U1326" s="307">
        <f t="shared" si="171"/>
        <v>4177.0554000000002</v>
      </c>
      <c r="V1326" s="80">
        <f t="shared" si="153"/>
        <v>19.125711538461541</v>
      </c>
      <c r="W1326" s="98">
        <v>15</v>
      </c>
      <c r="X1326" s="84">
        <f>+IF(P1326="ACERO A36",VLOOKUP(Q1326,'[3]Tiempo Objeto'!$B$2:$C$12,2,FALSE),IF(P1326="INOXIDABLE",VLOOKUP(Q1326,'[3]Tiempo Objeto'!$B$14:$C$22,2,FALSE),IF(P1326="ALUMINIO",VLOOKUP(Q1326,'[3]Tiempo Objeto'!$B$24:$C$32,2,FALSE))))</f>
        <v>0.24666666666666667</v>
      </c>
      <c r="Y1326" s="84">
        <f t="shared" si="164"/>
        <v>3.7</v>
      </c>
      <c r="Z1326" s="80">
        <f t="shared" si="165"/>
        <v>5.1388888888888893</v>
      </c>
      <c r="AA1326" s="100">
        <v>5</v>
      </c>
      <c r="AB1326" s="86">
        <f>+AA1326*Analisis!$J$6</f>
        <v>125</v>
      </c>
      <c r="AC1326" s="100"/>
      <c r="AD1326" s="85">
        <f t="shared" si="166"/>
        <v>0</v>
      </c>
      <c r="AE1326" s="86">
        <f>+AC1326*Analisis!$J$7</f>
        <v>0</v>
      </c>
      <c r="AF1326" s="308">
        <f>+H1326*0.0254*I1326*0.0254*2*(1+[3]Analisis!$G$2)</f>
        <v>1.80471380992</v>
      </c>
      <c r="AG1326" s="86">
        <f>+AF1326*Analisis!$J$8</f>
        <v>192.28795950933338</v>
      </c>
      <c r="AH1326" s="309">
        <f t="shared" si="167"/>
        <v>595.1565493913381</v>
      </c>
      <c r="AI1326" s="86">
        <f>+AH1326/(1-Analisis!G1331)</f>
        <v>595.1565493913381</v>
      </c>
      <c r="AJ1326" s="86">
        <f t="shared" si="168"/>
        <v>639.9532789154174</v>
      </c>
      <c r="AK1326" s="86">
        <f t="shared" si="169"/>
        <v>0</v>
      </c>
      <c r="AL1326" s="310" t="e">
        <f>+VLOOKUP(B1326,#REF!,2,FALSE)</f>
        <v>#REF!</v>
      </c>
      <c r="AM1326" s="311" t="e">
        <f t="shared" si="149"/>
        <v>#REF!</v>
      </c>
      <c r="AN1326" s="312" t="e">
        <f t="shared" si="148"/>
        <v>#REF!</v>
      </c>
    </row>
    <row r="1327" spans="1:40" s="73" customFormat="1" x14ac:dyDescent="0.25">
      <c r="A1327" s="313"/>
      <c r="B1327" s="314" t="s">
        <v>1949</v>
      </c>
      <c r="D1327" s="352">
        <f>IFERROR(VLOOKUP(B1327,'REQ. PINTADO'!B:C,2,0),0)</f>
        <v>0</v>
      </c>
      <c r="E1327" s="305">
        <f t="shared" si="160"/>
        <v>687.41362452071189</v>
      </c>
      <c r="F1327" s="103" t="s">
        <v>165</v>
      </c>
      <c r="G1327" s="75" t="s">
        <v>147</v>
      </c>
      <c r="H1327" s="90">
        <v>23.61</v>
      </c>
      <c r="I1327" s="90">
        <v>33.08</v>
      </c>
      <c r="J1327" s="76">
        <v>0.105</v>
      </c>
      <c r="K1327" s="306">
        <v>16.38</v>
      </c>
      <c r="L1327" s="78">
        <f t="shared" si="161"/>
        <v>43.598538782051286</v>
      </c>
      <c r="M1327" s="58">
        <f>+VLOOKUP(F1327,Material!$H$2:$M$17,6,FALSE)*H1327*I1327*(1+Material!$K$14)</f>
        <v>324.61093875</v>
      </c>
      <c r="N1327" s="79" t="str">
        <f t="shared" si="170"/>
        <v>T5.0</v>
      </c>
      <c r="O1327" s="80">
        <f>+VLOOKUP(N1327,[3]Material!$A$3:$B$58,2,FALSE)</f>
        <v>5000</v>
      </c>
      <c r="P1327" s="79" t="s">
        <v>42</v>
      </c>
      <c r="Q1327" s="79" t="str">
        <f>+VLOOKUP(F1327,[3]Material!$C$2:$E$12,2,FALSE)</f>
        <v>Cal 14</v>
      </c>
      <c r="R1327" s="81">
        <f>+IF(P1327="ACERO A36",VLOOKUP(Q1327,'[3]Velocidades Std 1500 w'!$B$2:$F$15,5,FALSE),IF(P1327="INOXIDABLE",VLOOKUP(Q1327,'[3]Velocidades Std 1500 w'!$B$17:$F$28,5,FALSE),IF(P1327="ALUMINIO",VLOOKUP(Q1327,'[3]Velocidades Std 1500 w'!$B$30:$F$38,5,FALSE))))</f>
        <v>2.0080321285140564E-6</v>
      </c>
      <c r="S1327" s="82">
        <f t="shared" si="162"/>
        <v>1.0040160642570283E-2</v>
      </c>
      <c r="T1327" s="83">
        <f t="shared" si="163"/>
        <v>30.534900722891567</v>
      </c>
      <c r="U1327" s="307">
        <f t="shared" si="171"/>
        <v>4223.9946</v>
      </c>
      <c r="V1327" s="80">
        <f t="shared" si="153"/>
        <v>42.409584337349408</v>
      </c>
      <c r="W1327" s="98">
        <v>30</v>
      </c>
      <c r="X1327" s="84">
        <f>+IF(P1327="ACERO A36",VLOOKUP(Q1327,'[3]Tiempo Objeto'!$B$2:$C$12,2,FALSE),IF(P1327="INOXIDABLE",VLOOKUP(Q1327,'[3]Tiempo Objeto'!$B$14:$C$22,2,FALSE),IF(P1327="ALUMINIO",VLOOKUP(Q1327,'[3]Tiempo Objeto'!$B$24:$C$32,2,FALSE))))</f>
        <v>0.3133333333333333</v>
      </c>
      <c r="Y1327" s="84">
        <f t="shared" si="164"/>
        <v>9.3999999999999986</v>
      </c>
      <c r="Z1327" s="80">
        <f t="shared" si="165"/>
        <v>13.055555555555554</v>
      </c>
      <c r="AA1327" s="100">
        <v>5</v>
      </c>
      <c r="AB1327" s="86">
        <f>+AA1327*Analisis!$J$6</f>
        <v>125</v>
      </c>
      <c r="AC1327" s="100"/>
      <c r="AD1327" s="85">
        <f t="shared" si="166"/>
        <v>0</v>
      </c>
      <c r="AE1327" s="86">
        <f>+AC1327*Analisis!$J$7</f>
        <v>0</v>
      </c>
      <c r="AF1327" s="308">
        <f>+H1327*0.0254*I1327*0.0254*2*(1+[3]Analisis!$G$2)</f>
        <v>1.2597052225199998</v>
      </c>
      <c r="AG1327" s="86">
        <f>+AF1327*Analisis!$J$8</f>
        <v>134.21859216135718</v>
      </c>
      <c r="AH1327" s="309">
        <f t="shared" si="167"/>
        <v>639.29467080426207</v>
      </c>
      <c r="AI1327" s="86">
        <f>+AH1327/(1-Analisis!G1332)</f>
        <v>639.29467080426207</v>
      </c>
      <c r="AJ1327" s="86">
        <f t="shared" si="168"/>
        <v>687.41362452071189</v>
      </c>
      <c r="AK1327" s="86">
        <f t="shared" si="169"/>
        <v>0</v>
      </c>
      <c r="AL1327" s="310" t="e">
        <f>+VLOOKUP(B1327,#REF!,2,FALSE)</f>
        <v>#REF!</v>
      </c>
      <c r="AM1327" s="311" t="e">
        <f t="shared" si="149"/>
        <v>#REF!</v>
      </c>
      <c r="AN1327" s="312" t="e">
        <f t="shared" si="148"/>
        <v>#REF!</v>
      </c>
    </row>
    <row r="1328" spans="1:40" s="73" customFormat="1" x14ac:dyDescent="0.25">
      <c r="A1328" s="313"/>
      <c r="B1328" s="314" t="s">
        <v>1950</v>
      </c>
      <c r="D1328" s="352">
        <f>IFERROR(VLOOKUP(B1328,'REQ. PINTADO'!B:C,2,0),0)</f>
        <v>0</v>
      </c>
      <c r="E1328" s="305">
        <f t="shared" si="160"/>
        <v>564.76585208606718</v>
      </c>
      <c r="F1328" s="103" t="s">
        <v>163</v>
      </c>
      <c r="G1328" s="75" t="s">
        <v>147</v>
      </c>
      <c r="H1328" s="90">
        <v>16.07</v>
      </c>
      <c r="I1328" s="90">
        <v>35.68</v>
      </c>
      <c r="J1328" s="76">
        <v>0.105</v>
      </c>
      <c r="K1328" s="306">
        <v>16.38</v>
      </c>
      <c r="L1328" s="78">
        <f t="shared" si="161"/>
        <v>28.906996384152137</v>
      </c>
      <c r="M1328" s="58">
        <f>+VLOOKUP(F1328,Material!$H$2:$M$17,6,FALSE)*H1328*I1328*(1+Material!$K$14)</f>
        <v>215.22572762382362</v>
      </c>
      <c r="N1328" s="79" t="str">
        <f t="shared" si="170"/>
        <v>T5.0</v>
      </c>
      <c r="O1328" s="80">
        <f>+VLOOKUP(N1328,[3]Material!$A$3:$B$58,2,FALSE)</f>
        <v>5000</v>
      </c>
      <c r="P1328" s="79" t="s">
        <v>42</v>
      </c>
      <c r="Q1328" s="79" t="str">
        <f>+VLOOKUP(F1328,[3]Material!$C$2:$E$12,2,FALSE)</f>
        <v>Cal 12</v>
      </c>
      <c r="R1328" s="81">
        <f>+IF(P1328="ACERO A36",VLOOKUP(Q1328,'[3]Velocidades Std 1500 w'!$B$2:$F$15,5,FALSE),IF(P1328="INOXIDABLE",VLOOKUP(Q1328,'[3]Velocidades Std 1500 w'!$B$17:$F$28,5,FALSE),IF(P1328="ALUMINIO",VLOOKUP(Q1328,'[3]Velocidades Std 1500 w'!$B$30:$F$38,5,FALSE))))</f>
        <v>4.3859649122807014E-6</v>
      </c>
      <c r="S1328" s="82">
        <f t="shared" si="162"/>
        <v>2.1929824561403508E-2</v>
      </c>
      <c r="T1328" s="83">
        <f t="shared" si="163"/>
        <v>53.059263157894726</v>
      </c>
      <c r="U1328" s="307">
        <f t="shared" si="171"/>
        <v>3360.4199999999996</v>
      </c>
      <c r="V1328" s="80">
        <f t="shared" si="153"/>
        <v>73.693421052631564</v>
      </c>
      <c r="W1328" s="98">
        <v>15</v>
      </c>
      <c r="X1328" s="84">
        <f>+IF(P1328="ACERO A36",VLOOKUP(Q1328,'[3]Tiempo Objeto'!$B$2:$C$12,2,FALSE),IF(P1328="INOXIDABLE",VLOOKUP(Q1328,'[3]Tiempo Objeto'!$B$14:$C$22,2,FALSE),IF(P1328="ALUMINIO",VLOOKUP(Q1328,'[3]Tiempo Objeto'!$B$24:$C$32,2,FALSE))))</f>
        <v>0.6133333333333334</v>
      </c>
      <c r="Y1328" s="84">
        <f t="shared" si="164"/>
        <v>9.2000000000000011</v>
      </c>
      <c r="Z1328" s="80">
        <f t="shared" si="165"/>
        <v>12.77777777777778</v>
      </c>
      <c r="AA1328" s="100">
        <v>5</v>
      </c>
      <c r="AB1328" s="86">
        <f>+AA1328*Analisis!$J$6</f>
        <v>125</v>
      </c>
      <c r="AC1328" s="100"/>
      <c r="AD1328" s="85">
        <f t="shared" si="166"/>
        <v>0</v>
      </c>
      <c r="AE1328" s="86">
        <f>+AC1328*Analisis!$J$7</f>
        <v>0</v>
      </c>
      <c r="AF1328" s="308">
        <f>+H1328*0.0254*I1328*0.0254*2*(1+[3]Analisis!$G$2)</f>
        <v>0.92480073103999993</v>
      </c>
      <c r="AG1328" s="86">
        <f>+AF1328*Analisis!$J$8</f>
        <v>98.535315985809547</v>
      </c>
      <c r="AH1328" s="309">
        <f t="shared" si="167"/>
        <v>525.23224244004246</v>
      </c>
      <c r="AI1328" s="86">
        <f>+AH1328/(1-Analisis!G1333)</f>
        <v>525.23224244004246</v>
      </c>
      <c r="AJ1328" s="86">
        <f t="shared" si="168"/>
        <v>564.76585208606718</v>
      </c>
      <c r="AK1328" s="86">
        <f t="shared" si="169"/>
        <v>0</v>
      </c>
      <c r="AL1328" s="310" t="e">
        <f>+VLOOKUP(B1328,#REF!,2,FALSE)</f>
        <v>#REF!</v>
      </c>
      <c r="AM1328" s="311" t="e">
        <f t="shared" si="149"/>
        <v>#REF!</v>
      </c>
      <c r="AN1328" s="312" t="e">
        <f t="shared" si="148"/>
        <v>#REF!</v>
      </c>
    </row>
    <row r="1329" spans="1:40" s="73" customFormat="1" x14ac:dyDescent="0.25">
      <c r="A1329" s="313"/>
      <c r="B1329" s="314" t="s">
        <v>1951</v>
      </c>
      <c r="D1329" s="352">
        <f>IFERROR(VLOOKUP(B1329,'REQ. PINTADO'!B:C,2,0),0)</f>
        <v>0</v>
      </c>
      <c r="E1329" s="305">
        <f t="shared" si="160"/>
        <v>565.42539647570777</v>
      </c>
      <c r="F1329" s="397" t="s">
        <v>163</v>
      </c>
      <c r="G1329" s="75" t="s">
        <v>147</v>
      </c>
      <c r="H1329" s="90">
        <v>16.09</v>
      </c>
      <c r="I1329" s="90">
        <v>35.700000000000003</v>
      </c>
      <c r="J1329" s="76">
        <v>0.105</v>
      </c>
      <c r="K1329" s="306">
        <v>16.38</v>
      </c>
      <c r="L1329" s="78">
        <f t="shared" si="161"/>
        <v>28.959196372530045</v>
      </c>
      <c r="M1329" s="58">
        <f>+VLOOKUP(F1329,Material!$H$2:$M$17,6,FALSE)*H1329*I1329*(1+Material!$K$14)</f>
        <v>215.61438026456457</v>
      </c>
      <c r="N1329" s="79" t="str">
        <f t="shared" si="170"/>
        <v>T5.0</v>
      </c>
      <c r="O1329" s="80">
        <f>+VLOOKUP(N1329,[3]Material!$A$3:$B$58,2,FALSE)</f>
        <v>5000</v>
      </c>
      <c r="P1329" s="79" t="s">
        <v>42</v>
      </c>
      <c r="Q1329" s="79" t="str">
        <f>+VLOOKUP(F1329,[3]Material!$C$2:$E$12,2,FALSE)</f>
        <v>Cal 12</v>
      </c>
      <c r="R1329" s="81">
        <f>+IF(P1329="ACERO A36",VLOOKUP(Q1329,'[3]Velocidades Std 1500 w'!$B$2:$F$15,5,FALSE),IF(P1329="INOXIDABLE",VLOOKUP(Q1329,'[3]Velocidades Std 1500 w'!$B$17:$F$28,5,FALSE),IF(P1329="ALUMINIO",VLOOKUP(Q1329,'[3]Velocidades Std 1500 w'!$B$30:$F$38,5,FALSE))))</f>
        <v>4.3859649122807014E-6</v>
      </c>
      <c r="S1329" s="82">
        <f t="shared" si="162"/>
        <v>2.1929824561403508E-2</v>
      </c>
      <c r="T1329" s="83">
        <f t="shared" si="163"/>
        <v>53.092951578947364</v>
      </c>
      <c r="U1329" s="307">
        <f t="shared" si="171"/>
        <v>3362.5536000000002</v>
      </c>
      <c r="V1329" s="80">
        <f t="shared" si="153"/>
        <v>73.740210526315792</v>
      </c>
      <c r="W1329" s="98">
        <v>15</v>
      </c>
      <c r="X1329" s="84">
        <f>+IF(P1329="ACERO A36",VLOOKUP(Q1329,'[3]Tiempo Objeto'!$B$2:$C$12,2,FALSE),IF(P1329="INOXIDABLE",VLOOKUP(Q1329,'[3]Tiempo Objeto'!$B$14:$C$22,2,FALSE),IF(P1329="ALUMINIO",VLOOKUP(Q1329,'[3]Tiempo Objeto'!$B$24:$C$32,2,FALSE))))</f>
        <v>0.6133333333333334</v>
      </c>
      <c r="Y1329" s="84">
        <f t="shared" si="164"/>
        <v>9.2000000000000011</v>
      </c>
      <c r="Z1329" s="80">
        <f t="shared" si="165"/>
        <v>12.77777777777778</v>
      </c>
      <c r="AA1329" s="100">
        <v>5</v>
      </c>
      <c r="AB1329" s="86">
        <f>+AA1329*Analisis!$J$6</f>
        <v>125</v>
      </c>
      <c r="AC1329" s="100"/>
      <c r="AD1329" s="85">
        <f t="shared" si="166"/>
        <v>0</v>
      </c>
      <c r="AE1329" s="86">
        <f>+AC1329*Analisis!$J$7</f>
        <v>0</v>
      </c>
      <c r="AF1329" s="308">
        <f>+H1329*0.0254*I1329*0.0254*2*(1+[3]Analisis!$G$2)</f>
        <v>0.92647072770000005</v>
      </c>
      <c r="AG1329" s="86">
        <f>+AF1329*Analisis!$J$8</f>
        <v>98.713250153750039</v>
      </c>
      <c r="AH1329" s="309">
        <f t="shared" si="167"/>
        <v>525.84561872240818</v>
      </c>
      <c r="AI1329" s="86">
        <f>+AH1329/(1-Analisis!G1334)</f>
        <v>525.84561872240818</v>
      </c>
      <c r="AJ1329" s="86">
        <f t="shared" si="168"/>
        <v>565.42539647570777</v>
      </c>
      <c r="AK1329" s="86">
        <f t="shared" si="169"/>
        <v>0</v>
      </c>
      <c r="AL1329" s="310" t="e">
        <f>+VLOOKUP(B1329,#REF!,2,FALSE)</f>
        <v>#REF!</v>
      </c>
      <c r="AM1329" s="311" t="e">
        <f t="shared" si="149"/>
        <v>#REF!</v>
      </c>
      <c r="AN1329" s="312" t="e">
        <f t="shared" si="148"/>
        <v>#REF!</v>
      </c>
    </row>
    <row r="1330" spans="1:40" s="73" customFormat="1" x14ac:dyDescent="0.25">
      <c r="A1330" s="313"/>
      <c r="B1330" s="314" t="s">
        <v>1952</v>
      </c>
      <c r="D1330" s="74">
        <f>IFERROR(VLOOKUP(B1330,'REQ. PINTADO'!B:C,2,0),0)</f>
        <v>0</v>
      </c>
      <c r="E1330" s="305">
        <f t="shared" ref="E1330:E1731" si="172">+AJ1330</f>
        <v>1166.8319923091497</v>
      </c>
      <c r="F1330" s="103" t="s">
        <v>165</v>
      </c>
      <c r="G1330" s="75" t="s">
        <v>147</v>
      </c>
      <c r="H1330" s="90">
        <v>50.03</v>
      </c>
      <c r="I1330" s="90">
        <v>31.16</v>
      </c>
      <c r="J1330" s="76">
        <v>0.105</v>
      </c>
      <c r="K1330" s="306">
        <v>16.38</v>
      </c>
      <c r="L1330" s="78">
        <f t="shared" ref="L1330:L1731" si="173">+M1330*2.2/K1330</f>
        <v>87.023871047008569</v>
      </c>
      <c r="M1330" s="58">
        <f>+VLOOKUP(F1330,Material!$H$2:$M$17,6,FALSE)*H1330*I1330*(1+Material!$K$14)</f>
        <v>647.93227625000009</v>
      </c>
      <c r="N1330" s="79" t="str">
        <f t="shared" si="170"/>
        <v>T5.0</v>
      </c>
      <c r="O1330" s="80">
        <f>+VLOOKUP(N1330,[3]Material!$A$3:$B$58,2,FALSE)</f>
        <v>5000</v>
      </c>
      <c r="P1330" s="79" t="s">
        <v>42</v>
      </c>
      <c r="Q1330" s="79" t="str">
        <f>+VLOOKUP(F1330,[3]Material!$C$2:$E$12,2,FALSE)</f>
        <v>Cal 14</v>
      </c>
      <c r="R1330" s="81">
        <f>+IF(P1330="ACERO A36",VLOOKUP(Q1330,'[3]Velocidades Std 1500 w'!$B$2:$F$15,5,FALSE),IF(P1330="INOXIDABLE",VLOOKUP(Q1330,'[3]Velocidades Std 1500 w'!$B$17:$F$28,5,FALSE),IF(P1330="ALUMINIO",VLOOKUP(Q1330,'[3]Velocidades Std 1500 w'!$B$30:$F$38,5,FALSE))))</f>
        <v>2.0080321285140564E-6</v>
      </c>
      <c r="S1330" s="82">
        <f t="shared" ref="S1330:S1731" si="174">+R1330*O1330</f>
        <v>1.0040160642570283E-2</v>
      </c>
      <c r="T1330" s="83">
        <f t="shared" ref="T1330:T1731" si="175">+R1330*U1330*3600</f>
        <v>31.59527421686747</v>
      </c>
      <c r="U1330" s="307">
        <f t="shared" si="171"/>
        <v>4370.6795999999995</v>
      </c>
      <c r="V1330" s="80">
        <f t="shared" si="153"/>
        <v>43.882325301204823</v>
      </c>
      <c r="W1330" s="98">
        <v>1</v>
      </c>
      <c r="X1330" s="84">
        <f>+IF(P1330="ACERO A36",VLOOKUP(Q1330,'[3]Tiempo Objeto'!$B$2:$C$12,2,FALSE),IF(P1330="INOXIDABLE",VLOOKUP(Q1330,'[3]Tiempo Objeto'!$B$14:$C$22,2,FALSE),IF(P1330="ALUMINIO",VLOOKUP(Q1330,'[3]Tiempo Objeto'!$B$24:$C$32,2,FALSE))))</f>
        <v>0.3133333333333333</v>
      </c>
      <c r="Y1330" s="84">
        <f t="shared" ref="Y1330:Y1731" si="176">+X1330*W1330</f>
        <v>0.3133333333333333</v>
      </c>
      <c r="Z1330" s="80">
        <f t="shared" ref="Z1330:Z1731" si="177">+Y1330*O1330/3600</f>
        <v>0.43518518518518512</v>
      </c>
      <c r="AA1330" s="100">
        <v>5</v>
      </c>
      <c r="AB1330" s="86">
        <f>+AA1330*Analisis!$J$6</f>
        <v>125</v>
      </c>
      <c r="AC1330" s="100"/>
      <c r="AD1330" s="85">
        <f t="shared" ref="AD1330:AD1731" si="178">30*AC1330+AC1330*$D1330*1.5</f>
        <v>0</v>
      </c>
      <c r="AE1330" s="86">
        <f>+AC1330*Analisis!$J$7</f>
        <v>0</v>
      </c>
      <c r="AF1330" s="308">
        <f>+H1330*0.0254*I1330*0.0254*2*(1+[3]Analisis!$G$2)</f>
        <v>2.5144059389200004</v>
      </c>
      <c r="AG1330" s="86">
        <f>+AF1330*Analisis!$J$8</f>
        <v>267.90396611111919</v>
      </c>
      <c r="AH1330" s="309">
        <f t="shared" ref="AH1330:AH1731" si="179">+AE1330+AB1330+Z1330+V1330+M1330+AG1330</f>
        <v>1085.1537528475092</v>
      </c>
      <c r="AI1330" s="86">
        <f>+AH1330/(1-Analisis!G1335)</f>
        <v>1085.1537528475092</v>
      </c>
      <c r="AJ1330" s="86">
        <f t="shared" ref="AJ1330:AJ1731" si="180">+AI1330/(1-0.07)</f>
        <v>1166.8319923091497</v>
      </c>
      <c r="AK1330" s="86">
        <f t="shared" ref="AK1330:AK1731" si="181">+AJ1330*D1330</f>
        <v>0</v>
      </c>
      <c r="AL1330" s="310" t="e">
        <f>+VLOOKUP(B1330,#REF!,2,FALSE)</f>
        <v>#REF!</v>
      </c>
      <c r="AM1330" s="311" t="e">
        <f t="shared" si="149"/>
        <v>#REF!</v>
      </c>
      <c r="AN1330" s="312" t="e">
        <f t="shared" si="148"/>
        <v>#REF!</v>
      </c>
    </row>
    <row r="1331" spans="1:40" s="73" customFormat="1" x14ac:dyDescent="0.25">
      <c r="A1331" s="313"/>
      <c r="B1331" s="314" t="s">
        <v>1953</v>
      </c>
      <c r="D1331" s="74">
        <f>IFERROR(VLOOKUP(B1331,'REQ. PINTADO'!B:C,2,0),0)</f>
        <v>0</v>
      </c>
      <c r="E1331" s="305">
        <f t="shared" si="172"/>
        <v>282.5455403715365</v>
      </c>
      <c r="F1331" s="397" t="s">
        <v>166</v>
      </c>
      <c r="G1331" s="75" t="s">
        <v>147</v>
      </c>
      <c r="H1331" s="90">
        <v>23.09</v>
      </c>
      <c r="I1331" s="90">
        <v>13.71</v>
      </c>
      <c r="J1331" s="76">
        <v>0.105</v>
      </c>
      <c r="K1331" s="306">
        <v>16.38</v>
      </c>
      <c r="L1331" s="78">
        <f t="shared" si="173"/>
        <v>9.6366337291091284</v>
      </c>
      <c r="M1331" s="58">
        <f>+VLOOKUP(F1331,Material!$H$2:$M$17,6,FALSE)*H1331*I1331*(1+Material!$K$14)</f>
        <v>71.749118401276135</v>
      </c>
      <c r="N1331" s="79" t="str">
        <f t="shared" si="170"/>
        <v>T5.0</v>
      </c>
      <c r="O1331" s="80">
        <f>+VLOOKUP(N1331,[3]Material!$A$3:$B$58,2,FALSE)</f>
        <v>5000</v>
      </c>
      <c r="P1331" s="79" t="s">
        <v>42</v>
      </c>
      <c r="Q1331" s="79" t="str">
        <f>+VLOOKUP(F1331,[3]Material!$C$2:$E$12,2,FALSE)</f>
        <v>Cal 16</v>
      </c>
      <c r="R1331" s="81">
        <f>+IF(P1331="ACERO A36",VLOOKUP(Q1331,'[3]Velocidades Std 1500 w'!$B$2:$F$15,5,FALSE),IF(P1331="INOXIDABLE",VLOOKUP(Q1331,'[3]Velocidades Std 1500 w'!$B$17:$F$28,5,FALSE),IF(P1331="ALUMINIO",VLOOKUP(Q1331,'[3]Velocidades Std 1500 w'!$B$30:$F$38,5,FALSE))))</f>
        <v>9.1575091575091579E-7</v>
      </c>
      <c r="S1331" s="82">
        <f t="shared" si="174"/>
        <v>4.578754578754579E-3</v>
      </c>
      <c r="T1331" s="83">
        <f t="shared" si="175"/>
        <v>7.1305615384615386</v>
      </c>
      <c r="U1331" s="307">
        <f t="shared" si="171"/>
        <v>2162.9369999999999</v>
      </c>
      <c r="V1331" s="80">
        <f t="shared" si="153"/>
        <v>9.9035576923076931</v>
      </c>
      <c r="W1331" s="98">
        <v>5</v>
      </c>
      <c r="X1331" s="84">
        <f>+IF(P1331="ACERO A36",VLOOKUP(Q1331,'[3]Tiempo Objeto'!$B$2:$C$12,2,FALSE),IF(P1331="INOXIDABLE",VLOOKUP(Q1331,'[3]Tiempo Objeto'!$B$14:$C$22,2,FALSE),IF(P1331="ALUMINIO",VLOOKUP(Q1331,'[3]Tiempo Objeto'!$B$24:$C$32,2,FALSE))))</f>
        <v>0.24666666666666667</v>
      </c>
      <c r="Y1331" s="84">
        <f t="shared" si="176"/>
        <v>1.2333333333333334</v>
      </c>
      <c r="Z1331" s="80">
        <f t="shared" si="177"/>
        <v>1.712962962962963</v>
      </c>
      <c r="AA1331" s="100">
        <v>5</v>
      </c>
      <c r="AB1331" s="86">
        <f>+AA1331*Analisis!$J$6</f>
        <v>125</v>
      </c>
      <c r="AC1331" s="100"/>
      <c r="AD1331" s="85">
        <f t="shared" si="178"/>
        <v>0</v>
      </c>
      <c r="AE1331" s="86">
        <f>+AC1331*Analisis!$J$7</f>
        <v>0</v>
      </c>
      <c r="AF1331" s="308">
        <f>+H1331*0.0254*I1331*0.0254*2*(1+[3]Analisis!$G$2)</f>
        <v>0.51058591430999989</v>
      </c>
      <c r="AG1331" s="86">
        <f>+AF1331*Analisis!$J$8</f>
        <v>54.401713488982146</v>
      </c>
      <c r="AH1331" s="309">
        <f t="shared" si="179"/>
        <v>262.76735254552892</v>
      </c>
      <c r="AI1331" s="86">
        <f>+AH1331/(1-Analisis!G1336)</f>
        <v>262.76735254552892</v>
      </c>
      <c r="AJ1331" s="86">
        <f t="shared" si="180"/>
        <v>282.5455403715365</v>
      </c>
      <c r="AK1331" s="86">
        <f t="shared" si="181"/>
        <v>0</v>
      </c>
      <c r="AL1331" s="310" t="e">
        <f>+VLOOKUP(B1331,#REF!,2,FALSE)</f>
        <v>#REF!</v>
      </c>
      <c r="AM1331" s="311" t="e">
        <f t="shared" si="149"/>
        <v>#REF!</v>
      </c>
      <c r="AN1331" s="312" t="e">
        <f t="shared" si="148"/>
        <v>#REF!</v>
      </c>
    </row>
    <row r="1332" spans="1:40" s="73" customFormat="1" x14ac:dyDescent="0.25">
      <c r="A1332" s="313"/>
      <c r="B1332" s="314" t="s">
        <v>1954</v>
      </c>
      <c r="D1332" s="74">
        <f>IFERROR(VLOOKUP(B1332,'REQ. PINTADO'!B:C,2,0),0)</f>
        <v>0</v>
      </c>
      <c r="E1332" s="305">
        <f t="shared" si="172"/>
        <v>459.77757911575361</v>
      </c>
      <c r="F1332" s="397" t="s">
        <v>166</v>
      </c>
      <c r="G1332" s="75" t="s">
        <v>147</v>
      </c>
      <c r="H1332" s="90">
        <v>23.09</v>
      </c>
      <c r="I1332" s="90">
        <v>31.16</v>
      </c>
      <c r="J1332" s="76">
        <v>0.105</v>
      </c>
      <c r="K1332" s="306">
        <v>16.38</v>
      </c>
      <c r="L1332" s="78">
        <f t="shared" si="173"/>
        <v>21.9020792851233</v>
      </c>
      <c r="M1332" s="58">
        <f>+VLOOKUP(F1332,Material!$H$2:$M$17,6,FALSE)*H1332*I1332*(1+Material!$K$14)</f>
        <v>163.07093576832708</v>
      </c>
      <c r="N1332" s="79" t="str">
        <f t="shared" si="170"/>
        <v>T5.0</v>
      </c>
      <c r="O1332" s="80">
        <f>+VLOOKUP(N1332,[3]Material!$A$3:$B$58,2,FALSE)</f>
        <v>5000</v>
      </c>
      <c r="P1332" s="79" t="s">
        <v>42</v>
      </c>
      <c r="Q1332" s="79" t="str">
        <f>+VLOOKUP(F1332,[3]Material!$C$2:$E$12,2,FALSE)</f>
        <v>Cal 16</v>
      </c>
      <c r="R1332" s="81">
        <f>+IF(P1332="ACERO A36",VLOOKUP(Q1332,'[3]Velocidades Std 1500 w'!$B$2:$F$15,5,FALSE),IF(P1332="INOXIDABLE",VLOOKUP(Q1332,'[3]Velocidades Std 1500 w'!$B$17:$F$28,5,FALSE),IF(P1332="ALUMINIO",VLOOKUP(Q1332,'[3]Velocidades Std 1500 w'!$B$30:$F$38,5,FALSE))))</f>
        <v>9.1575091575091579E-7</v>
      </c>
      <c r="S1332" s="82">
        <f t="shared" si="174"/>
        <v>4.578754578754579E-3</v>
      </c>
      <c r="T1332" s="83">
        <f t="shared" si="175"/>
        <v>10.199076923076923</v>
      </c>
      <c r="U1332" s="307">
        <f t="shared" si="171"/>
        <v>3093.72</v>
      </c>
      <c r="V1332" s="80">
        <f t="shared" si="153"/>
        <v>14.165384615384616</v>
      </c>
      <c r="W1332" s="98">
        <v>5</v>
      </c>
      <c r="X1332" s="84">
        <f>+IF(P1332="ACERO A36",VLOOKUP(Q1332,'[3]Tiempo Objeto'!$B$2:$C$12,2,FALSE),IF(P1332="INOXIDABLE",VLOOKUP(Q1332,'[3]Tiempo Objeto'!$B$14:$C$22,2,FALSE),IF(P1332="ALUMINIO",VLOOKUP(Q1332,'[3]Tiempo Objeto'!$B$24:$C$32,2,FALSE))))</f>
        <v>0.24666666666666667</v>
      </c>
      <c r="Y1332" s="84">
        <f t="shared" si="176"/>
        <v>1.2333333333333334</v>
      </c>
      <c r="Z1332" s="80">
        <f t="shared" si="177"/>
        <v>1.712962962962963</v>
      </c>
      <c r="AA1332" s="100">
        <v>5</v>
      </c>
      <c r="AB1332" s="86">
        <f>+AA1332*Analisis!$J$6</f>
        <v>125</v>
      </c>
      <c r="AC1332" s="100"/>
      <c r="AD1332" s="85">
        <f t="shared" si="178"/>
        <v>0</v>
      </c>
      <c r="AE1332" s="86">
        <f>+AC1332*Analisis!$J$7</f>
        <v>0</v>
      </c>
      <c r="AF1332" s="308">
        <f>+H1332*0.0254*I1332*0.0254*2*(1+[3]Analisis!$G$2)</f>
        <v>1.1604563887599997</v>
      </c>
      <c r="AG1332" s="86">
        <f>+AF1332*Analisis!$J$8</f>
        <v>123.64386523097619</v>
      </c>
      <c r="AH1332" s="309">
        <f t="shared" si="179"/>
        <v>427.59314857765082</v>
      </c>
      <c r="AI1332" s="86">
        <f>+AH1332/(1-Analisis!G1337)</f>
        <v>427.59314857765082</v>
      </c>
      <c r="AJ1332" s="86">
        <f t="shared" si="180"/>
        <v>459.77757911575361</v>
      </c>
      <c r="AK1332" s="86">
        <f t="shared" si="181"/>
        <v>0</v>
      </c>
      <c r="AL1332" s="310" t="e">
        <f>+VLOOKUP(B1332,#REF!,2,FALSE)</f>
        <v>#REF!</v>
      </c>
      <c r="AM1332" s="311" t="e">
        <f t="shared" si="149"/>
        <v>#REF!</v>
      </c>
      <c r="AN1332" s="312" t="e">
        <f t="shared" si="148"/>
        <v>#REF!</v>
      </c>
    </row>
    <row r="1333" spans="1:40" s="73" customFormat="1" x14ac:dyDescent="0.25">
      <c r="A1333" s="313"/>
      <c r="B1333" s="314" t="s">
        <v>1955</v>
      </c>
      <c r="D1333" s="74">
        <f>IFERROR(VLOOKUP(B1333,'REQ. PINTADO'!B:C,2,0),0)</f>
        <v>0</v>
      </c>
      <c r="E1333" s="305">
        <f t="shared" si="172"/>
        <v>361.69689661353993</v>
      </c>
      <c r="F1333" s="397" t="s">
        <v>166</v>
      </c>
      <c r="G1333" s="75" t="s">
        <v>147</v>
      </c>
      <c r="H1333" s="90">
        <v>23.09</v>
      </c>
      <c r="I1333" s="90">
        <v>18.72</v>
      </c>
      <c r="J1333" s="76">
        <v>0.105</v>
      </c>
      <c r="K1333" s="306">
        <v>16.38</v>
      </c>
      <c r="L1333" s="78">
        <f t="shared" si="173"/>
        <v>13.158116951781391</v>
      </c>
      <c r="M1333" s="58">
        <f>+VLOOKUP(F1333,Material!$H$2:$M$17,6,FALSE)*H1333*I1333*(1+Material!$K$14)</f>
        <v>97.968161668263249</v>
      </c>
      <c r="N1333" s="79" t="str">
        <f t="shared" si="170"/>
        <v>T5.0</v>
      </c>
      <c r="O1333" s="80">
        <f>+VLOOKUP(N1333,[3]Material!$A$3:$B$58,2,FALSE)</f>
        <v>5000</v>
      </c>
      <c r="P1333" s="79" t="s">
        <v>42</v>
      </c>
      <c r="Q1333" s="79" t="str">
        <f>+VLOOKUP(F1333,[3]Material!$C$2:$E$12,2,FALSE)</f>
        <v>Cal 16</v>
      </c>
      <c r="R1333" s="81">
        <f>+IF(P1333="ACERO A36",VLOOKUP(Q1333,'[3]Velocidades Std 1500 w'!$B$2:$F$15,5,FALSE),IF(P1333="INOXIDABLE",VLOOKUP(Q1333,'[3]Velocidades Std 1500 w'!$B$17:$F$28,5,FALSE),IF(P1333="ALUMINIO",VLOOKUP(Q1333,'[3]Velocidades Std 1500 w'!$B$30:$F$38,5,FALSE))))</f>
        <v>9.1575091575091579E-7</v>
      </c>
      <c r="S1333" s="82">
        <f t="shared" si="174"/>
        <v>4.578754578754579E-3</v>
      </c>
      <c r="T1333" s="83">
        <f t="shared" si="175"/>
        <v>14.605781538461542</v>
      </c>
      <c r="U1333" s="307">
        <f t="shared" si="171"/>
        <v>4430.4204000000009</v>
      </c>
      <c r="V1333" s="80">
        <f t="shared" si="153"/>
        <v>20.285807692307696</v>
      </c>
      <c r="W1333" s="98">
        <v>55</v>
      </c>
      <c r="X1333" s="84">
        <f>+IF(P1333="ACERO A36",VLOOKUP(Q1333,'[3]Tiempo Objeto'!$B$2:$C$12,2,FALSE),IF(P1333="INOXIDABLE",VLOOKUP(Q1333,'[3]Tiempo Objeto'!$B$14:$C$22,2,FALSE),IF(P1333="ALUMINIO",VLOOKUP(Q1333,'[3]Tiempo Objeto'!$B$24:$C$32,2,FALSE))))</f>
        <v>0.24666666666666667</v>
      </c>
      <c r="Y1333" s="84">
        <f t="shared" si="176"/>
        <v>13.566666666666666</v>
      </c>
      <c r="Z1333" s="80">
        <f t="shared" si="177"/>
        <v>18.842592592592592</v>
      </c>
      <c r="AA1333" s="100">
        <v>5</v>
      </c>
      <c r="AB1333" s="86">
        <f>+AA1333*Analisis!$J$6</f>
        <v>125</v>
      </c>
      <c r="AC1333" s="100"/>
      <c r="AD1333" s="85">
        <f t="shared" si="178"/>
        <v>0</v>
      </c>
      <c r="AE1333" s="86">
        <f>+AC1333*Analisis!$J$7</f>
        <v>0</v>
      </c>
      <c r="AF1333" s="308">
        <f>+H1333*0.0254*I1333*0.0254*2*(1+[3]Analisis!$G$2)</f>
        <v>0.69716763791999992</v>
      </c>
      <c r="AG1333" s="86">
        <f>+AF1333*Analisis!$J$8</f>
        <v>74.281551897428585</v>
      </c>
      <c r="AH1333" s="309">
        <f t="shared" si="179"/>
        <v>336.37811385059211</v>
      </c>
      <c r="AI1333" s="86">
        <f>+AH1333/(1-Analisis!G1338)</f>
        <v>336.37811385059211</v>
      </c>
      <c r="AJ1333" s="86">
        <f t="shared" si="180"/>
        <v>361.69689661353993</v>
      </c>
      <c r="AK1333" s="86">
        <f t="shared" si="181"/>
        <v>0</v>
      </c>
      <c r="AL1333" s="310" t="e">
        <f>+VLOOKUP(B1333,#REF!,2,FALSE)</f>
        <v>#REF!</v>
      </c>
      <c r="AM1333" s="311" t="e">
        <f t="shared" si="149"/>
        <v>#REF!</v>
      </c>
      <c r="AN1333" s="312" t="e">
        <f t="shared" si="148"/>
        <v>#REF!</v>
      </c>
    </row>
    <row r="1334" spans="1:40" s="73" customFormat="1" x14ac:dyDescent="0.25">
      <c r="A1334" s="313"/>
      <c r="B1334" s="314" t="s">
        <v>1956</v>
      </c>
      <c r="D1334" s="74">
        <f>IFERROR(VLOOKUP(B1334,'REQ. PINTADO'!B:C,2,0),0)</f>
        <v>0</v>
      </c>
      <c r="E1334" s="305">
        <f t="shared" si="172"/>
        <v>310.91407748912241</v>
      </c>
      <c r="F1334" s="397" t="s">
        <v>166</v>
      </c>
      <c r="G1334" s="75" t="s">
        <v>147</v>
      </c>
      <c r="H1334" s="90">
        <v>23.09</v>
      </c>
      <c r="I1334" s="90">
        <v>13.72</v>
      </c>
      <c r="J1334" s="76">
        <v>0.105</v>
      </c>
      <c r="K1334" s="306">
        <v>16.38</v>
      </c>
      <c r="L1334" s="78">
        <f t="shared" si="173"/>
        <v>9.643662637737215</v>
      </c>
      <c r="M1334" s="58">
        <f>+VLOOKUP(F1334,Material!$H$2:$M$17,6,FALSE)*H1334*I1334*(1+Material!$K$14)</f>
        <v>71.801451820970712</v>
      </c>
      <c r="N1334" s="79" t="str">
        <f t="shared" si="170"/>
        <v>T5.0</v>
      </c>
      <c r="O1334" s="80">
        <f>+VLOOKUP(N1334,[3]Material!$A$3:$B$58,2,FALSE)</f>
        <v>5000</v>
      </c>
      <c r="P1334" s="79" t="s">
        <v>42</v>
      </c>
      <c r="Q1334" s="79" t="str">
        <f>+VLOOKUP(F1334,[3]Material!$C$2:$E$12,2,FALSE)</f>
        <v>Cal 16</v>
      </c>
      <c r="R1334" s="81">
        <f>+IF(P1334="ACERO A36",VLOOKUP(Q1334,'[3]Velocidades Std 1500 w'!$B$2:$F$15,5,FALSE),IF(P1334="INOXIDABLE",VLOOKUP(Q1334,'[3]Velocidades Std 1500 w'!$B$17:$F$28,5,FALSE),IF(P1334="ALUMINIO",VLOOKUP(Q1334,'[3]Velocidades Std 1500 w'!$B$30:$F$38,5,FALSE))))</f>
        <v>9.1575091575091579E-7</v>
      </c>
      <c r="S1334" s="82">
        <f t="shared" si="174"/>
        <v>4.578754578754579E-3</v>
      </c>
      <c r="T1334" s="83">
        <f t="shared" si="175"/>
        <v>13.726550769230771</v>
      </c>
      <c r="U1334" s="307">
        <f t="shared" si="171"/>
        <v>4163.7204000000002</v>
      </c>
      <c r="V1334" s="80">
        <f t="shared" si="153"/>
        <v>19.064653846153849</v>
      </c>
      <c r="W1334" s="98">
        <v>55</v>
      </c>
      <c r="X1334" s="84">
        <f>+IF(P1334="ACERO A36",VLOOKUP(Q1334,'[3]Tiempo Objeto'!$B$2:$C$12,2,FALSE),IF(P1334="INOXIDABLE",VLOOKUP(Q1334,'[3]Tiempo Objeto'!$B$14:$C$22,2,FALSE),IF(P1334="ALUMINIO",VLOOKUP(Q1334,'[3]Tiempo Objeto'!$B$24:$C$32,2,FALSE))))</f>
        <v>0.24666666666666667</v>
      </c>
      <c r="Y1334" s="84">
        <f t="shared" si="176"/>
        <v>13.566666666666666</v>
      </c>
      <c r="Z1334" s="80">
        <f t="shared" si="177"/>
        <v>18.842592592592592</v>
      </c>
      <c r="AA1334" s="100">
        <v>5</v>
      </c>
      <c r="AB1334" s="86">
        <f>+AA1334*Analisis!$J$6</f>
        <v>125</v>
      </c>
      <c r="AC1334" s="100"/>
      <c r="AD1334" s="85">
        <f t="shared" si="178"/>
        <v>0</v>
      </c>
      <c r="AE1334" s="86">
        <f>+AC1334*Analisis!$J$7</f>
        <v>0</v>
      </c>
      <c r="AF1334" s="308">
        <f>+H1334*0.0254*I1334*0.0254*2*(1+[3]Analisis!$G$2)</f>
        <v>0.51095833292000004</v>
      </c>
      <c r="AG1334" s="86">
        <f>+AF1334*Analisis!$J$8</f>
        <v>54.441393805166683</v>
      </c>
      <c r="AH1334" s="309">
        <f t="shared" si="179"/>
        <v>289.15009206488384</v>
      </c>
      <c r="AI1334" s="86">
        <f>+AH1334/(1-Analisis!G1339)</f>
        <v>289.15009206488384</v>
      </c>
      <c r="AJ1334" s="86">
        <f t="shared" si="180"/>
        <v>310.91407748912241</v>
      </c>
      <c r="AK1334" s="86">
        <f t="shared" si="181"/>
        <v>0</v>
      </c>
      <c r="AL1334" s="310" t="e">
        <f>+VLOOKUP(B1334,#REF!,2,FALSE)</f>
        <v>#REF!</v>
      </c>
      <c r="AM1334" s="311" t="e">
        <f t="shared" si="149"/>
        <v>#REF!</v>
      </c>
      <c r="AN1334" s="312" t="e">
        <f t="shared" si="148"/>
        <v>#REF!</v>
      </c>
    </row>
    <row r="1335" spans="1:40" s="73" customFormat="1" x14ac:dyDescent="0.25">
      <c r="A1335" s="313"/>
      <c r="B1335" s="314" t="s">
        <v>1957</v>
      </c>
      <c r="D1335" s="74">
        <f>IFERROR(VLOOKUP(B1335,'REQ. PINTADO'!B:C,2,0),0)</f>
        <v>0</v>
      </c>
      <c r="E1335" s="305">
        <f t="shared" si="172"/>
        <v>333.24556193973808</v>
      </c>
      <c r="F1335" s="397" t="s">
        <v>166</v>
      </c>
      <c r="G1335" s="75" t="s">
        <v>147</v>
      </c>
      <c r="H1335" s="90">
        <v>18.71</v>
      </c>
      <c r="I1335" s="90">
        <v>23.08</v>
      </c>
      <c r="J1335" s="76">
        <v>0.105</v>
      </c>
      <c r="K1335" s="306">
        <v>16.38</v>
      </c>
      <c r="L1335" s="78">
        <f t="shared" si="173"/>
        <v>13.14539246582842</v>
      </c>
      <c r="M1335" s="58">
        <f>+VLOOKUP(F1335,Material!$H$2:$M$17,6,FALSE)*H1335*I1335*(1+Material!$K$14)</f>
        <v>97.87342208648613</v>
      </c>
      <c r="N1335" s="79" t="str">
        <f t="shared" si="170"/>
        <v>T5.0</v>
      </c>
      <c r="O1335" s="80">
        <f>+VLOOKUP(N1335,[3]Material!$A$3:$B$58,2,FALSE)</f>
        <v>5000</v>
      </c>
      <c r="P1335" s="79" t="s">
        <v>42</v>
      </c>
      <c r="Q1335" s="79" t="str">
        <f>+VLOOKUP(F1335,[3]Material!$C$2:$E$12,2,FALSE)</f>
        <v>Cal 16</v>
      </c>
      <c r="R1335" s="81">
        <f>+IF(P1335="ACERO A36",VLOOKUP(Q1335,'[3]Velocidades Std 1500 w'!$B$2:$F$15,5,FALSE),IF(P1335="INOXIDABLE",VLOOKUP(Q1335,'[3]Velocidades Std 1500 w'!$B$17:$F$28,5,FALSE),IF(P1335="ALUMINIO",VLOOKUP(Q1335,'[3]Velocidades Std 1500 w'!$B$30:$F$38,5,FALSE))))</f>
        <v>9.1575091575091579E-7</v>
      </c>
      <c r="S1335" s="82">
        <f t="shared" si="174"/>
        <v>4.578754578754579E-3</v>
      </c>
      <c r="T1335" s="83">
        <f t="shared" si="175"/>
        <v>8.0080338461538467</v>
      </c>
      <c r="U1335" s="307">
        <f t="shared" si="171"/>
        <v>2429.1035999999999</v>
      </c>
      <c r="V1335" s="80">
        <f t="shared" si="153"/>
        <v>11.122269230769231</v>
      </c>
      <c r="W1335" s="98">
        <v>5</v>
      </c>
      <c r="X1335" s="84">
        <f>+IF(P1335="ACERO A36",VLOOKUP(Q1335,'[3]Tiempo Objeto'!$B$2:$C$12,2,FALSE),IF(P1335="INOXIDABLE",VLOOKUP(Q1335,'[3]Tiempo Objeto'!$B$14:$C$22,2,FALSE),IF(P1335="ALUMINIO",VLOOKUP(Q1335,'[3]Tiempo Objeto'!$B$24:$C$32,2,FALSE))))</f>
        <v>0.24666666666666667</v>
      </c>
      <c r="Y1335" s="84">
        <f t="shared" si="176"/>
        <v>1.2333333333333334</v>
      </c>
      <c r="Z1335" s="80">
        <f t="shared" si="177"/>
        <v>1.712962962962963</v>
      </c>
      <c r="AA1335" s="100">
        <v>5</v>
      </c>
      <c r="AB1335" s="86">
        <f>+AA1335*Analisis!$J$6</f>
        <v>125</v>
      </c>
      <c r="AC1335" s="100"/>
      <c r="AD1335" s="85">
        <f t="shared" si="178"/>
        <v>0</v>
      </c>
      <c r="AE1335" s="86">
        <f>+AC1335*Analisis!$J$7</f>
        <v>0</v>
      </c>
      <c r="AF1335" s="308">
        <f>+H1335*0.0254*I1335*0.0254*2*(1+[3]Analisis!$G$2)</f>
        <v>0.69649344571999994</v>
      </c>
      <c r="AG1335" s="86">
        <f>+AF1335*Analisis!$J$8</f>
        <v>74.209718323738116</v>
      </c>
      <c r="AH1335" s="309">
        <f t="shared" si="179"/>
        <v>309.91837260395641</v>
      </c>
      <c r="AI1335" s="86">
        <f>+AH1335/(1-Analisis!G1340)</f>
        <v>309.91837260395641</v>
      </c>
      <c r="AJ1335" s="86">
        <f t="shared" si="180"/>
        <v>333.24556193973808</v>
      </c>
      <c r="AK1335" s="86">
        <f t="shared" si="181"/>
        <v>0</v>
      </c>
      <c r="AL1335" s="310" t="e">
        <f>+VLOOKUP(B1335,#REF!,2,FALSE)</f>
        <v>#REF!</v>
      </c>
      <c r="AM1335" s="311" t="e">
        <f t="shared" si="149"/>
        <v>#REF!</v>
      </c>
      <c r="AN1335" s="312" t="e">
        <f t="shared" si="148"/>
        <v>#REF!</v>
      </c>
    </row>
    <row r="1336" spans="1:40" s="73" customFormat="1" x14ac:dyDescent="0.25">
      <c r="A1336" s="313"/>
      <c r="B1336" s="314" t="s">
        <v>1958</v>
      </c>
      <c r="D1336" s="74">
        <f>IFERROR(VLOOKUP(B1336,'REQ. PINTADO'!B:C,2,0),0)</f>
        <v>0</v>
      </c>
      <c r="E1336" s="305">
        <f t="shared" si="172"/>
        <v>667.22518635955043</v>
      </c>
      <c r="F1336" s="103" t="s">
        <v>163</v>
      </c>
      <c r="G1336" s="75" t="s">
        <v>147</v>
      </c>
      <c r="H1336" s="90">
        <v>35.700000000000003</v>
      </c>
      <c r="I1336" s="90">
        <v>21.08</v>
      </c>
      <c r="J1336" s="76">
        <v>0.105</v>
      </c>
      <c r="K1336" s="306">
        <v>16.38</v>
      </c>
      <c r="L1336" s="78">
        <f t="shared" si="173"/>
        <v>37.940326882096535</v>
      </c>
      <c r="M1336" s="58">
        <f>+VLOOKUP(F1336,Material!$H$2:$M$17,6,FALSE)*H1336*I1336*(1+Material!$K$14)</f>
        <v>282.48297924033693</v>
      </c>
      <c r="N1336" s="79" t="str">
        <f t="shared" si="170"/>
        <v>T5.0</v>
      </c>
      <c r="O1336" s="80">
        <f>+VLOOKUP(N1336,[3]Material!$A$3:$B$58,2,FALSE)</f>
        <v>5000</v>
      </c>
      <c r="P1336" s="79" t="s">
        <v>42</v>
      </c>
      <c r="Q1336" s="79" t="str">
        <f>+VLOOKUP(F1336,[3]Material!$C$2:$E$12,2,FALSE)</f>
        <v>Cal 12</v>
      </c>
      <c r="R1336" s="81">
        <f>+IF(P1336="ACERO A36",VLOOKUP(Q1336,'[3]Velocidades Std 1500 w'!$B$2:$F$15,5,FALSE),IF(P1336="INOXIDABLE",VLOOKUP(Q1336,'[3]Velocidades Std 1500 w'!$B$17:$F$28,5,FALSE),IF(P1336="ALUMINIO",VLOOKUP(Q1336,'[3]Velocidades Std 1500 w'!$B$30:$F$38,5,FALSE))))</f>
        <v>4.3859649122807014E-6</v>
      </c>
      <c r="S1336" s="82">
        <f t="shared" si="174"/>
        <v>2.1929824561403508E-2</v>
      </c>
      <c r="T1336" s="83">
        <f t="shared" si="175"/>
        <v>54.137292631578944</v>
      </c>
      <c r="U1336" s="307">
        <f t="shared" si="171"/>
        <v>3428.6952000000001</v>
      </c>
      <c r="V1336" s="80">
        <f t="shared" si="153"/>
        <v>75.190684210526314</v>
      </c>
      <c r="W1336" s="98">
        <v>10</v>
      </c>
      <c r="X1336" s="84">
        <f>+IF(P1336="ACERO A36",VLOOKUP(Q1336,'[3]Tiempo Objeto'!$B$2:$C$12,2,FALSE),IF(P1336="INOXIDABLE",VLOOKUP(Q1336,'[3]Tiempo Objeto'!$B$14:$C$22,2,FALSE),IF(P1336="ALUMINIO",VLOOKUP(Q1336,'[3]Tiempo Objeto'!$B$24:$C$32,2,FALSE))))</f>
        <v>0.6133333333333334</v>
      </c>
      <c r="Y1336" s="84">
        <f t="shared" si="176"/>
        <v>6.1333333333333337</v>
      </c>
      <c r="Z1336" s="80">
        <f t="shared" si="177"/>
        <v>8.518518518518519</v>
      </c>
      <c r="AA1336" s="100">
        <v>5</v>
      </c>
      <c r="AB1336" s="86">
        <f>+AA1336*Analisis!$J$6</f>
        <v>125</v>
      </c>
      <c r="AC1336" s="100"/>
      <c r="AD1336" s="85">
        <f t="shared" si="178"/>
        <v>0</v>
      </c>
      <c r="AE1336" s="86">
        <f>+AC1336*Analisis!$J$7</f>
        <v>0</v>
      </c>
      <c r="AF1336" s="308">
        <f>+H1336*0.0254*I1336*0.0254*2*(1+[3]Analisis!$G$2)</f>
        <v>1.2137975723999999</v>
      </c>
      <c r="AG1336" s="86">
        <f>+AF1336*Analisis!$J$8</f>
        <v>129.32724134500003</v>
      </c>
      <c r="AH1336" s="309">
        <f t="shared" si="179"/>
        <v>620.51942331438181</v>
      </c>
      <c r="AI1336" s="86">
        <f>+AH1336/(1-Analisis!G1341)</f>
        <v>620.51942331438181</v>
      </c>
      <c r="AJ1336" s="86">
        <f t="shared" si="180"/>
        <v>667.22518635955043</v>
      </c>
      <c r="AK1336" s="86">
        <f t="shared" si="181"/>
        <v>0</v>
      </c>
      <c r="AL1336" s="310" t="e">
        <f>+VLOOKUP(B1336,#REF!,2,FALSE)</f>
        <v>#REF!</v>
      </c>
      <c r="AM1336" s="311" t="e">
        <f t="shared" si="149"/>
        <v>#REF!</v>
      </c>
      <c r="AN1336" s="312" t="e">
        <f t="shared" si="148"/>
        <v>#REF!</v>
      </c>
    </row>
    <row r="1337" spans="1:40" s="73" customFormat="1" x14ac:dyDescent="0.25">
      <c r="A1337" s="313"/>
      <c r="B1337" s="314"/>
      <c r="D1337" s="74">
        <f>IFERROR(VLOOKUP(B1337,'REQ. PINTADO'!B:C,2,0),0)</f>
        <v>0</v>
      </c>
      <c r="E1337" s="305">
        <f t="shared" si="172"/>
        <v>749.84665821950784</v>
      </c>
      <c r="F1337" s="103" t="s">
        <v>163</v>
      </c>
      <c r="G1337" s="75" t="s">
        <v>147</v>
      </c>
      <c r="H1337" s="90">
        <v>29.96</v>
      </c>
      <c r="I1337" s="90">
        <v>31.03</v>
      </c>
      <c r="J1337" s="76">
        <v>0.105</v>
      </c>
      <c r="K1337" s="306">
        <v>16.38</v>
      </c>
      <c r="L1337" s="78">
        <f t="shared" si="173"/>
        <v>46.869015409906531</v>
      </c>
      <c r="M1337" s="58">
        <f>+VLOOKUP(F1337,Material!$H$2:$M$17,6,FALSE)*H1337*I1337*(1+Material!$K$14)</f>
        <v>348.96112382466765</v>
      </c>
      <c r="N1337" s="79" t="str">
        <f t="shared" si="170"/>
        <v>T5.0</v>
      </c>
      <c r="O1337" s="80">
        <f>+VLOOKUP(N1337,[3]Material!$A$3:$B$58,2,FALSE)</f>
        <v>5000</v>
      </c>
      <c r="P1337" s="79" t="s">
        <v>42</v>
      </c>
      <c r="Q1337" s="79" t="str">
        <f>+VLOOKUP(F1337,[3]Material!$C$2:$E$12,2,FALSE)</f>
        <v>Cal 12</v>
      </c>
      <c r="R1337" s="81">
        <f>+IF(P1337="ACERO A36",VLOOKUP(Q1337,'[3]Velocidades Std 1500 w'!$B$2:$F$15,5,FALSE),IF(P1337="INOXIDABLE",VLOOKUP(Q1337,'[3]Velocidades Std 1500 w'!$B$17:$F$28,5,FALSE),IF(P1337="ALUMINIO",VLOOKUP(Q1337,'[3]Velocidades Std 1500 w'!$B$30:$F$38,5,FALSE))))</f>
        <v>4.3859649122807014E-6</v>
      </c>
      <c r="S1337" s="82">
        <f t="shared" si="174"/>
        <v>2.1929824561403508E-2</v>
      </c>
      <c r="T1337" s="83">
        <f t="shared" si="175"/>
        <v>57.682998947368425</v>
      </c>
      <c r="U1337" s="307">
        <f t="shared" si="171"/>
        <v>3653.2566000000006</v>
      </c>
      <c r="V1337" s="80">
        <f t="shared" si="153"/>
        <v>80.115276315789487</v>
      </c>
      <c r="W1337" s="98">
        <v>10</v>
      </c>
      <c r="X1337" s="84">
        <f>+IF(P1337="ACERO A36",VLOOKUP(Q1337,'[3]Tiempo Objeto'!$B$2:$C$12,2,FALSE),IF(P1337="INOXIDABLE",VLOOKUP(Q1337,'[3]Tiempo Objeto'!$B$14:$C$22,2,FALSE),IF(P1337="ALUMINIO",VLOOKUP(Q1337,'[3]Tiempo Objeto'!$B$24:$C$32,2,FALSE))))</f>
        <v>0.6133333333333334</v>
      </c>
      <c r="Y1337" s="84">
        <f t="shared" si="176"/>
        <v>6.1333333333333337</v>
      </c>
      <c r="Z1337" s="80">
        <f t="shared" si="177"/>
        <v>8.518518518518519</v>
      </c>
      <c r="AA1337" s="100">
        <v>4</v>
      </c>
      <c r="AB1337" s="86">
        <f>+AA1337*Analisis!$J$6</f>
        <v>100</v>
      </c>
      <c r="AC1337" s="100"/>
      <c r="AD1337" s="85">
        <f t="shared" si="178"/>
        <v>0</v>
      </c>
      <c r="AE1337" s="86">
        <f>+AC1337*Analisis!$J$7</f>
        <v>0</v>
      </c>
      <c r="AF1337" s="308">
        <f>+H1337*0.0254*I1337*0.0254*2*(1+[3]Analisis!$G$2)</f>
        <v>1.49944667852</v>
      </c>
      <c r="AG1337" s="86">
        <f>+AF1337*Analisis!$J$8</f>
        <v>159.76247348516671</v>
      </c>
      <c r="AH1337" s="309">
        <f t="shared" si="179"/>
        <v>697.3573921441423</v>
      </c>
      <c r="AI1337" s="86">
        <f>+AH1337/(1-Analisis!G1342)</f>
        <v>697.3573921441423</v>
      </c>
      <c r="AJ1337" s="86">
        <f t="shared" si="180"/>
        <v>749.84665821950784</v>
      </c>
      <c r="AK1337" s="86">
        <f t="shared" si="181"/>
        <v>0</v>
      </c>
      <c r="AL1337" s="310" t="e">
        <f>+VLOOKUP(B1337,#REF!,2,FALSE)</f>
        <v>#REF!</v>
      </c>
      <c r="AM1337" s="311" t="e">
        <f t="shared" si="149"/>
        <v>#REF!</v>
      </c>
      <c r="AN1337" s="312" t="e">
        <f t="shared" si="148"/>
        <v>#REF!</v>
      </c>
    </row>
    <row r="1338" spans="1:40" s="73" customFormat="1" x14ac:dyDescent="0.25">
      <c r="A1338" s="313"/>
      <c r="B1338" s="314" t="s">
        <v>1960</v>
      </c>
      <c r="D1338" s="74">
        <f>IFERROR(VLOOKUP(B1338,'REQ. PINTADO'!B:C,2,0),0)</f>
        <v>0</v>
      </c>
      <c r="E1338" s="305">
        <f t="shared" si="172"/>
        <v>754.11704926132631</v>
      </c>
      <c r="F1338" s="103" t="s">
        <v>166</v>
      </c>
      <c r="G1338" s="75" t="s">
        <v>147</v>
      </c>
      <c r="H1338" s="90">
        <v>36.090000000000003</v>
      </c>
      <c r="I1338" s="90">
        <v>26.22</v>
      </c>
      <c r="J1338" s="76">
        <v>0.105</v>
      </c>
      <c r="K1338" s="306">
        <v>16.38</v>
      </c>
      <c r="L1338" s="78">
        <f t="shared" si="173"/>
        <v>28.806038331770107</v>
      </c>
      <c r="M1338" s="58">
        <f>+VLOOKUP(F1338,Material!$H$2:$M$17,6,FALSE)*H1338*I1338*(1+Material!$K$14)</f>
        <v>214.47404903381559</v>
      </c>
      <c r="N1338" s="79" t="str">
        <f>+N1337</f>
        <v>T5.0</v>
      </c>
      <c r="O1338" s="80">
        <f>+VLOOKUP(N1338,[3]Material!$A$3:$B$58,2,FALSE)</f>
        <v>5000</v>
      </c>
      <c r="P1338" s="79" t="s">
        <v>42</v>
      </c>
      <c r="Q1338" s="79" t="str">
        <f>+VLOOKUP(F1338,[3]Material!$C$2:$E$12,2,FALSE)</f>
        <v>Cal 16</v>
      </c>
      <c r="R1338" s="81">
        <f>+IF(P1338="ACERO A36",VLOOKUP(Q1338,'[3]Velocidades Std 1500 w'!$B$2:$F$15,5,FALSE),IF(P1338="INOXIDABLE",VLOOKUP(Q1338,'[3]Velocidades Std 1500 w'!$B$17:$F$28,5,FALSE),IF(P1338="ALUMINIO",VLOOKUP(Q1338,'[3]Velocidades Std 1500 w'!$B$30:$F$38,5,FALSE))))</f>
        <v>9.1575091575091579E-7</v>
      </c>
      <c r="S1338" s="82">
        <f t="shared" si="174"/>
        <v>4.578754578754579E-3</v>
      </c>
      <c r="T1338" s="83">
        <f t="shared" si="175"/>
        <v>57.116589230769229</v>
      </c>
      <c r="U1338" s="307">
        <f t="shared" si="171"/>
        <v>17325.365399999999</v>
      </c>
      <c r="V1338" s="80">
        <f t="shared" si="153"/>
        <v>79.328596153846149</v>
      </c>
      <c r="W1338" s="98">
        <v>350</v>
      </c>
      <c r="X1338" s="84">
        <f>+IF(P1338="ACERO A36",VLOOKUP(Q1338,'[3]Tiempo Objeto'!$B$2:$C$12,2,FALSE),IF(P1338="INOXIDABLE",VLOOKUP(Q1338,'[3]Tiempo Objeto'!$B$14:$C$22,2,FALSE),IF(P1338="ALUMINIO",VLOOKUP(Q1338,'[3]Tiempo Objeto'!$B$24:$C$32,2,FALSE))))</f>
        <v>0.24666666666666667</v>
      </c>
      <c r="Y1338" s="84">
        <f t="shared" si="176"/>
        <v>86.333333333333329</v>
      </c>
      <c r="Z1338" s="80">
        <f t="shared" si="177"/>
        <v>119.90740740740739</v>
      </c>
      <c r="AA1338" s="100">
        <v>5</v>
      </c>
      <c r="AB1338" s="86">
        <f>+AA1338*Analisis!$J$6</f>
        <v>125</v>
      </c>
      <c r="AC1338" s="100"/>
      <c r="AD1338" s="85">
        <f t="shared" si="178"/>
        <v>0</v>
      </c>
      <c r="AE1338" s="86">
        <f>+AC1338*Analisis!$J$7</f>
        <v>0</v>
      </c>
      <c r="AF1338" s="308">
        <f>+H1338*0.0254*I1338*0.0254*2*(1+[3]Analisis!$G$2)</f>
        <v>1.52625468942</v>
      </c>
      <c r="AG1338" s="86">
        <f>+AF1338*Analisis!$J$8</f>
        <v>162.61880321796434</v>
      </c>
      <c r="AH1338" s="309">
        <f t="shared" si="179"/>
        <v>701.32885581303344</v>
      </c>
      <c r="AI1338" s="86">
        <f>+AH1338/(1-Analisis!G1343)</f>
        <v>701.32885581303344</v>
      </c>
      <c r="AJ1338" s="86">
        <f t="shared" si="180"/>
        <v>754.11704926132631</v>
      </c>
      <c r="AK1338" s="86">
        <f t="shared" si="181"/>
        <v>0</v>
      </c>
      <c r="AL1338" s="310" t="e">
        <f>+VLOOKUP(B1338,#REF!,2,FALSE)</f>
        <v>#REF!</v>
      </c>
      <c r="AM1338" s="311" t="e">
        <f t="shared" si="149"/>
        <v>#REF!</v>
      </c>
      <c r="AN1338" s="312" t="e">
        <f t="shared" si="148"/>
        <v>#REF!</v>
      </c>
    </row>
    <row r="1339" spans="1:40" s="73" customFormat="1" x14ac:dyDescent="0.25">
      <c r="A1339" s="313"/>
      <c r="B1339" s="314" t="s">
        <v>1961</v>
      </c>
      <c r="D1339" s="74">
        <f>IFERROR(VLOOKUP(B1339,'REQ. PINTADO'!B:C,2,0),0)</f>
        <v>0</v>
      </c>
      <c r="E1339" s="305">
        <f t="shared" si="172"/>
        <v>1066.6474210228362</v>
      </c>
      <c r="F1339" s="103" t="s">
        <v>163</v>
      </c>
      <c r="G1339" s="75" t="s">
        <v>147</v>
      </c>
      <c r="H1339" s="90">
        <v>30.08</v>
      </c>
      <c r="I1339" s="90">
        <v>46.2</v>
      </c>
      <c r="J1339" s="76">
        <v>0.105</v>
      </c>
      <c r="K1339" s="306">
        <v>16.38</v>
      </c>
      <c r="L1339" s="78">
        <f t="shared" si="173"/>
        <v>70.061922975488926</v>
      </c>
      <c r="M1339" s="58">
        <f>+VLOOKUP(F1339,Material!$H$2:$M$17,6,FALSE)*H1339*I1339*(1+Material!$K$14)</f>
        <v>521.6428628811401</v>
      </c>
      <c r="N1339" s="79" t="str">
        <f t="shared" si="170"/>
        <v>T5.0</v>
      </c>
      <c r="O1339" s="80">
        <f>+VLOOKUP(N1339,[3]Material!$A$3:$B$58,2,FALSE)</f>
        <v>5000</v>
      </c>
      <c r="P1339" s="79" t="s">
        <v>42</v>
      </c>
      <c r="Q1339" s="79" t="str">
        <f>+VLOOKUP(F1339,[3]Material!$C$2:$E$12,2,FALSE)</f>
        <v>Cal 12</v>
      </c>
      <c r="R1339" s="81">
        <f>+IF(P1339="ACERO A36",VLOOKUP(Q1339,'[3]Velocidades Std 1500 w'!$B$2:$F$15,5,FALSE),IF(P1339="INOXIDABLE",VLOOKUP(Q1339,'[3]Velocidades Std 1500 w'!$B$17:$F$28,5,FALSE),IF(P1339="ALUMINIO",VLOOKUP(Q1339,'[3]Velocidades Std 1500 w'!$B$30:$F$38,5,FALSE))))</f>
        <v>4.3859649122807014E-6</v>
      </c>
      <c r="S1339" s="82">
        <f t="shared" si="174"/>
        <v>2.1929824561403508E-2</v>
      </c>
      <c r="T1339" s="83">
        <f t="shared" si="175"/>
        <v>70.560397894736838</v>
      </c>
      <c r="U1339" s="307">
        <f t="shared" si="171"/>
        <v>4468.8251999999993</v>
      </c>
      <c r="V1339" s="80">
        <f t="shared" si="153"/>
        <v>98.000552631578927</v>
      </c>
      <c r="W1339" s="98">
        <v>10</v>
      </c>
      <c r="X1339" s="84">
        <f>+IF(P1339="ACERO A36",VLOOKUP(Q1339,'[3]Tiempo Objeto'!$B$2:$C$12,2,FALSE),IF(P1339="INOXIDABLE",VLOOKUP(Q1339,'[3]Tiempo Objeto'!$B$14:$C$22,2,FALSE),IF(P1339="ALUMINIO",VLOOKUP(Q1339,'[3]Tiempo Objeto'!$B$24:$C$32,2,FALSE))))</f>
        <v>0.6133333333333334</v>
      </c>
      <c r="Y1339" s="84">
        <f t="shared" si="176"/>
        <v>6.1333333333333337</v>
      </c>
      <c r="Z1339" s="80">
        <f t="shared" si="177"/>
        <v>8.518518518518519</v>
      </c>
      <c r="AA1339" s="100">
        <v>5</v>
      </c>
      <c r="AB1339" s="86">
        <f>+AA1339*Analisis!$J$6</f>
        <v>125</v>
      </c>
      <c r="AC1339" s="100"/>
      <c r="AD1339" s="85">
        <f t="shared" si="178"/>
        <v>0</v>
      </c>
      <c r="AE1339" s="86">
        <f>+AC1339*Analisis!$J$7</f>
        <v>0</v>
      </c>
      <c r="AF1339" s="308">
        <f>+H1339*0.0254*I1339*0.0254*2*(1+[3]Analisis!$G$2)</f>
        <v>2.2414406784000001</v>
      </c>
      <c r="AG1339" s="86">
        <f>+AF1339*Analisis!$J$8</f>
        <v>238.82016752000007</v>
      </c>
      <c r="AH1339" s="309">
        <f t="shared" si="179"/>
        <v>991.98210155123763</v>
      </c>
      <c r="AI1339" s="86">
        <f>+AH1339/(1-Analisis!G1344)</f>
        <v>991.98210155123763</v>
      </c>
      <c r="AJ1339" s="86">
        <f t="shared" si="180"/>
        <v>1066.6474210228362</v>
      </c>
      <c r="AK1339" s="86">
        <f t="shared" si="181"/>
        <v>0</v>
      </c>
      <c r="AL1339" s="310" t="e">
        <f>+VLOOKUP(B1339,#REF!,2,FALSE)</f>
        <v>#REF!</v>
      </c>
      <c r="AM1339" s="311" t="e">
        <f t="shared" si="149"/>
        <v>#REF!</v>
      </c>
      <c r="AN1339" s="312" t="e">
        <f t="shared" si="148"/>
        <v>#REF!</v>
      </c>
    </row>
    <row r="1340" spans="1:40" s="73" customFormat="1" x14ac:dyDescent="0.25">
      <c r="A1340" s="313"/>
      <c r="B1340" s="314" t="s">
        <v>1962</v>
      </c>
      <c r="D1340" s="74">
        <f>IFERROR(VLOOKUP(B1340,'REQ. PINTADO'!B:C,2,0),0)</f>
        <v>0</v>
      </c>
      <c r="E1340" s="305">
        <f t="shared" si="172"/>
        <v>737.87510886391146</v>
      </c>
      <c r="F1340" s="103" t="s">
        <v>163</v>
      </c>
      <c r="G1340" s="75" t="s">
        <v>147</v>
      </c>
      <c r="H1340" s="90">
        <v>23.74</v>
      </c>
      <c r="I1340" s="90">
        <v>35.840000000000003</v>
      </c>
      <c r="J1340" s="76">
        <v>0.105</v>
      </c>
      <c r="K1340" s="306">
        <v>16.38</v>
      </c>
      <c r="L1340" s="78">
        <f t="shared" si="173"/>
        <v>42.895423634767425</v>
      </c>
      <c r="M1340" s="58">
        <f>+VLOOKUP(F1340,Material!$H$2:$M$17,6,FALSE)*H1340*I1340*(1+Material!$K$14)</f>
        <v>319.37592688067741</v>
      </c>
      <c r="N1340" s="79" t="str">
        <f t="shared" si="170"/>
        <v>T5.0</v>
      </c>
      <c r="O1340" s="80">
        <f>+VLOOKUP(N1340,[3]Material!$A$3:$B$58,2,FALSE)</f>
        <v>5000</v>
      </c>
      <c r="P1340" s="79" t="s">
        <v>42</v>
      </c>
      <c r="Q1340" s="79" t="str">
        <f>+VLOOKUP(F1340,[3]Material!$C$2:$E$12,2,FALSE)</f>
        <v>Cal 12</v>
      </c>
      <c r="R1340" s="81">
        <f>+IF(P1340="ACERO A36",VLOOKUP(Q1340,'[3]Velocidades Std 1500 w'!$B$2:$F$15,5,FALSE),IF(P1340="INOXIDABLE",VLOOKUP(Q1340,'[3]Velocidades Std 1500 w'!$B$17:$F$28,5,FALSE),IF(P1340="ALUMINIO",VLOOKUP(Q1340,'[3]Velocidades Std 1500 w'!$B$30:$F$38,5,FALSE))))</f>
        <v>4.3859649122807014E-6</v>
      </c>
      <c r="S1340" s="82">
        <f t="shared" si="174"/>
        <v>2.1929824561403508E-2</v>
      </c>
      <c r="T1340" s="83">
        <f t="shared" si="175"/>
        <v>59.653771578947371</v>
      </c>
      <c r="U1340" s="307">
        <f t="shared" si="171"/>
        <v>3778.0722000000001</v>
      </c>
      <c r="V1340" s="80">
        <f t="shared" si="153"/>
        <v>82.852460526315781</v>
      </c>
      <c r="W1340" s="98">
        <v>15</v>
      </c>
      <c r="X1340" s="84">
        <f>+IF(P1340="ACERO A36",VLOOKUP(Q1340,'[3]Tiempo Objeto'!$B$2:$C$12,2,FALSE),IF(P1340="INOXIDABLE",VLOOKUP(Q1340,'[3]Tiempo Objeto'!$B$14:$C$22,2,FALSE),IF(P1340="ALUMINIO",VLOOKUP(Q1340,'[3]Tiempo Objeto'!$B$24:$C$32,2,FALSE))))</f>
        <v>0.6133333333333334</v>
      </c>
      <c r="Y1340" s="84">
        <f t="shared" si="176"/>
        <v>9.2000000000000011</v>
      </c>
      <c r="Z1340" s="80">
        <f t="shared" si="177"/>
        <v>12.77777777777778</v>
      </c>
      <c r="AA1340" s="100">
        <v>5</v>
      </c>
      <c r="AB1340" s="86">
        <f>+AA1340*Analisis!$J$6</f>
        <v>125</v>
      </c>
      <c r="AC1340" s="100"/>
      <c r="AD1340" s="85">
        <f t="shared" si="178"/>
        <v>0</v>
      </c>
      <c r="AE1340" s="86">
        <f>+AC1340*Analisis!$J$7</f>
        <v>0</v>
      </c>
      <c r="AF1340" s="308">
        <f>+H1340*0.0254*I1340*0.0254*2*(1+[3]Analisis!$G$2)</f>
        <v>1.3723224166399999</v>
      </c>
      <c r="AG1340" s="86">
        <f>+AF1340*Analisis!$J$8</f>
        <v>146.21768605866669</v>
      </c>
      <c r="AH1340" s="309">
        <f t="shared" si="179"/>
        <v>686.22385124343759</v>
      </c>
      <c r="AI1340" s="86">
        <f>+AH1340/(1-Analisis!G1345)</f>
        <v>686.22385124343759</v>
      </c>
      <c r="AJ1340" s="86">
        <f t="shared" si="180"/>
        <v>737.87510886391146</v>
      </c>
      <c r="AK1340" s="86">
        <f t="shared" si="181"/>
        <v>0</v>
      </c>
      <c r="AL1340" s="310" t="e">
        <f>+VLOOKUP(B1340,#REF!,2,FALSE)</f>
        <v>#REF!</v>
      </c>
      <c r="AM1340" s="311" t="e">
        <f t="shared" si="149"/>
        <v>#REF!</v>
      </c>
      <c r="AN1340" s="312" t="e">
        <f t="shared" si="148"/>
        <v>#REF!</v>
      </c>
    </row>
    <row r="1341" spans="1:40" s="73" customFormat="1" x14ac:dyDescent="0.25">
      <c r="A1341" s="360"/>
      <c r="B1341" s="361" t="s">
        <v>1966</v>
      </c>
      <c r="D1341" s="74">
        <f>IFERROR(VLOOKUP(B1341,'REQ. PINTADO'!B:C,2,0),0)</f>
        <v>0</v>
      </c>
      <c r="E1341" s="305">
        <f t="shared" si="172"/>
        <v>92.689884298170497</v>
      </c>
      <c r="F1341" s="103" t="s">
        <v>166</v>
      </c>
      <c r="G1341" s="75" t="s">
        <v>147</v>
      </c>
      <c r="H1341" s="90">
        <v>3.5</v>
      </c>
      <c r="I1341" s="90">
        <v>19</v>
      </c>
      <c r="J1341" s="76">
        <v>0.105</v>
      </c>
      <c r="K1341" s="306">
        <v>16.38</v>
      </c>
      <c r="L1341" s="78">
        <f t="shared" si="173"/>
        <v>2.0243500379726087</v>
      </c>
      <c r="M1341" s="58">
        <f>+VLOOKUP(F1341,Material!$H$2:$M$17,6,FALSE)*H1341*I1341*(1+Material!$K$14)</f>
        <v>15.072206191814237</v>
      </c>
      <c r="N1341" s="79" t="str">
        <f t="shared" si="170"/>
        <v>T5.0</v>
      </c>
      <c r="O1341" s="80">
        <f>+VLOOKUP(N1341,[3]Material!$A$3:$B$58,2,FALSE)</f>
        <v>5000</v>
      </c>
      <c r="P1341" s="79" t="s">
        <v>42</v>
      </c>
      <c r="Q1341" s="79" t="str">
        <f>+VLOOKUP(F1341,[3]Material!$C$2:$E$12,2,FALSE)</f>
        <v>Cal 16</v>
      </c>
      <c r="R1341" s="81">
        <f>+IF(P1341="ACERO A36",VLOOKUP(Q1341,'[3]Velocidades Std 1500 w'!$B$2:$F$15,5,FALSE),IF(P1341="INOXIDABLE",VLOOKUP(Q1341,'[3]Velocidades Std 1500 w'!$B$17:$F$28,5,FALSE),IF(P1341="ALUMINIO",VLOOKUP(Q1341,'[3]Velocidades Std 1500 w'!$B$30:$F$38,5,FALSE))))</f>
        <v>9.1575091575091579E-7</v>
      </c>
      <c r="S1341" s="82">
        <f t="shared" si="174"/>
        <v>4.578754578754579E-3</v>
      </c>
      <c r="T1341" s="83">
        <f t="shared" si="175"/>
        <v>5.0116153846153848</v>
      </c>
      <c r="U1341" s="307">
        <f t="shared" si="171"/>
        <v>1520.19</v>
      </c>
      <c r="V1341" s="80">
        <f t="shared" si="153"/>
        <v>6.9605769230769239</v>
      </c>
      <c r="W1341" s="98">
        <v>8</v>
      </c>
      <c r="X1341" s="84">
        <f>+IF(P1341="ACERO A36",VLOOKUP(Q1341,'[3]Tiempo Objeto'!$B$2:$C$12,2,FALSE),IF(P1341="INOXIDABLE",VLOOKUP(Q1341,'[3]Tiempo Objeto'!$B$14:$C$22,2,FALSE),IF(P1341="ALUMINIO",VLOOKUP(Q1341,'[3]Tiempo Objeto'!$B$24:$C$32,2,FALSE))))</f>
        <v>0.24666666666666667</v>
      </c>
      <c r="Y1341" s="84">
        <f t="shared" si="176"/>
        <v>1.9733333333333334</v>
      </c>
      <c r="Z1341" s="80">
        <f t="shared" si="177"/>
        <v>2.7407407407407405</v>
      </c>
      <c r="AA1341" s="100">
        <v>2</v>
      </c>
      <c r="AB1341" s="86">
        <f>+AA1341*Analisis!$J$6</f>
        <v>50</v>
      </c>
      <c r="AC1341" s="100">
        <v>0</v>
      </c>
      <c r="AD1341" s="85">
        <f t="shared" si="178"/>
        <v>0</v>
      </c>
      <c r="AE1341" s="86">
        <f>+AC1341*Analisis!$J$7</f>
        <v>0</v>
      </c>
      <c r="AF1341" s="308">
        <f>+H1341*0.0254*I1341*0.0254*2*(1+[3]Analisis!$G$2)</f>
        <v>0.10725784999999999</v>
      </c>
      <c r="AG1341" s="86">
        <f>+AF1341*Analisis!$J$8</f>
        <v>11.428068541666669</v>
      </c>
      <c r="AH1341" s="309">
        <f t="shared" si="179"/>
        <v>86.201592397298555</v>
      </c>
      <c r="AI1341" s="86">
        <f>+AH1341/(1-Analisis!G1352)</f>
        <v>86.201592397298555</v>
      </c>
      <c r="AJ1341" s="86">
        <f t="shared" si="180"/>
        <v>92.689884298170497</v>
      </c>
      <c r="AK1341" s="86">
        <f t="shared" si="181"/>
        <v>0</v>
      </c>
      <c r="AL1341" s="310" t="e">
        <f>+VLOOKUP(B1341,#REF!,2,FALSE)</f>
        <v>#REF!</v>
      </c>
      <c r="AM1341" s="311" t="e">
        <f t="shared" si="149"/>
        <v>#REF!</v>
      </c>
      <c r="AN1341" s="312" t="e">
        <f t="shared" si="148"/>
        <v>#REF!</v>
      </c>
    </row>
    <row r="1342" spans="1:40" s="73" customFormat="1" x14ac:dyDescent="0.25">
      <c r="A1342" s="360"/>
      <c r="B1342" s="361" t="s">
        <v>1967</v>
      </c>
      <c r="D1342" s="74">
        <f>IFERROR(VLOOKUP(B1342,'REQ. PINTADO'!B:C,2,0),0)</f>
        <v>0</v>
      </c>
      <c r="E1342" s="305">
        <f t="shared" si="172"/>
        <v>13.622727477804913</v>
      </c>
      <c r="F1342" s="103" t="s">
        <v>166</v>
      </c>
      <c r="G1342" s="75" t="s">
        <v>147</v>
      </c>
      <c r="H1342" s="90">
        <v>4.97</v>
      </c>
      <c r="I1342" s="90">
        <v>4.4400000000000004</v>
      </c>
      <c r="J1342" s="76">
        <v>0.105</v>
      </c>
      <c r="K1342" s="306">
        <v>16.38</v>
      </c>
      <c r="L1342" s="78">
        <f t="shared" si="173"/>
        <v>0.67174326944261586</v>
      </c>
      <c r="M1342" s="58">
        <f>+VLOOKUP(F1342,Material!$H$2:$M$17,6,FALSE)*H1342*I1342*(1+Material!$K$14)</f>
        <v>5.0014339788500211</v>
      </c>
      <c r="N1342" s="79" t="str">
        <f t="shared" si="170"/>
        <v>T5.0</v>
      </c>
      <c r="O1342" s="80">
        <f>+VLOOKUP(N1342,[3]Material!$A$3:$B$58,2,FALSE)</f>
        <v>5000</v>
      </c>
      <c r="P1342" s="79" t="s">
        <v>42</v>
      </c>
      <c r="Q1342" s="79" t="str">
        <f>+VLOOKUP(F1342,[3]Material!$C$2:$E$12,2,FALSE)</f>
        <v>Cal 16</v>
      </c>
      <c r="R1342" s="81">
        <f>+IF(P1342="ACERO A36",VLOOKUP(Q1342,'[3]Velocidades Std 1500 w'!$B$2:$F$15,5,FALSE),IF(P1342="INOXIDABLE",VLOOKUP(Q1342,'[3]Velocidades Std 1500 w'!$B$17:$F$28,5,FALSE),IF(P1342="ALUMINIO",VLOOKUP(Q1342,'[3]Velocidades Std 1500 w'!$B$30:$F$38,5,FALSE))))</f>
        <v>9.1575091575091579E-7</v>
      </c>
      <c r="S1342" s="82">
        <f t="shared" si="174"/>
        <v>4.578754578754579E-3</v>
      </c>
      <c r="T1342" s="83">
        <f t="shared" si="175"/>
        <v>2.0503661538461539</v>
      </c>
      <c r="U1342" s="307">
        <f t="shared" si="171"/>
        <v>621.94439999999997</v>
      </c>
      <c r="V1342" s="80">
        <f t="shared" si="153"/>
        <v>2.8477307692307692</v>
      </c>
      <c r="W1342" s="98">
        <v>3</v>
      </c>
      <c r="X1342" s="84">
        <f>+IF(P1342="ACERO A36",VLOOKUP(Q1342,'[3]Tiempo Objeto'!$B$2:$C$12,2,FALSE),IF(P1342="INOXIDABLE",VLOOKUP(Q1342,'[3]Tiempo Objeto'!$B$14:$C$22,2,FALSE),IF(P1342="ALUMINIO",VLOOKUP(Q1342,'[3]Tiempo Objeto'!$B$24:$C$32,2,FALSE))))</f>
        <v>0.24666666666666667</v>
      </c>
      <c r="Y1342" s="84">
        <f t="shared" si="176"/>
        <v>0.74</v>
      </c>
      <c r="Z1342" s="80">
        <f t="shared" si="177"/>
        <v>1.0277777777777777</v>
      </c>
      <c r="AA1342" s="100">
        <v>0</v>
      </c>
      <c r="AB1342" s="86">
        <f>+AA1342*Analisis!$J$6</f>
        <v>0</v>
      </c>
      <c r="AC1342" s="100">
        <v>0</v>
      </c>
      <c r="AD1342" s="85">
        <f t="shared" si="178"/>
        <v>0</v>
      </c>
      <c r="AE1342" s="86">
        <f>+AC1342*Analisis!$J$7</f>
        <v>0</v>
      </c>
      <c r="AF1342" s="308">
        <f>+H1342*0.0254*I1342*0.0254*2*(1+[3]Analisis!$G$2)</f>
        <v>3.5591541719999994E-2</v>
      </c>
      <c r="AG1342" s="86">
        <f>+AF1342*Analisis!$J$8</f>
        <v>3.7921940285000004</v>
      </c>
      <c r="AH1342" s="309">
        <f t="shared" si="179"/>
        <v>12.669136554358568</v>
      </c>
      <c r="AI1342" s="86">
        <f>+AH1342/(1-Analisis!G1353)</f>
        <v>12.669136554358568</v>
      </c>
      <c r="AJ1342" s="86">
        <f t="shared" si="180"/>
        <v>13.622727477804913</v>
      </c>
      <c r="AK1342" s="86">
        <f t="shared" si="181"/>
        <v>0</v>
      </c>
      <c r="AL1342" s="310" t="e">
        <f>+VLOOKUP(B1342,#REF!,2,FALSE)</f>
        <v>#REF!</v>
      </c>
      <c r="AM1342" s="311" t="e">
        <f t="shared" si="149"/>
        <v>#REF!</v>
      </c>
      <c r="AN1342" s="312" t="e">
        <f t="shared" ref="AN1342:AN1731" si="182">+AM1342/AL1342</f>
        <v>#REF!</v>
      </c>
    </row>
    <row r="1343" spans="1:40" s="73" customFormat="1" x14ac:dyDescent="0.25">
      <c r="A1343" s="360"/>
      <c r="B1343" s="361" t="s">
        <v>1968</v>
      </c>
      <c r="D1343" s="74">
        <f>IFERROR(VLOOKUP(B1343,'REQ. PINTADO'!B:C,2,0),0)</f>
        <v>0</v>
      </c>
      <c r="E1343" s="305">
        <f t="shared" si="172"/>
        <v>110.9572752880953</v>
      </c>
      <c r="F1343" s="103" t="s">
        <v>166</v>
      </c>
      <c r="G1343" s="75" t="s">
        <v>147</v>
      </c>
      <c r="H1343" s="90">
        <v>6.01</v>
      </c>
      <c r="I1343" s="90">
        <v>19</v>
      </c>
      <c r="J1343" s="76">
        <v>0.105</v>
      </c>
      <c r="K1343" s="306">
        <v>16.38</v>
      </c>
      <c r="L1343" s="78">
        <f t="shared" si="173"/>
        <v>3.4760982080615359</v>
      </c>
      <c r="M1343" s="58">
        <f>+VLOOKUP(F1343,Material!$H$2:$M$17,6,FALSE)*H1343*I1343*(1+Material!$K$14)</f>
        <v>25.88113120365816</v>
      </c>
      <c r="N1343" s="79" t="str">
        <f t="shared" si="170"/>
        <v>T5.0</v>
      </c>
      <c r="O1343" s="80">
        <f>+VLOOKUP(N1343,[3]Material!$A$3:$B$58,2,FALSE)</f>
        <v>5000</v>
      </c>
      <c r="P1343" s="79" t="s">
        <v>42</v>
      </c>
      <c r="Q1343" s="79" t="str">
        <f>+VLOOKUP(F1343,[3]Material!$C$2:$E$12,2,FALSE)</f>
        <v>Cal 16</v>
      </c>
      <c r="R1343" s="81">
        <f>+IF(P1343="ACERO A36",VLOOKUP(Q1343,'[3]Velocidades Std 1500 w'!$B$2:$F$15,5,FALSE),IF(P1343="INOXIDABLE",VLOOKUP(Q1343,'[3]Velocidades Std 1500 w'!$B$17:$F$28,5,FALSE),IF(P1343="ALUMINIO",VLOOKUP(Q1343,'[3]Velocidades Std 1500 w'!$B$30:$F$38,5,FALSE))))</f>
        <v>9.1575091575091579E-7</v>
      </c>
      <c r="S1343" s="82">
        <f t="shared" si="174"/>
        <v>4.578754578754579E-3</v>
      </c>
      <c r="T1343" s="83">
        <f t="shared" si="175"/>
        <v>4.7935661538461538</v>
      </c>
      <c r="U1343" s="307">
        <f t="shared" si="171"/>
        <v>1454.0483999999999</v>
      </c>
      <c r="V1343" s="80">
        <f t="shared" si="153"/>
        <v>6.6577307692307688</v>
      </c>
      <c r="W1343" s="98">
        <v>3</v>
      </c>
      <c r="X1343" s="84">
        <f>+IF(P1343="ACERO A36",VLOOKUP(Q1343,'[3]Tiempo Objeto'!$B$2:$C$12,2,FALSE),IF(P1343="INOXIDABLE",VLOOKUP(Q1343,'[3]Tiempo Objeto'!$B$14:$C$22,2,FALSE),IF(P1343="ALUMINIO",VLOOKUP(Q1343,'[3]Tiempo Objeto'!$B$24:$C$32,2,FALSE))))</f>
        <v>0.24666666666666667</v>
      </c>
      <c r="Y1343" s="84">
        <f t="shared" si="176"/>
        <v>0.74</v>
      </c>
      <c r="Z1343" s="80">
        <f t="shared" si="177"/>
        <v>1.0277777777777777</v>
      </c>
      <c r="AA1343" s="100">
        <v>2</v>
      </c>
      <c r="AB1343" s="86">
        <f>+AA1343*Analisis!$J$6</f>
        <v>50</v>
      </c>
      <c r="AC1343" s="100">
        <v>0</v>
      </c>
      <c r="AD1343" s="85">
        <f t="shared" si="178"/>
        <v>0</v>
      </c>
      <c r="AE1343" s="86">
        <f>+AC1343*Analisis!$J$7</f>
        <v>0</v>
      </c>
      <c r="AF1343" s="308">
        <f>+H1343*0.0254*I1343*0.0254*2*(1+[3]Analisis!$G$2)</f>
        <v>0.18417705099999998</v>
      </c>
      <c r="AG1343" s="86">
        <f>+AF1343*Analisis!$J$8</f>
        <v>19.623626267261908</v>
      </c>
      <c r="AH1343" s="309">
        <f t="shared" si="179"/>
        <v>103.19026601792862</v>
      </c>
      <c r="AI1343" s="86">
        <f>+AH1343/(1-Analisis!G1354)</f>
        <v>103.19026601792862</v>
      </c>
      <c r="AJ1343" s="86">
        <f t="shared" si="180"/>
        <v>110.9572752880953</v>
      </c>
      <c r="AK1343" s="86">
        <f t="shared" si="181"/>
        <v>0</v>
      </c>
      <c r="AL1343" s="310" t="e">
        <f>+VLOOKUP(B1343,#REF!,2,FALSE)</f>
        <v>#REF!</v>
      </c>
      <c r="AM1343" s="311" t="e">
        <f t="shared" ref="AM1343:AM1731" si="183">+AL1343-E1343</f>
        <v>#REF!</v>
      </c>
      <c r="AN1343" s="312" t="e">
        <f t="shared" si="182"/>
        <v>#REF!</v>
      </c>
    </row>
    <row r="1344" spans="1:40" s="73" customFormat="1" x14ac:dyDescent="0.25">
      <c r="A1344" s="360"/>
      <c r="B1344" s="361" t="s">
        <v>1969</v>
      </c>
      <c r="D1344" s="74">
        <f>IFERROR(VLOOKUP(B1344,'REQ. PINTADO'!B:C,2,0),0)</f>
        <v>0</v>
      </c>
      <c r="E1344" s="305">
        <f t="shared" si="172"/>
        <v>435.42078252747302</v>
      </c>
      <c r="F1344" s="103" t="s">
        <v>166</v>
      </c>
      <c r="G1344" s="75" t="s">
        <v>147</v>
      </c>
      <c r="H1344" s="90">
        <v>36.08</v>
      </c>
      <c r="I1344" s="90">
        <v>8.7100000000000009</v>
      </c>
      <c r="J1344" s="76">
        <v>0.105</v>
      </c>
      <c r="K1344" s="306">
        <v>16.38</v>
      </c>
      <c r="L1344" s="78">
        <f t="shared" si="173"/>
        <v>9.5664024814007593</v>
      </c>
      <c r="M1344" s="58">
        <f>+VLOOKUP(F1344,Material!$H$2:$M$17,6,FALSE)*H1344*I1344*(1+Material!$K$14)</f>
        <v>71.226214838792913</v>
      </c>
      <c r="N1344" s="79" t="str">
        <f t="shared" si="170"/>
        <v>T5.0</v>
      </c>
      <c r="O1344" s="80">
        <f>+VLOOKUP(N1344,[3]Material!$A$3:$B$58,2,FALSE)</f>
        <v>5000</v>
      </c>
      <c r="P1344" s="79" t="s">
        <v>42</v>
      </c>
      <c r="Q1344" s="79" t="str">
        <f>+VLOOKUP(F1344,[3]Material!$C$2:$E$12,2,FALSE)</f>
        <v>Cal 16</v>
      </c>
      <c r="R1344" s="81">
        <f>+IF(P1344="ACERO A36",VLOOKUP(Q1344,'[3]Velocidades Std 1500 w'!$B$2:$F$15,5,FALSE),IF(P1344="INOXIDABLE",VLOOKUP(Q1344,'[3]Velocidades Std 1500 w'!$B$17:$F$28,5,FALSE),IF(P1344="ALUMINIO",VLOOKUP(Q1344,'[3]Velocidades Std 1500 w'!$B$30:$F$38,5,FALSE))))</f>
        <v>9.1575091575091579E-7</v>
      </c>
      <c r="S1344" s="82">
        <f t="shared" si="174"/>
        <v>4.578754578754579E-3</v>
      </c>
      <c r="T1344" s="83">
        <f t="shared" si="175"/>
        <v>50.211110769230771</v>
      </c>
      <c r="U1344" s="307">
        <f t="shared" si="171"/>
        <v>15230.703600000001</v>
      </c>
      <c r="V1344" s="80">
        <f t="shared" si="153"/>
        <v>69.737653846153847</v>
      </c>
      <c r="W1344" s="98">
        <v>321</v>
      </c>
      <c r="X1344" s="84">
        <f>+IF(P1344="ACERO A36",VLOOKUP(Q1344,'[3]Tiempo Objeto'!$B$2:$C$12,2,FALSE),IF(P1344="INOXIDABLE",VLOOKUP(Q1344,'[3]Tiempo Objeto'!$B$14:$C$22,2,FALSE),IF(P1344="ALUMINIO",VLOOKUP(Q1344,'[3]Tiempo Objeto'!$B$24:$C$32,2,FALSE))))</f>
        <v>0.24666666666666667</v>
      </c>
      <c r="Y1344" s="84">
        <f t="shared" si="176"/>
        <v>79.180000000000007</v>
      </c>
      <c r="Z1344" s="80">
        <f t="shared" si="177"/>
        <v>109.97222222222224</v>
      </c>
      <c r="AA1344" s="100">
        <v>4</v>
      </c>
      <c r="AB1344" s="86">
        <f>+AA1344*Analisis!$J$6</f>
        <v>100</v>
      </c>
      <c r="AC1344" s="100">
        <v>0</v>
      </c>
      <c r="AD1344" s="85">
        <f t="shared" si="178"/>
        <v>0</v>
      </c>
      <c r="AE1344" s="86">
        <f>+AC1344*Analisis!$J$7</f>
        <v>0</v>
      </c>
      <c r="AF1344" s="308">
        <f>+H1344*0.0254*I1344*0.0254*2*(1+[3]Analisis!$G$2)</f>
        <v>0.50686479271999996</v>
      </c>
      <c r="AG1344" s="86">
        <f>+AF1344*Analisis!$J$8</f>
        <v>54.005236843380963</v>
      </c>
      <c r="AH1344" s="309">
        <f t="shared" si="179"/>
        <v>404.94132775054987</v>
      </c>
      <c r="AI1344" s="86">
        <f>+AH1344/(1-Analisis!G1355)</f>
        <v>404.94132775054987</v>
      </c>
      <c r="AJ1344" s="86">
        <f t="shared" si="180"/>
        <v>435.42078252747302</v>
      </c>
      <c r="AK1344" s="86">
        <f t="shared" si="181"/>
        <v>0</v>
      </c>
      <c r="AL1344" s="310" t="e">
        <f>+VLOOKUP(B1344,#REF!,2,FALSE)</f>
        <v>#REF!</v>
      </c>
      <c r="AM1344" s="311" t="e">
        <f t="shared" si="183"/>
        <v>#REF!</v>
      </c>
      <c r="AN1344" s="312" t="e">
        <f t="shared" si="182"/>
        <v>#REF!</v>
      </c>
    </row>
    <row r="1345" spans="1:40" s="73" customFormat="1" x14ac:dyDescent="0.25">
      <c r="A1345" s="396">
        <v>1</v>
      </c>
      <c r="B1345" s="304" t="s">
        <v>2026</v>
      </c>
      <c r="D1345" s="74">
        <f>IFERROR(VLOOKUP(B1345,'REQ. PINTADO'!B:C,2,0),0)</f>
        <v>0</v>
      </c>
      <c r="E1345" s="305">
        <f t="shared" si="172"/>
        <v>571.86351051858878</v>
      </c>
      <c r="F1345" s="103" t="s">
        <v>163</v>
      </c>
      <c r="G1345" s="75" t="s">
        <v>147</v>
      </c>
      <c r="H1345" s="90">
        <v>21.8</v>
      </c>
      <c r="I1345" s="90">
        <v>29.7</v>
      </c>
      <c r="J1345" s="76">
        <v>0.105</v>
      </c>
      <c r="K1345" s="306">
        <v>16.38</v>
      </c>
      <c r="L1345" s="78">
        <f t="shared" si="173"/>
        <v>32.641881857406254</v>
      </c>
      <c r="M1345" s="58">
        <f>+VLOOKUP(F1345,Material!$H$2:$M$17,6,FALSE)*H1345*I1345*(1+Material!$K$14)</f>
        <v>243.03364764741565</v>
      </c>
      <c r="N1345" s="79" t="str">
        <f t="shared" si="170"/>
        <v>T5.0</v>
      </c>
      <c r="O1345" s="80">
        <f>+VLOOKUP(N1345,[3]Material!$A$3:$B$58,2,FALSE)</f>
        <v>5000</v>
      </c>
      <c r="P1345" s="79" t="s">
        <v>42</v>
      </c>
      <c r="Q1345" s="79" t="str">
        <f>+VLOOKUP(F1345,[3]Material!$C$2:$E$12,2,FALSE)</f>
        <v>Cal 12</v>
      </c>
      <c r="R1345" s="81">
        <f>+IF(P1345="ACERO A36",VLOOKUP(Q1345,'[3]Velocidades Std 1500 w'!$B$2:$F$15,5,FALSE),IF(P1345="INOXIDABLE",VLOOKUP(Q1345,'[3]Velocidades Std 1500 w'!$B$17:$F$28,5,FALSE),IF(P1345="ALUMINIO",VLOOKUP(Q1345,'[3]Velocidades Std 1500 w'!$B$30:$F$38,5,FALSE))))</f>
        <v>4.3859649122807014E-6</v>
      </c>
      <c r="S1345" s="82">
        <f t="shared" si="174"/>
        <v>2.1929824561403508E-2</v>
      </c>
      <c r="T1345" s="83">
        <f t="shared" si="175"/>
        <v>49.690421052631578</v>
      </c>
      <c r="U1345" s="307">
        <f t="shared" si="171"/>
        <v>3147.06</v>
      </c>
      <c r="V1345" s="80">
        <f t="shared" si="153"/>
        <v>69.014473684210515</v>
      </c>
      <c r="W1345" s="98">
        <v>10</v>
      </c>
      <c r="X1345" s="84">
        <f>+IF(P1345="ACERO A36",VLOOKUP(Q1345,'[3]Tiempo Objeto'!$B$2:$C$12,2,FALSE),IF(P1345="INOXIDABLE",VLOOKUP(Q1345,'[3]Tiempo Objeto'!$B$14:$C$22,2,FALSE),IF(P1345="ALUMINIO",VLOOKUP(Q1345,'[3]Tiempo Objeto'!$B$24:$C$32,2,FALSE))))</f>
        <v>0.6133333333333334</v>
      </c>
      <c r="Y1345" s="84">
        <f t="shared" si="176"/>
        <v>6.1333333333333337</v>
      </c>
      <c r="Z1345" s="80">
        <f t="shared" si="177"/>
        <v>8.518518518518519</v>
      </c>
      <c r="AA1345" s="100">
        <v>4</v>
      </c>
      <c r="AB1345" s="86">
        <f>+AA1345*Analisis!$J$6</f>
        <v>100</v>
      </c>
      <c r="AC1345" s="100">
        <v>0</v>
      </c>
      <c r="AD1345" s="85">
        <f t="shared" si="178"/>
        <v>0</v>
      </c>
      <c r="AE1345" s="86">
        <f>+AC1345*Analisis!$J$7</f>
        <v>0</v>
      </c>
      <c r="AF1345" s="308">
        <f>+H1345*0.0254*I1345*0.0254*2*(1+[3]Analisis!$G$2)</f>
        <v>1.0442882339999999</v>
      </c>
      <c r="AG1345" s="86">
        <f>+AF1345*Analisis!$J$8</f>
        <v>111.26642493214288</v>
      </c>
      <c r="AH1345" s="309">
        <f t="shared" si="179"/>
        <v>531.83306478228758</v>
      </c>
      <c r="AI1345" s="86">
        <f>+AH1345/(1-Analisis!G1356)</f>
        <v>531.83306478228758</v>
      </c>
      <c r="AJ1345" s="86">
        <f t="shared" si="180"/>
        <v>571.86351051858878</v>
      </c>
      <c r="AK1345" s="86">
        <f t="shared" si="181"/>
        <v>0</v>
      </c>
      <c r="AL1345" s="310" t="e">
        <f>+VLOOKUP(B1345,#REF!,2,FALSE)</f>
        <v>#REF!</v>
      </c>
      <c r="AM1345" s="311" t="e">
        <f t="shared" si="183"/>
        <v>#REF!</v>
      </c>
      <c r="AN1345" s="312" t="e">
        <f t="shared" si="182"/>
        <v>#REF!</v>
      </c>
    </row>
    <row r="1346" spans="1:40" s="73" customFormat="1" x14ac:dyDescent="0.25">
      <c r="A1346" s="396"/>
      <c r="B1346" s="304" t="s">
        <v>1983</v>
      </c>
      <c r="D1346" s="74">
        <f>IFERROR(VLOOKUP(B1346,'REQ. PINTADO'!B:C,2,0),0)</f>
        <v>0</v>
      </c>
      <c r="E1346" s="305">
        <f t="shared" ref="E1346:E1353" si="184">+AJ1346</f>
        <v>656.37339577764931</v>
      </c>
      <c r="F1346" s="397" t="s">
        <v>163</v>
      </c>
      <c r="G1346" s="75" t="s">
        <v>147</v>
      </c>
      <c r="H1346" s="90">
        <v>21.8</v>
      </c>
      <c r="I1346" s="90">
        <v>35.700000000000003</v>
      </c>
      <c r="J1346" s="76">
        <v>0.105</v>
      </c>
      <c r="K1346" s="306">
        <v>16.38</v>
      </c>
      <c r="L1346" s="78">
        <f t="shared" ref="L1346:L1353" si="185">+M1346*2.2/K1346</f>
        <v>39.236201424559042</v>
      </c>
      <c r="M1346" s="58">
        <f>+VLOOKUP(F1346,Material!$H$2:$M$17,6,FALSE)*H1346*I1346*(1+Material!$K$14)</f>
        <v>292.13135424285321</v>
      </c>
      <c r="N1346" s="79" t="str">
        <f t="shared" si="170"/>
        <v>T5.0</v>
      </c>
      <c r="O1346" s="80">
        <f>+VLOOKUP(N1346,[3]Material!$A$3:$B$58,2,FALSE)</f>
        <v>5000</v>
      </c>
      <c r="P1346" s="79" t="s">
        <v>42</v>
      </c>
      <c r="Q1346" s="79" t="str">
        <f>+VLOOKUP(F1346,[3]Material!$C$2:$E$12,2,FALSE)</f>
        <v>Cal 12</v>
      </c>
      <c r="R1346" s="81">
        <f>+IF(P1346="ACERO A36",VLOOKUP(Q1346,'[3]Velocidades Std 1500 w'!$B$2:$F$15,5,FALSE),IF(P1346="INOXIDABLE",VLOOKUP(Q1346,'[3]Velocidades Std 1500 w'!$B$17:$F$28,5,FALSE),IF(P1346="ALUMINIO",VLOOKUP(Q1346,'[3]Velocidades Std 1500 w'!$B$30:$F$38,5,FALSE))))</f>
        <v>4.3859649122807014E-6</v>
      </c>
      <c r="S1346" s="82">
        <f t="shared" ref="S1346:S1353" si="186">+R1346*O1346</f>
        <v>2.1929824561403508E-2</v>
      </c>
      <c r="T1346" s="83">
        <f t="shared" ref="T1346:T1353" si="187">+R1346*U1346*3600</f>
        <v>54.743684210526318</v>
      </c>
      <c r="U1346" s="307">
        <f t="shared" ref="U1346:U1353" si="188">(+I1346*2+H1346*2+W1346*1.5)*25.4*1.05</f>
        <v>3467.1000000000004</v>
      </c>
      <c r="V1346" s="80">
        <f t="shared" ref="V1346:V1353" si="189">+U1346*S1346</f>
        <v>76.03289473684211</v>
      </c>
      <c r="W1346" s="98">
        <v>10</v>
      </c>
      <c r="X1346" s="84">
        <f>+IF(P1346="ACERO A36",VLOOKUP(Q1346,'[3]Tiempo Objeto'!$B$2:$C$12,2,FALSE),IF(P1346="INOXIDABLE",VLOOKUP(Q1346,'[3]Tiempo Objeto'!$B$14:$C$22,2,FALSE),IF(P1346="ALUMINIO",VLOOKUP(Q1346,'[3]Tiempo Objeto'!$B$24:$C$32,2,FALSE))))</f>
        <v>0.6133333333333334</v>
      </c>
      <c r="Y1346" s="84">
        <f t="shared" ref="Y1346:Y1353" si="190">+X1346*W1346</f>
        <v>6.1333333333333337</v>
      </c>
      <c r="Z1346" s="80">
        <f t="shared" ref="Z1346:Z1353" si="191">+Y1346*O1346/3600</f>
        <v>8.518518518518519</v>
      </c>
      <c r="AA1346" s="100">
        <v>4</v>
      </c>
      <c r="AB1346" s="86">
        <f>+AA1346*Analisis!$J$6</f>
        <v>100</v>
      </c>
      <c r="AC1346" s="100">
        <v>0</v>
      </c>
      <c r="AD1346" s="85">
        <f t="shared" ref="AD1346:AD1353" si="192">30*AC1346+AC1346*$D1346*1.5</f>
        <v>0</v>
      </c>
      <c r="AE1346" s="86">
        <f>+AC1346*Analisis!$J$7</f>
        <v>0</v>
      </c>
      <c r="AF1346" s="308">
        <f>+H1346*0.0254*I1346*0.0254*2*(1+[3]Analisis!$G$2)</f>
        <v>1.2552555540000001</v>
      </c>
      <c r="AG1346" s="86">
        <f>+AF1346*Analisis!$J$8</f>
        <v>133.74449057500004</v>
      </c>
      <c r="AH1346" s="309">
        <f t="shared" ref="AH1346:AH1353" si="193">+AE1346+AB1346+Z1346+V1346+M1346+AG1346</f>
        <v>610.42725807321381</v>
      </c>
      <c r="AI1346" s="86">
        <f>+AH1346/(1-Analisis!G1357)</f>
        <v>610.42725807321381</v>
      </c>
      <c r="AJ1346" s="86">
        <f t="shared" ref="AJ1346:AJ1353" si="194">+AI1346/(1-0.07)</f>
        <v>656.37339577764931</v>
      </c>
      <c r="AK1346" s="86">
        <f t="shared" ref="AK1346:AK1353" si="195">+AJ1346*D1346</f>
        <v>0</v>
      </c>
      <c r="AL1346" s="310" t="e">
        <f>+VLOOKUP(B1346,#REF!,2,FALSE)</f>
        <v>#REF!</v>
      </c>
      <c r="AM1346" s="311" t="e">
        <f t="shared" ref="AM1346:AM1353" si="196">+AL1346-E1346</f>
        <v>#REF!</v>
      </c>
      <c r="AN1346" s="312" t="e">
        <f t="shared" ref="AN1346:AN1353" si="197">+AM1346/AL1346</f>
        <v>#REF!</v>
      </c>
    </row>
    <row r="1347" spans="1:40" s="73" customFormat="1" x14ac:dyDescent="0.25">
      <c r="A1347" s="396"/>
      <c r="B1347" s="304" t="s">
        <v>2027</v>
      </c>
      <c r="D1347" s="74">
        <f>IFERROR(VLOOKUP(B1347,'REQ. PINTADO'!B:C,2,0),0)</f>
        <v>0</v>
      </c>
      <c r="E1347" s="305">
        <f t="shared" si="184"/>
        <v>769.05324278972989</v>
      </c>
      <c r="F1347" s="103" t="s">
        <v>163</v>
      </c>
      <c r="G1347" s="75" t="s">
        <v>147</v>
      </c>
      <c r="H1347" s="90">
        <v>21.8</v>
      </c>
      <c r="I1347" s="90">
        <v>43.7</v>
      </c>
      <c r="J1347" s="76">
        <v>0.105</v>
      </c>
      <c r="K1347" s="306">
        <v>16.38</v>
      </c>
      <c r="L1347" s="78">
        <f t="shared" si="185"/>
        <v>48.02862751409608</v>
      </c>
      <c r="M1347" s="58">
        <f>+VLOOKUP(F1347,Material!$H$2:$M$17,6,FALSE)*H1347*I1347*(1+Material!$K$14)</f>
        <v>357.59496303676985</v>
      </c>
      <c r="N1347" s="79" t="str">
        <f t="shared" si="170"/>
        <v>T5.0</v>
      </c>
      <c r="O1347" s="80">
        <f>+VLOOKUP(N1347,[3]Material!$A$3:$B$58,2,FALSE)</f>
        <v>5000</v>
      </c>
      <c r="P1347" s="79" t="s">
        <v>42</v>
      </c>
      <c r="Q1347" s="79" t="str">
        <f>+VLOOKUP(F1347,[3]Material!$C$2:$E$12,2,FALSE)</f>
        <v>Cal 12</v>
      </c>
      <c r="R1347" s="81">
        <f>+IF(P1347="ACERO A36",VLOOKUP(Q1347,'[3]Velocidades Std 1500 w'!$B$2:$F$15,5,FALSE),IF(P1347="INOXIDABLE",VLOOKUP(Q1347,'[3]Velocidades Std 1500 w'!$B$17:$F$28,5,FALSE),IF(P1347="ALUMINIO",VLOOKUP(Q1347,'[3]Velocidades Std 1500 w'!$B$30:$F$38,5,FALSE))))</f>
        <v>4.3859649122807014E-6</v>
      </c>
      <c r="S1347" s="82">
        <f t="shared" si="186"/>
        <v>2.1929824561403508E-2</v>
      </c>
      <c r="T1347" s="83">
        <f t="shared" si="187"/>
        <v>61.481368421052622</v>
      </c>
      <c r="U1347" s="307">
        <f t="shared" si="188"/>
        <v>3893.8199999999997</v>
      </c>
      <c r="V1347" s="80">
        <f t="shared" si="189"/>
        <v>85.390789473684194</v>
      </c>
      <c r="W1347" s="98">
        <v>10</v>
      </c>
      <c r="X1347" s="84">
        <f>+IF(P1347="ACERO A36",VLOOKUP(Q1347,'[3]Tiempo Objeto'!$B$2:$C$12,2,FALSE),IF(P1347="INOXIDABLE",VLOOKUP(Q1347,'[3]Tiempo Objeto'!$B$14:$C$22,2,FALSE),IF(P1347="ALUMINIO",VLOOKUP(Q1347,'[3]Tiempo Objeto'!$B$24:$C$32,2,FALSE))))</f>
        <v>0.6133333333333334</v>
      </c>
      <c r="Y1347" s="84">
        <f t="shared" si="190"/>
        <v>6.1333333333333337</v>
      </c>
      <c r="Z1347" s="80">
        <f t="shared" si="191"/>
        <v>8.518518518518519</v>
      </c>
      <c r="AA1347" s="100">
        <v>4</v>
      </c>
      <c r="AB1347" s="86">
        <f>+AA1347*Analisis!$J$6</f>
        <v>100</v>
      </c>
      <c r="AC1347" s="100">
        <v>0</v>
      </c>
      <c r="AD1347" s="85">
        <f t="shared" si="192"/>
        <v>0</v>
      </c>
      <c r="AE1347" s="86">
        <f>+AC1347*Analisis!$J$7</f>
        <v>0</v>
      </c>
      <c r="AF1347" s="308">
        <f>+H1347*0.0254*I1347*0.0254*2*(1+[3]Analisis!$G$2)</f>
        <v>1.5365453139999998</v>
      </c>
      <c r="AG1347" s="86">
        <f>+AF1347*Analisis!$J$8</f>
        <v>163.71524476547623</v>
      </c>
      <c r="AH1347" s="309">
        <f t="shared" si="193"/>
        <v>715.21951579444874</v>
      </c>
      <c r="AI1347" s="86">
        <f>+AH1347/(1-Analisis!G1358)</f>
        <v>715.21951579444874</v>
      </c>
      <c r="AJ1347" s="86">
        <f t="shared" si="194"/>
        <v>769.05324278972989</v>
      </c>
      <c r="AK1347" s="86">
        <f t="shared" si="195"/>
        <v>0</v>
      </c>
      <c r="AL1347" s="310" t="e">
        <f>+VLOOKUP(B1347,#REF!,2,FALSE)</f>
        <v>#REF!</v>
      </c>
      <c r="AM1347" s="311" t="e">
        <f t="shared" si="196"/>
        <v>#REF!</v>
      </c>
      <c r="AN1347" s="312" t="e">
        <f t="shared" si="197"/>
        <v>#REF!</v>
      </c>
    </row>
    <row r="1348" spans="1:40" s="73" customFormat="1" x14ac:dyDescent="0.25">
      <c r="A1348" s="396"/>
      <c r="B1348" s="304" t="s">
        <v>2028</v>
      </c>
      <c r="D1348" s="74">
        <f>IFERROR(VLOOKUP(B1348,'REQ. PINTADO'!B:C,2,0),0)</f>
        <v>0</v>
      </c>
      <c r="E1348" s="305">
        <f t="shared" si="184"/>
        <v>571.86351051858878</v>
      </c>
      <c r="F1348" s="103" t="s">
        <v>163</v>
      </c>
      <c r="G1348" s="75" t="s">
        <v>147</v>
      </c>
      <c r="H1348" s="90">
        <v>21.8</v>
      </c>
      <c r="I1348" s="90">
        <v>29.7</v>
      </c>
      <c r="J1348" s="76">
        <v>0.105</v>
      </c>
      <c r="K1348" s="306">
        <v>16.38</v>
      </c>
      <c r="L1348" s="78">
        <f t="shared" si="185"/>
        <v>32.641881857406254</v>
      </c>
      <c r="M1348" s="58">
        <f>+VLOOKUP(F1348,Material!$H$2:$M$17,6,FALSE)*H1348*I1348*(1+Material!$K$14)</f>
        <v>243.03364764741565</v>
      </c>
      <c r="N1348" s="79" t="str">
        <f t="shared" si="170"/>
        <v>T5.0</v>
      </c>
      <c r="O1348" s="80">
        <f>+VLOOKUP(N1348,[3]Material!$A$3:$B$58,2,FALSE)</f>
        <v>5000</v>
      </c>
      <c r="P1348" s="79" t="s">
        <v>42</v>
      </c>
      <c r="Q1348" s="79" t="str">
        <f>+VLOOKUP(F1348,[3]Material!$C$2:$E$12,2,FALSE)</f>
        <v>Cal 12</v>
      </c>
      <c r="R1348" s="81">
        <f>+IF(P1348="ACERO A36",VLOOKUP(Q1348,'[3]Velocidades Std 1500 w'!$B$2:$F$15,5,FALSE),IF(P1348="INOXIDABLE",VLOOKUP(Q1348,'[3]Velocidades Std 1500 w'!$B$17:$F$28,5,FALSE),IF(P1348="ALUMINIO",VLOOKUP(Q1348,'[3]Velocidades Std 1500 w'!$B$30:$F$38,5,FALSE))))</f>
        <v>4.3859649122807014E-6</v>
      </c>
      <c r="S1348" s="82">
        <f t="shared" si="186"/>
        <v>2.1929824561403508E-2</v>
      </c>
      <c r="T1348" s="83">
        <f t="shared" si="187"/>
        <v>49.690421052631578</v>
      </c>
      <c r="U1348" s="307">
        <f t="shared" si="188"/>
        <v>3147.06</v>
      </c>
      <c r="V1348" s="80">
        <f t="shared" si="189"/>
        <v>69.014473684210515</v>
      </c>
      <c r="W1348" s="98">
        <v>10</v>
      </c>
      <c r="X1348" s="84">
        <f>+IF(P1348="ACERO A36",VLOOKUP(Q1348,'[3]Tiempo Objeto'!$B$2:$C$12,2,FALSE),IF(P1348="INOXIDABLE",VLOOKUP(Q1348,'[3]Tiempo Objeto'!$B$14:$C$22,2,FALSE),IF(P1348="ALUMINIO",VLOOKUP(Q1348,'[3]Tiempo Objeto'!$B$24:$C$32,2,FALSE))))</f>
        <v>0.6133333333333334</v>
      </c>
      <c r="Y1348" s="84">
        <f t="shared" si="190"/>
        <v>6.1333333333333337</v>
      </c>
      <c r="Z1348" s="80">
        <f t="shared" si="191"/>
        <v>8.518518518518519</v>
      </c>
      <c r="AA1348" s="100">
        <v>4</v>
      </c>
      <c r="AB1348" s="86">
        <f>+AA1348*Analisis!$J$6</f>
        <v>100</v>
      </c>
      <c r="AC1348" s="100">
        <v>0</v>
      </c>
      <c r="AD1348" s="85">
        <f t="shared" si="192"/>
        <v>0</v>
      </c>
      <c r="AE1348" s="86">
        <f>+AC1348*Analisis!$J$7</f>
        <v>0</v>
      </c>
      <c r="AF1348" s="308">
        <f>+H1348*0.0254*I1348*0.0254*2*(1+[3]Analisis!$G$2)</f>
        <v>1.0442882339999999</v>
      </c>
      <c r="AG1348" s="86">
        <f>+AF1348*Analisis!$J$8</f>
        <v>111.26642493214288</v>
      </c>
      <c r="AH1348" s="309">
        <f t="shared" si="193"/>
        <v>531.83306478228758</v>
      </c>
      <c r="AI1348" s="86">
        <f>+AH1348/(1-Analisis!G1359)</f>
        <v>531.83306478228758</v>
      </c>
      <c r="AJ1348" s="86">
        <f t="shared" si="194"/>
        <v>571.86351051858878</v>
      </c>
      <c r="AK1348" s="86">
        <f t="shared" si="195"/>
        <v>0</v>
      </c>
      <c r="AL1348" s="310" t="e">
        <f>+VLOOKUP(B1348,#REF!,2,FALSE)</f>
        <v>#REF!</v>
      </c>
      <c r="AM1348" s="311" t="e">
        <f t="shared" si="196"/>
        <v>#REF!</v>
      </c>
      <c r="AN1348" s="312" t="e">
        <f t="shared" si="197"/>
        <v>#REF!</v>
      </c>
    </row>
    <row r="1349" spans="1:40" s="73" customFormat="1" x14ac:dyDescent="0.25">
      <c r="A1349" s="396"/>
      <c r="B1349" s="304" t="s">
        <v>2029</v>
      </c>
      <c r="D1349" s="74">
        <f>IFERROR(VLOOKUP(B1349,'REQ. PINTADO'!B:C,2,0),0)</f>
        <v>0</v>
      </c>
      <c r="E1349" s="305">
        <f t="shared" si="184"/>
        <v>656.37339577764931</v>
      </c>
      <c r="F1349" s="103" t="s">
        <v>163</v>
      </c>
      <c r="G1349" s="75" t="s">
        <v>147</v>
      </c>
      <c r="H1349" s="90">
        <v>21.8</v>
      </c>
      <c r="I1349" s="90">
        <v>35.700000000000003</v>
      </c>
      <c r="J1349" s="76">
        <v>0.105</v>
      </c>
      <c r="K1349" s="306">
        <v>16.38</v>
      </c>
      <c r="L1349" s="78">
        <f t="shared" si="185"/>
        <v>39.236201424559042</v>
      </c>
      <c r="M1349" s="58">
        <f>+VLOOKUP(F1349,Material!$H$2:$M$17,6,FALSE)*H1349*I1349*(1+Material!$K$14)</f>
        <v>292.13135424285321</v>
      </c>
      <c r="N1349" s="79" t="str">
        <f t="shared" si="170"/>
        <v>T5.0</v>
      </c>
      <c r="O1349" s="80">
        <f>+VLOOKUP(N1349,[3]Material!$A$3:$B$58,2,FALSE)</f>
        <v>5000</v>
      </c>
      <c r="P1349" s="79" t="s">
        <v>42</v>
      </c>
      <c r="Q1349" s="79" t="str">
        <f>+VLOOKUP(F1349,[3]Material!$C$2:$E$12,2,FALSE)</f>
        <v>Cal 12</v>
      </c>
      <c r="R1349" s="81">
        <f>+IF(P1349="ACERO A36",VLOOKUP(Q1349,'[3]Velocidades Std 1500 w'!$B$2:$F$15,5,FALSE),IF(P1349="INOXIDABLE",VLOOKUP(Q1349,'[3]Velocidades Std 1500 w'!$B$17:$F$28,5,FALSE),IF(P1349="ALUMINIO",VLOOKUP(Q1349,'[3]Velocidades Std 1500 w'!$B$30:$F$38,5,FALSE))))</f>
        <v>4.3859649122807014E-6</v>
      </c>
      <c r="S1349" s="82">
        <f t="shared" si="186"/>
        <v>2.1929824561403508E-2</v>
      </c>
      <c r="T1349" s="83">
        <f t="shared" si="187"/>
        <v>54.743684210526318</v>
      </c>
      <c r="U1349" s="307">
        <f t="shared" si="188"/>
        <v>3467.1000000000004</v>
      </c>
      <c r="V1349" s="80">
        <f t="shared" si="189"/>
        <v>76.03289473684211</v>
      </c>
      <c r="W1349" s="98">
        <v>10</v>
      </c>
      <c r="X1349" s="84">
        <f>+IF(P1349="ACERO A36",VLOOKUP(Q1349,'[3]Tiempo Objeto'!$B$2:$C$12,2,FALSE),IF(P1349="INOXIDABLE",VLOOKUP(Q1349,'[3]Tiempo Objeto'!$B$14:$C$22,2,FALSE),IF(P1349="ALUMINIO",VLOOKUP(Q1349,'[3]Tiempo Objeto'!$B$24:$C$32,2,FALSE))))</f>
        <v>0.6133333333333334</v>
      </c>
      <c r="Y1349" s="84">
        <f t="shared" si="190"/>
        <v>6.1333333333333337</v>
      </c>
      <c r="Z1349" s="80">
        <f t="shared" si="191"/>
        <v>8.518518518518519</v>
      </c>
      <c r="AA1349" s="100">
        <v>4</v>
      </c>
      <c r="AB1349" s="86">
        <f>+AA1349*Analisis!$J$6</f>
        <v>100</v>
      </c>
      <c r="AC1349" s="100">
        <v>0</v>
      </c>
      <c r="AD1349" s="85">
        <f t="shared" si="192"/>
        <v>0</v>
      </c>
      <c r="AE1349" s="86">
        <f>+AC1349*Analisis!$J$7</f>
        <v>0</v>
      </c>
      <c r="AF1349" s="308">
        <f>+H1349*0.0254*I1349*0.0254*2*(1+[3]Analisis!$G$2)</f>
        <v>1.2552555540000001</v>
      </c>
      <c r="AG1349" s="86">
        <f>+AF1349*Analisis!$J$8</f>
        <v>133.74449057500004</v>
      </c>
      <c r="AH1349" s="309">
        <f t="shared" si="193"/>
        <v>610.42725807321381</v>
      </c>
      <c r="AI1349" s="86">
        <f>+AH1349/(1-Analisis!G1360)</f>
        <v>610.42725807321381</v>
      </c>
      <c r="AJ1349" s="86">
        <f t="shared" si="194"/>
        <v>656.37339577764931</v>
      </c>
      <c r="AK1349" s="86">
        <f t="shared" si="195"/>
        <v>0</v>
      </c>
      <c r="AL1349" s="310" t="e">
        <f>+VLOOKUP(B1349,#REF!,2,FALSE)</f>
        <v>#REF!</v>
      </c>
      <c r="AM1349" s="311" t="e">
        <f t="shared" si="196"/>
        <v>#REF!</v>
      </c>
      <c r="AN1349" s="312" t="e">
        <f t="shared" si="197"/>
        <v>#REF!</v>
      </c>
    </row>
    <row r="1350" spans="1:40" s="73" customFormat="1" x14ac:dyDescent="0.25">
      <c r="A1350" s="396"/>
      <c r="B1350" s="304" t="s">
        <v>2030</v>
      </c>
      <c r="D1350" s="74">
        <f>IFERROR(VLOOKUP(B1350,'REQ. PINTADO'!B:C,2,0),0)</f>
        <v>0</v>
      </c>
      <c r="E1350" s="305">
        <f t="shared" si="184"/>
        <v>769.05324278972989</v>
      </c>
      <c r="F1350" s="103" t="s">
        <v>163</v>
      </c>
      <c r="G1350" s="75" t="s">
        <v>147</v>
      </c>
      <c r="H1350" s="90">
        <v>21.8</v>
      </c>
      <c r="I1350" s="90">
        <v>43.7</v>
      </c>
      <c r="J1350" s="76">
        <v>0.105</v>
      </c>
      <c r="K1350" s="306">
        <v>16.38</v>
      </c>
      <c r="L1350" s="78">
        <f t="shared" si="185"/>
        <v>48.02862751409608</v>
      </c>
      <c r="M1350" s="58">
        <f>+VLOOKUP(F1350,Material!$H$2:$M$17,6,FALSE)*H1350*I1350*(1+Material!$K$14)</f>
        <v>357.59496303676985</v>
      </c>
      <c r="N1350" s="79" t="str">
        <f t="shared" si="170"/>
        <v>T5.0</v>
      </c>
      <c r="O1350" s="80">
        <f>+VLOOKUP(N1350,[3]Material!$A$3:$B$58,2,FALSE)</f>
        <v>5000</v>
      </c>
      <c r="P1350" s="79" t="s">
        <v>42</v>
      </c>
      <c r="Q1350" s="79" t="str">
        <f>+VLOOKUP(F1350,[3]Material!$C$2:$E$12,2,FALSE)</f>
        <v>Cal 12</v>
      </c>
      <c r="R1350" s="81">
        <f>+IF(P1350="ACERO A36",VLOOKUP(Q1350,'[3]Velocidades Std 1500 w'!$B$2:$F$15,5,FALSE),IF(P1350="INOXIDABLE",VLOOKUP(Q1350,'[3]Velocidades Std 1500 w'!$B$17:$F$28,5,FALSE),IF(P1350="ALUMINIO",VLOOKUP(Q1350,'[3]Velocidades Std 1500 w'!$B$30:$F$38,5,FALSE))))</f>
        <v>4.3859649122807014E-6</v>
      </c>
      <c r="S1350" s="82">
        <f t="shared" si="186"/>
        <v>2.1929824561403508E-2</v>
      </c>
      <c r="T1350" s="83">
        <f t="shared" si="187"/>
        <v>61.481368421052622</v>
      </c>
      <c r="U1350" s="307">
        <f t="shared" si="188"/>
        <v>3893.8199999999997</v>
      </c>
      <c r="V1350" s="80">
        <f t="shared" si="189"/>
        <v>85.390789473684194</v>
      </c>
      <c r="W1350" s="98">
        <v>10</v>
      </c>
      <c r="X1350" s="84">
        <f>+IF(P1350="ACERO A36",VLOOKUP(Q1350,'[3]Tiempo Objeto'!$B$2:$C$12,2,FALSE),IF(P1350="INOXIDABLE",VLOOKUP(Q1350,'[3]Tiempo Objeto'!$B$14:$C$22,2,FALSE),IF(P1350="ALUMINIO",VLOOKUP(Q1350,'[3]Tiempo Objeto'!$B$24:$C$32,2,FALSE))))</f>
        <v>0.6133333333333334</v>
      </c>
      <c r="Y1350" s="84">
        <f t="shared" si="190"/>
        <v>6.1333333333333337</v>
      </c>
      <c r="Z1350" s="80">
        <f t="shared" si="191"/>
        <v>8.518518518518519</v>
      </c>
      <c r="AA1350" s="100">
        <v>4</v>
      </c>
      <c r="AB1350" s="86">
        <f>+AA1350*Analisis!$J$6</f>
        <v>100</v>
      </c>
      <c r="AC1350" s="100">
        <v>0</v>
      </c>
      <c r="AD1350" s="85">
        <f t="shared" si="192"/>
        <v>0</v>
      </c>
      <c r="AE1350" s="86">
        <f>+AC1350*Analisis!$J$7</f>
        <v>0</v>
      </c>
      <c r="AF1350" s="308">
        <f>+H1350*0.0254*I1350*0.0254*2*(1+[3]Analisis!$G$2)</f>
        <v>1.5365453139999998</v>
      </c>
      <c r="AG1350" s="86">
        <f>+AF1350*Analisis!$J$8</f>
        <v>163.71524476547623</v>
      </c>
      <c r="AH1350" s="309">
        <f t="shared" si="193"/>
        <v>715.21951579444874</v>
      </c>
      <c r="AI1350" s="86">
        <f>+AH1350/(1-Analisis!G1361)</f>
        <v>715.21951579444874</v>
      </c>
      <c r="AJ1350" s="86">
        <f t="shared" si="194"/>
        <v>769.05324278972989</v>
      </c>
      <c r="AK1350" s="86">
        <f t="shared" si="195"/>
        <v>0</v>
      </c>
      <c r="AL1350" s="310" t="e">
        <f>+VLOOKUP(B1350,#REF!,2,FALSE)</f>
        <v>#REF!</v>
      </c>
      <c r="AM1350" s="311" t="e">
        <f t="shared" si="196"/>
        <v>#REF!</v>
      </c>
      <c r="AN1350" s="312" t="e">
        <f t="shared" si="197"/>
        <v>#REF!</v>
      </c>
    </row>
    <row r="1351" spans="1:40" s="73" customFormat="1" x14ac:dyDescent="0.25">
      <c r="A1351" s="396"/>
      <c r="B1351" s="304" t="s">
        <v>2031</v>
      </c>
      <c r="D1351" s="74">
        <f>IFERROR(VLOOKUP(B1351,'REQ. PINTADO'!B:C,2,0),0)</f>
        <v>0</v>
      </c>
      <c r="E1351" s="305">
        <f t="shared" si="184"/>
        <v>571.86351051858878</v>
      </c>
      <c r="F1351" s="103" t="s">
        <v>163</v>
      </c>
      <c r="G1351" s="75" t="s">
        <v>147</v>
      </c>
      <c r="H1351" s="90">
        <v>21.8</v>
      </c>
      <c r="I1351" s="90">
        <v>29.7</v>
      </c>
      <c r="J1351" s="76">
        <v>0.105</v>
      </c>
      <c r="K1351" s="306">
        <v>16.38</v>
      </c>
      <c r="L1351" s="78">
        <f t="shared" si="185"/>
        <v>32.641881857406254</v>
      </c>
      <c r="M1351" s="58">
        <f>+VLOOKUP(F1351,Material!$H$2:$M$17,6,FALSE)*H1351*I1351*(1+Material!$K$14)</f>
        <v>243.03364764741565</v>
      </c>
      <c r="N1351" s="79" t="str">
        <f t="shared" si="170"/>
        <v>T5.0</v>
      </c>
      <c r="O1351" s="80">
        <f>+VLOOKUP(N1351,[3]Material!$A$3:$B$58,2,FALSE)</f>
        <v>5000</v>
      </c>
      <c r="P1351" s="79" t="s">
        <v>42</v>
      </c>
      <c r="Q1351" s="79" t="str">
        <f>+VLOOKUP(F1351,[3]Material!$C$2:$E$12,2,FALSE)</f>
        <v>Cal 12</v>
      </c>
      <c r="R1351" s="81">
        <f>+IF(P1351="ACERO A36",VLOOKUP(Q1351,'[3]Velocidades Std 1500 w'!$B$2:$F$15,5,FALSE),IF(P1351="INOXIDABLE",VLOOKUP(Q1351,'[3]Velocidades Std 1500 w'!$B$17:$F$28,5,FALSE),IF(P1351="ALUMINIO",VLOOKUP(Q1351,'[3]Velocidades Std 1500 w'!$B$30:$F$38,5,FALSE))))</f>
        <v>4.3859649122807014E-6</v>
      </c>
      <c r="S1351" s="82">
        <f t="shared" si="186"/>
        <v>2.1929824561403508E-2</v>
      </c>
      <c r="T1351" s="83">
        <f t="shared" si="187"/>
        <v>49.690421052631578</v>
      </c>
      <c r="U1351" s="307">
        <f t="shared" si="188"/>
        <v>3147.06</v>
      </c>
      <c r="V1351" s="80">
        <f t="shared" si="189"/>
        <v>69.014473684210515</v>
      </c>
      <c r="W1351" s="98">
        <v>10</v>
      </c>
      <c r="X1351" s="84">
        <f>+IF(P1351="ACERO A36",VLOOKUP(Q1351,'[3]Tiempo Objeto'!$B$2:$C$12,2,FALSE),IF(P1351="INOXIDABLE",VLOOKUP(Q1351,'[3]Tiempo Objeto'!$B$14:$C$22,2,FALSE),IF(P1351="ALUMINIO",VLOOKUP(Q1351,'[3]Tiempo Objeto'!$B$24:$C$32,2,FALSE))))</f>
        <v>0.6133333333333334</v>
      </c>
      <c r="Y1351" s="84">
        <f t="shared" si="190"/>
        <v>6.1333333333333337</v>
      </c>
      <c r="Z1351" s="80">
        <f t="shared" si="191"/>
        <v>8.518518518518519</v>
      </c>
      <c r="AA1351" s="100">
        <v>4</v>
      </c>
      <c r="AB1351" s="86">
        <f>+AA1351*Analisis!$J$6</f>
        <v>100</v>
      </c>
      <c r="AC1351" s="100">
        <v>0</v>
      </c>
      <c r="AD1351" s="85">
        <f t="shared" si="192"/>
        <v>0</v>
      </c>
      <c r="AE1351" s="86">
        <f>+AC1351*Analisis!$J$7</f>
        <v>0</v>
      </c>
      <c r="AF1351" s="308">
        <f>+H1351*0.0254*I1351*0.0254*2*(1+[3]Analisis!$G$2)</f>
        <v>1.0442882339999999</v>
      </c>
      <c r="AG1351" s="86">
        <f>+AF1351*Analisis!$J$8</f>
        <v>111.26642493214288</v>
      </c>
      <c r="AH1351" s="309">
        <f t="shared" si="193"/>
        <v>531.83306478228758</v>
      </c>
      <c r="AI1351" s="86">
        <f>+AH1351/(1-Analisis!G1362)</f>
        <v>531.83306478228758</v>
      </c>
      <c r="AJ1351" s="86">
        <f t="shared" si="194"/>
        <v>571.86351051858878</v>
      </c>
      <c r="AK1351" s="86">
        <f t="shared" si="195"/>
        <v>0</v>
      </c>
      <c r="AL1351" s="310" t="e">
        <f>+VLOOKUP(B1351,#REF!,2,FALSE)</f>
        <v>#REF!</v>
      </c>
      <c r="AM1351" s="311" t="e">
        <f t="shared" si="196"/>
        <v>#REF!</v>
      </c>
      <c r="AN1351" s="312" t="e">
        <f t="shared" si="197"/>
        <v>#REF!</v>
      </c>
    </row>
    <row r="1352" spans="1:40" s="73" customFormat="1" x14ac:dyDescent="0.25">
      <c r="A1352" s="396"/>
      <c r="B1352" s="304" t="s">
        <v>2032</v>
      </c>
      <c r="D1352" s="74">
        <f>IFERROR(VLOOKUP(B1352,'REQ. PINTADO'!B:C,2,0),0)</f>
        <v>0</v>
      </c>
      <c r="E1352" s="305">
        <f t="shared" si="184"/>
        <v>656.37339577764931</v>
      </c>
      <c r="F1352" s="103" t="s">
        <v>163</v>
      </c>
      <c r="G1352" s="75" t="s">
        <v>147</v>
      </c>
      <c r="H1352" s="90">
        <v>21.8</v>
      </c>
      <c r="I1352" s="90">
        <v>35.700000000000003</v>
      </c>
      <c r="J1352" s="76">
        <v>0.105</v>
      </c>
      <c r="K1352" s="306">
        <v>16.38</v>
      </c>
      <c r="L1352" s="78">
        <f t="shared" si="185"/>
        <v>39.236201424559042</v>
      </c>
      <c r="M1352" s="58">
        <f>+VLOOKUP(F1352,Material!$H$2:$M$17,6,FALSE)*H1352*I1352*(1+Material!$K$14)</f>
        <v>292.13135424285321</v>
      </c>
      <c r="N1352" s="79" t="str">
        <f t="shared" si="170"/>
        <v>T5.0</v>
      </c>
      <c r="O1352" s="80">
        <f>+VLOOKUP(N1352,[3]Material!$A$3:$B$58,2,FALSE)</f>
        <v>5000</v>
      </c>
      <c r="P1352" s="79" t="s">
        <v>42</v>
      </c>
      <c r="Q1352" s="79" t="str">
        <f>+VLOOKUP(F1352,[3]Material!$C$2:$E$12,2,FALSE)</f>
        <v>Cal 12</v>
      </c>
      <c r="R1352" s="81">
        <f>+IF(P1352="ACERO A36",VLOOKUP(Q1352,'[3]Velocidades Std 1500 w'!$B$2:$F$15,5,FALSE),IF(P1352="INOXIDABLE",VLOOKUP(Q1352,'[3]Velocidades Std 1500 w'!$B$17:$F$28,5,FALSE),IF(P1352="ALUMINIO",VLOOKUP(Q1352,'[3]Velocidades Std 1500 w'!$B$30:$F$38,5,FALSE))))</f>
        <v>4.3859649122807014E-6</v>
      </c>
      <c r="S1352" s="82">
        <f t="shared" si="186"/>
        <v>2.1929824561403508E-2</v>
      </c>
      <c r="T1352" s="83">
        <f t="shared" si="187"/>
        <v>54.743684210526318</v>
      </c>
      <c r="U1352" s="307">
        <f t="shared" si="188"/>
        <v>3467.1000000000004</v>
      </c>
      <c r="V1352" s="80">
        <f t="shared" si="189"/>
        <v>76.03289473684211</v>
      </c>
      <c r="W1352" s="98">
        <v>10</v>
      </c>
      <c r="X1352" s="84">
        <f>+IF(P1352="ACERO A36",VLOOKUP(Q1352,'[3]Tiempo Objeto'!$B$2:$C$12,2,FALSE),IF(P1352="INOXIDABLE",VLOOKUP(Q1352,'[3]Tiempo Objeto'!$B$14:$C$22,2,FALSE),IF(P1352="ALUMINIO",VLOOKUP(Q1352,'[3]Tiempo Objeto'!$B$24:$C$32,2,FALSE))))</f>
        <v>0.6133333333333334</v>
      </c>
      <c r="Y1352" s="84">
        <f t="shared" si="190"/>
        <v>6.1333333333333337</v>
      </c>
      <c r="Z1352" s="80">
        <f t="shared" si="191"/>
        <v>8.518518518518519</v>
      </c>
      <c r="AA1352" s="100">
        <v>4</v>
      </c>
      <c r="AB1352" s="86">
        <f>+AA1352*Analisis!$J$6</f>
        <v>100</v>
      </c>
      <c r="AC1352" s="100">
        <v>0</v>
      </c>
      <c r="AD1352" s="85">
        <f t="shared" si="192"/>
        <v>0</v>
      </c>
      <c r="AE1352" s="86">
        <f>+AC1352*Analisis!$J$7</f>
        <v>0</v>
      </c>
      <c r="AF1352" s="308">
        <f>+H1352*0.0254*I1352*0.0254*2*(1+[3]Analisis!$G$2)</f>
        <v>1.2552555540000001</v>
      </c>
      <c r="AG1352" s="86">
        <f>+AF1352*Analisis!$J$8</f>
        <v>133.74449057500004</v>
      </c>
      <c r="AH1352" s="309">
        <f t="shared" si="193"/>
        <v>610.42725807321381</v>
      </c>
      <c r="AI1352" s="86">
        <f>+AH1352/(1-Analisis!G1363)</f>
        <v>610.42725807321381</v>
      </c>
      <c r="AJ1352" s="86">
        <f t="shared" si="194"/>
        <v>656.37339577764931</v>
      </c>
      <c r="AK1352" s="86">
        <f t="shared" si="195"/>
        <v>0</v>
      </c>
      <c r="AL1352" s="310" t="e">
        <f>+VLOOKUP(B1352,#REF!,2,FALSE)</f>
        <v>#REF!</v>
      </c>
      <c r="AM1352" s="311" t="e">
        <f t="shared" si="196"/>
        <v>#REF!</v>
      </c>
      <c r="AN1352" s="312" t="e">
        <f t="shared" si="197"/>
        <v>#REF!</v>
      </c>
    </row>
    <row r="1353" spans="1:40" s="73" customFormat="1" x14ac:dyDescent="0.25">
      <c r="A1353" s="396"/>
      <c r="B1353" s="304" t="s">
        <v>2033</v>
      </c>
      <c r="D1353" s="74">
        <f>IFERROR(VLOOKUP(B1353,'REQ. PINTADO'!B:C,2,0),0)</f>
        <v>0</v>
      </c>
      <c r="E1353" s="305">
        <f t="shared" si="184"/>
        <v>769.05324278972989</v>
      </c>
      <c r="F1353" s="103" t="s">
        <v>163</v>
      </c>
      <c r="G1353" s="75" t="s">
        <v>147</v>
      </c>
      <c r="H1353" s="90">
        <v>21.8</v>
      </c>
      <c r="I1353" s="90">
        <v>43.7</v>
      </c>
      <c r="J1353" s="76">
        <v>0.105</v>
      </c>
      <c r="K1353" s="306">
        <v>16.38</v>
      </c>
      <c r="L1353" s="78">
        <f t="shared" si="185"/>
        <v>48.02862751409608</v>
      </c>
      <c r="M1353" s="58">
        <f>+VLOOKUP(F1353,Material!$H$2:$M$17,6,FALSE)*H1353*I1353*(1+Material!$K$14)</f>
        <v>357.59496303676985</v>
      </c>
      <c r="N1353" s="79" t="str">
        <f t="shared" si="170"/>
        <v>T5.0</v>
      </c>
      <c r="O1353" s="80">
        <f>+VLOOKUP(N1353,[3]Material!$A$3:$B$58,2,FALSE)</f>
        <v>5000</v>
      </c>
      <c r="P1353" s="79" t="s">
        <v>42</v>
      </c>
      <c r="Q1353" s="79" t="str">
        <f>+VLOOKUP(F1353,[3]Material!$C$2:$E$12,2,FALSE)</f>
        <v>Cal 12</v>
      </c>
      <c r="R1353" s="81">
        <f>+IF(P1353="ACERO A36",VLOOKUP(Q1353,'[3]Velocidades Std 1500 w'!$B$2:$F$15,5,FALSE),IF(P1353="INOXIDABLE",VLOOKUP(Q1353,'[3]Velocidades Std 1500 w'!$B$17:$F$28,5,FALSE),IF(P1353="ALUMINIO",VLOOKUP(Q1353,'[3]Velocidades Std 1500 w'!$B$30:$F$38,5,FALSE))))</f>
        <v>4.3859649122807014E-6</v>
      </c>
      <c r="S1353" s="82">
        <f t="shared" si="186"/>
        <v>2.1929824561403508E-2</v>
      </c>
      <c r="T1353" s="83">
        <f t="shared" si="187"/>
        <v>61.481368421052622</v>
      </c>
      <c r="U1353" s="307">
        <f t="shared" si="188"/>
        <v>3893.8199999999997</v>
      </c>
      <c r="V1353" s="80">
        <f t="shared" si="189"/>
        <v>85.390789473684194</v>
      </c>
      <c r="W1353" s="98">
        <v>10</v>
      </c>
      <c r="X1353" s="84">
        <f>+IF(P1353="ACERO A36",VLOOKUP(Q1353,'[3]Tiempo Objeto'!$B$2:$C$12,2,FALSE),IF(P1353="INOXIDABLE",VLOOKUP(Q1353,'[3]Tiempo Objeto'!$B$14:$C$22,2,FALSE),IF(P1353="ALUMINIO",VLOOKUP(Q1353,'[3]Tiempo Objeto'!$B$24:$C$32,2,FALSE))))</f>
        <v>0.6133333333333334</v>
      </c>
      <c r="Y1353" s="84">
        <f t="shared" si="190"/>
        <v>6.1333333333333337</v>
      </c>
      <c r="Z1353" s="80">
        <f t="shared" si="191"/>
        <v>8.518518518518519</v>
      </c>
      <c r="AA1353" s="100">
        <v>4</v>
      </c>
      <c r="AB1353" s="86">
        <f>+AA1353*Analisis!$J$6</f>
        <v>100</v>
      </c>
      <c r="AC1353" s="100">
        <v>0</v>
      </c>
      <c r="AD1353" s="85">
        <f t="shared" si="192"/>
        <v>0</v>
      </c>
      <c r="AE1353" s="86">
        <f>+AC1353*Analisis!$J$7</f>
        <v>0</v>
      </c>
      <c r="AF1353" s="308">
        <f>+H1353*0.0254*I1353*0.0254*2*(1+[3]Analisis!$G$2)</f>
        <v>1.5365453139999998</v>
      </c>
      <c r="AG1353" s="86">
        <f>+AF1353*Analisis!$J$8</f>
        <v>163.71524476547623</v>
      </c>
      <c r="AH1353" s="309">
        <f t="shared" si="193"/>
        <v>715.21951579444874</v>
      </c>
      <c r="AI1353" s="86">
        <f>+AH1353/(1-Analisis!G1364)</f>
        <v>715.21951579444874</v>
      </c>
      <c r="AJ1353" s="86">
        <f t="shared" si="194"/>
        <v>769.05324278972989</v>
      </c>
      <c r="AK1353" s="86">
        <f t="shared" si="195"/>
        <v>0</v>
      </c>
      <c r="AL1353" s="310" t="e">
        <f>+VLOOKUP(B1353,#REF!,2,FALSE)</f>
        <v>#REF!</v>
      </c>
      <c r="AM1353" s="311" t="e">
        <f t="shared" si="196"/>
        <v>#REF!</v>
      </c>
      <c r="AN1353" s="312" t="e">
        <f t="shared" si="197"/>
        <v>#REF!</v>
      </c>
    </row>
    <row r="1354" spans="1:40" s="73" customFormat="1" x14ac:dyDescent="0.25">
      <c r="A1354" s="396">
        <v>2</v>
      </c>
      <c r="B1354" s="304" t="s">
        <v>1984</v>
      </c>
      <c r="D1354" s="74">
        <f>IFERROR(VLOOKUP(B1354,'REQ. PINTADO'!B:C,2,0),0)</f>
        <v>0</v>
      </c>
      <c r="E1354" s="305">
        <f t="shared" si="172"/>
        <v>634.56802107301326</v>
      </c>
      <c r="F1354" s="397" t="s">
        <v>165</v>
      </c>
      <c r="G1354" s="75" t="s">
        <v>147</v>
      </c>
      <c r="H1354" s="90">
        <v>21.178000000000001</v>
      </c>
      <c r="I1354" s="90">
        <v>35.799999999999997</v>
      </c>
      <c r="J1354" s="76">
        <v>0.105</v>
      </c>
      <c r="K1354" s="306">
        <v>16.38</v>
      </c>
      <c r="L1354" s="78">
        <f t="shared" si="173"/>
        <v>42.323192200854706</v>
      </c>
      <c r="M1354" s="58">
        <f>+VLOOKUP(F1354,Material!$H$2:$M$17,6,FALSE)*H1354*I1354*(1+Material!$K$14)</f>
        <v>315.11540374999998</v>
      </c>
      <c r="N1354" s="79" t="str">
        <f t="shared" ref="N1354:N1367" si="198">+N1127</f>
        <v>T5.0</v>
      </c>
      <c r="O1354" s="80">
        <f>+VLOOKUP(N1354,[3]Material!$A$3:$B$58,2,FALSE)</f>
        <v>5000</v>
      </c>
      <c r="P1354" s="79" t="s">
        <v>42</v>
      </c>
      <c r="Q1354" s="79" t="str">
        <f>+VLOOKUP(F1354,[3]Material!$C$2:$E$12,2,FALSE)</f>
        <v>Cal 14</v>
      </c>
      <c r="R1354" s="81">
        <f>+IF(P1354="ACERO A36",VLOOKUP(Q1354,'[3]Velocidades Std 1500 w'!$B$2:$F$15,5,FALSE),IF(P1354="INOXIDABLE",VLOOKUP(Q1354,'[3]Velocidades Std 1500 w'!$B$17:$F$28,5,FALSE),IF(P1354="ALUMINIO",VLOOKUP(Q1354,'[3]Velocidades Std 1500 w'!$B$30:$F$38,5,FALSE))))</f>
        <v>2.0080321285140564E-6</v>
      </c>
      <c r="S1354" s="82">
        <f t="shared" si="174"/>
        <v>1.0040160642570283E-2</v>
      </c>
      <c r="T1354" s="83">
        <f t="shared" si="175"/>
        <v>26.886444722891568</v>
      </c>
      <c r="U1354" s="307">
        <f t="shared" si="171"/>
        <v>3719.2915199999998</v>
      </c>
      <c r="V1354" s="80">
        <f t="shared" si="153"/>
        <v>37.342284337349405</v>
      </c>
      <c r="W1354" s="98">
        <v>17</v>
      </c>
      <c r="X1354" s="84">
        <f>+IF(P1354="ACERO A36",VLOOKUP(Q1354,'[3]Tiempo Objeto'!$B$2:$C$12,2,FALSE),IF(P1354="INOXIDABLE",VLOOKUP(Q1354,'[3]Tiempo Objeto'!$B$14:$C$22,2,FALSE),IF(P1354="ALUMINIO",VLOOKUP(Q1354,'[3]Tiempo Objeto'!$B$24:$C$32,2,FALSE))))</f>
        <v>0.3133333333333333</v>
      </c>
      <c r="Y1354" s="84">
        <f t="shared" si="176"/>
        <v>5.3266666666666662</v>
      </c>
      <c r="Z1354" s="80">
        <f t="shared" si="177"/>
        <v>7.3981481481481479</v>
      </c>
      <c r="AA1354" s="100">
        <v>4</v>
      </c>
      <c r="AB1354" s="86">
        <f>+AA1354*Analisis!$J$6</f>
        <v>100</v>
      </c>
      <c r="AC1354" s="100"/>
      <c r="AD1354" s="85">
        <f t="shared" si="178"/>
        <v>0</v>
      </c>
      <c r="AE1354" s="86">
        <f>+AC1354*Analisis!$J$7</f>
        <v>0</v>
      </c>
      <c r="AF1354" s="308">
        <f>+H1354*0.0254*I1354*0.0254*2*(1+[3]Analisis!$G$2)</f>
        <v>1.2228562639599998</v>
      </c>
      <c r="AG1354" s="86">
        <f>+AF1354*Analisis!$J$8</f>
        <v>130.29242336240478</v>
      </c>
      <c r="AH1354" s="309">
        <f t="shared" si="179"/>
        <v>590.14825959790232</v>
      </c>
      <c r="AI1354" s="86">
        <f>+AH1354/(1-Analisis!G1139)</f>
        <v>590.14825959790232</v>
      </c>
      <c r="AJ1354" s="86">
        <f t="shared" si="180"/>
        <v>634.56802107301326</v>
      </c>
      <c r="AK1354" s="86">
        <f t="shared" si="181"/>
        <v>0</v>
      </c>
      <c r="AL1354" s="310" t="e">
        <f>+VLOOKUP(B1354,#REF!,2,FALSE)</f>
        <v>#REF!</v>
      </c>
      <c r="AM1354" s="311" t="e">
        <f t="shared" si="183"/>
        <v>#REF!</v>
      </c>
      <c r="AN1354" s="312" t="e">
        <f t="shared" si="182"/>
        <v>#REF!</v>
      </c>
    </row>
    <row r="1355" spans="1:40" s="73" customFormat="1" x14ac:dyDescent="0.25">
      <c r="A1355" s="396">
        <v>3</v>
      </c>
      <c r="B1355" s="304" t="s">
        <v>1985</v>
      </c>
      <c r="D1355" s="74">
        <f>IFERROR(VLOOKUP(B1355,'REQ. PINTADO'!B:C,2,0),0)</f>
        <v>0</v>
      </c>
      <c r="E1355" s="305">
        <f t="shared" si="172"/>
        <v>750.44464575288566</v>
      </c>
      <c r="F1355" s="397" t="s">
        <v>165</v>
      </c>
      <c r="G1355" s="75" t="s">
        <v>147</v>
      </c>
      <c r="H1355" s="90">
        <v>21.170999999999999</v>
      </c>
      <c r="I1355" s="90">
        <v>43.795999999999999</v>
      </c>
      <c r="J1355" s="76">
        <v>0.105</v>
      </c>
      <c r="K1355" s="306">
        <v>16.38</v>
      </c>
      <c r="L1355" s="78">
        <f t="shared" si="173"/>
        <v>51.759046272435903</v>
      </c>
      <c r="M1355" s="58">
        <f>+VLOOKUP(F1355,Material!$H$2:$M$17,6,FALSE)*H1355*I1355*(1+Material!$K$14)</f>
        <v>385.36962633749999</v>
      </c>
      <c r="N1355" s="79" t="str">
        <f t="shared" si="198"/>
        <v>T5.0</v>
      </c>
      <c r="O1355" s="80">
        <f>+VLOOKUP(N1355,[3]Material!$A$3:$B$58,2,FALSE)</f>
        <v>5000</v>
      </c>
      <c r="P1355" s="79" t="s">
        <v>42</v>
      </c>
      <c r="Q1355" s="79" t="str">
        <f>+VLOOKUP(F1355,[3]Material!$C$2:$E$12,2,FALSE)</f>
        <v>Cal 14</v>
      </c>
      <c r="R1355" s="81">
        <f>+IF(P1355="ACERO A36",VLOOKUP(Q1355,'[3]Velocidades Std 1500 w'!$B$2:$F$15,5,FALSE),IF(P1355="INOXIDABLE",VLOOKUP(Q1355,'[3]Velocidades Std 1500 w'!$B$17:$F$28,5,FALSE),IF(P1355="ALUMINIO",VLOOKUP(Q1355,'[3]Velocidades Std 1500 w'!$B$30:$F$38,5,FALSE))))</f>
        <v>2.0080321285140564E-6</v>
      </c>
      <c r="S1355" s="82">
        <f t="shared" si="174"/>
        <v>1.0040160642570283E-2</v>
      </c>
      <c r="T1355" s="83">
        <f t="shared" si="175"/>
        <v>31.412889975903617</v>
      </c>
      <c r="U1355" s="307">
        <f t="shared" si="171"/>
        <v>4345.4497799999999</v>
      </c>
      <c r="V1355" s="80">
        <f t="shared" si="153"/>
        <v>43.629013855421697</v>
      </c>
      <c r="W1355" s="98">
        <v>22</v>
      </c>
      <c r="X1355" s="84">
        <f>+IF(P1355="ACERO A36",VLOOKUP(Q1355,'[3]Tiempo Objeto'!$B$2:$C$12,2,FALSE),IF(P1355="INOXIDABLE",VLOOKUP(Q1355,'[3]Tiempo Objeto'!$B$14:$C$22,2,FALSE),IF(P1355="ALUMINIO",VLOOKUP(Q1355,'[3]Tiempo Objeto'!$B$24:$C$32,2,FALSE))))</f>
        <v>0.3133333333333333</v>
      </c>
      <c r="Y1355" s="84">
        <f t="shared" si="176"/>
        <v>6.8933333333333326</v>
      </c>
      <c r="Z1355" s="80">
        <f t="shared" si="177"/>
        <v>9.5740740740740726</v>
      </c>
      <c r="AA1355" s="100">
        <v>4</v>
      </c>
      <c r="AB1355" s="86">
        <f>+AA1355*Analisis!$J$6</f>
        <v>100</v>
      </c>
      <c r="AC1355" s="100">
        <v>0</v>
      </c>
      <c r="AD1355" s="85">
        <f t="shared" si="178"/>
        <v>0</v>
      </c>
      <c r="AE1355" s="86">
        <f>+AC1355*Analisis!$J$7</f>
        <v>0</v>
      </c>
      <c r="AF1355" s="308">
        <f>+H1355*0.0254*I1355*0.0254*2*(1+[3]Analisis!$G$2)</f>
        <v>1.4954891315964001</v>
      </c>
      <c r="AG1355" s="86">
        <f>+AF1355*Analisis!$J$8</f>
        <v>159.3408062831879</v>
      </c>
      <c r="AH1355" s="309">
        <f t="shared" si="179"/>
        <v>697.91352055018365</v>
      </c>
      <c r="AI1355" s="86">
        <f>+AH1355/(1-Analisis!G1140)</f>
        <v>697.91352055018365</v>
      </c>
      <c r="AJ1355" s="86">
        <f t="shared" si="180"/>
        <v>750.44464575288566</v>
      </c>
      <c r="AK1355" s="86">
        <f t="shared" si="181"/>
        <v>0</v>
      </c>
      <c r="AL1355" s="310" t="e">
        <f>+VLOOKUP(B1355,#REF!,2,FALSE)</f>
        <v>#REF!</v>
      </c>
      <c r="AM1355" s="311" t="e">
        <f t="shared" si="183"/>
        <v>#REF!</v>
      </c>
      <c r="AN1355" s="312" t="e">
        <f t="shared" si="182"/>
        <v>#REF!</v>
      </c>
    </row>
    <row r="1356" spans="1:40" s="73" customFormat="1" x14ac:dyDescent="0.25">
      <c r="A1356" s="396">
        <v>4</v>
      </c>
      <c r="B1356" s="304" t="s">
        <v>1986</v>
      </c>
      <c r="D1356" s="74">
        <f>IFERROR(VLOOKUP(B1356,'REQ. PINTADO'!B:C,2,0),0)</f>
        <v>0</v>
      </c>
      <c r="E1356" s="305">
        <f t="shared" si="172"/>
        <v>628.43975639459927</v>
      </c>
      <c r="F1356" s="397" t="s">
        <v>163</v>
      </c>
      <c r="G1356" s="75" t="s">
        <v>147</v>
      </c>
      <c r="H1356" s="90">
        <v>16.035</v>
      </c>
      <c r="I1356" s="90">
        <v>43.7</v>
      </c>
      <c r="J1356" s="76">
        <v>0.105</v>
      </c>
      <c r="K1356" s="306">
        <v>16.38</v>
      </c>
      <c r="L1356" s="78">
        <f t="shared" si="173"/>
        <v>35.32747899947389</v>
      </c>
      <c r="M1356" s="58">
        <f>+VLOOKUP(F1356,Material!$H$2:$M$17,6,FALSE)*H1356*I1356*(1+Material!$K$14)</f>
        <v>263.02913909608282</v>
      </c>
      <c r="N1356" s="79" t="str">
        <f t="shared" si="198"/>
        <v>T5.0</v>
      </c>
      <c r="O1356" s="80">
        <f>+VLOOKUP(N1356,[3]Material!$A$3:$B$58,2,FALSE)</f>
        <v>5000</v>
      </c>
      <c r="P1356" s="79" t="s">
        <v>42</v>
      </c>
      <c r="Q1356" s="79" t="str">
        <f>+VLOOKUP(F1356,[3]Material!$C$2:$E$12,2,FALSE)</f>
        <v>Cal 12</v>
      </c>
      <c r="R1356" s="81">
        <f>+IF(P1356="ACERO A36",VLOOKUP(Q1356,'[3]Velocidades Std 1500 w'!$B$2:$F$15,5,FALSE),IF(P1356="INOXIDABLE",VLOOKUP(Q1356,'[3]Velocidades Std 1500 w'!$B$17:$F$28,5,FALSE),IF(P1356="ALUMINIO",VLOOKUP(Q1356,'[3]Velocidades Std 1500 w'!$B$30:$F$38,5,FALSE))))</f>
        <v>4.3859649122807014E-6</v>
      </c>
      <c r="S1356" s="82">
        <f t="shared" si="174"/>
        <v>2.1929824561403508E-2</v>
      </c>
      <c r="T1356" s="83">
        <f t="shared" si="175"/>
        <v>61.679287894736831</v>
      </c>
      <c r="U1356" s="307">
        <f t="shared" si="171"/>
        <v>3906.3548999999998</v>
      </c>
      <c r="V1356" s="80">
        <f t="shared" si="153"/>
        <v>85.665677631578944</v>
      </c>
      <c r="W1356" s="98">
        <v>18</v>
      </c>
      <c r="X1356" s="84">
        <f>+IF(P1356="ACERO A36",VLOOKUP(Q1356,'[3]Tiempo Objeto'!$B$2:$C$12,2,FALSE),IF(P1356="INOXIDABLE",VLOOKUP(Q1356,'[3]Tiempo Objeto'!$B$14:$C$22,2,FALSE),IF(P1356="ALUMINIO",VLOOKUP(Q1356,'[3]Tiempo Objeto'!$B$24:$C$32,2,FALSE))))</f>
        <v>0.6133333333333334</v>
      </c>
      <c r="Y1356" s="84">
        <f t="shared" si="176"/>
        <v>11.040000000000001</v>
      </c>
      <c r="Z1356" s="80">
        <f t="shared" si="177"/>
        <v>15.333333333333336</v>
      </c>
      <c r="AA1356" s="100">
        <v>4</v>
      </c>
      <c r="AB1356" s="86">
        <f>+AA1356*Analisis!$J$6</f>
        <v>100</v>
      </c>
      <c r="AC1356" s="100"/>
      <c r="AD1356" s="85">
        <f t="shared" si="178"/>
        <v>0</v>
      </c>
      <c r="AE1356" s="86">
        <f>+AC1356*Analisis!$J$7</f>
        <v>0</v>
      </c>
      <c r="AF1356" s="308">
        <f>+H1356*0.0254*I1356*0.0254*2*(1+[3]Analisis!$G$2)</f>
        <v>1.1302066105500002</v>
      </c>
      <c r="AG1356" s="86">
        <f>+AF1356*Analisis!$J$8</f>
        <v>120.42082338598219</v>
      </c>
      <c r="AH1356" s="309">
        <f t="shared" si="179"/>
        <v>584.44897344697733</v>
      </c>
      <c r="AI1356" s="86">
        <f>+AH1356/(1-Analisis!G1141)</f>
        <v>584.44897344697733</v>
      </c>
      <c r="AJ1356" s="86">
        <f t="shared" si="180"/>
        <v>628.43975639459927</v>
      </c>
      <c r="AK1356" s="86">
        <f t="shared" si="181"/>
        <v>0</v>
      </c>
      <c r="AL1356" s="310" t="e">
        <f>+VLOOKUP(B1356,#REF!,2,FALSE)</f>
        <v>#REF!</v>
      </c>
      <c r="AM1356" s="311" t="e">
        <f t="shared" si="183"/>
        <v>#REF!</v>
      </c>
      <c r="AN1356" s="312" t="e">
        <f t="shared" si="182"/>
        <v>#REF!</v>
      </c>
    </row>
    <row r="1357" spans="1:40" s="73" customFormat="1" x14ac:dyDescent="0.25">
      <c r="A1357" s="396">
        <v>5</v>
      </c>
      <c r="B1357" s="304" t="s">
        <v>1987</v>
      </c>
      <c r="D1357" s="74">
        <f>IFERROR(VLOOKUP(B1357,'REQ. PINTADO'!B:C,2,0),0)</f>
        <v>0</v>
      </c>
      <c r="E1357" s="305">
        <f t="shared" si="172"/>
        <v>628.43975639459927</v>
      </c>
      <c r="F1357" s="397" t="s">
        <v>163</v>
      </c>
      <c r="G1357" s="75" t="s">
        <v>147</v>
      </c>
      <c r="H1357" s="90">
        <v>16.035</v>
      </c>
      <c r="I1357" s="90">
        <v>43.7</v>
      </c>
      <c r="J1357" s="76">
        <v>0.105</v>
      </c>
      <c r="K1357" s="306">
        <v>16.38</v>
      </c>
      <c r="L1357" s="78">
        <f t="shared" si="173"/>
        <v>35.32747899947389</v>
      </c>
      <c r="M1357" s="58">
        <f>+VLOOKUP(F1357,Material!$H$2:$M$17,6,FALSE)*H1357*I1357*(1+Material!$K$14)</f>
        <v>263.02913909608282</v>
      </c>
      <c r="N1357" s="79" t="str">
        <f t="shared" si="198"/>
        <v>T5.0</v>
      </c>
      <c r="O1357" s="80">
        <f>+VLOOKUP(N1357,[3]Material!$A$3:$B$58,2,FALSE)</f>
        <v>5000</v>
      </c>
      <c r="P1357" s="79" t="s">
        <v>42</v>
      </c>
      <c r="Q1357" s="79" t="str">
        <f>+VLOOKUP(F1357,[3]Material!$C$2:$E$12,2,FALSE)</f>
        <v>Cal 12</v>
      </c>
      <c r="R1357" s="81">
        <f>+IF(P1357="ACERO A36",VLOOKUP(Q1357,'[3]Velocidades Std 1500 w'!$B$2:$F$15,5,FALSE),IF(P1357="INOXIDABLE",VLOOKUP(Q1357,'[3]Velocidades Std 1500 w'!$B$17:$F$28,5,FALSE),IF(P1357="ALUMINIO",VLOOKUP(Q1357,'[3]Velocidades Std 1500 w'!$B$30:$F$38,5,FALSE))))</f>
        <v>4.3859649122807014E-6</v>
      </c>
      <c r="S1357" s="82">
        <f t="shared" si="174"/>
        <v>2.1929824561403508E-2</v>
      </c>
      <c r="T1357" s="83">
        <f t="shared" si="175"/>
        <v>61.679287894736831</v>
      </c>
      <c r="U1357" s="307">
        <f t="shared" si="171"/>
        <v>3906.3548999999998</v>
      </c>
      <c r="V1357" s="80">
        <f t="shared" si="153"/>
        <v>85.665677631578944</v>
      </c>
      <c r="W1357" s="98">
        <v>18</v>
      </c>
      <c r="X1357" s="84">
        <f>+IF(P1357="ACERO A36",VLOOKUP(Q1357,'[3]Tiempo Objeto'!$B$2:$C$12,2,FALSE),IF(P1357="INOXIDABLE",VLOOKUP(Q1357,'[3]Tiempo Objeto'!$B$14:$C$22,2,FALSE),IF(P1357="ALUMINIO",VLOOKUP(Q1357,'[3]Tiempo Objeto'!$B$24:$C$32,2,FALSE))))</f>
        <v>0.6133333333333334</v>
      </c>
      <c r="Y1357" s="84">
        <f t="shared" si="176"/>
        <v>11.040000000000001</v>
      </c>
      <c r="Z1357" s="80">
        <f t="shared" si="177"/>
        <v>15.333333333333336</v>
      </c>
      <c r="AA1357" s="100">
        <v>4</v>
      </c>
      <c r="AB1357" s="86">
        <f>+AA1357*Analisis!$J$6</f>
        <v>100</v>
      </c>
      <c r="AC1357" s="100"/>
      <c r="AD1357" s="85">
        <f t="shared" si="178"/>
        <v>0</v>
      </c>
      <c r="AE1357" s="86">
        <f>+AC1357*Analisis!$J$7</f>
        <v>0</v>
      </c>
      <c r="AF1357" s="308">
        <f>+H1357*0.0254*I1357*0.0254*2*(1+[3]Analisis!$G$2)</f>
        <v>1.1302066105500002</v>
      </c>
      <c r="AG1357" s="86">
        <f>+AF1357*Analisis!$J$8</f>
        <v>120.42082338598219</v>
      </c>
      <c r="AH1357" s="309">
        <f t="shared" si="179"/>
        <v>584.44897344697733</v>
      </c>
      <c r="AI1357" s="86">
        <f>+AH1357/(1-Analisis!G1142)</f>
        <v>584.44897344697733</v>
      </c>
      <c r="AJ1357" s="86">
        <f t="shared" si="180"/>
        <v>628.43975639459927</v>
      </c>
      <c r="AK1357" s="86">
        <f t="shared" si="181"/>
        <v>0</v>
      </c>
      <c r="AL1357" s="310" t="e">
        <f>+VLOOKUP(B1357,#REF!,2,FALSE)</f>
        <v>#REF!</v>
      </c>
      <c r="AM1357" s="311" t="e">
        <f t="shared" si="183"/>
        <v>#REF!</v>
      </c>
      <c r="AN1357" s="312" t="e">
        <f t="shared" si="182"/>
        <v>#REF!</v>
      </c>
    </row>
    <row r="1358" spans="1:40" s="73" customFormat="1" x14ac:dyDescent="0.25">
      <c r="A1358" s="396">
        <v>6</v>
      </c>
      <c r="B1358" s="304" t="s">
        <v>1988</v>
      </c>
      <c r="D1358" s="74">
        <f>IFERROR(VLOOKUP(B1358,'REQ. PINTADO'!B:C,2,0),0)</f>
        <v>0</v>
      </c>
      <c r="E1358" s="305">
        <f t="shared" si="172"/>
        <v>634.56802107301326</v>
      </c>
      <c r="F1358" s="397" t="s">
        <v>165</v>
      </c>
      <c r="G1358" s="75" t="s">
        <v>147</v>
      </c>
      <c r="H1358" s="90">
        <v>21.178000000000001</v>
      </c>
      <c r="I1358" s="90">
        <v>35.799999999999997</v>
      </c>
      <c r="J1358" s="76">
        <v>0.105</v>
      </c>
      <c r="K1358" s="306">
        <v>16.38</v>
      </c>
      <c r="L1358" s="78">
        <f t="shared" si="173"/>
        <v>42.323192200854706</v>
      </c>
      <c r="M1358" s="58">
        <f>+VLOOKUP(F1358,Material!$H$2:$M$17,6,FALSE)*H1358*I1358*(1+Material!$K$14)</f>
        <v>315.11540374999998</v>
      </c>
      <c r="N1358" s="79" t="str">
        <f t="shared" si="198"/>
        <v>T5.0</v>
      </c>
      <c r="O1358" s="80">
        <f>+VLOOKUP(N1358,[3]Material!$A$3:$B$58,2,FALSE)</f>
        <v>5000</v>
      </c>
      <c r="P1358" s="79" t="s">
        <v>42</v>
      </c>
      <c r="Q1358" s="79" t="str">
        <f>+VLOOKUP(F1358,[3]Material!$C$2:$E$12,2,FALSE)</f>
        <v>Cal 14</v>
      </c>
      <c r="R1358" s="81">
        <f>+IF(P1358="ACERO A36",VLOOKUP(Q1358,'[3]Velocidades Std 1500 w'!$B$2:$F$15,5,FALSE),IF(P1358="INOXIDABLE",VLOOKUP(Q1358,'[3]Velocidades Std 1500 w'!$B$17:$F$28,5,FALSE),IF(P1358="ALUMINIO",VLOOKUP(Q1358,'[3]Velocidades Std 1500 w'!$B$30:$F$38,5,FALSE))))</f>
        <v>2.0080321285140564E-6</v>
      </c>
      <c r="S1358" s="82">
        <f t="shared" si="174"/>
        <v>1.0040160642570283E-2</v>
      </c>
      <c r="T1358" s="83">
        <f t="shared" si="175"/>
        <v>26.886444722891568</v>
      </c>
      <c r="U1358" s="307">
        <f t="shared" si="171"/>
        <v>3719.2915199999998</v>
      </c>
      <c r="V1358" s="80">
        <f t="shared" si="153"/>
        <v>37.342284337349405</v>
      </c>
      <c r="W1358" s="98">
        <v>17</v>
      </c>
      <c r="X1358" s="84">
        <f>+IF(P1358="ACERO A36",VLOOKUP(Q1358,'[3]Tiempo Objeto'!$B$2:$C$12,2,FALSE),IF(P1358="INOXIDABLE",VLOOKUP(Q1358,'[3]Tiempo Objeto'!$B$14:$C$22,2,FALSE),IF(P1358="ALUMINIO",VLOOKUP(Q1358,'[3]Tiempo Objeto'!$B$24:$C$32,2,FALSE))))</f>
        <v>0.3133333333333333</v>
      </c>
      <c r="Y1358" s="84">
        <f t="shared" si="176"/>
        <v>5.3266666666666662</v>
      </c>
      <c r="Z1358" s="80">
        <f t="shared" si="177"/>
        <v>7.3981481481481479</v>
      </c>
      <c r="AA1358" s="100">
        <v>4</v>
      </c>
      <c r="AB1358" s="86">
        <f>+AA1358*Analisis!$J$6</f>
        <v>100</v>
      </c>
      <c r="AC1358" s="100"/>
      <c r="AD1358" s="85">
        <f t="shared" si="178"/>
        <v>0</v>
      </c>
      <c r="AE1358" s="86">
        <f>+AC1358*Analisis!$J$7</f>
        <v>0</v>
      </c>
      <c r="AF1358" s="308">
        <f>+H1358*0.0254*I1358*0.0254*2*(1+[3]Analisis!$G$2)</f>
        <v>1.2228562639599998</v>
      </c>
      <c r="AG1358" s="86">
        <f>+AF1358*Analisis!$J$8</f>
        <v>130.29242336240478</v>
      </c>
      <c r="AH1358" s="309">
        <f t="shared" si="179"/>
        <v>590.14825959790232</v>
      </c>
      <c r="AI1358" s="86">
        <f>+AH1358/(1-Analisis!G1143)</f>
        <v>590.14825959790232</v>
      </c>
      <c r="AJ1358" s="86">
        <f t="shared" si="180"/>
        <v>634.56802107301326</v>
      </c>
      <c r="AK1358" s="86">
        <f t="shared" si="181"/>
        <v>0</v>
      </c>
      <c r="AL1358" s="310" t="e">
        <f>+VLOOKUP(B1358,#REF!,2,FALSE)</f>
        <v>#REF!</v>
      </c>
      <c r="AM1358" s="311" t="e">
        <f t="shared" si="183"/>
        <v>#REF!</v>
      </c>
      <c r="AN1358" s="312" t="e">
        <f t="shared" si="182"/>
        <v>#REF!</v>
      </c>
    </row>
    <row r="1359" spans="1:40" s="73" customFormat="1" x14ac:dyDescent="0.25">
      <c r="A1359" s="396">
        <v>7</v>
      </c>
      <c r="B1359" s="304" t="s">
        <v>1989</v>
      </c>
      <c r="D1359" s="74">
        <f>IFERROR(VLOOKUP(B1359,'REQ. PINTADO'!B:C,2,0),0)</f>
        <v>0</v>
      </c>
      <c r="E1359" s="305">
        <f t="shared" si="172"/>
        <v>664.51444257955075</v>
      </c>
      <c r="F1359" s="397" t="s">
        <v>163</v>
      </c>
      <c r="G1359" s="75" t="s">
        <v>147</v>
      </c>
      <c r="H1359" s="90">
        <v>35.700000000000003</v>
      </c>
      <c r="I1359" s="90">
        <v>21.08</v>
      </c>
      <c r="J1359" s="76">
        <v>0.105</v>
      </c>
      <c r="K1359" s="306">
        <v>16.38</v>
      </c>
      <c r="L1359" s="78">
        <f t="shared" si="173"/>
        <v>37.940326882096535</v>
      </c>
      <c r="M1359" s="58">
        <f>+VLOOKUP(F1359,Material!$H$2:$M$17,6,FALSE)*H1359*I1359*(1+Material!$K$14)</f>
        <v>282.48297924033693</v>
      </c>
      <c r="N1359" s="79" t="str">
        <f t="shared" si="198"/>
        <v>T5.0</v>
      </c>
      <c r="O1359" s="80">
        <f>+VLOOKUP(N1359,[3]Material!$A$3:$B$58,2,FALSE)</f>
        <v>5000</v>
      </c>
      <c r="P1359" s="79" t="s">
        <v>42</v>
      </c>
      <c r="Q1359" s="79" t="str">
        <f>+VLOOKUP(F1359,[3]Material!$C$2:$E$12,2,FALSE)</f>
        <v>Cal 12</v>
      </c>
      <c r="R1359" s="81">
        <f>+IF(P1359="ACERO A36",VLOOKUP(Q1359,'[3]Velocidades Std 1500 w'!$B$2:$F$15,5,FALSE),IF(P1359="INOXIDABLE",VLOOKUP(Q1359,'[3]Velocidades Std 1500 w'!$B$17:$F$28,5,FALSE),IF(P1359="ALUMINIO",VLOOKUP(Q1359,'[3]Velocidades Std 1500 w'!$B$30:$F$38,5,FALSE))))</f>
        <v>4.3859649122807014E-6</v>
      </c>
      <c r="S1359" s="82">
        <f t="shared" si="174"/>
        <v>2.1929824561403508E-2</v>
      </c>
      <c r="T1359" s="83">
        <f t="shared" si="175"/>
        <v>62.348845263157884</v>
      </c>
      <c r="U1359" s="307">
        <f t="shared" si="171"/>
        <v>3948.7601999999997</v>
      </c>
      <c r="V1359" s="80">
        <f t="shared" si="153"/>
        <v>86.59561842105262</v>
      </c>
      <c r="W1359" s="98">
        <v>23</v>
      </c>
      <c r="X1359" s="84">
        <f>+IF(P1359="ACERO A36",VLOOKUP(Q1359,'[3]Tiempo Objeto'!$B$2:$C$12,2,FALSE),IF(P1359="INOXIDABLE",VLOOKUP(Q1359,'[3]Tiempo Objeto'!$B$14:$C$22,2,FALSE),IF(P1359="ALUMINIO",VLOOKUP(Q1359,'[3]Tiempo Objeto'!$B$24:$C$32,2,FALSE))))</f>
        <v>0.6133333333333334</v>
      </c>
      <c r="Y1359" s="84">
        <f t="shared" si="176"/>
        <v>14.106666666666667</v>
      </c>
      <c r="Z1359" s="80">
        <f t="shared" si="177"/>
        <v>19.592592592592595</v>
      </c>
      <c r="AA1359" s="100">
        <v>4</v>
      </c>
      <c r="AB1359" s="86">
        <f>+AA1359*Analisis!$J$6</f>
        <v>100</v>
      </c>
      <c r="AC1359" s="100"/>
      <c r="AD1359" s="85">
        <f t="shared" si="178"/>
        <v>0</v>
      </c>
      <c r="AE1359" s="86">
        <f>+AC1359*Analisis!$J$7</f>
        <v>0</v>
      </c>
      <c r="AF1359" s="308">
        <f>+H1359*0.0254*I1359*0.0254*2*(1+[3]Analisis!$G$2)</f>
        <v>1.2137975723999999</v>
      </c>
      <c r="AG1359" s="86">
        <f>+AF1359*Analisis!$J$8</f>
        <v>129.32724134500003</v>
      </c>
      <c r="AH1359" s="309">
        <f t="shared" si="179"/>
        <v>617.99843159898217</v>
      </c>
      <c r="AI1359" s="86">
        <f>+AH1359/(1-Analisis!G1144)</f>
        <v>617.99843159898217</v>
      </c>
      <c r="AJ1359" s="86">
        <f t="shared" si="180"/>
        <v>664.51444257955075</v>
      </c>
      <c r="AK1359" s="86">
        <f t="shared" si="181"/>
        <v>0</v>
      </c>
      <c r="AL1359" s="310" t="e">
        <f>+VLOOKUP(B1359,#REF!,2,FALSE)</f>
        <v>#REF!</v>
      </c>
      <c r="AM1359" s="311" t="e">
        <f t="shared" si="183"/>
        <v>#REF!</v>
      </c>
      <c r="AN1359" s="312" t="e">
        <f t="shared" si="182"/>
        <v>#REF!</v>
      </c>
    </row>
    <row r="1360" spans="1:40" s="73" customFormat="1" x14ac:dyDescent="0.25">
      <c r="A1360" s="396">
        <v>8</v>
      </c>
      <c r="B1360" s="304" t="s">
        <v>1990</v>
      </c>
      <c r="D1360" s="74">
        <f>IFERROR(VLOOKUP(B1360,'REQ. PINTADO'!B:C,2,0),0)</f>
        <v>0</v>
      </c>
      <c r="E1360" s="305">
        <f t="shared" si="172"/>
        <v>658.93652489106432</v>
      </c>
      <c r="F1360" s="397" t="s">
        <v>163</v>
      </c>
      <c r="G1360" s="75" t="s">
        <v>147</v>
      </c>
      <c r="H1360" s="90">
        <v>35.700000000000003</v>
      </c>
      <c r="I1360" s="90">
        <v>21.08</v>
      </c>
      <c r="J1360" s="76">
        <v>0.105</v>
      </c>
      <c r="K1360" s="306">
        <v>16.38</v>
      </c>
      <c r="L1360" s="78">
        <f t="shared" si="173"/>
        <v>37.940326882096535</v>
      </c>
      <c r="M1360" s="58">
        <f>+VLOOKUP(F1360,Material!$H$2:$M$17,6,FALSE)*H1360*I1360*(1+Material!$K$14)</f>
        <v>282.48297924033693</v>
      </c>
      <c r="N1360" s="79" t="str">
        <f t="shared" si="198"/>
        <v>T5.0</v>
      </c>
      <c r="O1360" s="80">
        <f>+VLOOKUP(N1360,[3]Material!$A$3:$B$58,2,FALSE)</f>
        <v>5000</v>
      </c>
      <c r="P1360" s="79" t="s">
        <v>42</v>
      </c>
      <c r="Q1360" s="79" t="str">
        <f>+VLOOKUP(F1360,[3]Material!$C$2:$E$12,2,FALSE)</f>
        <v>Cal 12</v>
      </c>
      <c r="R1360" s="81">
        <f>+IF(P1360="ACERO A36",VLOOKUP(Q1360,'[3]Velocidades Std 1500 w'!$B$2:$F$15,5,FALSE),IF(P1360="INOXIDABLE",VLOOKUP(Q1360,'[3]Velocidades Std 1500 w'!$B$17:$F$28,5,FALSE),IF(P1360="ALUMINIO",VLOOKUP(Q1360,'[3]Velocidades Std 1500 w'!$B$30:$F$38,5,FALSE))))</f>
        <v>4.3859649122807014E-6</v>
      </c>
      <c r="S1360" s="82">
        <f t="shared" si="174"/>
        <v>2.1929824561403508E-2</v>
      </c>
      <c r="T1360" s="83">
        <f t="shared" si="175"/>
        <v>60.453871578947371</v>
      </c>
      <c r="U1360" s="307">
        <f t="shared" si="171"/>
        <v>3828.7452000000003</v>
      </c>
      <c r="V1360" s="80">
        <f t="shared" si="153"/>
        <v>83.963710526315793</v>
      </c>
      <c r="W1360" s="98">
        <v>20</v>
      </c>
      <c r="X1360" s="84">
        <f>+IF(P1360="ACERO A36",VLOOKUP(Q1360,'[3]Tiempo Objeto'!$B$2:$C$12,2,FALSE),IF(P1360="INOXIDABLE",VLOOKUP(Q1360,'[3]Tiempo Objeto'!$B$14:$C$22,2,FALSE),IF(P1360="ALUMINIO",VLOOKUP(Q1360,'[3]Tiempo Objeto'!$B$24:$C$32,2,FALSE))))</f>
        <v>0.6133333333333334</v>
      </c>
      <c r="Y1360" s="84">
        <f t="shared" si="176"/>
        <v>12.266666666666667</v>
      </c>
      <c r="Z1360" s="80">
        <f t="shared" si="177"/>
        <v>17.037037037037038</v>
      </c>
      <c r="AA1360" s="100">
        <v>4</v>
      </c>
      <c r="AB1360" s="86">
        <f>+AA1360*Analisis!$J$6</f>
        <v>100</v>
      </c>
      <c r="AC1360" s="100"/>
      <c r="AD1360" s="85">
        <f t="shared" si="178"/>
        <v>0</v>
      </c>
      <c r="AE1360" s="86">
        <f>+AC1360*Analisis!$J$7</f>
        <v>0</v>
      </c>
      <c r="AF1360" s="308">
        <f>+H1360*0.0254*I1360*0.0254*2*(1+[3]Analisis!$G$2)</f>
        <v>1.2137975723999999</v>
      </c>
      <c r="AG1360" s="86">
        <f>+AF1360*Analisis!$J$8</f>
        <v>129.32724134500003</v>
      </c>
      <c r="AH1360" s="309">
        <f t="shared" si="179"/>
        <v>612.81096814868977</v>
      </c>
      <c r="AI1360" s="86">
        <f>+AH1360/(1-Analisis!G1145)</f>
        <v>612.81096814868977</v>
      </c>
      <c r="AJ1360" s="86">
        <f t="shared" si="180"/>
        <v>658.93652489106432</v>
      </c>
      <c r="AK1360" s="86">
        <f t="shared" si="181"/>
        <v>0</v>
      </c>
      <c r="AL1360" s="310" t="e">
        <f>+VLOOKUP(B1360,#REF!,2,FALSE)</f>
        <v>#REF!</v>
      </c>
      <c r="AM1360" s="311" t="e">
        <f t="shared" si="183"/>
        <v>#REF!</v>
      </c>
      <c r="AN1360" s="312" t="e">
        <f t="shared" si="182"/>
        <v>#REF!</v>
      </c>
    </row>
    <row r="1361" spans="1:40" s="73" customFormat="1" x14ac:dyDescent="0.25">
      <c r="A1361" s="396">
        <v>9</v>
      </c>
      <c r="B1361" s="304" t="s">
        <v>1991</v>
      </c>
      <c r="D1361" s="74">
        <f>IFERROR(VLOOKUP(B1361,'REQ. PINTADO'!B:C,2,0),0)</f>
        <v>0</v>
      </c>
      <c r="E1361" s="305">
        <f t="shared" si="172"/>
        <v>169.75472939792166</v>
      </c>
      <c r="F1361" s="397" t="s">
        <v>163</v>
      </c>
      <c r="G1361" s="75" t="s">
        <v>147</v>
      </c>
      <c r="H1361" s="90">
        <v>2.5</v>
      </c>
      <c r="I1361" s="90">
        <v>10.75</v>
      </c>
      <c r="J1361" s="76">
        <v>0.105</v>
      </c>
      <c r="K1361" s="306">
        <v>16.38</v>
      </c>
      <c r="L1361" s="78">
        <f t="shared" si="173"/>
        <v>1.3549108437861694</v>
      </c>
      <c r="M1361" s="58">
        <f>+VLOOKUP(F1361,Material!$H$2:$M$17,6,FALSE)*H1361*I1361*(1+Material!$K$14)</f>
        <v>10.087927100553387</v>
      </c>
      <c r="N1361" s="79" t="str">
        <f t="shared" si="198"/>
        <v>T5.0</v>
      </c>
      <c r="O1361" s="80">
        <f>+VLOOKUP(N1361,[3]Material!$A$3:$B$58,2,FALSE)</f>
        <v>5000</v>
      </c>
      <c r="P1361" s="79" t="s">
        <v>42</v>
      </c>
      <c r="Q1361" s="79" t="str">
        <f>+VLOOKUP(F1361,[3]Material!$C$2:$E$12,2,FALSE)</f>
        <v>Cal 12</v>
      </c>
      <c r="R1361" s="81">
        <f>+IF(P1361="ACERO A36",VLOOKUP(Q1361,'[3]Velocidades Std 1500 w'!$B$2:$F$15,5,FALSE),IF(P1361="INOXIDABLE",VLOOKUP(Q1361,'[3]Velocidades Std 1500 w'!$B$17:$F$28,5,FALSE),IF(P1361="ALUMINIO",VLOOKUP(Q1361,'[3]Velocidades Std 1500 w'!$B$30:$F$38,5,FALSE))))</f>
        <v>4.3859649122807014E-6</v>
      </c>
      <c r="S1361" s="82">
        <f t="shared" si="174"/>
        <v>2.1929824561403508E-2</v>
      </c>
      <c r="T1361" s="83">
        <f t="shared" si="175"/>
        <v>21.265815789473681</v>
      </c>
      <c r="U1361" s="307">
        <f t="shared" si="171"/>
        <v>1346.8349999999998</v>
      </c>
      <c r="V1361" s="80">
        <f t="shared" si="153"/>
        <v>29.535855263157888</v>
      </c>
      <c r="W1361" s="98">
        <v>16</v>
      </c>
      <c r="X1361" s="84">
        <f>+IF(P1361="ACERO A36",VLOOKUP(Q1361,'[3]Tiempo Objeto'!$B$2:$C$12,2,FALSE),IF(P1361="INOXIDABLE",VLOOKUP(Q1361,'[3]Tiempo Objeto'!$B$14:$C$22,2,FALSE),IF(P1361="ALUMINIO",VLOOKUP(Q1361,'[3]Tiempo Objeto'!$B$24:$C$32,2,FALSE))))</f>
        <v>0.6133333333333334</v>
      </c>
      <c r="Y1361" s="84">
        <f t="shared" si="176"/>
        <v>9.8133333333333344</v>
      </c>
      <c r="Z1361" s="80">
        <f t="shared" si="177"/>
        <v>13.629629629629632</v>
      </c>
      <c r="AA1361" s="100">
        <v>4</v>
      </c>
      <c r="AB1361" s="86">
        <f>+AA1361*Analisis!$J$6</f>
        <v>100</v>
      </c>
      <c r="AC1361" s="100"/>
      <c r="AD1361" s="85">
        <f t="shared" si="178"/>
        <v>0</v>
      </c>
      <c r="AE1361" s="86">
        <f>+AC1361*Analisis!$J$7</f>
        <v>0</v>
      </c>
      <c r="AF1361" s="308">
        <f>+H1361*0.0254*I1361*0.0254*2*(1+[3]Analisis!$G$2)</f>
        <v>4.3346687500000002E-2</v>
      </c>
      <c r="AG1361" s="86">
        <f>+AF1361*Analisis!$J$8</f>
        <v>4.6184863467261916</v>
      </c>
      <c r="AH1361" s="309">
        <f t="shared" si="179"/>
        <v>157.87189834006713</v>
      </c>
      <c r="AI1361" s="86">
        <f>+AH1361/(1-Analisis!G1146)</f>
        <v>157.87189834006713</v>
      </c>
      <c r="AJ1361" s="86">
        <f t="shared" si="180"/>
        <v>169.75472939792166</v>
      </c>
      <c r="AK1361" s="86">
        <f t="shared" si="181"/>
        <v>0</v>
      </c>
      <c r="AL1361" s="310" t="e">
        <f>+VLOOKUP(B1361,#REF!,2,FALSE)</f>
        <v>#REF!</v>
      </c>
      <c r="AM1361" s="311" t="e">
        <f t="shared" si="183"/>
        <v>#REF!</v>
      </c>
      <c r="AN1361" s="312" t="e">
        <f t="shared" si="182"/>
        <v>#REF!</v>
      </c>
    </row>
    <row r="1362" spans="1:40" s="73" customFormat="1" x14ac:dyDescent="0.25">
      <c r="A1362" s="396">
        <v>10</v>
      </c>
      <c r="B1362" s="304" t="s">
        <v>1992</v>
      </c>
      <c r="D1362" s="74">
        <f>IFERROR(VLOOKUP(B1362,'REQ. PINTADO'!B:C,2,0),0)</f>
        <v>0</v>
      </c>
      <c r="E1362" s="305">
        <f t="shared" si="172"/>
        <v>137.0224043808505</v>
      </c>
      <c r="F1362" s="397" t="s">
        <v>163</v>
      </c>
      <c r="G1362" s="75" t="s">
        <v>147</v>
      </c>
      <c r="H1362" s="90">
        <v>2.63</v>
      </c>
      <c r="I1362" s="90">
        <v>3.37</v>
      </c>
      <c r="J1362" s="76">
        <v>0.105</v>
      </c>
      <c r="K1362" s="306">
        <v>16.38</v>
      </c>
      <c r="L1362" s="78">
        <f t="shared" si="173"/>
        <v>0.4468357320766958</v>
      </c>
      <c r="M1362" s="58">
        <f>+VLOOKUP(F1362,Material!$H$2:$M$17,6,FALSE)*H1362*I1362*(1+Material!$K$14)</f>
        <v>3.3268951324619436</v>
      </c>
      <c r="N1362" s="79" t="str">
        <f t="shared" si="198"/>
        <v>T5.0</v>
      </c>
      <c r="O1362" s="80">
        <f>+VLOOKUP(N1362,[3]Material!$A$3:$B$58,2,FALSE)</f>
        <v>5000</v>
      </c>
      <c r="P1362" s="79" t="s">
        <v>42</v>
      </c>
      <c r="Q1362" s="79" t="str">
        <f>+VLOOKUP(F1362,[3]Material!$C$2:$E$12,2,FALSE)</f>
        <v>Cal 12</v>
      </c>
      <c r="R1362" s="81">
        <f>+IF(P1362="ACERO A36",VLOOKUP(Q1362,'[3]Velocidades Std 1500 w'!$B$2:$F$15,5,FALSE),IF(P1362="INOXIDABLE",VLOOKUP(Q1362,'[3]Velocidades Std 1500 w'!$B$17:$F$28,5,FALSE),IF(P1362="ALUMINIO",VLOOKUP(Q1362,'[3]Velocidades Std 1500 w'!$B$30:$F$38,5,FALSE))))</f>
        <v>4.3859649122807014E-6</v>
      </c>
      <c r="S1362" s="82">
        <f t="shared" si="174"/>
        <v>2.1929824561403508E-2</v>
      </c>
      <c r="T1362" s="83">
        <f t="shared" si="175"/>
        <v>10.738184210526313</v>
      </c>
      <c r="U1362" s="307">
        <f t="shared" si="171"/>
        <v>680.08499999999992</v>
      </c>
      <c r="V1362" s="80">
        <f t="shared" si="153"/>
        <v>14.914144736842102</v>
      </c>
      <c r="W1362" s="98">
        <v>9</v>
      </c>
      <c r="X1362" s="84">
        <f>+IF(P1362="ACERO A36",VLOOKUP(Q1362,'[3]Tiempo Objeto'!$B$2:$C$12,2,FALSE),IF(P1362="INOXIDABLE",VLOOKUP(Q1362,'[3]Tiempo Objeto'!$B$14:$C$22,2,FALSE),IF(P1362="ALUMINIO",VLOOKUP(Q1362,'[3]Tiempo Objeto'!$B$24:$C$32,2,FALSE))))</f>
        <v>0.6133333333333334</v>
      </c>
      <c r="Y1362" s="84">
        <f t="shared" si="176"/>
        <v>5.5200000000000005</v>
      </c>
      <c r="Z1362" s="80">
        <f t="shared" si="177"/>
        <v>7.6666666666666679</v>
      </c>
      <c r="AA1362" s="100">
        <v>4</v>
      </c>
      <c r="AB1362" s="86">
        <f>+AA1362*Analisis!$J$6</f>
        <v>100</v>
      </c>
      <c r="AC1362" s="100"/>
      <c r="AD1362" s="85">
        <f t="shared" si="178"/>
        <v>0</v>
      </c>
      <c r="AE1362" s="86">
        <f>+AC1362*Analisis!$J$7</f>
        <v>0</v>
      </c>
      <c r="AF1362" s="308">
        <f>+H1362*0.0254*I1362*0.0254*2*(1+[3]Analisis!$G$2)</f>
        <v>1.4295293990000001E-2</v>
      </c>
      <c r="AG1362" s="86">
        <f>+AF1362*Analisis!$J$8</f>
        <v>1.5231295382202386</v>
      </c>
      <c r="AH1362" s="309">
        <f t="shared" si="179"/>
        <v>127.43083607419095</v>
      </c>
      <c r="AI1362" s="86">
        <f>+AH1362/(1-Analisis!G1147)</f>
        <v>127.43083607419095</v>
      </c>
      <c r="AJ1362" s="86">
        <f t="shared" si="180"/>
        <v>137.0224043808505</v>
      </c>
      <c r="AK1362" s="86">
        <f t="shared" si="181"/>
        <v>0</v>
      </c>
      <c r="AL1362" s="310" t="e">
        <f>+VLOOKUP(B1362,#REF!,2,FALSE)</f>
        <v>#REF!</v>
      </c>
      <c r="AM1362" s="311" t="e">
        <f t="shared" si="183"/>
        <v>#REF!</v>
      </c>
      <c r="AN1362" s="312" t="e">
        <f t="shared" si="182"/>
        <v>#REF!</v>
      </c>
    </row>
    <row r="1363" spans="1:40" s="73" customFormat="1" x14ac:dyDescent="0.25">
      <c r="A1363" s="396">
        <v>11</v>
      </c>
      <c r="B1363" s="304" t="s">
        <v>2152</v>
      </c>
      <c r="D1363" s="74">
        <f>IFERROR(VLOOKUP(B1363,'REQ. PINTADO'!B:C,2,0),0)</f>
        <v>0</v>
      </c>
      <c r="E1363" s="305">
        <f t="shared" si="172"/>
        <v>949.28224429673901</v>
      </c>
      <c r="F1363" s="397" t="s">
        <v>163</v>
      </c>
      <c r="G1363" s="75" t="s">
        <v>147</v>
      </c>
      <c r="H1363" s="90">
        <v>75.900000000000006</v>
      </c>
      <c r="I1363" s="90">
        <v>15.2</v>
      </c>
      <c r="J1363" s="76">
        <v>0.105</v>
      </c>
      <c r="K1363" s="306">
        <v>16.38</v>
      </c>
      <c r="L1363" s="78">
        <f t="shared" si="173"/>
        <v>58.163108549180571</v>
      </c>
      <c r="M1363" s="58">
        <f>+VLOOKUP(F1363,Material!$H$2:$M$17,6,FALSE)*H1363*I1363*(1+Material!$K$14)</f>
        <v>433.05078092526259</v>
      </c>
      <c r="N1363" s="79" t="str">
        <f t="shared" si="198"/>
        <v>T5.0</v>
      </c>
      <c r="O1363" s="80">
        <f>+VLOOKUP(N1363,[3]Material!$A$3:$B$58,2,FALSE)</f>
        <v>5000</v>
      </c>
      <c r="P1363" s="79" t="s">
        <v>42</v>
      </c>
      <c r="Q1363" s="79" t="str">
        <f>+VLOOKUP(F1363,[3]Material!$C$2:$E$12,2,FALSE)</f>
        <v>Cal 12</v>
      </c>
      <c r="R1363" s="81">
        <f>+IF(P1363="ACERO A36",VLOOKUP(Q1363,'[3]Velocidades Std 1500 w'!$B$2:$F$15,5,FALSE),IF(P1363="INOXIDABLE",VLOOKUP(Q1363,'[3]Velocidades Std 1500 w'!$B$17:$F$28,5,FALSE),IF(P1363="ALUMINIO",VLOOKUP(Q1363,'[3]Velocidades Std 1500 w'!$B$30:$F$38,5,FALSE))))</f>
        <v>4.3859649122807014E-6</v>
      </c>
      <c r="S1363" s="82">
        <f t="shared" si="174"/>
        <v>2.1929824561403508E-2</v>
      </c>
      <c r="T1363" s="83">
        <f t="shared" si="175"/>
        <v>93.14848421052632</v>
      </c>
      <c r="U1363" s="307">
        <f t="shared" si="171"/>
        <v>5899.4040000000005</v>
      </c>
      <c r="V1363" s="80">
        <f t="shared" si="153"/>
        <v>129.37289473684211</v>
      </c>
      <c r="W1363" s="98">
        <v>26</v>
      </c>
      <c r="X1363" s="84">
        <f>+IF(P1363="ACERO A36",VLOOKUP(Q1363,'[3]Tiempo Objeto'!$B$2:$C$12,2,FALSE),IF(P1363="INOXIDABLE",VLOOKUP(Q1363,'[3]Tiempo Objeto'!$B$14:$C$22,2,FALSE),IF(P1363="ALUMINIO",VLOOKUP(Q1363,'[3]Tiempo Objeto'!$B$24:$C$32,2,FALSE))))</f>
        <v>0.6133333333333334</v>
      </c>
      <c r="Y1363" s="84">
        <f t="shared" si="176"/>
        <v>15.946666666666669</v>
      </c>
      <c r="Z1363" s="80">
        <f t="shared" si="177"/>
        <v>22.148148148148152</v>
      </c>
      <c r="AA1363" s="100">
        <v>4</v>
      </c>
      <c r="AB1363" s="86">
        <f>+AA1363*Analisis!$J$6</f>
        <v>100</v>
      </c>
      <c r="AC1363" s="100"/>
      <c r="AD1363" s="85">
        <f t="shared" si="178"/>
        <v>0</v>
      </c>
      <c r="AE1363" s="86">
        <f>+AC1363*Analisis!$J$7</f>
        <v>0</v>
      </c>
      <c r="AF1363" s="308">
        <f>+H1363*0.0254*I1363*0.0254*2*(1+[3]Analisis!$G$2)</f>
        <v>1.8607704719999998</v>
      </c>
      <c r="AG1363" s="86">
        <f>+AF1363*Analisis!$J$8</f>
        <v>198.26066338571431</v>
      </c>
      <c r="AH1363" s="309">
        <f t="shared" si="179"/>
        <v>882.83248719596725</v>
      </c>
      <c r="AI1363" s="86">
        <f>+AH1363/(1-Analisis!G1148)</f>
        <v>882.83248719596725</v>
      </c>
      <c r="AJ1363" s="86">
        <f t="shared" si="180"/>
        <v>949.28224429673901</v>
      </c>
      <c r="AK1363" s="86">
        <f t="shared" si="181"/>
        <v>0</v>
      </c>
      <c r="AL1363" s="310" t="e">
        <f>+VLOOKUP(B1363,#REF!,2,FALSE)</f>
        <v>#REF!</v>
      </c>
      <c r="AM1363" s="311" t="e">
        <f t="shared" si="183"/>
        <v>#REF!</v>
      </c>
      <c r="AN1363" s="312" t="e">
        <f t="shared" si="182"/>
        <v>#REF!</v>
      </c>
    </row>
    <row r="1364" spans="1:40" s="73" customFormat="1" x14ac:dyDescent="0.25">
      <c r="A1364" s="396"/>
      <c r="B1364" s="304" t="s">
        <v>2153</v>
      </c>
      <c r="D1364" s="74">
        <f>IFERROR(VLOOKUP(B1364,'REQ. PINTADO'!B:C,2,0),0)</f>
        <v>0</v>
      </c>
      <c r="E1364" s="305">
        <f t="shared" ref="E1364:E1369" si="199">+AJ1364</f>
        <v>1087.0350975036527</v>
      </c>
      <c r="F1364" s="397" t="s">
        <v>163</v>
      </c>
      <c r="G1364" s="75" t="s">
        <v>147</v>
      </c>
      <c r="H1364" s="90">
        <v>75.900000000000006</v>
      </c>
      <c r="I1364" s="90">
        <v>18.2</v>
      </c>
      <c r="J1364" s="76">
        <v>0.105</v>
      </c>
      <c r="K1364" s="306">
        <v>16.38</v>
      </c>
      <c r="L1364" s="78">
        <f t="shared" ref="L1364:L1369" si="200">+M1364*2.2/K1364</f>
        <v>69.642669447045179</v>
      </c>
      <c r="M1364" s="58">
        <f>+VLOOKUP(F1364,Material!$H$2:$M$17,6,FALSE)*H1364*I1364*(1+Material!$K$14)</f>
        <v>518.5213297920908</v>
      </c>
      <c r="N1364" s="79" t="str">
        <f t="shared" si="198"/>
        <v>T5.0</v>
      </c>
      <c r="O1364" s="80">
        <f>+VLOOKUP(N1364,[3]Material!$A$3:$B$58,2,FALSE)</f>
        <v>5000</v>
      </c>
      <c r="P1364" s="79" t="s">
        <v>42</v>
      </c>
      <c r="Q1364" s="79" t="str">
        <f>+VLOOKUP(F1364,[3]Material!$C$2:$E$12,2,FALSE)</f>
        <v>Cal 12</v>
      </c>
      <c r="R1364" s="81">
        <f>+IF(P1364="ACERO A36",VLOOKUP(Q1364,'[3]Velocidades Std 1500 w'!$B$2:$F$15,5,FALSE),IF(P1364="INOXIDABLE",VLOOKUP(Q1364,'[3]Velocidades Std 1500 w'!$B$17:$F$28,5,FALSE),IF(P1364="ALUMINIO",VLOOKUP(Q1364,'[3]Velocidades Std 1500 w'!$B$30:$F$38,5,FALSE))))</f>
        <v>4.3859649122807014E-6</v>
      </c>
      <c r="S1364" s="82">
        <f t="shared" ref="S1364:S1369" si="201">+R1364*O1364</f>
        <v>2.1929824561403508E-2</v>
      </c>
      <c r="T1364" s="83">
        <f t="shared" ref="T1364:T1369" si="202">+R1364*U1364*3600</f>
        <v>95.675115789473665</v>
      </c>
      <c r="U1364" s="307">
        <f t="shared" ref="U1364:U1369" si="203">(+I1364*2+H1364*2+W1364*1.5)*25.4*1.05</f>
        <v>6059.424</v>
      </c>
      <c r="V1364" s="80">
        <f t="shared" ref="V1364:V1369" si="204">+U1364*S1364</f>
        <v>132.88210526315788</v>
      </c>
      <c r="W1364" s="98">
        <v>26</v>
      </c>
      <c r="X1364" s="84">
        <f>+IF(P1364="ACERO A36",VLOOKUP(Q1364,'[3]Tiempo Objeto'!$B$2:$C$12,2,FALSE),IF(P1364="INOXIDABLE",VLOOKUP(Q1364,'[3]Tiempo Objeto'!$B$14:$C$22,2,FALSE),IF(P1364="ALUMINIO",VLOOKUP(Q1364,'[3]Tiempo Objeto'!$B$24:$C$32,2,FALSE))))</f>
        <v>0.6133333333333334</v>
      </c>
      <c r="Y1364" s="84">
        <f t="shared" ref="Y1364:Y1369" si="205">+X1364*W1364</f>
        <v>15.946666666666669</v>
      </c>
      <c r="Z1364" s="80">
        <f t="shared" ref="Z1364:Z1369" si="206">+Y1364*O1364/3600</f>
        <v>22.148148148148152</v>
      </c>
      <c r="AA1364" s="100">
        <v>4</v>
      </c>
      <c r="AB1364" s="86">
        <f>+AA1364*Analisis!$J$6</f>
        <v>100</v>
      </c>
      <c r="AC1364" s="100"/>
      <c r="AD1364" s="85">
        <f t="shared" ref="AD1364:AD1369" si="207">30*AC1364+AC1364*$D1364*1.5</f>
        <v>0</v>
      </c>
      <c r="AE1364" s="86">
        <f>+AC1364*Analisis!$J$7</f>
        <v>0</v>
      </c>
      <c r="AF1364" s="308">
        <f>+H1364*0.0254*I1364*0.0254*2*(1+[3]Analisis!$G$2)</f>
        <v>2.2280278019999997</v>
      </c>
      <c r="AG1364" s="86">
        <f>+AF1364*Analisis!$J$8</f>
        <v>237.39105747500005</v>
      </c>
      <c r="AH1364" s="309">
        <f t="shared" ref="AH1364:AH1369" si="208">+AE1364+AB1364+Z1364+V1364+M1364+AG1364</f>
        <v>1010.9426406783969</v>
      </c>
      <c r="AI1364" s="86">
        <f>+AH1364/(1-Analisis!G1149)</f>
        <v>1010.9426406783969</v>
      </c>
      <c r="AJ1364" s="86">
        <f t="shared" ref="AJ1364:AJ1369" si="209">+AI1364/(1-0.07)</f>
        <v>1087.0350975036527</v>
      </c>
      <c r="AK1364" s="86">
        <f t="shared" ref="AK1364:AK1369" si="210">+AJ1364*D1364</f>
        <v>0</v>
      </c>
      <c r="AL1364" s="310" t="e">
        <f>+VLOOKUP(B1364,#REF!,2,FALSE)</f>
        <v>#REF!</v>
      </c>
      <c r="AM1364" s="311" t="e">
        <f t="shared" ref="AM1364:AM1369" si="211">+AL1364-E1364</f>
        <v>#REF!</v>
      </c>
      <c r="AN1364" s="312" t="e">
        <f t="shared" ref="AN1364:AN1369" si="212">+AM1364/AL1364</f>
        <v>#REF!</v>
      </c>
    </row>
    <row r="1365" spans="1:40" s="73" customFormat="1" x14ac:dyDescent="0.25">
      <c r="A1365" s="396"/>
      <c r="B1365" s="304" t="s">
        <v>2154</v>
      </c>
      <c r="D1365" s="74">
        <f>IFERROR(VLOOKUP(B1365,'REQ. PINTADO'!B:C,2,0),0)</f>
        <v>0</v>
      </c>
      <c r="E1365" s="305">
        <f t="shared" si="199"/>
        <v>1270.7055684462043</v>
      </c>
      <c r="F1365" s="397" t="s">
        <v>163</v>
      </c>
      <c r="G1365" s="75" t="s">
        <v>147</v>
      </c>
      <c r="H1365" s="90">
        <v>75.900000000000006</v>
      </c>
      <c r="I1365" s="90">
        <v>22.2</v>
      </c>
      <c r="J1365" s="76">
        <v>0.105</v>
      </c>
      <c r="K1365" s="306">
        <v>16.38</v>
      </c>
      <c r="L1365" s="78">
        <f t="shared" si="200"/>
        <v>84.948750644197958</v>
      </c>
      <c r="M1365" s="58">
        <f>+VLOOKUP(F1365,Material!$H$2:$M$17,6,FALSE)*H1365*I1365*(1+Material!$K$14)</f>
        <v>632.48206161452833</v>
      </c>
      <c r="N1365" s="79" t="str">
        <f t="shared" si="198"/>
        <v>T5.0</v>
      </c>
      <c r="O1365" s="80">
        <f>+VLOOKUP(N1365,[3]Material!$A$3:$B$58,2,FALSE)</f>
        <v>5000</v>
      </c>
      <c r="P1365" s="79" t="s">
        <v>42</v>
      </c>
      <c r="Q1365" s="79" t="str">
        <f>+VLOOKUP(F1365,[3]Material!$C$2:$E$12,2,FALSE)</f>
        <v>Cal 12</v>
      </c>
      <c r="R1365" s="81">
        <f>+IF(P1365="ACERO A36",VLOOKUP(Q1365,'[3]Velocidades Std 1500 w'!$B$2:$F$15,5,FALSE),IF(P1365="INOXIDABLE",VLOOKUP(Q1365,'[3]Velocidades Std 1500 w'!$B$17:$F$28,5,FALSE),IF(P1365="ALUMINIO",VLOOKUP(Q1365,'[3]Velocidades Std 1500 w'!$B$30:$F$38,5,FALSE))))</f>
        <v>4.3859649122807014E-6</v>
      </c>
      <c r="S1365" s="82">
        <f t="shared" si="201"/>
        <v>2.1929824561403508E-2</v>
      </c>
      <c r="T1365" s="83">
        <f t="shared" si="202"/>
        <v>99.043957894736835</v>
      </c>
      <c r="U1365" s="307">
        <f t="shared" si="203"/>
        <v>6272.7840000000006</v>
      </c>
      <c r="V1365" s="80">
        <f t="shared" si="204"/>
        <v>137.56105263157895</v>
      </c>
      <c r="W1365" s="98">
        <v>26</v>
      </c>
      <c r="X1365" s="84">
        <f>+IF(P1365="ACERO A36",VLOOKUP(Q1365,'[3]Tiempo Objeto'!$B$2:$C$12,2,FALSE),IF(P1365="INOXIDABLE",VLOOKUP(Q1365,'[3]Tiempo Objeto'!$B$14:$C$22,2,FALSE),IF(P1365="ALUMINIO",VLOOKUP(Q1365,'[3]Tiempo Objeto'!$B$24:$C$32,2,FALSE))))</f>
        <v>0.6133333333333334</v>
      </c>
      <c r="Y1365" s="84">
        <f t="shared" si="205"/>
        <v>15.946666666666669</v>
      </c>
      <c r="Z1365" s="80">
        <f t="shared" si="206"/>
        <v>22.148148148148152</v>
      </c>
      <c r="AA1365" s="100">
        <v>4</v>
      </c>
      <c r="AB1365" s="86">
        <f>+AA1365*Analisis!$J$6</f>
        <v>100</v>
      </c>
      <c r="AC1365" s="100"/>
      <c r="AD1365" s="85">
        <f t="shared" si="207"/>
        <v>0</v>
      </c>
      <c r="AE1365" s="86">
        <f>+AC1365*Analisis!$J$7</f>
        <v>0</v>
      </c>
      <c r="AF1365" s="308">
        <f>+H1365*0.0254*I1365*0.0254*2*(1+[3]Analisis!$G$2)</f>
        <v>2.7177042420000004</v>
      </c>
      <c r="AG1365" s="86">
        <f>+AF1365*Analisis!$J$8</f>
        <v>289.56491626071443</v>
      </c>
      <c r="AH1365" s="309">
        <f t="shared" si="208"/>
        <v>1181.75617865497</v>
      </c>
      <c r="AI1365" s="86">
        <f>+AH1365/(1-Analisis!G1150)</f>
        <v>1181.75617865497</v>
      </c>
      <c r="AJ1365" s="86">
        <f t="shared" si="209"/>
        <v>1270.7055684462043</v>
      </c>
      <c r="AK1365" s="86">
        <f t="shared" si="210"/>
        <v>0</v>
      </c>
      <c r="AL1365" s="310" t="e">
        <f>+VLOOKUP(B1365,#REF!,2,FALSE)</f>
        <v>#REF!</v>
      </c>
      <c r="AM1365" s="311" t="e">
        <f t="shared" si="211"/>
        <v>#REF!</v>
      </c>
      <c r="AN1365" s="312" t="e">
        <f t="shared" si="212"/>
        <v>#REF!</v>
      </c>
    </row>
    <row r="1366" spans="1:40" s="73" customFormat="1" x14ac:dyDescent="0.25">
      <c r="A1366" s="396"/>
      <c r="B1366" s="304" t="s">
        <v>2155</v>
      </c>
      <c r="D1366" s="74">
        <f>IFERROR(VLOOKUP(B1366,'REQ. PINTADO'!B:C,2,0),0)</f>
        <v>0</v>
      </c>
      <c r="E1366" s="305">
        <f t="shared" si="199"/>
        <v>1064.0762886358339</v>
      </c>
      <c r="F1366" s="397" t="s">
        <v>163</v>
      </c>
      <c r="G1366" s="75" t="s">
        <v>147</v>
      </c>
      <c r="H1366" s="90">
        <v>75.900000000000006</v>
      </c>
      <c r="I1366" s="90">
        <v>17.7</v>
      </c>
      <c r="J1366" s="76">
        <v>0.105</v>
      </c>
      <c r="K1366" s="306">
        <v>16.38</v>
      </c>
      <c r="L1366" s="78">
        <f t="shared" si="200"/>
        <v>67.729409297401077</v>
      </c>
      <c r="M1366" s="58">
        <f>+VLOOKUP(F1366,Material!$H$2:$M$17,6,FALSE)*H1366*I1366*(1+Material!$K$14)</f>
        <v>504.2762383142861</v>
      </c>
      <c r="N1366" s="79" t="str">
        <f t="shared" si="198"/>
        <v>T5.0</v>
      </c>
      <c r="O1366" s="80">
        <f>+VLOOKUP(N1366,[3]Material!$A$3:$B$58,2,FALSE)</f>
        <v>5000</v>
      </c>
      <c r="P1366" s="79" t="s">
        <v>42</v>
      </c>
      <c r="Q1366" s="79" t="str">
        <f>+VLOOKUP(F1366,[3]Material!$C$2:$E$12,2,FALSE)</f>
        <v>Cal 12</v>
      </c>
      <c r="R1366" s="81">
        <f>+IF(P1366="ACERO A36",VLOOKUP(Q1366,'[3]Velocidades Std 1500 w'!$B$2:$F$15,5,FALSE),IF(P1366="INOXIDABLE",VLOOKUP(Q1366,'[3]Velocidades Std 1500 w'!$B$17:$F$28,5,FALSE),IF(P1366="ALUMINIO",VLOOKUP(Q1366,'[3]Velocidades Std 1500 w'!$B$30:$F$38,5,FALSE))))</f>
        <v>4.3859649122807014E-6</v>
      </c>
      <c r="S1366" s="82">
        <f t="shared" si="201"/>
        <v>2.1929824561403508E-2</v>
      </c>
      <c r="T1366" s="83">
        <f t="shared" si="202"/>
        <v>95.254010526315795</v>
      </c>
      <c r="U1366" s="307">
        <f t="shared" si="203"/>
        <v>6032.7540000000008</v>
      </c>
      <c r="V1366" s="80">
        <f t="shared" si="204"/>
        <v>132.29723684210526</v>
      </c>
      <c r="W1366" s="98">
        <v>26</v>
      </c>
      <c r="X1366" s="84">
        <f>+IF(P1366="ACERO A36",VLOOKUP(Q1366,'[3]Tiempo Objeto'!$B$2:$C$12,2,FALSE),IF(P1366="INOXIDABLE",VLOOKUP(Q1366,'[3]Tiempo Objeto'!$B$14:$C$22,2,FALSE),IF(P1366="ALUMINIO",VLOOKUP(Q1366,'[3]Tiempo Objeto'!$B$24:$C$32,2,FALSE))))</f>
        <v>0.6133333333333334</v>
      </c>
      <c r="Y1366" s="84">
        <f t="shared" si="205"/>
        <v>15.946666666666669</v>
      </c>
      <c r="Z1366" s="80">
        <f t="shared" si="206"/>
        <v>22.148148148148152</v>
      </c>
      <c r="AA1366" s="100">
        <v>4</v>
      </c>
      <c r="AB1366" s="86">
        <f>+AA1366*Analisis!$J$6</f>
        <v>100</v>
      </c>
      <c r="AC1366" s="100"/>
      <c r="AD1366" s="85">
        <f t="shared" si="207"/>
        <v>0</v>
      </c>
      <c r="AE1366" s="86">
        <f>+AC1366*Analisis!$J$7</f>
        <v>0</v>
      </c>
      <c r="AF1366" s="308">
        <f>+H1366*0.0254*I1366*0.0254*2*(1+[3]Analisis!$G$2)</f>
        <v>2.1668182470000001</v>
      </c>
      <c r="AG1366" s="86">
        <f>+AF1366*Analisis!$J$8</f>
        <v>230.86932512678581</v>
      </c>
      <c r="AH1366" s="309">
        <f t="shared" si="208"/>
        <v>989.59094843132539</v>
      </c>
      <c r="AI1366" s="86">
        <f>+AH1366/(1-Analisis!G1151)</f>
        <v>989.59094843132539</v>
      </c>
      <c r="AJ1366" s="86">
        <f t="shared" si="209"/>
        <v>1064.0762886358339</v>
      </c>
      <c r="AK1366" s="86">
        <f t="shared" si="210"/>
        <v>0</v>
      </c>
      <c r="AL1366" s="310" t="e">
        <f>+VLOOKUP(B1366,#REF!,2,FALSE)</f>
        <v>#REF!</v>
      </c>
      <c r="AM1366" s="311" t="e">
        <f t="shared" si="211"/>
        <v>#REF!</v>
      </c>
      <c r="AN1366" s="312" t="e">
        <f t="shared" si="212"/>
        <v>#REF!</v>
      </c>
    </row>
    <row r="1367" spans="1:40" s="73" customFormat="1" x14ac:dyDescent="0.25">
      <c r="A1367" s="396"/>
      <c r="B1367" s="304" t="s">
        <v>1993</v>
      </c>
      <c r="D1367" s="74">
        <f>IFERROR(VLOOKUP(B1367,'REQ. PINTADO'!B:C,2,0),0)</f>
        <v>0</v>
      </c>
      <c r="E1367" s="305">
        <f t="shared" si="199"/>
        <v>1615.0877014634884</v>
      </c>
      <c r="F1367" s="397" t="s">
        <v>163</v>
      </c>
      <c r="G1367" s="75" t="s">
        <v>147</v>
      </c>
      <c r="H1367" s="90">
        <v>75.900000000000006</v>
      </c>
      <c r="I1367" s="90">
        <v>29.7</v>
      </c>
      <c r="J1367" s="76">
        <v>0.105</v>
      </c>
      <c r="K1367" s="306">
        <v>16.38</v>
      </c>
      <c r="L1367" s="78">
        <f t="shared" si="200"/>
        <v>113.64765288885944</v>
      </c>
      <c r="M1367" s="58">
        <f>+VLOOKUP(F1367,Material!$H$2:$M$17,6,FALSE)*H1367*I1367*(1+Material!$K$14)</f>
        <v>846.15843378159877</v>
      </c>
      <c r="N1367" s="79" t="str">
        <f t="shared" si="198"/>
        <v>T5.0</v>
      </c>
      <c r="O1367" s="80">
        <f>+VLOOKUP(N1367,[3]Material!$A$3:$B$58,2,FALSE)</f>
        <v>5000</v>
      </c>
      <c r="P1367" s="79" t="s">
        <v>42</v>
      </c>
      <c r="Q1367" s="79" t="str">
        <f>+VLOOKUP(F1367,[3]Material!$C$2:$E$12,2,FALSE)</f>
        <v>Cal 12</v>
      </c>
      <c r="R1367" s="81">
        <f>+IF(P1367="ACERO A36",VLOOKUP(Q1367,'[3]Velocidades Std 1500 w'!$B$2:$F$15,5,FALSE),IF(P1367="INOXIDABLE",VLOOKUP(Q1367,'[3]Velocidades Std 1500 w'!$B$17:$F$28,5,FALSE),IF(P1367="ALUMINIO",VLOOKUP(Q1367,'[3]Velocidades Std 1500 w'!$B$30:$F$38,5,FALSE))))</f>
        <v>4.3859649122807014E-6</v>
      </c>
      <c r="S1367" s="82">
        <f t="shared" si="201"/>
        <v>2.1929824561403508E-2</v>
      </c>
      <c r="T1367" s="83">
        <f t="shared" si="202"/>
        <v>105.36053684210526</v>
      </c>
      <c r="U1367" s="307">
        <f t="shared" si="203"/>
        <v>6672.8339999999998</v>
      </c>
      <c r="V1367" s="80">
        <f t="shared" si="204"/>
        <v>146.3340789473684</v>
      </c>
      <c r="W1367" s="98">
        <v>26</v>
      </c>
      <c r="X1367" s="84">
        <f>+IF(P1367="ACERO A36",VLOOKUP(Q1367,'[3]Tiempo Objeto'!$B$2:$C$12,2,FALSE),IF(P1367="INOXIDABLE",VLOOKUP(Q1367,'[3]Tiempo Objeto'!$B$14:$C$22,2,FALSE),IF(P1367="ALUMINIO",VLOOKUP(Q1367,'[3]Tiempo Objeto'!$B$24:$C$32,2,FALSE))))</f>
        <v>0.6133333333333334</v>
      </c>
      <c r="Y1367" s="84">
        <f t="shared" si="205"/>
        <v>15.946666666666669</v>
      </c>
      <c r="Z1367" s="80">
        <f t="shared" si="206"/>
        <v>22.148148148148152</v>
      </c>
      <c r="AA1367" s="100">
        <v>4</v>
      </c>
      <c r="AB1367" s="86">
        <f>+AA1367*Analisis!$J$6</f>
        <v>100</v>
      </c>
      <c r="AC1367" s="100"/>
      <c r="AD1367" s="85">
        <f t="shared" si="207"/>
        <v>0</v>
      </c>
      <c r="AE1367" s="86">
        <f>+AC1367*Analisis!$J$7</f>
        <v>0</v>
      </c>
      <c r="AF1367" s="308">
        <f>+H1367*0.0254*I1367*0.0254*2*(1+[3]Analisis!$G$2)</f>
        <v>3.6358475669999999</v>
      </c>
      <c r="AG1367" s="86">
        <f>+AF1367*Analisis!$J$8</f>
        <v>387.3909014839287</v>
      </c>
      <c r="AH1367" s="309">
        <f t="shared" si="208"/>
        <v>1502.0315623610441</v>
      </c>
      <c r="AI1367" s="86">
        <f>+AH1367/(1-Analisis!G1152)</f>
        <v>1502.0315623610441</v>
      </c>
      <c r="AJ1367" s="86">
        <f t="shared" si="209"/>
        <v>1615.0877014634884</v>
      </c>
      <c r="AK1367" s="86">
        <f t="shared" si="210"/>
        <v>0</v>
      </c>
      <c r="AL1367" s="310" t="e">
        <f>+VLOOKUP(B1367,#REF!,2,FALSE)</f>
        <v>#REF!</v>
      </c>
      <c r="AM1367" s="311" t="e">
        <f t="shared" si="211"/>
        <v>#REF!</v>
      </c>
      <c r="AN1367" s="312" t="e">
        <f t="shared" si="212"/>
        <v>#REF!</v>
      </c>
    </row>
    <row r="1368" spans="1:40" s="73" customFormat="1" x14ac:dyDescent="0.25">
      <c r="A1368" s="396"/>
      <c r="B1368" s="304" t="s">
        <v>2156</v>
      </c>
      <c r="D1368" s="74">
        <f>IFERROR(VLOOKUP(B1368,'REQ. PINTADO'!B:C,2,0),0)</f>
        <v>0</v>
      </c>
      <c r="E1368" s="305">
        <f t="shared" ref="E1368" si="213">+AJ1368</f>
        <v>1890.5934078773157</v>
      </c>
      <c r="F1368" s="397" t="s">
        <v>163</v>
      </c>
      <c r="G1368" s="75" t="s">
        <v>147</v>
      </c>
      <c r="H1368" s="90">
        <v>75.900000000000006</v>
      </c>
      <c r="I1368" s="90">
        <v>35.700000000000003</v>
      </c>
      <c r="J1368" s="76">
        <v>0.105</v>
      </c>
      <c r="K1368" s="306">
        <v>16.38</v>
      </c>
      <c r="L1368" s="78">
        <f t="shared" ref="L1368" si="214">+M1368*2.2/K1368</f>
        <v>136.60677468458863</v>
      </c>
      <c r="M1368" s="58">
        <f>+VLOOKUP(F1368,Material!$H$2:$M$17,6,FALSE)*H1368*I1368*(1+Material!$K$14)</f>
        <v>1017.0995315152551</v>
      </c>
      <c r="N1368" s="79" t="str">
        <f>+N1140</f>
        <v>T5.0</v>
      </c>
      <c r="O1368" s="80">
        <f>+VLOOKUP(N1368,[3]Material!$A$3:$B$58,2,FALSE)</f>
        <v>5000</v>
      </c>
      <c r="P1368" s="79" t="s">
        <v>42</v>
      </c>
      <c r="Q1368" s="79" t="str">
        <f>+VLOOKUP(F1368,[3]Material!$C$2:$E$12,2,FALSE)</f>
        <v>Cal 12</v>
      </c>
      <c r="R1368" s="81">
        <f>+IF(P1368="ACERO A36",VLOOKUP(Q1368,'[3]Velocidades Std 1500 w'!$B$2:$F$15,5,FALSE),IF(P1368="INOXIDABLE",VLOOKUP(Q1368,'[3]Velocidades Std 1500 w'!$B$17:$F$28,5,FALSE),IF(P1368="ALUMINIO",VLOOKUP(Q1368,'[3]Velocidades Std 1500 w'!$B$30:$F$38,5,FALSE))))</f>
        <v>4.3859649122807014E-6</v>
      </c>
      <c r="S1368" s="82">
        <f t="shared" ref="S1368" si="215">+R1368*O1368</f>
        <v>2.1929824561403508E-2</v>
      </c>
      <c r="T1368" s="83">
        <f t="shared" ref="T1368" si="216">+R1368*U1368*3600</f>
        <v>110.41380000000001</v>
      </c>
      <c r="U1368" s="307">
        <f t="shared" ref="U1368" si="217">(+I1368*2+H1368*2+W1368*1.5)*25.4*1.05</f>
        <v>6992.8740000000016</v>
      </c>
      <c r="V1368" s="80">
        <f t="shared" ref="V1368" si="218">+U1368*S1368</f>
        <v>153.35250000000002</v>
      </c>
      <c r="W1368" s="98">
        <v>26</v>
      </c>
      <c r="X1368" s="84">
        <f>+IF(P1368="ACERO A36",VLOOKUP(Q1368,'[3]Tiempo Objeto'!$B$2:$C$12,2,FALSE),IF(P1368="INOXIDABLE",VLOOKUP(Q1368,'[3]Tiempo Objeto'!$B$14:$C$22,2,FALSE),IF(P1368="ALUMINIO",VLOOKUP(Q1368,'[3]Tiempo Objeto'!$B$24:$C$32,2,FALSE))))</f>
        <v>0.6133333333333334</v>
      </c>
      <c r="Y1368" s="84">
        <f t="shared" ref="Y1368" si="219">+X1368*W1368</f>
        <v>15.946666666666669</v>
      </c>
      <c r="Z1368" s="80">
        <f t="shared" ref="Z1368" si="220">+Y1368*O1368/3600</f>
        <v>22.148148148148152</v>
      </c>
      <c r="AA1368" s="100">
        <v>4</v>
      </c>
      <c r="AB1368" s="86">
        <f>+AA1368*Analisis!$J$6</f>
        <v>100</v>
      </c>
      <c r="AC1368" s="100"/>
      <c r="AD1368" s="85">
        <f t="shared" ref="AD1368" si="221">30*AC1368+AC1368*$D1368*1.5</f>
        <v>0</v>
      </c>
      <c r="AE1368" s="86">
        <f>+AC1368*Analisis!$J$7</f>
        <v>0</v>
      </c>
      <c r="AF1368" s="308">
        <f>+H1368*0.0254*I1368*0.0254*2*(1+[3]Analisis!$G$2)</f>
        <v>4.3703622270000011</v>
      </c>
      <c r="AG1368" s="86">
        <f>+AF1368*Analisis!$J$8</f>
        <v>465.65168966250025</v>
      </c>
      <c r="AH1368" s="309">
        <f t="shared" ref="AH1368" si="222">+AE1368+AB1368+Z1368+V1368+M1368+AG1368</f>
        <v>1758.2518693259035</v>
      </c>
      <c r="AI1368" s="86">
        <f>+AH1368/(1-Analisis!G1152)</f>
        <v>1758.2518693259035</v>
      </c>
      <c r="AJ1368" s="86">
        <f t="shared" ref="AJ1368" si="223">+AI1368/(1-0.07)</f>
        <v>1890.5934078773157</v>
      </c>
      <c r="AK1368" s="86">
        <f t="shared" ref="AK1368" si="224">+AJ1368*D1368</f>
        <v>0</v>
      </c>
      <c r="AL1368" s="310" t="e">
        <f>+VLOOKUP(B1368,#REF!,2,FALSE)</f>
        <v>#REF!</v>
      </c>
      <c r="AM1368" s="311" t="e">
        <f t="shared" ref="AM1368" si="225">+AL1368-E1368</f>
        <v>#REF!</v>
      </c>
      <c r="AN1368" s="312" t="e">
        <f t="shared" ref="AN1368" si="226">+AM1368/AL1368</f>
        <v>#REF!</v>
      </c>
    </row>
    <row r="1369" spans="1:40" s="73" customFormat="1" x14ac:dyDescent="0.25">
      <c r="A1369" s="396"/>
      <c r="B1369" s="304" t="s">
        <v>2157</v>
      </c>
      <c r="D1369" s="74">
        <f>IFERROR(VLOOKUP(B1369,'REQ. PINTADO'!B:C,2,0),0)</f>
        <v>0</v>
      </c>
      <c r="E1369" s="305">
        <f t="shared" si="199"/>
        <v>1293.6643773140231</v>
      </c>
      <c r="F1369" s="397" t="s">
        <v>163</v>
      </c>
      <c r="G1369" s="75" t="s">
        <v>147</v>
      </c>
      <c r="H1369" s="90">
        <v>75.900000000000006</v>
      </c>
      <c r="I1369" s="90">
        <v>22.7</v>
      </c>
      <c r="J1369" s="76">
        <v>0.105</v>
      </c>
      <c r="K1369" s="306">
        <v>16.38</v>
      </c>
      <c r="L1369" s="78">
        <f t="shared" si="200"/>
        <v>86.86201079384206</v>
      </c>
      <c r="M1369" s="58">
        <f>+VLOOKUP(F1369,Material!$H$2:$M$17,6,FALSE)*H1369*I1369*(1+Material!$K$14)</f>
        <v>646.72715309233308</v>
      </c>
      <c r="N1369" s="79" t="str">
        <f>+N1141</f>
        <v>T5.0</v>
      </c>
      <c r="O1369" s="80">
        <f>+VLOOKUP(N1369,[3]Material!$A$3:$B$58,2,FALSE)</f>
        <v>5000</v>
      </c>
      <c r="P1369" s="79" t="s">
        <v>42</v>
      </c>
      <c r="Q1369" s="79" t="str">
        <f>+VLOOKUP(F1369,[3]Material!$C$2:$E$12,2,FALSE)</f>
        <v>Cal 12</v>
      </c>
      <c r="R1369" s="81">
        <f>+IF(P1369="ACERO A36",VLOOKUP(Q1369,'[3]Velocidades Std 1500 w'!$B$2:$F$15,5,FALSE),IF(P1369="INOXIDABLE",VLOOKUP(Q1369,'[3]Velocidades Std 1500 w'!$B$17:$F$28,5,FALSE),IF(P1369="ALUMINIO",VLOOKUP(Q1369,'[3]Velocidades Std 1500 w'!$B$30:$F$38,5,FALSE))))</f>
        <v>4.3859649122807014E-6</v>
      </c>
      <c r="S1369" s="82">
        <f t="shared" si="201"/>
        <v>2.1929824561403508E-2</v>
      </c>
      <c r="T1369" s="83">
        <f t="shared" si="202"/>
        <v>99.465063157894733</v>
      </c>
      <c r="U1369" s="307">
        <f t="shared" si="203"/>
        <v>6299.4540000000006</v>
      </c>
      <c r="V1369" s="80">
        <f t="shared" si="204"/>
        <v>138.14592105263159</v>
      </c>
      <c r="W1369" s="98">
        <v>26</v>
      </c>
      <c r="X1369" s="84">
        <f>+IF(P1369="ACERO A36",VLOOKUP(Q1369,'[3]Tiempo Objeto'!$B$2:$C$12,2,FALSE),IF(P1369="INOXIDABLE",VLOOKUP(Q1369,'[3]Tiempo Objeto'!$B$14:$C$22,2,FALSE),IF(P1369="ALUMINIO",VLOOKUP(Q1369,'[3]Tiempo Objeto'!$B$24:$C$32,2,FALSE))))</f>
        <v>0.6133333333333334</v>
      </c>
      <c r="Y1369" s="84">
        <f t="shared" si="205"/>
        <v>15.946666666666669</v>
      </c>
      <c r="Z1369" s="80">
        <f t="shared" si="206"/>
        <v>22.148148148148152</v>
      </c>
      <c r="AA1369" s="100">
        <v>4</v>
      </c>
      <c r="AB1369" s="86">
        <f>+AA1369*Analisis!$J$6</f>
        <v>100</v>
      </c>
      <c r="AC1369" s="100"/>
      <c r="AD1369" s="85">
        <f t="shared" si="207"/>
        <v>0</v>
      </c>
      <c r="AE1369" s="86">
        <f>+AC1369*Analisis!$J$7</f>
        <v>0</v>
      </c>
      <c r="AF1369" s="308">
        <f>+H1369*0.0254*I1369*0.0254*2*(1+[3]Analisis!$G$2)</f>
        <v>2.778913797</v>
      </c>
      <c r="AG1369" s="86">
        <f>+AF1369*Analisis!$J$8</f>
        <v>296.08664860892867</v>
      </c>
      <c r="AH1369" s="309">
        <f t="shared" si="208"/>
        <v>1203.1078709020414</v>
      </c>
      <c r="AI1369" s="86">
        <f>+AH1369/(1-Analisis!G1153)</f>
        <v>1203.1078709020414</v>
      </c>
      <c r="AJ1369" s="86">
        <f t="shared" si="209"/>
        <v>1293.6643773140231</v>
      </c>
      <c r="AK1369" s="86">
        <f t="shared" si="210"/>
        <v>0</v>
      </c>
      <c r="AL1369" s="310" t="e">
        <f>+VLOOKUP(B1369,#REF!,2,FALSE)</f>
        <v>#REF!</v>
      </c>
      <c r="AM1369" s="311" t="e">
        <f t="shared" si="211"/>
        <v>#REF!</v>
      </c>
      <c r="AN1369" s="312" t="e">
        <f t="shared" si="212"/>
        <v>#REF!</v>
      </c>
    </row>
    <row r="1370" spans="1:40" s="73" customFormat="1" x14ac:dyDescent="0.25">
      <c r="A1370" s="396">
        <v>12</v>
      </c>
      <c r="B1370" s="304" t="s">
        <v>2034</v>
      </c>
      <c r="D1370" s="74">
        <f>IFERROR(VLOOKUP(B1370,'REQ. PINTADO'!B:C,2,0),0)</f>
        <v>0</v>
      </c>
      <c r="E1370" s="305">
        <f t="shared" si="172"/>
        <v>552.79756670151573</v>
      </c>
      <c r="F1370" s="397" t="s">
        <v>163</v>
      </c>
      <c r="G1370" s="75" t="s">
        <v>147</v>
      </c>
      <c r="H1370" s="90">
        <v>29.7</v>
      </c>
      <c r="I1370" s="90">
        <v>21.08</v>
      </c>
      <c r="J1370" s="76">
        <v>0.105</v>
      </c>
      <c r="K1370" s="306">
        <v>16.38</v>
      </c>
      <c r="L1370" s="78">
        <f t="shared" si="173"/>
        <v>31.563801355693762</v>
      </c>
      <c r="M1370" s="58">
        <f>+VLOOKUP(F1370,Material!$H$2:$M$17,6,FALSE)*H1370*I1370*(1+Material!$K$14)</f>
        <v>235.00684827557444</v>
      </c>
      <c r="N1370" s="79" t="str">
        <f>+N1137</f>
        <v>T5.0</v>
      </c>
      <c r="O1370" s="80">
        <f>+VLOOKUP(N1370,[3]Material!$A$3:$B$58,2,FALSE)</f>
        <v>5000</v>
      </c>
      <c r="P1370" s="79" t="s">
        <v>42</v>
      </c>
      <c r="Q1370" s="79" t="str">
        <f>+VLOOKUP(F1370,[3]Material!$C$2:$E$12,2,FALSE)</f>
        <v>Cal 12</v>
      </c>
      <c r="R1370" s="81">
        <f>+IF(P1370="ACERO A36",VLOOKUP(Q1370,'[3]Velocidades Std 1500 w'!$B$2:$F$15,5,FALSE),IF(P1370="INOXIDABLE",VLOOKUP(Q1370,'[3]Velocidades Std 1500 w'!$B$17:$F$28,5,FALSE),IF(P1370="ALUMINIO",VLOOKUP(Q1370,'[3]Velocidades Std 1500 w'!$B$30:$F$38,5,FALSE))))</f>
        <v>4.3859649122807014E-6</v>
      </c>
      <c r="S1370" s="82">
        <f t="shared" si="174"/>
        <v>2.1929824561403508E-2</v>
      </c>
      <c r="T1370" s="83">
        <f t="shared" si="175"/>
        <v>47.189055789473684</v>
      </c>
      <c r="U1370" s="307">
        <f t="shared" si="171"/>
        <v>2988.6402000000003</v>
      </c>
      <c r="V1370" s="80">
        <f t="shared" si="153"/>
        <v>65.540355263157892</v>
      </c>
      <c r="W1370" s="98">
        <v>7</v>
      </c>
      <c r="X1370" s="84">
        <f>+IF(P1370="ACERO A36",VLOOKUP(Q1370,'[3]Tiempo Objeto'!$B$2:$C$12,2,FALSE),IF(P1370="INOXIDABLE",VLOOKUP(Q1370,'[3]Tiempo Objeto'!$B$14:$C$22,2,FALSE),IF(P1370="ALUMINIO",VLOOKUP(Q1370,'[3]Tiempo Objeto'!$B$24:$C$32,2,FALSE))))</f>
        <v>0.6133333333333334</v>
      </c>
      <c r="Y1370" s="84">
        <f t="shared" si="176"/>
        <v>4.2933333333333339</v>
      </c>
      <c r="Z1370" s="80">
        <f t="shared" si="177"/>
        <v>5.9629629629629637</v>
      </c>
      <c r="AA1370" s="100">
        <v>4</v>
      </c>
      <c r="AB1370" s="86">
        <f>+AA1370*Analisis!$J$6</f>
        <v>100</v>
      </c>
      <c r="AC1370" s="100"/>
      <c r="AD1370" s="85">
        <f t="shared" si="178"/>
        <v>0</v>
      </c>
      <c r="AE1370" s="86">
        <f>+AC1370*Analisis!$J$7</f>
        <v>0</v>
      </c>
      <c r="AF1370" s="308">
        <f>+H1370*0.0254*I1370*0.0254*2*(1+[3]Analisis!$G$2)</f>
        <v>1.0097979803999997</v>
      </c>
      <c r="AG1370" s="86">
        <f>+AF1370*Analisis!$J$8</f>
        <v>107.59157053071428</v>
      </c>
      <c r="AH1370" s="309">
        <f t="shared" si="179"/>
        <v>514.10173703240957</v>
      </c>
      <c r="AI1370" s="86">
        <f>+AH1370/(1-Analisis!G1149)</f>
        <v>514.10173703240957</v>
      </c>
      <c r="AJ1370" s="86">
        <f t="shared" si="180"/>
        <v>552.79756670151573</v>
      </c>
      <c r="AK1370" s="86">
        <f t="shared" si="181"/>
        <v>0</v>
      </c>
      <c r="AL1370" s="310" t="e">
        <f>+VLOOKUP(B1370,#REF!,2,FALSE)</f>
        <v>#REF!</v>
      </c>
      <c r="AM1370" s="311" t="e">
        <f t="shared" si="183"/>
        <v>#REF!</v>
      </c>
      <c r="AN1370" s="312" t="e">
        <f t="shared" si="182"/>
        <v>#REF!</v>
      </c>
    </row>
    <row r="1371" spans="1:40" s="73" customFormat="1" x14ac:dyDescent="0.25">
      <c r="A1371" s="396"/>
      <c r="B1371" s="304" t="s">
        <v>1994</v>
      </c>
      <c r="D1371" s="74">
        <f>IFERROR(VLOOKUP(B1371,'REQ. PINTADO'!B:C,2,0),0)</f>
        <v>0</v>
      </c>
      <c r="E1371" s="305">
        <f t="shared" ref="E1371:E1372" si="227">+AJ1371</f>
        <v>634.76554824095638</v>
      </c>
      <c r="F1371" s="397" t="s">
        <v>163</v>
      </c>
      <c r="G1371" s="75" t="s">
        <v>147</v>
      </c>
      <c r="H1371" s="90">
        <v>35.700000000000003</v>
      </c>
      <c r="I1371" s="90">
        <v>21.08</v>
      </c>
      <c r="J1371" s="76">
        <v>0.105</v>
      </c>
      <c r="K1371" s="306">
        <v>16.38</v>
      </c>
      <c r="L1371" s="78">
        <f t="shared" ref="L1371:L1372" si="228">+M1371*2.2/K1371</f>
        <v>37.940326882096535</v>
      </c>
      <c r="M1371" s="58">
        <f>+VLOOKUP(F1371,Material!$H$2:$M$17,6,FALSE)*H1371*I1371*(1+Material!$K$14)</f>
        <v>282.48297924033693</v>
      </c>
      <c r="N1371" s="79" t="str">
        <f>+N1138</f>
        <v>T5.0</v>
      </c>
      <c r="O1371" s="80">
        <f>+VLOOKUP(N1371,[3]Material!$A$3:$B$58,2,FALSE)</f>
        <v>5000</v>
      </c>
      <c r="P1371" s="79" t="s">
        <v>42</v>
      </c>
      <c r="Q1371" s="79" t="str">
        <f>+VLOOKUP(F1371,[3]Material!$C$2:$E$12,2,FALSE)</f>
        <v>Cal 12</v>
      </c>
      <c r="R1371" s="81">
        <f>+IF(P1371="ACERO A36",VLOOKUP(Q1371,'[3]Velocidades Std 1500 w'!$B$2:$F$15,5,FALSE),IF(P1371="INOXIDABLE",VLOOKUP(Q1371,'[3]Velocidades Std 1500 w'!$B$17:$F$28,5,FALSE),IF(P1371="ALUMINIO",VLOOKUP(Q1371,'[3]Velocidades Std 1500 w'!$B$30:$F$38,5,FALSE))))</f>
        <v>4.3859649122807014E-6</v>
      </c>
      <c r="S1371" s="82">
        <f t="shared" ref="S1371:S1372" si="229">+R1371*O1371</f>
        <v>2.1929824561403508E-2</v>
      </c>
      <c r="T1371" s="83">
        <f t="shared" ref="T1371:T1372" si="230">+R1371*U1371*3600</f>
        <v>52.24231894736841</v>
      </c>
      <c r="U1371" s="307">
        <f t="shared" ref="U1371:U1372" si="231">(+I1371*2+H1371*2+W1371*1.5)*25.4*1.05</f>
        <v>3308.6801999999998</v>
      </c>
      <c r="V1371" s="80">
        <f t="shared" ref="V1371:V1372" si="232">+U1371*S1371</f>
        <v>72.558776315789459</v>
      </c>
      <c r="W1371" s="98">
        <v>7</v>
      </c>
      <c r="X1371" s="84">
        <f>+IF(P1371="ACERO A36",VLOOKUP(Q1371,'[3]Tiempo Objeto'!$B$2:$C$12,2,FALSE),IF(P1371="INOXIDABLE",VLOOKUP(Q1371,'[3]Tiempo Objeto'!$B$14:$C$22,2,FALSE),IF(P1371="ALUMINIO",VLOOKUP(Q1371,'[3]Tiempo Objeto'!$B$24:$C$32,2,FALSE))))</f>
        <v>0.6133333333333334</v>
      </c>
      <c r="Y1371" s="84">
        <f t="shared" ref="Y1371:Y1372" si="233">+X1371*W1371</f>
        <v>4.2933333333333339</v>
      </c>
      <c r="Z1371" s="80">
        <f t="shared" ref="Z1371:Z1372" si="234">+Y1371*O1371/3600</f>
        <v>5.9629629629629637</v>
      </c>
      <c r="AA1371" s="100">
        <v>4</v>
      </c>
      <c r="AB1371" s="86">
        <f>+AA1371*Analisis!$J$6</f>
        <v>100</v>
      </c>
      <c r="AC1371" s="100"/>
      <c r="AD1371" s="85">
        <f t="shared" ref="AD1371:AD1372" si="235">30*AC1371+AC1371*$D1371*1.5</f>
        <v>0</v>
      </c>
      <c r="AE1371" s="86">
        <f>+AC1371*Analisis!$J$7</f>
        <v>0</v>
      </c>
      <c r="AF1371" s="308">
        <f>+H1371*0.0254*I1371*0.0254*2*(1+[3]Analisis!$G$2)</f>
        <v>1.2137975723999999</v>
      </c>
      <c r="AG1371" s="86">
        <f>+AF1371*Analisis!$J$8</f>
        <v>129.32724134500003</v>
      </c>
      <c r="AH1371" s="309">
        <f t="shared" ref="AH1371:AH1372" si="236">+AE1371+AB1371+Z1371+V1371+M1371+AG1371</f>
        <v>590.33195986408941</v>
      </c>
      <c r="AI1371" s="86">
        <f>+AH1371/(1-Analisis!G1150)</f>
        <v>590.33195986408941</v>
      </c>
      <c r="AJ1371" s="86">
        <f t="shared" ref="AJ1371:AJ1372" si="237">+AI1371/(1-0.07)</f>
        <v>634.76554824095638</v>
      </c>
      <c r="AK1371" s="86">
        <f t="shared" ref="AK1371:AK1372" si="238">+AJ1371*D1371</f>
        <v>0</v>
      </c>
      <c r="AL1371" s="310" t="e">
        <f>+VLOOKUP(B1371,#REF!,2,FALSE)</f>
        <v>#REF!</v>
      </c>
      <c r="AM1371" s="311" t="e">
        <f t="shared" ref="AM1371:AM1372" si="239">+AL1371-E1371</f>
        <v>#REF!</v>
      </c>
      <c r="AN1371" s="312" t="e">
        <f t="shared" ref="AN1371:AN1372" si="240">+AM1371/AL1371</f>
        <v>#REF!</v>
      </c>
    </row>
    <row r="1372" spans="1:40" s="73" customFormat="1" x14ac:dyDescent="0.25">
      <c r="A1372" s="396"/>
      <c r="B1372" s="304" t="s">
        <v>2035</v>
      </c>
      <c r="D1372" s="74">
        <f>IFERROR(VLOOKUP(B1372,'REQ. PINTADO'!B:C,2,0),0)</f>
        <v>0</v>
      </c>
      <c r="E1372" s="305">
        <f t="shared" si="227"/>
        <v>744.05619029354398</v>
      </c>
      <c r="F1372" s="397" t="s">
        <v>163</v>
      </c>
      <c r="G1372" s="75" t="s">
        <v>147</v>
      </c>
      <c r="H1372" s="90">
        <v>43.7</v>
      </c>
      <c r="I1372" s="90">
        <v>21.08</v>
      </c>
      <c r="J1372" s="76">
        <v>0.105</v>
      </c>
      <c r="K1372" s="306">
        <v>16.38</v>
      </c>
      <c r="L1372" s="78">
        <f t="shared" si="228"/>
        <v>46.442360917300249</v>
      </c>
      <c r="M1372" s="58">
        <f>+VLOOKUP(F1372,Material!$H$2:$M$17,6,FALSE)*H1372*I1372*(1+Material!$K$14)</f>
        <v>345.78448719335364</v>
      </c>
      <c r="N1372" s="79" t="str">
        <f>+N1139</f>
        <v>T5.0</v>
      </c>
      <c r="O1372" s="80">
        <f>+VLOOKUP(N1372,[3]Material!$A$3:$B$58,2,FALSE)</f>
        <v>5000</v>
      </c>
      <c r="P1372" s="79" t="s">
        <v>42</v>
      </c>
      <c r="Q1372" s="79" t="str">
        <f>+VLOOKUP(F1372,[3]Material!$C$2:$E$12,2,FALSE)</f>
        <v>Cal 12</v>
      </c>
      <c r="R1372" s="81">
        <f>+IF(P1372="ACERO A36",VLOOKUP(Q1372,'[3]Velocidades Std 1500 w'!$B$2:$F$15,5,FALSE),IF(P1372="INOXIDABLE",VLOOKUP(Q1372,'[3]Velocidades Std 1500 w'!$B$17:$F$28,5,FALSE),IF(P1372="ALUMINIO",VLOOKUP(Q1372,'[3]Velocidades Std 1500 w'!$B$30:$F$38,5,FALSE))))</f>
        <v>4.3859649122807014E-6</v>
      </c>
      <c r="S1372" s="82">
        <f t="shared" si="229"/>
        <v>2.1929824561403508E-2</v>
      </c>
      <c r="T1372" s="83">
        <f t="shared" si="230"/>
        <v>58.980003157894735</v>
      </c>
      <c r="U1372" s="307">
        <f t="shared" si="231"/>
        <v>3735.4002</v>
      </c>
      <c r="V1372" s="80">
        <f t="shared" si="232"/>
        <v>81.916671052631571</v>
      </c>
      <c r="W1372" s="98">
        <v>7</v>
      </c>
      <c r="X1372" s="84">
        <f>+IF(P1372="ACERO A36",VLOOKUP(Q1372,'[3]Tiempo Objeto'!$B$2:$C$12,2,FALSE),IF(P1372="INOXIDABLE",VLOOKUP(Q1372,'[3]Tiempo Objeto'!$B$14:$C$22,2,FALSE),IF(P1372="ALUMINIO",VLOOKUP(Q1372,'[3]Tiempo Objeto'!$B$24:$C$32,2,FALSE))))</f>
        <v>0.6133333333333334</v>
      </c>
      <c r="Y1372" s="84">
        <f t="shared" si="233"/>
        <v>4.2933333333333339</v>
      </c>
      <c r="Z1372" s="80">
        <f t="shared" si="234"/>
        <v>5.9629629629629637</v>
      </c>
      <c r="AA1372" s="100">
        <v>4</v>
      </c>
      <c r="AB1372" s="86">
        <f>+AA1372*Analisis!$J$6</f>
        <v>100</v>
      </c>
      <c r="AC1372" s="100"/>
      <c r="AD1372" s="85">
        <f t="shared" si="235"/>
        <v>0</v>
      </c>
      <c r="AE1372" s="86">
        <f>+AC1372*Analisis!$J$7</f>
        <v>0</v>
      </c>
      <c r="AF1372" s="308">
        <f>+H1372*0.0254*I1372*0.0254*2*(1+[3]Analisis!$G$2)</f>
        <v>1.4857970283999999</v>
      </c>
      <c r="AG1372" s="86">
        <f>+AF1372*Analisis!$J$8</f>
        <v>158.30813576404765</v>
      </c>
      <c r="AH1372" s="309">
        <f t="shared" si="236"/>
        <v>691.97225697299586</v>
      </c>
      <c r="AI1372" s="86">
        <f>+AH1372/(1-Analisis!G1151)</f>
        <v>691.97225697299586</v>
      </c>
      <c r="AJ1372" s="86">
        <f t="shared" si="237"/>
        <v>744.05619029354398</v>
      </c>
      <c r="AK1372" s="86">
        <f t="shared" si="238"/>
        <v>0</v>
      </c>
      <c r="AL1372" s="310" t="e">
        <f>+VLOOKUP(B1372,#REF!,2,FALSE)</f>
        <v>#REF!</v>
      </c>
      <c r="AM1372" s="311" t="e">
        <f t="shared" si="239"/>
        <v>#REF!</v>
      </c>
      <c r="AN1372" s="312" t="e">
        <f t="shared" si="240"/>
        <v>#REF!</v>
      </c>
    </row>
    <row r="1373" spans="1:40" s="73" customFormat="1" x14ac:dyDescent="0.25">
      <c r="A1373" s="396">
        <v>13</v>
      </c>
      <c r="B1373" s="304" t="s">
        <v>2036</v>
      </c>
      <c r="D1373" s="74">
        <f>IFERROR(VLOOKUP(B1373,'REQ. PINTADO'!B:C,2,0),0)</f>
        <v>0</v>
      </c>
      <c r="E1373" s="305">
        <f t="shared" si="172"/>
        <v>330.50844713408679</v>
      </c>
      <c r="F1373" s="397" t="s">
        <v>163</v>
      </c>
      <c r="G1373" s="75" t="s">
        <v>147</v>
      </c>
      <c r="H1373" s="90">
        <v>17.690000000000001</v>
      </c>
      <c r="I1373" s="90">
        <v>16.09</v>
      </c>
      <c r="J1373" s="76">
        <v>0.105</v>
      </c>
      <c r="K1373" s="306">
        <v>16.38</v>
      </c>
      <c r="L1373" s="78">
        <f t="shared" si="173"/>
        <v>14.349809070869929</v>
      </c>
      <c r="M1373" s="58">
        <f>+VLOOKUP(F1373,Material!$H$2:$M$17,6,FALSE)*H1373*I1373*(1+Material!$K$14)</f>
        <v>106.84085117311336</v>
      </c>
      <c r="N1373" s="79" t="str">
        <f>+N1138</f>
        <v>T5.0</v>
      </c>
      <c r="O1373" s="80">
        <f>+VLOOKUP(N1373,[3]Material!$A$3:$B$58,2,FALSE)</f>
        <v>5000</v>
      </c>
      <c r="P1373" s="79" t="s">
        <v>42</v>
      </c>
      <c r="Q1373" s="79" t="str">
        <f>+VLOOKUP(F1373,[3]Material!$C$2:$E$12,2,FALSE)</f>
        <v>Cal 12</v>
      </c>
      <c r="R1373" s="81">
        <f>+IF(P1373="ACERO A36",VLOOKUP(Q1373,'[3]Velocidades Std 1500 w'!$B$2:$F$15,5,FALSE),IF(P1373="INOXIDABLE",VLOOKUP(Q1373,'[3]Velocidades Std 1500 w'!$B$17:$F$28,5,FALSE),IF(P1373="ALUMINIO",VLOOKUP(Q1373,'[3]Velocidades Std 1500 w'!$B$30:$F$38,5,FALSE))))</f>
        <v>4.3859649122807014E-6</v>
      </c>
      <c r="S1373" s="82">
        <f t="shared" si="174"/>
        <v>2.1929824561403508E-2</v>
      </c>
      <c r="T1373" s="83">
        <f t="shared" si="175"/>
        <v>32.87147684210526</v>
      </c>
      <c r="U1373" s="307">
        <f t="shared" si="171"/>
        <v>2081.8602000000001</v>
      </c>
      <c r="V1373" s="80">
        <f t="shared" si="153"/>
        <v>45.654828947368422</v>
      </c>
      <c r="W1373" s="98">
        <v>7</v>
      </c>
      <c r="X1373" s="84">
        <f>+IF(P1373="ACERO A36",VLOOKUP(Q1373,'[3]Tiempo Objeto'!$B$2:$C$12,2,FALSE),IF(P1373="INOXIDABLE",VLOOKUP(Q1373,'[3]Tiempo Objeto'!$B$14:$C$22,2,FALSE),IF(P1373="ALUMINIO",VLOOKUP(Q1373,'[3]Tiempo Objeto'!$B$24:$C$32,2,FALSE))))</f>
        <v>0.6133333333333334</v>
      </c>
      <c r="Y1373" s="84">
        <f t="shared" si="176"/>
        <v>4.2933333333333339</v>
      </c>
      <c r="Z1373" s="80">
        <f t="shared" si="177"/>
        <v>5.9629629629629637</v>
      </c>
      <c r="AA1373" s="100">
        <v>4</v>
      </c>
      <c r="AB1373" s="86">
        <f>+AA1373*Analisis!$J$6</f>
        <v>100</v>
      </c>
      <c r="AC1373" s="100"/>
      <c r="AD1373" s="85">
        <f t="shared" si="178"/>
        <v>0</v>
      </c>
      <c r="AE1373" s="86">
        <f>+AC1373*Analisis!$J$7</f>
        <v>0</v>
      </c>
      <c r="AF1373" s="308">
        <f>+H1373*0.0254*I1373*0.0254*2*(1+[3]Analisis!$G$2)</f>
        <v>0.45908311409000002</v>
      </c>
      <c r="AG1373" s="86">
        <f>+AF1373*Analisis!$J$8</f>
        <v>48.914212751255967</v>
      </c>
      <c r="AH1373" s="309">
        <f t="shared" si="179"/>
        <v>307.37285583470072</v>
      </c>
      <c r="AI1373" s="86">
        <f>+AH1373/(1-Analisis!G1150)</f>
        <v>307.37285583470072</v>
      </c>
      <c r="AJ1373" s="86">
        <f t="shared" si="180"/>
        <v>330.50844713408679</v>
      </c>
      <c r="AK1373" s="86">
        <f t="shared" si="181"/>
        <v>0</v>
      </c>
      <c r="AL1373" s="310" t="e">
        <f>+VLOOKUP(B1373,#REF!,2,FALSE)</f>
        <v>#REF!</v>
      </c>
      <c r="AM1373" s="311" t="e">
        <f t="shared" si="183"/>
        <v>#REF!</v>
      </c>
      <c r="AN1373" s="312" t="e">
        <f t="shared" si="182"/>
        <v>#REF!</v>
      </c>
    </row>
    <row r="1374" spans="1:40" s="73" customFormat="1" x14ac:dyDescent="0.25">
      <c r="A1374" s="396"/>
      <c r="B1374" s="304" t="s">
        <v>1995</v>
      </c>
      <c r="D1374" s="74">
        <f>IFERROR(VLOOKUP(B1374,'REQ. PINTADO'!B:C,2,0),0)</f>
        <v>0</v>
      </c>
      <c r="E1374" s="305">
        <f t="shared" ref="E1374:E1376" si="241">+AJ1374</f>
        <v>459.31805228256081</v>
      </c>
      <c r="F1374" s="397" t="s">
        <v>163</v>
      </c>
      <c r="G1374" s="75" t="s">
        <v>147</v>
      </c>
      <c r="H1374" s="90">
        <v>29.7</v>
      </c>
      <c r="I1374" s="90">
        <v>16.09</v>
      </c>
      <c r="J1374" s="76">
        <v>0.105</v>
      </c>
      <c r="K1374" s="306">
        <v>16.38</v>
      </c>
      <c r="L1374" s="78">
        <f t="shared" ref="L1374:L1376" si="242">+M1374*2.2/K1374</f>
        <v>24.09210454521407</v>
      </c>
      <c r="M1374" s="58">
        <f>+VLOOKUP(F1374,Material!$H$2:$M$17,6,FALSE)*H1374*I1374*(1+Material!$K$14)</f>
        <v>179.37666929573021</v>
      </c>
      <c r="N1374" s="79" t="str">
        <f>+N1139</f>
        <v>T5.0</v>
      </c>
      <c r="O1374" s="80">
        <f>+VLOOKUP(N1374,[3]Material!$A$3:$B$58,2,FALSE)</f>
        <v>5000</v>
      </c>
      <c r="P1374" s="79" t="s">
        <v>42</v>
      </c>
      <c r="Q1374" s="79" t="str">
        <f>+VLOOKUP(F1374,[3]Material!$C$2:$E$12,2,FALSE)</f>
        <v>Cal 12</v>
      </c>
      <c r="R1374" s="81">
        <f>+IF(P1374="ACERO A36",VLOOKUP(Q1374,'[3]Velocidades Std 1500 w'!$B$2:$F$15,5,FALSE),IF(P1374="INOXIDABLE",VLOOKUP(Q1374,'[3]Velocidades Std 1500 w'!$B$17:$F$28,5,FALSE),IF(P1374="ALUMINIO",VLOOKUP(Q1374,'[3]Velocidades Std 1500 w'!$B$30:$F$38,5,FALSE))))</f>
        <v>4.3859649122807014E-6</v>
      </c>
      <c r="S1374" s="82">
        <f t="shared" ref="S1374:S1376" si="243">+R1374*O1374</f>
        <v>2.1929824561403508E-2</v>
      </c>
      <c r="T1374" s="83">
        <f t="shared" ref="T1374:T1376" si="244">+R1374*U1374*3600</f>
        <v>42.986425263157884</v>
      </c>
      <c r="U1374" s="307">
        <f t="shared" ref="U1374:U1376" si="245">(+I1374*2+H1374*2+W1374*1.5)*25.4*1.05</f>
        <v>2722.4735999999998</v>
      </c>
      <c r="V1374" s="80">
        <f t="shared" ref="V1374:V1376" si="246">+U1374*S1374</f>
        <v>59.703368421052623</v>
      </c>
      <c r="W1374" s="98">
        <v>7</v>
      </c>
      <c r="X1374" s="84">
        <f>+IF(P1374="ACERO A36",VLOOKUP(Q1374,'[3]Tiempo Objeto'!$B$2:$C$12,2,FALSE),IF(P1374="INOXIDABLE",VLOOKUP(Q1374,'[3]Tiempo Objeto'!$B$14:$C$22,2,FALSE),IF(P1374="ALUMINIO",VLOOKUP(Q1374,'[3]Tiempo Objeto'!$B$24:$C$32,2,FALSE))))</f>
        <v>0.6133333333333334</v>
      </c>
      <c r="Y1374" s="84">
        <f t="shared" ref="Y1374:Y1376" si="247">+X1374*W1374</f>
        <v>4.2933333333333339</v>
      </c>
      <c r="Z1374" s="80">
        <f t="shared" ref="Z1374:Z1376" si="248">+Y1374*O1374/3600</f>
        <v>5.9629629629629637</v>
      </c>
      <c r="AA1374" s="100">
        <v>4</v>
      </c>
      <c r="AB1374" s="86">
        <f>+AA1374*Analisis!$J$6</f>
        <v>100</v>
      </c>
      <c r="AC1374" s="100"/>
      <c r="AD1374" s="85">
        <f t="shared" ref="AD1374:AD1376" si="249">30*AC1374+AC1374*$D1374*1.5</f>
        <v>0</v>
      </c>
      <c r="AE1374" s="86">
        <f>+AC1374*Analisis!$J$7</f>
        <v>0</v>
      </c>
      <c r="AF1374" s="308">
        <f>+H1374*0.0254*I1374*0.0254*2*(1+[3]Analisis!$G$2)</f>
        <v>0.77076136169999987</v>
      </c>
      <c r="AG1374" s="86">
        <f>+AF1374*Analisis!$J$8</f>
        <v>82.122787943035732</v>
      </c>
      <c r="AH1374" s="309">
        <f t="shared" ref="AH1374:AH1376" si="250">+AE1374+AB1374+Z1374+V1374+M1374+AG1374</f>
        <v>427.16578862278152</v>
      </c>
      <c r="AI1374" s="86">
        <f>+AH1374/(1-Analisis!G1151)</f>
        <v>427.16578862278152</v>
      </c>
      <c r="AJ1374" s="86">
        <f t="shared" ref="AJ1374:AJ1376" si="251">+AI1374/(1-0.07)</f>
        <v>459.31805228256081</v>
      </c>
      <c r="AK1374" s="86">
        <f t="shared" ref="AK1374:AK1376" si="252">+AJ1374*D1374</f>
        <v>0</v>
      </c>
      <c r="AL1374" s="310" t="e">
        <f>+VLOOKUP(B1374,#REF!,2,FALSE)</f>
        <v>#REF!</v>
      </c>
      <c r="AM1374" s="311" t="e">
        <f t="shared" ref="AM1374:AM1376" si="253">+AL1374-E1374</f>
        <v>#REF!</v>
      </c>
      <c r="AN1374" s="312" t="e">
        <f t="shared" ref="AN1374:AN1376" si="254">+AM1374/AL1374</f>
        <v>#REF!</v>
      </c>
    </row>
    <row r="1375" spans="1:40" s="73" customFormat="1" x14ac:dyDescent="0.25">
      <c r="A1375" s="396"/>
      <c r="B1375" s="304" t="s">
        <v>1951</v>
      </c>
      <c r="D1375" s="74">
        <f>IFERROR(VLOOKUP(B1375,'REQ. PINTADO'!B:C,2,0),0)</f>
        <v>0</v>
      </c>
      <c r="E1375" s="305">
        <f t="shared" si="241"/>
        <v>523.66922887630301</v>
      </c>
      <c r="F1375" s="397" t="s">
        <v>163</v>
      </c>
      <c r="G1375" s="75" t="s">
        <v>147</v>
      </c>
      <c r="H1375" s="90">
        <v>35.700000000000003</v>
      </c>
      <c r="I1375" s="90">
        <v>16.09</v>
      </c>
      <c r="J1375" s="76">
        <v>0.105</v>
      </c>
      <c r="K1375" s="306">
        <v>16.38</v>
      </c>
      <c r="L1375" s="78">
        <f t="shared" si="242"/>
        <v>28.959196372530045</v>
      </c>
      <c r="M1375" s="58">
        <f>+VLOOKUP(F1375,Material!$H$2:$M$17,6,FALSE)*H1375*I1375*(1+Material!$K$14)</f>
        <v>215.61438026456457</v>
      </c>
      <c r="N1375" s="79" t="str">
        <f>+N1140</f>
        <v>T5.0</v>
      </c>
      <c r="O1375" s="80">
        <f>+VLOOKUP(N1375,[3]Material!$A$3:$B$58,2,FALSE)</f>
        <v>5000</v>
      </c>
      <c r="P1375" s="79" t="s">
        <v>42</v>
      </c>
      <c r="Q1375" s="79" t="str">
        <f>+VLOOKUP(F1375,[3]Material!$C$2:$E$12,2,FALSE)</f>
        <v>Cal 12</v>
      </c>
      <c r="R1375" s="81">
        <f>+IF(P1375="ACERO A36",VLOOKUP(Q1375,'[3]Velocidades Std 1500 w'!$B$2:$F$15,5,FALSE),IF(P1375="INOXIDABLE",VLOOKUP(Q1375,'[3]Velocidades Std 1500 w'!$B$17:$F$28,5,FALSE),IF(P1375="ALUMINIO",VLOOKUP(Q1375,'[3]Velocidades Std 1500 w'!$B$30:$F$38,5,FALSE))))</f>
        <v>4.3859649122807014E-6</v>
      </c>
      <c r="S1375" s="82">
        <f t="shared" si="243"/>
        <v>2.1929824561403508E-2</v>
      </c>
      <c r="T1375" s="83">
        <f t="shared" si="244"/>
        <v>48.039688421052631</v>
      </c>
      <c r="U1375" s="307">
        <f t="shared" si="245"/>
        <v>3042.5136000000002</v>
      </c>
      <c r="V1375" s="80">
        <f t="shared" si="246"/>
        <v>66.721789473684211</v>
      </c>
      <c r="W1375" s="98">
        <v>7</v>
      </c>
      <c r="X1375" s="84">
        <f>+IF(P1375="ACERO A36",VLOOKUP(Q1375,'[3]Tiempo Objeto'!$B$2:$C$12,2,FALSE),IF(P1375="INOXIDABLE",VLOOKUP(Q1375,'[3]Tiempo Objeto'!$B$14:$C$22,2,FALSE),IF(P1375="ALUMINIO",VLOOKUP(Q1375,'[3]Tiempo Objeto'!$B$24:$C$32,2,FALSE))))</f>
        <v>0.6133333333333334</v>
      </c>
      <c r="Y1375" s="84">
        <f t="shared" si="247"/>
        <v>4.2933333333333339</v>
      </c>
      <c r="Z1375" s="80">
        <f t="shared" si="248"/>
        <v>5.9629629629629637</v>
      </c>
      <c r="AA1375" s="100">
        <v>4</v>
      </c>
      <c r="AB1375" s="86">
        <f>+AA1375*Analisis!$J$6</f>
        <v>100</v>
      </c>
      <c r="AC1375" s="100"/>
      <c r="AD1375" s="85">
        <f t="shared" si="249"/>
        <v>0</v>
      </c>
      <c r="AE1375" s="86">
        <f>+AC1375*Analisis!$J$7</f>
        <v>0</v>
      </c>
      <c r="AF1375" s="308">
        <f>+H1375*0.0254*I1375*0.0254*2*(1+[3]Analisis!$G$2)</f>
        <v>0.92647072770000005</v>
      </c>
      <c r="AG1375" s="86">
        <f>+AF1375*Analisis!$J$8</f>
        <v>98.713250153750039</v>
      </c>
      <c r="AH1375" s="309">
        <f t="shared" si="250"/>
        <v>487.0123828549618</v>
      </c>
      <c r="AI1375" s="86">
        <f>+AH1375/(1-Analisis!G1152)</f>
        <v>487.0123828549618</v>
      </c>
      <c r="AJ1375" s="86">
        <f t="shared" si="251"/>
        <v>523.66922887630301</v>
      </c>
      <c r="AK1375" s="86">
        <f t="shared" si="252"/>
        <v>0</v>
      </c>
      <c r="AL1375" s="310" t="e">
        <f>+VLOOKUP(B1375,#REF!,2,FALSE)</f>
        <v>#REF!</v>
      </c>
      <c r="AM1375" s="311" t="e">
        <f t="shared" si="253"/>
        <v>#REF!</v>
      </c>
      <c r="AN1375" s="312" t="e">
        <f t="shared" si="254"/>
        <v>#REF!</v>
      </c>
    </row>
    <row r="1376" spans="1:40" s="73" customFormat="1" x14ac:dyDescent="0.25">
      <c r="A1376" s="396"/>
      <c r="B1376" s="304" t="s">
        <v>2037</v>
      </c>
      <c r="D1376" s="74">
        <f>IFERROR(VLOOKUP(B1376,'REQ. PINTADO'!B:C,2,0),0)</f>
        <v>0</v>
      </c>
      <c r="E1376" s="305">
        <f t="shared" si="241"/>
        <v>609.47079766795935</v>
      </c>
      <c r="F1376" s="397" t="s">
        <v>163</v>
      </c>
      <c r="G1376" s="75" t="s">
        <v>147</v>
      </c>
      <c r="H1376" s="90">
        <v>43.7</v>
      </c>
      <c r="I1376" s="90">
        <v>16.09</v>
      </c>
      <c r="J1376" s="76">
        <v>0.105</v>
      </c>
      <c r="K1376" s="306">
        <v>16.38</v>
      </c>
      <c r="L1376" s="78">
        <f t="shared" si="242"/>
        <v>35.448652142284679</v>
      </c>
      <c r="M1376" s="58">
        <f>+VLOOKUP(F1376,Material!$H$2:$M$17,6,FALSE)*H1376*I1376*(1+Material!$K$14)</f>
        <v>263.93132822301044</v>
      </c>
      <c r="N1376" s="79" t="str">
        <f>+N1141</f>
        <v>T5.0</v>
      </c>
      <c r="O1376" s="80">
        <f>+VLOOKUP(N1376,[3]Material!$A$3:$B$58,2,FALSE)</f>
        <v>5000</v>
      </c>
      <c r="P1376" s="79" t="s">
        <v>42</v>
      </c>
      <c r="Q1376" s="79" t="str">
        <f>+VLOOKUP(F1376,[3]Material!$C$2:$E$12,2,FALSE)</f>
        <v>Cal 12</v>
      </c>
      <c r="R1376" s="81">
        <f>+IF(P1376="ACERO A36",VLOOKUP(Q1376,'[3]Velocidades Std 1500 w'!$B$2:$F$15,5,FALSE),IF(P1376="INOXIDABLE",VLOOKUP(Q1376,'[3]Velocidades Std 1500 w'!$B$17:$F$28,5,FALSE),IF(P1376="ALUMINIO",VLOOKUP(Q1376,'[3]Velocidades Std 1500 w'!$B$30:$F$38,5,FALSE))))</f>
        <v>4.3859649122807014E-6</v>
      </c>
      <c r="S1376" s="82">
        <f t="shared" si="243"/>
        <v>2.1929824561403508E-2</v>
      </c>
      <c r="T1376" s="83">
        <f t="shared" si="244"/>
        <v>54.777372631578949</v>
      </c>
      <c r="U1376" s="307">
        <f t="shared" si="245"/>
        <v>3469.2336000000005</v>
      </c>
      <c r="V1376" s="80">
        <f t="shared" si="246"/>
        <v>76.079684210526324</v>
      </c>
      <c r="W1376" s="98">
        <v>7</v>
      </c>
      <c r="X1376" s="84">
        <f>+IF(P1376="ACERO A36",VLOOKUP(Q1376,'[3]Tiempo Objeto'!$B$2:$C$12,2,FALSE),IF(P1376="INOXIDABLE",VLOOKUP(Q1376,'[3]Tiempo Objeto'!$B$14:$C$22,2,FALSE),IF(P1376="ALUMINIO",VLOOKUP(Q1376,'[3]Tiempo Objeto'!$B$24:$C$32,2,FALSE))))</f>
        <v>0.6133333333333334</v>
      </c>
      <c r="Y1376" s="84">
        <f t="shared" si="247"/>
        <v>4.2933333333333339</v>
      </c>
      <c r="Z1376" s="80">
        <f t="shared" si="248"/>
        <v>5.9629629629629637</v>
      </c>
      <c r="AA1376" s="100">
        <v>4</v>
      </c>
      <c r="AB1376" s="86">
        <f>+AA1376*Analisis!$J$6</f>
        <v>100</v>
      </c>
      <c r="AC1376" s="100"/>
      <c r="AD1376" s="85">
        <f t="shared" si="249"/>
        <v>0</v>
      </c>
      <c r="AE1376" s="86">
        <f>+AC1376*Analisis!$J$7</f>
        <v>0</v>
      </c>
      <c r="AF1376" s="308">
        <f>+H1376*0.0254*I1376*0.0254*2*(1+[3]Analisis!$G$2)</f>
        <v>1.1340832156999998</v>
      </c>
      <c r="AG1376" s="86">
        <f>+AF1376*Analisis!$J$8</f>
        <v>120.8338664347024</v>
      </c>
      <c r="AH1376" s="309">
        <f t="shared" si="250"/>
        <v>566.80784183120215</v>
      </c>
      <c r="AI1376" s="86">
        <f>+AH1376/(1-Analisis!G1153)</f>
        <v>566.80784183120215</v>
      </c>
      <c r="AJ1376" s="86">
        <f t="shared" si="251"/>
        <v>609.47079766795935</v>
      </c>
      <c r="AK1376" s="86">
        <f t="shared" si="252"/>
        <v>0</v>
      </c>
      <c r="AL1376" s="310" t="e">
        <f>+VLOOKUP(B1376,#REF!,2,FALSE)</f>
        <v>#REF!</v>
      </c>
      <c r="AM1376" s="311" t="e">
        <f t="shared" si="253"/>
        <v>#REF!</v>
      </c>
      <c r="AN1376" s="312" t="e">
        <f t="shared" si="254"/>
        <v>#REF!</v>
      </c>
    </row>
    <row r="1377" spans="1:40" s="73" customFormat="1" x14ac:dyDescent="0.25">
      <c r="A1377" s="396">
        <v>14</v>
      </c>
      <c r="B1377" s="304" t="s">
        <v>1996</v>
      </c>
      <c r="D1377" s="74">
        <f>IFERROR(VLOOKUP(B1377,'REQ. PINTADO'!B:C,2,0),0)</f>
        <v>0</v>
      </c>
      <c r="E1377" s="305">
        <f t="shared" si="172"/>
        <v>607.06839059741526</v>
      </c>
      <c r="F1377" s="397" t="s">
        <v>166</v>
      </c>
      <c r="G1377" s="75" t="s">
        <v>147</v>
      </c>
      <c r="H1377" s="90">
        <f>28.81+1.5</f>
        <v>30.31</v>
      </c>
      <c r="I1377" s="90">
        <f>7.44+1.5</f>
        <v>8.9400000000000013</v>
      </c>
      <c r="J1377" s="76">
        <v>0.105</v>
      </c>
      <c r="K1377" s="306">
        <v>16.38</v>
      </c>
      <c r="L1377" s="78">
        <f t="shared" si="173"/>
        <v>8.2487362989397131</v>
      </c>
      <c r="M1377" s="58">
        <f>+VLOOKUP(F1377,Material!$H$2:$M$17,6,FALSE)*H1377*I1377*(1+Material!$K$14)</f>
        <v>61.415591171196581</v>
      </c>
      <c r="N1377" s="79" t="str">
        <f>+N1139</f>
        <v>T5.0</v>
      </c>
      <c r="O1377" s="80">
        <f>+VLOOKUP(N1377,[3]Material!$A$3:$B$58,2,FALSE)</f>
        <v>5000</v>
      </c>
      <c r="P1377" s="79" t="s">
        <v>42</v>
      </c>
      <c r="Q1377" s="79" t="str">
        <f>+VLOOKUP(F1377,[3]Material!$C$2:$E$12,2,FALSE)</f>
        <v>Cal 16</v>
      </c>
      <c r="R1377" s="81">
        <f>+IF(P1377="ACERO A36",VLOOKUP(Q1377,'[3]Velocidades Std 1500 w'!$B$2:$F$15,5,FALSE),IF(P1377="INOXIDABLE",VLOOKUP(Q1377,'[3]Velocidades Std 1500 w'!$B$17:$F$28,5,FALSE),IF(P1377="ALUMINIO",VLOOKUP(Q1377,'[3]Velocidades Std 1500 w'!$B$30:$F$38,5,FALSE))))</f>
        <v>9.1575091575091579E-7</v>
      </c>
      <c r="S1377" s="82">
        <f t="shared" si="174"/>
        <v>4.578754578754579E-3</v>
      </c>
      <c r="T1377" s="83">
        <f t="shared" si="175"/>
        <v>93.945807692307696</v>
      </c>
      <c r="U1377" s="307">
        <f t="shared" si="171"/>
        <v>28496.895</v>
      </c>
      <c r="V1377" s="80">
        <f t="shared" si="153"/>
        <v>130.48028846153846</v>
      </c>
      <c r="W1377" s="98">
        <v>660</v>
      </c>
      <c r="X1377" s="84">
        <f>+IF(P1377="ACERO A36",VLOOKUP(Q1377,'[3]Tiempo Objeto'!$B$2:$C$12,2,FALSE),IF(P1377="INOXIDABLE",VLOOKUP(Q1377,'[3]Tiempo Objeto'!$B$14:$C$22,2,FALSE),IF(P1377="ALUMINIO",VLOOKUP(Q1377,'[3]Tiempo Objeto'!$B$24:$C$32,2,FALSE))))</f>
        <v>0.24666666666666667</v>
      </c>
      <c r="Y1377" s="84">
        <f t="shared" si="176"/>
        <v>162.80000000000001</v>
      </c>
      <c r="Z1377" s="80">
        <f t="shared" si="177"/>
        <v>226.11111111111111</v>
      </c>
      <c r="AA1377" s="100">
        <v>4</v>
      </c>
      <c r="AB1377" s="86">
        <f>+AA1377*Analisis!$J$6</f>
        <v>100</v>
      </c>
      <c r="AC1377" s="100"/>
      <c r="AD1377" s="85">
        <f t="shared" si="178"/>
        <v>0</v>
      </c>
      <c r="AE1377" s="86">
        <f>+AC1377*Analisis!$J$7</f>
        <v>0</v>
      </c>
      <c r="AF1377" s="308">
        <f>+H1377*0.0254*I1377*0.0254*2*(1+[3]Analisis!$G$2)</f>
        <v>0.43704977105999998</v>
      </c>
      <c r="AG1377" s="86">
        <f>+AF1377*Analisis!$J$8</f>
        <v>46.566612511750009</v>
      </c>
      <c r="AH1377" s="309">
        <f t="shared" si="179"/>
        <v>564.57360325559614</v>
      </c>
      <c r="AI1377" s="86">
        <f>+AH1377/(1-Analisis!G1151)</f>
        <v>564.57360325559614</v>
      </c>
      <c r="AJ1377" s="86">
        <f t="shared" si="180"/>
        <v>607.06839059741526</v>
      </c>
      <c r="AK1377" s="86">
        <f t="shared" si="181"/>
        <v>0</v>
      </c>
      <c r="AL1377" s="310" t="e">
        <f>+VLOOKUP(B1377,#REF!,2,FALSE)</f>
        <v>#REF!</v>
      </c>
      <c r="AM1377" s="311" t="e">
        <f t="shared" si="183"/>
        <v>#REF!</v>
      </c>
      <c r="AN1377" s="312" t="e">
        <f t="shared" si="182"/>
        <v>#REF!</v>
      </c>
    </row>
    <row r="1378" spans="1:40" s="73" customFormat="1" x14ac:dyDescent="0.25">
      <c r="A1378" s="396"/>
      <c r="B1378" s="304" t="s">
        <v>2038</v>
      </c>
      <c r="D1378" s="74">
        <f>IFERROR(VLOOKUP(B1378,'REQ. PINTADO'!B:C,2,0),0)</f>
        <v>0</v>
      </c>
      <c r="E1378" s="305">
        <f t="shared" ref="E1378:E1381" si="255">+AJ1378</f>
        <v>631.62854604453287</v>
      </c>
      <c r="F1378" s="397" t="s">
        <v>166</v>
      </c>
      <c r="G1378" s="75" t="s">
        <v>147</v>
      </c>
      <c r="H1378" s="90">
        <f>34.81+1.5</f>
        <v>36.31</v>
      </c>
      <c r="I1378" s="90">
        <f t="shared" ref="I1378:I1381" si="256">7.44+1.5</f>
        <v>8.9400000000000013</v>
      </c>
      <c r="J1378" s="76">
        <v>0.105</v>
      </c>
      <c r="K1378" s="306">
        <v>16.38</v>
      </c>
      <c r="L1378" s="78">
        <f t="shared" ref="L1378:L1381" si="257">+M1378*2.2/K1378</f>
        <v>9.8816105250577682</v>
      </c>
      <c r="M1378" s="58">
        <f>+VLOOKUP(F1378,Material!$H$2:$M$17,6,FALSE)*H1378*I1378*(1+Material!$K$14)</f>
        <v>73.573082000202831</v>
      </c>
      <c r="N1378" s="79" t="str">
        <f>+N1140</f>
        <v>T5.0</v>
      </c>
      <c r="O1378" s="80">
        <f>+VLOOKUP(N1378,[3]Material!$A$3:$B$58,2,FALSE)</f>
        <v>5000</v>
      </c>
      <c r="P1378" s="79" t="s">
        <v>42</v>
      </c>
      <c r="Q1378" s="79" t="str">
        <f>+VLOOKUP(F1378,[3]Material!$C$2:$E$12,2,FALSE)</f>
        <v>Cal 16</v>
      </c>
      <c r="R1378" s="81">
        <f>+IF(P1378="ACERO A36",VLOOKUP(Q1378,'[3]Velocidades Std 1500 w'!$B$2:$F$15,5,FALSE),IF(P1378="INOXIDABLE",VLOOKUP(Q1378,'[3]Velocidades Std 1500 w'!$B$17:$F$28,5,FALSE),IF(P1378="ALUMINIO",VLOOKUP(Q1378,'[3]Velocidades Std 1500 w'!$B$30:$F$38,5,FALSE))))</f>
        <v>9.1575091575091579E-7</v>
      </c>
      <c r="S1378" s="82">
        <f t="shared" ref="S1378:S1381" si="258">+R1378*O1378</f>
        <v>4.578754578754579E-3</v>
      </c>
      <c r="T1378" s="83">
        <f t="shared" ref="T1378:T1381" si="259">+R1378*U1378*3600</f>
        <v>95.000884615384606</v>
      </c>
      <c r="U1378" s="307">
        <f t="shared" ref="U1378:U1381" si="260">(+I1378*2+H1378*2+W1378*1.5)*25.4*1.05</f>
        <v>28816.934999999998</v>
      </c>
      <c r="V1378" s="80">
        <f t="shared" ref="V1378:V1381" si="261">+U1378*S1378</f>
        <v>131.94567307692307</v>
      </c>
      <c r="W1378" s="98">
        <v>660</v>
      </c>
      <c r="X1378" s="84">
        <f>+IF(P1378="ACERO A36",VLOOKUP(Q1378,'[3]Tiempo Objeto'!$B$2:$C$12,2,FALSE),IF(P1378="INOXIDABLE",VLOOKUP(Q1378,'[3]Tiempo Objeto'!$B$14:$C$22,2,FALSE),IF(P1378="ALUMINIO",VLOOKUP(Q1378,'[3]Tiempo Objeto'!$B$24:$C$32,2,FALSE))))</f>
        <v>0.24666666666666667</v>
      </c>
      <c r="Y1378" s="84">
        <f t="shared" ref="Y1378:Y1381" si="262">+X1378*W1378</f>
        <v>162.80000000000001</v>
      </c>
      <c r="Z1378" s="80">
        <f t="shared" ref="Z1378:Z1381" si="263">+Y1378*O1378/3600</f>
        <v>226.11111111111111</v>
      </c>
      <c r="AA1378" s="100">
        <v>4</v>
      </c>
      <c r="AB1378" s="86">
        <f>+AA1378*Analisis!$J$6</f>
        <v>100</v>
      </c>
      <c r="AC1378" s="100"/>
      <c r="AD1378" s="85">
        <f t="shared" ref="AD1378:AD1381" si="264">30*AC1378+AC1378*$D1378*1.5</f>
        <v>0</v>
      </c>
      <c r="AE1378" s="86">
        <f>+AC1378*Analisis!$J$7</f>
        <v>0</v>
      </c>
      <c r="AF1378" s="308">
        <f>+H1378*0.0254*I1378*0.0254*2*(1+[3]Analisis!$G$2)</f>
        <v>0.52356572706000015</v>
      </c>
      <c r="AG1378" s="86">
        <f>+AF1378*Analisis!$J$8</f>
        <v>55.784681633178607</v>
      </c>
      <c r="AH1378" s="309">
        <f t="shared" ref="AH1378:AH1381" si="265">+AE1378+AB1378+Z1378+V1378+M1378+AG1378</f>
        <v>587.41454782141557</v>
      </c>
      <c r="AI1378" s="86">
        <f>+AH1378/(1-Analisis!G1152)</f>
        <v>587.41454782141557</v>
      </c>
      <c r="AJ1378" s="86">
        <f t="shared" ref="AJ1378:AJ1381" si="266">+AI1378/(1-0.07)</f>
        <v>631.62854604453287</v>
      </c>
      <c r="AK1378" s="86">
        <f t="shared" ref="AK1378:AK1381" si="267">+AJ1378*D1378</f>
        <v>0</v>
      </c>
      <c r="AL1378" s="310" t="e">
        <f>+VLOOKUP(B1378,#REF!,2,FALSE)</f>
        <v>#REF!</v>
      </c>
      <c r="AM1378" s="311" t="e">
        <f t="shared" ref="AM1378:AM1381" si="268">+AL1378-E1378</f>
        <v>#REF!</v>
      </c>
      <c r="AN1378" s="312" t="e">
        <f t="shared" ref="AN1378:AN1381" si="269">+AM1378/AL1378</f>
        <v>#REF!</v>
      </c>
    </row>
    <row r="1379" spans="1:40" s="73" customFormat="1" x14ac:dyDescent="0.25">
      <c r="A1379" s="396"/>
      <c r="B1379" s="304" t="s">
        <v>2039</v>
      </c>
      <c r="D1379" s="74">
        <f>IFERROR(VLOOKUP(B1379,'REQ. PINTADO'!B:C,2,0),0)</f>
        <v>0</v>
      </c>
      <c r="E1379" s="305">
        <f t="shared" si="255"/>
        <v>664.41635356643508</v>
      </c>
      <c r="F1379" s="397" t="s">
        <v>166</v>
      </c>
      <c r="G1379" s="75" t="s">
        <v>147</v>
      </c>
      <c r="H1379" s="90">
        <f>42.82+1.5</f>
        <v>44.32</v>
      </c>
      <c r="I1379" s="90">
        <f t="shared" si="256"/>
        <v>8.9400000000000013</v>
      </c>
      <c r="J1379" s="76">
        <v>0.105</v>
      </c>
      <c r="K1379" s="306">
        <v>16.38</v>
      </c>
      <c r="L1379" s="78">
        <f t="shared" si="257"/>
        <v>12.061497616925372</v>
      </c>
      <c r="M1379" s="58">
        <f>+VLOOKUP(F1379,Material!$H$2:$M$17,6,FALSE)*H1379*I1379*(1+Material!$K$14)</f>
        <v>89.803332256926168</v>
      </c>
      <c r="N1379" s="79" t="str">
        <f>+N1141</f>
        <v>T5.0</v>
      </c>
      <c r="O1379" s="80">
        <f>+VLOOKUP(N1379,[3]Material!$A$3:$B$58,2,FALSE)</f>
        <v>5000</v>
      </c>
      <c r="P1379" s="79" t="s">
        <v>42</v>
      </c>
      <c r="Q1379" s="79" t="str">
        <f>+VLOOKUP(F1379,[3]Material!$C$2:$E$12,2,FALSE)</f>
        <v>Cal 16</v>
      </c>
      <c r="R1379" s="81">
        <f>+IF(P1379="ACERO A36",VLOOKUP(Q1379,'[3]Velocidades Std 1500 w'!$B$2:$F$15,5,FALSE),IF(P1379="INOXIDABLE",VLOOKUP(Q1379,'[3]Velocidades Std 1500 w'!$B$17:$F$28,5,FALSE),IF(P1379="ALUMINIO",VLOOKUP(Q1379,'[3]Velocidades Std 1500 w'!$B$30:$F$38,5,FALSE))))</f>
        <v>9.1575091575091579E-7</v>
      </c>
      <c r="S1379" s="82">
        <f t="shared" si="258"/>
        <v>4.578754578754579E-3</v>
      </c>
      <c r="T1379" s="83">
        <f t="shared" si="259"/>
        <v>96.409412307692307</v>
      </c>
      <c r="U1379" s="307">
        <f t="shared" si="260"/>
        <v>29244.188399999999</v>
      </c>
      <c r="V1379" s="80">
        <f t="shared" si="261"/>
        <v>133.90196153846153</v>
      </c>
      <c r="W1379" s="98">
        <v>660</v>
      </c>
      <c r="X1379" s="84">
        <f>+IF(P1379="ACERO A36",VLOOKUP(Q1379,'[3]Tiempo Objeto'!$B$2:$C$12,2,FALSE),IF(P1379="INOXIDABLE",VLOOKUP(Q1379,'[3]Tiempo Objeto'!$B$14:$C$22,2,FALSE),IF(P1379="ALUMINIO",VLOOKUP(Q1379,'[3]Tiempo Objeto'!$B$24:$C$32,2,FALSE))))</f>
        <v>0.24666666666666667</v>
      </c>
      <c r="Y1379" s="84">
        <f t="shared" si="262"/>
        <v>162.80000000000001</v>
      </c>
      <c r="Z1379" s="80">
        <f t="shared" si="263"/>
        <v>226.11111111111111</v>
      </c>
      <c r="AA1379" s="100">
        <v>4</v>
      </c>
      <c r="AB1379" s="86">
        <f>+AA1379*Analisis!$J$6</f>
        <v>100</v>
      </c>
      <c r="AC1379" s="100"/>
      <c r="AD1379" s="85">
        <f t="shared" si="264"/>
        <v>0</v>
      </c>
      <c r="AE1379" s="86">
        <f>+AC1379*Analisis!$J$7</f>
        <v>0</v>
      </c>
      <c r="AF1379" s="308">
        <f>+H1379*0.0254*I1379*0.0254*2*(1+[3]Analisis!$G$2)</f>
        <v>0.63906452832000016</v>
      </c>
      <c r="AG1379" s="86">
        <f>+AF1379*Analisis!$J$8</f>
        <v>68.090803910285757</v>
      </c>
      <c r="AH1379" s="309">
        <f t="shared" si="265"/>
        <v>617.90720881678453</v>
      </c>
      <c r="AI1379" s="86">
        <f>+AH1379/(1-Analisis!G1153)</f>
        <v>617.90720881678453</v>
      </c>
      <c r="AJ1379" s="86">
        <f t="shared" si="266"/>
        <v>664.41635356643508</v>
      </c>
      <c r="AK1379" s="86">
        <f t="shared" si="267"/>
        <v>0</v>
      </c>
      <c r="AL1379" s="310" t="e">
        <f>+VLOOKUP(B1379,#REF!,2,FALSE)</f>
        <v>#REF!</v>
      </c>
      <c r="AM1379" s="311" t="e">
        <f t="shared" si="268"/>
        <v>#REF!</v>
      </c>
      <c r="AN1379" s="312" t="e">
        <f t="shared" si="269"/>
        <v>#REF!</v>
      </c>
    </row>
    <row r="1380" spans="1:40" s="73" customFormat="1" x14ac:dyDescent="0.25">
      <c r="A1380" s="396"/>
      <c r="B1380" s="304" t="s">
        <v>2040</v>
      </c>
      <c r="D1380" s="74">
        <f>IFERROR(VLOOKUP(B1380,'REQ. PINTADO'!B:C,2,0),0)</f>
        <v>0</v>
      </c>
      <c r="E1380" s="305">
        <f t="shared" si="255"/>
        <v>672.56213845639581</v>
      </c>
      <c r="F1380" s="397" t="s">
        <v>166</v>
      </c>
      <c r="G1380" s="75" t="s">
        <v>147</v>
      </c>
      <c r="H1380" s="90">
        <f>44.81+1.5</f>
        <v>46.31</v>
      </c>
      <c r="I1380" s="90">
        <f t="shared" si="256"/>
        <v>8.9400000000000013</v>
      </c>
      <c r="J1380" s="76">
        <v>0.105</v>
      </c>
      <c r="K1380" s="306">
        <v>16.38</v>
      </c>
      <c r="L1380" s="78">
        <f t="shared" si="257"/>
        <v>12.603067568587864</v>
      </c>
      <c r="M1380" s="58">
        <f>+VLOOKUP(F1380,Material!$H$2:$M$17,6,FALSE)*H1380*I1380*(1+Material!$K$14)</f>
        <v>93.835566715213261</v>
      </c>
      <c r="N1380" s="79" t="str">
        <f>+N1142</f>
        <v>T5.0</v>
      </c>
      <c r="O1380" s="80">
        <f>+VLOOKUP(N1380,[3]Material!$A$3:$B$58,2,FALSE)</f>
        <v>5000</v>
      </c>
      <c r="P1380" s="79" t="s">
        <v>42</v>
      </c>
      <c r="Q1380" s="79" t="str">
        <f>+VLOOKUP(F1380,[3]Material!$C$2:$E$12,2,FALSE)</f>
        <v>Cal 16</v>
      </c>
      <c r="R1380" s="81">
        <f>+IF(P1380="ACERO A36",VLOOKUP(Q1380,'[3]Velocidades Std 1500 w'!$B$2:$F$15,5,FALSE),IF(P1380="INOXIDABLE",VLOOKUP(Q1380,'[3]Velocidades Std 1500 w'!$B$17:$F$28,5,FALSE),IF(P1380="ALUMINIO",VLOOKUP(Q1380,'[3]Velocidades Std 1500 w'!$B$30:$F$38,5,FALSE))))</f>
        <v>9.1575091575091579E-7</v>
      </c>
      <c r="S1380" s="82">
        <f t="shared" si="258"/>
        <v>4.578754578754579E-3</v>
      </c>
      <c r="T1380" s="83">
        <f t="shared" si="259"/>
        <v>96.759346153846153</v>
      </c>
      <c r="U1380" s="307">
        <f t="shared" si="260"/>
        <v>29350.334999999999</v>
      </c>
      <c r="V1380" s="80">
        <f t="shared" si="261"/>
        <v>134.38798076923078</v>
      </c>
      <c r="W1380" s="98">
        <v>660</v>
      </c>
      <c r="X1380" s="84">
        <f>+IF(P1380="ACERO A36",VLOOKUP(Q1380,'[3]Tiempo Objeto'!$B$2:$C$12,2,FALSE),IF(P1380="INOXIDABLE",VLOOKUP(Q1380,'[3]Tiempo Objeto'!$B$14:$C$22,2,FALSE),IF(P1380="ALUMINIO",VLOOKUP(Q1380,'[3]Tiempo Objeto'!$B$24:$C$32,2,FALSE))))</f>
        <v>0.24666666666666667</v>
      </c>
      <c r="Y1380" s="84">
        <f t="shared" si="262"/>
        <v>162.80000000000001</v>
      </c>
      <c r="Z1380" s="80">
        <f t="shared" si="263"/>
        <v>226.11111111111111</v>
      </c>
      <c r="AA1380" s="100">
        <v>4</v>
      </c>
      <c r="AB1380" s="86">
        <f>+AA1380*Analisis!$J$6</f>
        <v>100</v>
      </c>
      <c r="AC1380" s="100"/>
      <c r="AD1380" s="85">
        <f t="shared" si="264"/>
        <v>0</v>
      </c>
      <c r="AE1380" s="86">
        <f>+AC1380*Analisis!$J$7</f>
        <v>0</v>
      </c>
      <c r="AF1380" s="308">
        <f>+H1380*0.0254*I1380*0.0254*2*(1+[3]Analisis!$G$2)</f>
        <v>0.66775898706000003</v>
      </c>
      <c r="AG1380" s="86">
        <f>+AF1380*Analisis!$J$8</f>
        <v>71.148130168892877</v>
      </c>
      <c r="AH1380" s="309">
        <f t="shared" si="265"/>
        <v>625.48278876444806</v>
      </c>
      <c r="AI1380" s="86">
        <f>+AH1380/(1-Analisis!G1154)</f>
        <v>625.48278876444806</v>
      </c>
      <c r="AJ1380" s="86">
        <f t="shared" si="266"/>
        <v>672.56213845639581</v>
      </c>
      <c r="AK1380" s="86">
        <f t="shared" si="267"/>
        <v>0</v>
      </c>
      <c r="AL1380" s="310" t="e">
        <f>+VLOOKUP(B1380,#REF!,2,FALSE)</f>
        <v>#REF!</v>
      </c>
      <c r="AM1380" s="311" t="e">
        <f t="shared" si="268"/>
        <v>#REF!</v>
      </c>
      <c r="AN1380" s="312" t="e">
        <f t="shared" si="269"/>
        <v>#REF!</v>
      </c>
    </row>
    <row r="1381" spans="1:40" s="73" customFormat="1" x14ac:dyDescent="0.25">
      <c r="A1381" s="396"/>
      <c r="B1381" s="304" t="s">
        <v>2041</v>
      </c>
      <c r="D1381" s="74">
        <f>IFERROR(VLOOKUP(B1381,'REQ. PINTADO'!B:C,2,0),0)</f>
        <v>0</v>
      </c>
      <c r="E1381" s="305">
        <f t="shared" si="255"/>
        <v>688.93557542114092</v>
      </c>
      <c r="F1381" s="397" t="s">
        <v>166</v>
      </c>
      <c r="G1381" s="75" t="s">
        <v>147</v>
      </c>
      <c r="H1381" s="90">
        <f>48.81+1.5</f>
        <v>50.31</v>
      </c>
      <c r="I1381" s="90">
        <f t="shared" si="256"/>
        <v>8.9400000000000013</v>
      </c>
      <c r="J1381" s="76">
        <v>0.105</v>
      </c>
      <c r="K1381" s="306">
        <v>16.38</v>
      </c>
      <c r="L1381" s="78">
        <f t="shared" si="257"/>
        <v>13.691650385999903</v>
      </c>
      <c r="M1381" s="58">
        <f>+VLOOKUP(F1381,Material!$H$2:$M$17,6,FALSE)*H1381*I1381*(1+Material!$K$14)</f>
        <v>101.94056060121744</v>
      </c>
      <c r="N1381" s="79" t="str">
        <f>+N1143</f>
        <v>T5.0</v>
      </c>
      <c r="O1381" s="80">
        <f>+VLOOKUP(N1381,[3]Material!$A$3:$B$58,2,FALSE)</f>
        <v>5000</v>
      </c>
      <c r="P1381" s="79" t="s">
        <v>42</v>
      </c>
      <c r="Q1381" s="79" t="str">
        <f>+VLOOKUP(F1381,[3]Material!$C$2:$E$12,2,FALSE)</f>
        <v>Cal 16</v>
      </c>
      <c r="R1381" s="81">
        <f>+IF(P1381="ACERO A36",VLOOKUP(Q1381,'[3]Velocidades Std 1500 w'!$B$2:$F$15,5,FALSE),IF(P1381="INOXIDABLE",VLOOKUP(Q1381,'[3]Velocidades Std 1500 w'!$B$17:$F$28,5,FALSE),IF(P1381="ALUMINIO",VLOOKUP(Q1381,'[3]Velocidades Std 1500 w'!$B$30:$F$38,5,FALSE))))</f>
        <v>9.1575091575091579E-7</v>
      </c>
      <c r="S1381" s="82">
        <f t="shared" si="258"/>
        <v>4.578754578754579E-3</v>
      </c>
      <c r="T1381" s="83">
        <f t="shared" si="259"/>
        <v>97.462730769230774</v>
      </c>
      <c r="U1381" s="307">
        <f t="shared" si="260"/>
        <v>29563.695</v>
      </c>
      <c r="V1381" s="80">
        <f t="shared" si="261"/>
        <v>135.36490384615385</v>
      </c>
      <c r="W1381" s="98">
        <v>660</v>
      </c>
      <c r="X1381" s="84">
        <f>+IF(P1381="ACERO A36",VLOOKUP(Q1381,'[3]Tiempo Objeto'!$B$2:$C$12,2,FALSE),IF(P1381="INOXIDABLE",VLOOKUP(Q1381,'[3]Tiempo Objeto'!$B$14:$C$22,2,FALSE),IF(P1381="ALUMINIO",VLOOKUP(Q1381,'[3]Tiempo Objeto'!$B$24:$C$32,2,FALSE))))</f>
        <v>0.24666666666666667</v>
      </c>
      <c r="Y1381" s="84">
        <f t="shared" si="262"/>
        <v>162.80000000000001</v>
      </c>
      <c r="Z1381" s="80">
        <f t="shared" si="263"/>
        <v>226.11111111111111</v>
      </c>
      <c r="AA1381" s="100">
        <v>4</v>
      </c>
      <c r="AB1381" s="86">
        <f>+AA1381*Analisis!$J$6</f>
        <v>100</v>
      </c>
      <c r="AC1381" s="100"/>
      <c r="AD1381" s="85">
        <f t="shared" si="264"/>
        <v>0</v>
      </c>
      <c r="AE1381" s="86">
        <f>+AC1381*Analisis!$J$7</f>
        <v>0</v>
      </c>
      <c r="AF1381" s="308">
        <f>+H1381*0.0254*I1381*0.0254*2*(1+[3]Analisis!$G$2)</f>
        <v>0.72543629105999996</v>
      </c>
      <c r="AG1381" s="86">
        <f>+AF1381*Analisis!$J$8</f>
        <v>77.29350958317859</v>
      </c>
      <c r="AH1381" s="309">
        <f t="shared" si="265"/>
        <v>640.71008514166101</v>
      </c>
      <c r="AI1381" s="86">
        <f>+AH1381/(1-Analisis!G1155)</f>
        <v>640.71008514166101</v>
      </c>
      <c r="AJ1381" s="86">
        <f t="shared" si="266"/>
        <v>688.93557542114092</v>
      </c>
      <c r="AK1381" s="86">
        <f t="shared" si="267"/>
        <v>0</v>
      </c>
      <c r="AL1381" s="310" t="e">
        <f>+VLOOKUP(B1381,#REF!,2,FALSE)</f>
        <v>#REF!</v>
      </c>
      <c r="AM1381" s="311" t="e">
        <f t="shared" si="268"/>
        <v>#REF!</v>
      </c>
      <c r="AN1381" s="312" t="e">
        <f t="shared" si="269"/>
        <v>#REF!</v>
      </c>
    </row>
    <row r="1382" spans="1:40" s="73" customFormat="1" x14ac:dyDescent="0.25">
      <c r="A1382" s="396">
        <v>15</v>
      </c>
      <c r="B1382" s="304" t="s">
        <v>2042</v>
      </c>
      <c r="D1382" s="74">
        <f>IFERROR(VLOOKUP(B1382,'REQ. PINTADO'!B:C,2,0),0)</f>
        <v>0</v>
      </c>
      <c r="E1382" s="305">
        <f t="shared" si="172"/>
        <v>392.79574903653736</v>
      </c>
      <c r="F1382" s="397" t="s">
        <v>166</v>
      </c>
      <c r="G1382" s="75" t="s">
        <v>147</v>
      </c>
      <c r="H1382" s="90">
        <v>30.08</v>
      </c>
      <c r="I1382" s="90">
        <v>8.7100000000000009</v>
      </c>
      <c r="J1382" s="76">
        <v>0.105</v>
      </c>
      <c r="K1382" s="306">
        <v>16.38</v>
      </c>
      <c r="L1382" s="78">
        <f t="shared" si="173"/>
        <v>7.9755373237398794</v>
      </c>
      <c r="M1382" s="58">
        <f>+VLOOKUP(F1382,Material!$H$2:$M$17,6,FALSE)*H1382*I1382*(1+Material!$K$14)</f>
        <v>59.38150061948145</v>
      </c>
      <c r="N1382" s="79" t="str">
        <f t="shared" ref="N1382:N1403" si="270">+N1140</f>
        <v>T5.0</v>
      </c>
      <c r="O1382" s="80">
        <f>+VLOOKUP(N1382,[3]Material!$A$3:$B$58,2,FALSE)</f>
        <v>5000</v>
      </c>
      <c r="P1382" s="79" t="s">
        <v>42</v>
      </c>
      <c r="Q1382" s="79" t="str">
        <f>+VLOOKUP(F1382,[3]Material!$C$2:$E$12,2,FALSE)</f>
        <v>Cal 16</v>
      </c>
      <c r="R1382" s="81">
        <f>+IF(P1382="ACERO A36",VLOOKUP(Q1382,'[3]Velocidades Std 1500 w'!$B$2:$F$15,5,FALSE),IF(P1382="INOXIDABLE",VLOOKUP(Q1382,'[3]Velocidades Std 1500 w'!$B$17:$F$28,5,FALSE),IF(P1382="ALUMINIO",VLOOKUP(Q1382,'[3]Velocidades Std 1500 w'!$B$30:$F$38,5,FALSE))))</f>
        <v>9.1575091575091579E-7</v>
      </c>
      <c r="S1382" s="82">
        <f t="shared" si="174"/>
        <v>4.578754578754579E-3</v>
      </c>
      <c r="T1382" s="83">
        <f t="shared" si="175"/>
        <v>44.80384153846154</v>
      </c>
      <c r="U1382" s="307">
        <f t="shared" si="171"/>
        <v>13590.498599999999</v>
      </c>
      <c r="V1382" s="80">
        <f t="shared" si="153"/>
        <v>62.227557692307691</v>
      </c>
      <c r="W1382" s="98">
        <v>288</v>
      </c>
      <c r="X1382" s="84">
        <f>+IF(P1382="ACERO A36",VLOOKUP(Q1382,'[3]Tiempo Objeto'!$B$2:$C$12,2,FALSE),IF(P1382="INOXIDABLE",VLOOKUP(Q1382,'[3]Tiempo Objeto'!$B$14:$C$22,2,FALSE),IF(P1382="ALUMINIO",VLOOKUP(Q1382,'[3]Tiempo Objeto'!$B$24:$C$32,2,FALSE))))</f>
        <v>0.24666666666666667</v>
      </c>
      <c r="Y1382" s="84">
        <f t="shared" si="176"/>
        <v>71.040000000000006</v>
      </c>
      <c r="Z1382" s="80">
        <f t="shared" si="177"/>
        <v>98.666666666666686</v>
      </c>
      <c r="AA1382" s="100">
        <v>4</v>
      </c>
      <c r="AB1382" s="86">
        <f>+AA1382*Analisis!$J$6</f>
        <v>100</v>
      </c>
      <c r="AC1382" s="100"/>
      <c r="AD1382" s="85">
        <f t="shared" si="178"/>
        <v>0</v>
      </c>
      <c r="AE1382" s="86">
        <f>+AC1382*Analisis!$J$7</f>
        <v>0</v>
      </c>
      <c r="AF1382" s="308">
        <f>+H1382*0.0254*I1382*0.0254*2*(1+[3]Analisis!$G$2)</f>
        <v>0.42257463871999995</v>
      </c>
      <c r="AG1382" s="86">
        <f>+AF1382*Analisis!$J$8</f>
        <v>45.024321625523818</v>
      </c>
      <c r="AH1382" s="309">
        <f t="shared" si="179"/>
        <v>365.30004660397969</v>
      </c>
      <c r="AI1382" s="86">
        <f>+AH1382/(1-Analisis!G1152)</f>
        <v>365.30004660397969</v>
      </c>
      <c r="AJ1382" s="86">
        <f t="shared" si="180"/>
        <v>392.79574903653736</v>
      </c>
      <c r="AK1382" s="86">
        <f t="shared" si="181"/>
        <v>0</v>
      </c>
      <c r="AL1382" s="310" t="e">
        <f>+VLOOKUP(B1382,#REF!,2,FALSE)</f>
        <v>#REF!</v>
      </c>
      <c r="AM1382" s="311" t="e">
        <f t="shared" si="183"/>
        <v>#REF!</v>
      </c>
      <c r="AN1382" s="312" t="e">
        <f t="shared" si="182"/>
        <v>#REF!</v>
      </c>
    </row>
    <row r="1383" spans="1:40" s="73" customFormat="1" x14ac:dyDescent="0.25">
      <c r="A1383" s="396"/>
      <c r="B1383" s="304" t="s">
        <v>1969</v>
      </c>
      <c r="D1383" s="74">
        <f>IFERROR(VLOOKUP(B1383,'REQ. PINTADO'!B:C,2,0),0)</f>
        <v>0</v>
      </c>
      <c r="E1383" s="305">
        <f t="shared" ref="E1383:E1396" si="271">+AJ1383</f>
        <v>416.76458135111062</v>
      </c>
      <c r="F1383" s="397" t="s">
        <v>166</v>
      </c>
      <c r="G1383" s="75" t="s">
        <v>147</v>
      </c>
      <c r="H1383" s="90">
        <v>36.08</v>
      </c>
      <c r="I1383" s="90">
        <v>8.7100000000000009</v>
      </c>
      <c r="J1383" s="76">
        <v>0.105</v>
      </c>
      <c r="K1383" s="306">
        <v>16.38</v>
      </c>
      <c r="L1383" s="78">
        <f t="shared" ref="L1383:L1396" si="272">+M1383*2.2/K1383</f>
        <v>9.5664024814007593</v>
      </c>
      <c r="M1383" s="58">
        <f>+VLOOKUP(F1383,Material!$H$2:$M$17,6,FALSE)*H1383*I1383*(1+Material!$K$14)</f>
        <v>71.226214838792913</v>
      </c>
      <c r="N1383" s="79" t="str">
        <f t="shared" si="270"/>
        <v>T5.0</v>
      </c>
      <c r="O1383" s="80">
        <f>+VLOOKUP(N1383,[3]Material!$A$3:$B$58,2,FALSE)</f>
        <v>5000</v>
      </c>
      <c r="P1383" s="79" t="s">
        <v>42</v>
      </c>
      <c r="Q1383" s="79" t="str">
        <f>+VLOOKUP(F1383,[3]Material!$C$2:$E$12,2,FALSE)</f>
        <v>Cal 16</v>
      </c>
      <c r="R1383" s="81">
        <f>+IF(P1383="ACERO A36",VLOOKUP(Q1383,'[3]Velocidades Std 1500 w'!$B$2:$F$15,5,FALSE),IF(P1383="INOXIDABLE",VLOOKUP(Q1383,'[3]Velocidades Std 1500 w'!$B$17:$F$28,5,FALSE),IF(P1383="ALUMINIO",VLOOKUP(Q1383,'[3]Velocidades Std 1500 w'!$B$30:$F$38,5,FALSE))))</f>
        <v>9.1575091575091579E-7</v>
      </c>
      <c r="S1383" s="82">
        <f t="shared" ref="S1383:S1396" si="273">+R1383*O1383</f>
        <v>4.578754578754579E-3</v>
      </c>
      <c r="T1383" s="83">
        <f t="shared" ref="T1383:T1396" si="274">+R1383*U1383*3600</f>
        <v>45.858918461538465</v>
      </c>
      <c r="U1383" s="307">
        <f t="shared" ref="U1383:U1396" si="275">(+I1383*2+H1383*2+W1383*1.5)*25.4*1.05</f>
        <v>13910.5386</v>
      </c>
      <c r="V1383" s="80">
        <f t="shared" ref="V1383:V1396" si="276">+U1383*S1383</f>
        <v>63.692942307692313</v>
      </c>
      <c r="W1383" s="98">
        <v>288</v>
      </c>
      <c r="X1383" s="84">
        <f>+IF(P1383="ACERO A36",VLOOKUP(Q1383,'[3]Tiempo Objeto'!$B$2:$C$12,2,FALSE),IF(P1383="INOXIDABLE",VLOOKUP(Q1383,'[3]Tiempo Objeto'!$B$14:$C$22,2,FALSE),IF(P1383="ALUMINIO",VLOOKUP(Q1383,'[3]Tiempo Objeto'!$B$24:$C$32,2,FALSE))))</f>
        <v>0.24666666666666667</v>
      </c>
      <c r="Y1383" s="84">
        <f t="shared" ref="Y1383:Y1396" si="277">+X1383*W1383</f>
        <v>71.040000000000006</v>
      </c>
      <c r="Z1383" s="80">
        <f t="shared" ref="Z1383:Z1396" si="278">+Y1383*O1383/3600</f>
        <v>98.666666666666686</v>
      </c>
      <c r="AA1383" s="100">
        <v>4</v>
      </c>
      <c r="AB1383" s="86">
        <f>+AA1383*Analisis!$J$6</f>
        <v>100</v>
      </c>
      <c r="AC1383" s="100"/>
      <c r="AD1383" s="85">
        <f t="shared" ref="AD1383:AD1396" si="279">30*AC1383+AC1383*$D1383*1.5</f>
        <v>0</v>
      </c>
      <c r="AE1383" s="86">
        <f>+AC1383*Analisis!$J$7</f>
        <v>0</v>
      </c>
      <c r="AF1383" s="308">
        <f>+H1383*0.0254*I1383*0.0254*2*(1+[3]Analisis!$G$2)</f>
        <v>0.50686479271999996</v>
      </c>
      <c r="AG1383" s="86">
        <f>+AF1383*Analisis!$J$8</f>
        <v>54.005236843380963</v>
      </c>
      <c r="AH1383" s="309">
        <f t="shared" ref="AH1383:AH1396" si="280">+AE1383+AB1383+Z1383+V1383+M1383+AG1383</f>
        <v>387.59106065653287</v>
      </c>
      <c r="AI1383" s="86">
        <f>+AH1383/(1-Analisis!G1153)</f>
        <v>387.59106065653287</v>
      </c>
      <c r="AJ1383" s="86">
        <f t="shared" ref="AJ1383:AJ1396" si="281">+AI1383/(1-0.07)</f>
        <v>416.76458135111062</v>
      </c>
      <c r="AK1383" s="86">
        <f t="shared" ref="AK1383:AK1396" si="282">+AJ1383*D1383</f>
        <v>0</v>
      </c>
      <c r="AL1383" s="310" t="e">
        <f>+VLOOKUP(B1383,#REF!,2,FALSE)</f>
        <v>#REF!</v>
      </c>
      <c r="AM1383" s="311" t="e">
        <f t="shared" ref="AM1383:AM1396" si="283">+AL1383-E1383</f>
        <v>#REF!</v>
      </c>
      <c r="AN1383" s="312" t="e">
        <f t="shared" ref="AN1383:AN1396" si="284">+AM1383/AL1383</f>
        <v>#REF!</v>
      </c>
    </row>
    <row r="1384" spans="1:40" s="73" customFormat="1" x14ac:dyDescent="0.25">
      <c r="A1384" s="396"/>
      <c r="B1384" s="304" t="s">
        <v>1997</v>
      </c>
      <c r="D1384" s="74">
        <f>IFERROR(VLOOKUP(B1384,'REQ. PINTADO'!B:C,2,0),0)</f>
        <v>0</v>
      </c>
      <c r="E1384" s="305">
        <f t="shared" si="271"/>
        <v>448.72302443720844</v>
      </c>
      <c r="F1384" s="397" t="s">
        <v>166</v>
      </c>
      <c r="G1384" s="75" t="s">
        <v>147</v>
      </c>
      <c r="H1384" s="90">
        <v>44.08</v>
      </c>
      <c r="I1384" s="90">
        <v>8.7100000000000009</v>
      </c>
      <c r="J1384" s="76">
        <v>0.105</v>
      </c>
      <c r="K1384" s="306">
        <v>16.38</v>
      </c>
      <c r="L1384" s="78">
        <f t="shared" si="272"/>
        <v>11.687556024948597</v>
      </c>
      <c r="M1384" s="58">
        <f>+VLOOKUP(F1384,Material!$H$2:$M$17,6,FALSE)*H1384*I1384*(1+Material!$K$14)</f>
        <v>87.019167131208178</v>
      </c>
      <c r="N1384" s="79" t="str">
        <f t="shared" si="270"/>
        <v>T5.0</v>
      </c>
      <c r="O1384" s="80">
        <f>+VLOOKUP(N1384,[3]Material!$A$3:$B$58,2,FALSE)</f>
        <v>5000</v>
      </c>
      <c r="P1384" s="79" t="s">
        <v>42</v>
      </c>
      <c r="Q1384" s="79" t="str">
        <f>+VLOOKUP(F1384,[3]Material!$C$2:$E$12,2,FALSE)</f>
        <v>Cal 16</v>
      </c>
      <c r="R1384" s="81">
        <f>+IF(P1384="ACERO A36",VLOOKUP(Q1384,'[3]Velocidades Std 1500 w'!$B$2:$F$15,5,FALSE),IF(P1384="INOXIDABLE",VLOOKUP(Q1384,'[3]Velocidades Std 1500 w'!$B$17:$F$28,5,FALSE),IF(P1384="ALUMINIO",VLOOKUP(Q1384,'[3]Velocidades Std 1500 w'!$B$30:$F$38,5,FALSE))))</f>
        <v>9.1575091575091579E-7</v>
      </c>
      <c r="S1384" s="82">
        <f t="shared" si="273"/>
        <v>4.578754578754579E-3</v>
      </c>
      <c r="T1384" s="83">
        <f t="shared" si="274"/>
        <v>47.265687692307694</v>
      </c>
      <c r="U1384" s="307">
        <f t="shared" si="275"/>
        <v>14337.258600000001</v>
      </c>
      <c r="V1384" s="80">
        <f t="shared" si="276"/>
        <v>65.646788461538463</v>
      </c>
      <c r="W1384" s="98">
        <v>288</v>
      </c>
      <c r="X1384" s="84">
        <f>+IF(P1384="ACERO A36",VLOOKUP(Q1384,'[3]Tiempo Objeto'!$B$2:$C$12,2,FALSE),IF(P1384="INOXIDABLE",VLOOKUP(Q1384,'[3]Tiempo Objeto'!$B$14:$C$22,2,FALSE),IF(P1384="ALUMINIO",VLOOKUP(Q1384,'[3]Tiempo Objeto'!$B$24:$C$32,2,FALSE))))</f>
        <v>0.24666666666666667</v>
      </c>
      <c r="Y1384" s="84">
        <f t="shared" si="277"/>
        <v>71.040000000000006</v>
      </c>
      <c r="Z1384" s="80">
        <f t="shared" si="278"/>
        <v>98.666666666666686</v>
      </c>
      <c r="AA1384" s="100">
        <v>4</v>
      </c>
      <c r="AB1384" s="86">
        <f>+AA1384*Analisis!$J$6</f>
        <v>100</v>
      </c>
      <c r="AC1384" s="100"/>
      <c r="AD1384" s="85">
        <f t="shared" si="279"/>
        <v>0</v>
      </c>
      <c r="AE1384" s="86">
        <f>+AC1384*Analisis!$J$7</f>
        <v>0</v>
      </c>
      <c r="AF1384" s="308">
        <f>+H1384*0.0254*I1384*0.0254*2*(1+[3]Analisis!$G$2)</f>
        <v>0.61925166472000004</v>
      </c>
      <c r="AG1384" s="86">
        <f>+AF1384*Analisis!$J$8</f>
        <v>65.979790467190497</v>
      </c>
      <c r="AH1384" s="309">
        <f t="shared" si="280"/>
        <v>417.31241272660384</v>
      </c>
      <c r="AI1384" s="86">
        <f>+AH1384/(1-Analisis!G1154)</f>
        <v>417.31241272660384</v>
      </c>
      <c r="AJ1384" s="86">
        <f t="shared" si="281"/>
        <v>448.72302443720844</v>
      </c>
      <c r="AK1384" s="86">
        <f t="shared" si="282"/>
        <v>0</v>
      </c>
      <c r="AL1384" s="310" t="e">
        <f>+VLOOKUP(B1384,#REF!,2,FALSE)</f>
        <v>#REF!</v>
      </c>
      <c r="AM1384" s="311" t="e">
        <f t="shared" si="283"/>
        <v>#REF!</v>
      </c>
      <c r="AN1384" s="312" t="e">
        <f t="shared" si="284"/>
        <v>#REF!</v>
      </c>
    </row>
    <row r="1385" spans="1:40" s="73" customFormat="1" x14ac:dyDescent="0.25">
      <c r="A1385" s="396"/>
      <c r="B1385" s="304" t="s">
        <v>2043</v>
      </c>
      <c r="D1385" s="74">
        <f>IFERROR(VLOOKUP(B1385,'REQ. PINTADO'!B:C,2,0),0)</f>
        <v>0</v>
      </c>
      <c r="E1385" s="305">
        <f t="shared" si="271"/>
        <v>472.69185675178176</v>
      </c>
      <c r="F1385" s="397" t="s">
        <v>166</v>
      </c>
      <c r="G1385" s="75" t="s">
        <v>147</v>
      </c>
      <c r="H1385" s="90">
        <v>50.08</v>
      </c>
      <c r="I1385" s="90">
        <v>8.7100000000000009</v>
      </c>
      <c r="J1385" s="76">
        <v>0.105</v>
      </c>
      <c r="K1385" s="306">
        <v>16.38</v>
      </c>
      <c r="L1385" s="78">
        <f t="shared" si="272"/>
        <v>13.278421182609478</v>
      </c>
      <c r="M1385" s="58">
        <f>+VLOOKUP(F1385,Material!$H$2:$M$17,6,FALSE)*H1385*I1385*(1+Material!$K$14)</f>
        <v>98.863881350519648</v>
      </c>
      <c r="N1385" s="79" t="str">
        <f t="shared" si="270"/>
        <v>T5.0</v>
      </c>
      <c r="O1385" s="80">
        <f>+VLOOKUP(N1385,[3]Material!$A$3:$B$58,2,FALSE)</f>
        <v>5000</v>
      </c>
      <c r="P1385" s="79" t="s">
        <v>42</v>
      </c>
      <c r="Q1385" s="79" t="str">
        <f>+VLOOKUP(F1385,[3]Material!$C$2:$E$12,2,FALSE)</f>
        <v>Cal 16</v>
      </c>
      <c r="R1385" s="81">
        <f>+IF(P1385="ACERO A36",VLOOKUP(Q1385,'[3]Velocidades Std 1500 w'!$B$2:$F$15,5,FALSE),IF(P1385="INOXIDABLE",VLOOKUP(Q1385,'[3]Velocidades Std 1500 w'!$B$17:$F$28,5,FALSE),IF(P1385="ALUMINIO",VLOOKUP(Q1385,'[3]Velocidades Std 1500 w'!$B$30:$F$38,5,FALSE))))</f>
        <v>9.1575091575091579E-7</v>
      </c>
      <c r="S1385" s="82">
        <f t="shared" si="273"/>
        <v>4.578754578754579E-3</v>
      </c>
      <c r="T1385" s="83">
        <f t="shared" si="274"/>
        <v>48.320764615384618</v>
      </c>
      <c r="U1385" s="307">
        <f t="shared" si="275"/>
        <v>14657.2986</v>
      </c>
      <c r="V1385" s="80">
        <f t="shared" si="276"/>
        <v>67.112173076923085</v>
      </c>
      <c r="W1385" s="98">
        <v>288</v>
      </c>
      <c r="X1385" s="84">
        <f>+IF(P1385="ACERO A36",VLOOKUP(Q1385,'[3]Tiempo Objeto'!$B$2:$C$12,2,FALSE),IF(P1385="INOXIDABLE",VLOOKUP(Q1385,'[3]Tiempo Objeto'!$B$14:$C$22,2,FALSE),IF(P1385="ALUMINIO",VLOOKUP(Q1385,'[3]Tiempo Objeto'!$B$24:$C$32,2,FALSE))))</f>
        <v>0.24666666666666667</v>
      </c>
      <c r="Y1385" s="84">
        <f t="shared" si="277"/>
        <v>71.040000000000006</v>
      </c>
      <c r="Z1385" s="80">
        <f t="shared" si="278"/>
        <v>98.666666666666686</v>
      </c>
      <c r="AA1385" s="100">
        <v>4</v>
      </c>
      <c r="AB1385" s="86">
        <f>+AA1385*Analisis!$J$6</f>
        <v>100</v>
      </c>
      <c r="AC1385" s="100"/>
      <c r="AD1385" s="85">
        <f t="shared" si="279"/>
        <v>0</v>
      </c>
      <c r="AE1385" s="86">
        <f>+AC1385*Analisis!$J$7</f>
        <v>0</v>
      </c>
      <c r="AF1385" s="308">
        <f>+H1385*0.0254*I1385*0.0254*2*(1+[3]Analisis!$G$2)</f>
        <v>0.70354181871999999</v>
      </c>
      <c r="AG1385" s="86">
        <f>+AF1385*Analisis!$J$8</f>
        <v>74.960705685047643</v>
      </c>
      <c r="AH1385" s="309">
        <f t="shared" si="280"/>
        <v>439.60342677915702</v>
      </c>
      <c r="AI1385" s="86">
        <f>+AH1385/(1-Analisis!G1155)</f>
        <v>439.60342677915702</v>
      </c>
      <c r="AJ1385" s="86">
        <f t="shared" si="281"/>
        <v>472.69185675178176</v>
      </c>
      <c r="AK1385" s="86">
        <f t="shared" si="282"/>
        <v>0</v>
      </c>
      <c r="AL1385" s="310" t="e">
        <f>+VLOOKUP(B1385,#REF!,2,FALSE)</f>
        <v>#REF!</v>
      </c>
      <c r="AM1385" s="311" t="e">
        <f t="shared" si="283"/>
        <v>#REF!</v>
      </c>
      <c r="AN1385" s="312" t="e">
        <f t="shared" si="284"/>
        <v>#REF!</v>
      </c>
    </row>
    <row r="1386" spans="1:40" s="73" customFormat="1" x14ac:dyDescent="0.25">
      <c r="A1386" s="396"/>
      <c r="B1386" s="304" t="s">
        <v>2044</v>
      </c>
      <c r="D1386" s="74">
        <f>IFERROR(VLOOKUP(B1386,'REQ. PINTADO'!B:C,2,0),0)</f>
        <v>0</v>
      </c>
      <c r="E1386" s="305">
        <f t="shared" si="271"/>
        <v>456.71263520873288</v>
      </c>
      <c r="F1386" s="397" t="s">
        <v>166</v>
      </c>
      <c r="G1386" s="75" t="s">
        <v>147</v>
      </c>
      <c r="H1386" s="90">
        <v>46.08</v>
      </c>
      <c r="I1386" s="90">
        <v>8.7100000000000009</v>
      </c>
      <c r="J1386" s="76">
        <v>0.105</v>
      </c>
      <c r="K1386" s="306">
        <v>16.38</v>
      </c>
      <c r="L1386" s="78">
        <f t="shared" si="272"/>
        <v>12.217844410835557</v>
      </c>
      <c r="M1386" s="58">
        <f>+VLOOKUP(F1386,Material!$H$2:$M$17,6,FALSE)*H1386*I1386*(1+Material!$K$14)</f>
        <v>90.967405204312001</v>
      </c>
      <c r="N1386" s="79" t="str">
        <f t="shared" si="270"/>
        <v>T5.0</v>
      </c>
      <c r="O1386" s="80">
        <f>+VLOOKUP(N1386,[3]Material!$A$3:$B$58,2,FALSE)</f>
        <v>5000</v>
      </c>
      <c r="P1386" s="79" t="s">
        <v>42</v>
      </c>
      <c r="Q1386" s="79" t="str">
        <f>+VLOOKUP(F1386,[3]Material!$C$2:$E$12,2,FALSE)</f>
        <v>Cal 16</v>
      </c>
      <c r="R1386" s="81">
        <f>+IF(P1386="ACERO A36",VLOOKUP(Q1386,'[3]Velocidades Std 1500 w'!$B$2:$F$15,5,FALSE),IF(P1386="INOXIDABLE",VLOOKUP(Q1386,'[3]Velocidades Std 1500 w'!$B$17:$F$28,5,FALSE),IF(P1386="ALUMINIO",VLOOKUP(Q1386,'[3]Velocidades Std 1500 w'!$B$30:$F$38,5,FALSE))))</f>
        <v>9.1575091575091579E-7</v>
      </c>
      <c r="S1386" s="82">
        <f t="shared" si="273"/>
        <v>4.578754578754579E-3</v>
      </c>
      <c r="T1386" s="83">
        <f t="shared" si="274"/>
        <v>47.617380000000004</v>
      </c>
      <c r="U1386" s="307">
        <f t="shared" si="275"/>
        <v>14443.938599999999</v>
      </c>
      <c r="V1386" s="80">
        <f t="shared" si="276"/>
        <v>66.135249999999999</v>
      </c>
      <c r="W1386" s="98">
        <v>288</v>
      </c>
      <c r="X1386" s="84">
        <f>+IF(P1386="ACERO A36",VLOOKUP(Q1386,'[3]Tiempo Objeto'!$B$2:$C$12,2,FALSE),IF(P1386="INOXIDABLE",VLOOKUP(Q1386,'[3]Tiempo Objeto'!$B$14:$C$22,2,FALSE),IF(P1386="ALUMINIO",VLOOKUP(Q1386,'[3]Tiempo Objeto'!$B$24:$C$32,2,FALSE))))</f>
        <v>0.24666666666666667</v>
      </c>
      <c r="Y1386" s="84">
        <f t="shared" si="277"/>
        <v>71.040000000000006</v>
      </c>
      <c r="Z1386" s="80">
        <f t="shared" si="278"/>
        <v>98.666666666666686</v>
      </c>
      <c r="AA1386" s="100">
        <v>4</v>
      </c>
      <c r="AB1386" s="86">
        <f>+AA1386*Analisis!$J$6</f>
        <v>100</v>
      </c>
      <c r="AC1386" s="100"/>
      <c r="AD1386" s="85">
        <f t="shared" si="279"/>
        <v>0</v>
      </c>
      <c r="AE1386" s="86">
        <f>+AC1386*Analisis!$J$7</f>
        <v>0</v>
      </c>
      <c r="AF1386" s="308">
        <f>+H1386*0.0254*I1386*0.0254*2*(1+[3]Analisis!$G$2)</f>
        <v>0.64734838271999995</v>
      </c>
      <c r="AG1386" s="86">
        <f>+AF1386*Analisis!$J$8</f>
        <v>68.973428873142879</v>
      </c>
      <c r="AH1386" s="309">
        <f t="shared" si="280"/>
        <v>424.74275074412157</v>
      </c>
      <c r="AI1386" s="86">
        <f>+AH1386/(1-Analisis!G1156)</f>
        <v>424.74275074412157</v>
      </c>
      <c r="AJ1386" s="86">
        <f t="shared" si="281"/>
        <v>456.71263520873288</v>
      </c>
      <c r="AK1386" s="86">
        <f t="shared" si="282"/>
        <v>0</v>
      </c>
      <c r="AL1386" s="310" t="e">
        <f>+VLOOKUP(B1386,#REF!,2,FALSE)</f>
        <v>#REF!</v>
      </c>
      <c r="AM1386" s="311" t="e">
        <f t="shared" si="283"/>
        <v>#REF!</v>
      </c>
      <c r="AN1386" s="312" t="e">
        <f t="shared" si="284"/>
        <v>#REF!</v>
      </c>
    </row>
    <row r="1387" spans="1:40" s="73" customFormat="1" x14ac:dyDescent="0.25">
      <c r="A1387" s="396"/>
      <c r="B1387" s="304" t="s">
        <v>2045</v>
      </c>
      <c r="D1387" s="74">
        <f>IFERROR(VLOOKUP(B1387,'REQ. PINTADO'!B:C,2,0),0)</f>
        <v>0</v>
      </c>
      <c r="E1387" s="305">
        <f t="shared" si="271"/>
        <v>336.86847363586617</v>
      </c>
      <c r="F1387" s="397" t="s">
        <v>166</v>
      </c>
      <c r="G1387" s="75" t="s">
        <v>147</v>
      </c>
      <c r="H1387" s="90">
        <v>16.079999999999998</v>
      </c>
      <c r="I1387" s="90">
        <v>8.7100000000000009</v>
      </c>
      <c r="J1387" s="76">
        <v>0.105</v>
      </c>
      <c r="K1387" s="306">
        <v>16.38</v>
      </c>
      <c r="L1387" s="78">
        <f t="shared" si="272"/>
        <v>4.2635186225311585</v>
      </c>
      <c r="M1387" s="58">
        <f>+VLOOKUP(F1387,Material!$H$2:$M$17,6,FALSE)*H1387*I1387*(1+Material!$K$14)</f>
        <v>31.743834107754708</v>
      </c>
      <c r="N1387" s="79" t="str">
        <f t="shared" si="270"/>
        <v>T5.0</v>
      </c>
      <c r="O1387" s="80">
        <f>+VLOOKUP(N1387,[3]Material!$A$3:$B$58,2,FALSE)</f>
        <v>5000</v>
      </c>
      <c r="P1387" s="79" t="s">
        <v>42</v>
      </c>
      <c r="Q1387" s="79" t="str">
        <f>+VLOOKUP(F1387,[3]Material!$C$2:$E$12,2,FALSE)</f>
        <v>Cal 16</v>
      </c>
      <c r="R1387" s="81">
        <f>+IF(P1387="ACERO A36",VLOOKUP(Q1387,'[3]Velocidades Std 1500 w'!$B$2:$F$15,5,FALSE),IF(P1387="INOXIDABLE",VLOOKUP(Q1387,'[3]Velocidades Std 1500 w'!$B$17:$F$28,5,FALSE),IF(P1387="ALUMINIO",VLOOKUP(Q1387,'[3]Velocidades Std 1500 w'!$B$30:$F$38,5,FALSE))))</f>
        <v>9.1575091575091579E-7</v>
      </c>
      <c r="S1387" s="82">
        <f t="shared" si="273"/>
        <v>4.578754578754579E-3</v>
      </c>
      <c r="T1387" s="83">
        <f t="shared" si="274"/>
        <v>42.341995384615387</v>
      </c>
      <c r="U1387" s="307">
        <f t="shared" si="275"/>
        <v>12843.738600000001</v>
      </c>
      <c r="V1387" s="80">
        <f t="shared" si="276"/>
        <v>58.808326923076926</v>
      </c>
      <c r="W1387" s="98">
        <v>288</v>
      </c>
      <c r="X1387" s="84">
        <f>+IF(P1387="ACERO A36",VLOOKUP(Q1387,'[3]Tiempo Objeto'!$B$2:$C$12,2,FALSE),IF(P1387="INOXIDABLE",VLOOKUP(Q1387,'[3]Tiempo Objeto'!$B$14:$C$22,2,FALSE),IF(P1387="ALUMINIO",VLOOKUP(Q1387,'[3]Tiempo Objeto'!$B$24:$C$32,2,FALSE))))</f>
        <v>0.24666666666666667</v>
      </c>
      <c r="Y1387" s="84">
        <f t="shared" si="277"/>
        <v>71.040000000000006</v>
      </c>
      <c r="Z1387" s="80">
        <f t="shared" si="278"/>
        <v>98.666666666666686</v>
      </c>
      <c r="AA1387" s="100">
        <v>4</v>
      </c>
      <c r="AB1387" s="86">
        <f>+AA1387*Analisis!$J$6</f>
        <v>100</v>
      </c>
      <c r="AC1387" s="100"/>
      <c r="AD1387" s="85">
        <f t="shared" si="279"/>
        <v>0</v>
      </c>
      <c r="AE1387" s="86">
        <f>+AC1387*Analisis!$J$7</f>
        <v>0</v>
      </c>
      <c r="AF1387" s="308">
        <f>+H1387*0.0254*I1387*0.0254*2*(1+[3]Analisis!$G$2)</f>
        <v>0.22589761271999997</v>
      </c>
      <c r="AG1387" s="86">
        <f>+AF1387*Analisis!$J$8</f>
        <v>24.068852783857146</v>
      </c>
      <c r="AH1387" s="309">
        <f t="shared" si="280"/>
        <v>313.28768048135549</v>
      </c>
      <c r="AI1387" s="86">
        <f>+AH1387/(1-Analisis!G1157)</f>
        <v>313.28768048135549</v>
      </c>
      <c r="AJ1387" s="86">
        <f t="shared" si="281"/>
        <v>336.86847363586617</v>
      </c>
      <c r="AK1387" s="86">
        <f t="shared" si="282"/>
        <v>0</v>
      </c>
      <c r="AL1387" s="310" t="e">
        <f>+VLOOKUP(B1387,#REF!,2,FALSE)</f>
        <v>#REF!</v>
      </c>
      <c r="AM1387" s="311" t="e">
        <f t="shared" si="283"/>
        <v>#REF!</v>
      </c>
      <c r="AN1387" s="312" t="e">
        <f t="shared" si="284"/>
        <v>#REF!</v>
      </c>
    </row>
    <row r="1388" spans="1:40" s="73" customFormat="1" x14ac:dyDescent="0.25">
      <c r="A1388" s="396"/>
      <c r="B1388" s="304" t="s">
        <v>2046</v>
      </c>
      <c r="D1388" s="74">
        <f>IFERROR(VLOOKUP(B1388,'REQ. PINTADO'!B:C,2,0),0)</f>
        <v>0</v>
      </c>
      <c r="E1388" s="305">
        <f t="shared" si="271"/>
        <v>368.82691672196398</v>
      </c>
      <c r="F1388" s="397" t="s">
        <v>166</v>
      </c>
      <c r="G1388" s="75" t="s">
        <v>147</v>
      </c>
      <c r="H1388" s="90">
        <v>24.08</v>
      </c>
      <c r="I1388" s="90">
        <v>8.7100000000000009</v>
      </c>
      <c r="J1388" s="76">
        <v>0.105</v>
      </c>
      <c r="K1388" s="306">
        <v>16.38</v>
      </c>
      <c r="L1388" s="78">
        <f t="shared" si="272"/>
        <v>6.3846721660789978</v>
      </c>
      <c r="M1388" s="58">
        <f>+VLOOKUP(F1388,Material!$H$2:$M$17,6,FALSE)*H1388*I1388*(1+Material!$K$14)</f>
        <v>47.536786400169987</v>
      </c>
      <c r="N1388" s="79" t="str">
        <f t="shared" si="270"/>
        <v>T5.0</v>
      </c>
      <c r="O1388" s="80">
        <f>+VLOOKUP(N1388,[3]Material!$A$3:$B$58,2,FALSE)</f>
        <v>5000</v>
      </c>
      <c r="P1388" s="79" t="s">
        <v>42</v>
      </c>
      <c r="Q1388" s="79" t="str">
        <f>+VLOOKUP(F1388,[3]Material!$C$2:$E$12,2,FALSE)</f>
        <v>Cal 16</v>
      </c>
      <c r="R1388" s="81">
        <f>+IF(P1388="ACERO A36",VLOOKUP(Q1388,'[3]Velocidades Std 1500 w'!$B$2:$F$15,5,FALSE),IF(P1388="INOXIDABLE",VLOOKUP(Q1388,'[3]Velocidades Std 1500 w'!$B$17:$F$28,5,FALSE),IF(P1388="ALUMINIO",VLOOKUP(Q1388,'[3]Velocidades Std 1500 w'!$B$30:$F$38,5,FALSE))))</f>
        <v>9.1575091575091579E-7</v>
      </c>
      <c r="S1388" s="82">
        <f t="shared" si="273"/>
        <v>4.578754578754579E-3</v>
      </c>
      <c r="T1388" s="83">
        <f t="shared" si="274"/>
        <v>43.748764615384623</v>
      </c>
      <c r="U1388" s="307">
        <f t="shared" si="275"/>
        <v>13270.4586</v>
      </c>
      <c r="V1388" s="80">
        <f t="shared" si="276"/>
        <v>60.762173076923077</v>
      </c>
      <c r="W1388" s="98">
        <v>288</v>
      </c>
      <c r="X1388" s="84">
        <f>+IF(P1388="ACERO A36",VLOOKUP(Q1388,'[3]Tiempo Objeto'!$B$2:$C$12,2,FALSE),IF(P1388="INOXIDABLE",VLOOKUP(Q1388,'[3]Tiempo Objeto'!$B$14:$C$22,2,FALSE),IF(P1388="ALUMINIO",VLOOKUP(Q1388,'[3]Tiempo Objeto'!$B$24:$C$32,2,FALSE))))</f>
        <v>0.24666666666666667</v>
      </c>
      <c r="Y1388" s="84">
        <f t="shared" si="277"/>
        <v>71.040000000000006</v>
      </c>
      <c r="Z1388" s="80">
        <f t="shared" si="278"/>
        <v>98.666666666666686</v>
      </c>
      <c r="AA1388" s="100">
        <v>4</v>
      </c>
      <c r="AB1388" s="86">
        <f>+AA1388*Analisis!$J$6</f>
        <v>100</v>
      </c>
      <c r="AC1388" s="100"/>
      <c r="AD1388" s="85">
        <f t="shared" si="279"/>
        <v>0</v>
      </c>
      <c r="AE1388" s="86">
        <f>+AC1388*Analisis!$J$7</f>
        <v>0</v>
      </c>
      <c r="AF1388" s="308">
        <f>+H1388*0.0254*I1388*0.0254*2*(1+[3]Analisis!$G$2)</f>
        <v>0.33828448472</v>
      </c>
      <c r="AG1388" s="86">
        <f>+AF1388*Analisis!$J$8</f>
        <v>36.04340640766668</v>
      </c>
      <c r="AH1388" s="309">
        <f t="shared" si="280"/>
        <v>343.00903255142646</v>
      </c>
      <c r="AI1388" s="86">
        <f>+AH1388/(1-Analisis!G1158)</f>
        <v>343.00903255142646</v>
      </c>
      <c r="AJ1388" s="86">
        <f t="shared" si="281"/>
        <v>368.82691672196398</v>
      </c>
      <c r="AK1388" s="86">
        <f t="shared" si="282"/>
        <v>0</v>
      </c>
      <c r="AL1388" s="310" t="e">
        <f>+VLOOKUP(B1388,#REF!,2,FALSE)</f>
        <v>#REF!</v>
      </c>
      <c r="AM1388" s="311" t="e">
        <f t="shared" si="283"/>
        <v>#REF!</v>
      </c>
      <c r="AN1388" s="312" t="e">
        <f t="shared" si="284"/>
        <v>#REF!</v>
      </c>
    </row>
    <row r="1389" spans="1:40" s="73" customFormat="1" x14ac:dyDescent="0.25">
      <c r="A1389" s="396"/>
      <c r="B1389" s="304" t="s">
        <v>2047</v>
      </c>
      <c r="D1389" s="74">
        <f>IFERROR(VLOOKUP(B1389,'REQ. PINTADO'!B:C,2,0),0)</f>
        <v>0</v>
      </c>
      <c r="E1389" s="305">
        <f t="shared" si="271"/>
        <v>496.66068906635519</v>
      </c>
      <c r="F1389" s="397" t="s">
        <v>166</v>
      </c>
      <c r="G1389" s="75" t="s">
        <v>147</v>
      </c>
      <c r="H1389" s="90">
        <v>56.08</v>
      </c>
      <c r="I1389" s="90">
        <v>8.7100000000000009</v>
      </c>
      <c r="J1389" s="76">
        <v>0.105</v>
      </c>
      <c r="K1389" s="306">
        <v>16.38</v>
      </c>
      <c r="L1389" s="78">
        <f t="shared" si="272"/>
        <v>14.869286340270358</v>
      </c>
      <c r="M1389" s="58">
        <f>+VLOOKUP(F1389,Material!$H$2:$M$17,6,FALSE)*H1389*I1389*(1+Material!$K$14)</f>
        <v>110.7085955698311</v>
      </c>
      <c r="N1389" s="79" t="str">
        <f t="shared" si="270"/>
        <v>T5.0</v>
      </c>
      <c r="O1389" s="80">
        <f>+VLOOKUP(N1389,[3]Material!$A$3:$B$58,2,FALSE)</f>
        <v>5000</v>
      </c>
      <c r="P1389" s="79" t="s">
        <v>42</v>
      </c>
      <c r="Q1389" s="79" t="str">
        <f>+VLOOKUP(F1389,[3]Material!$C$2:$E$12,2,FALSE)</f>
        <v>Cal 16</v>
      </c>
      <c r="R1389" s="81">
        <f>+IF(P1389="ACERO A36",VLOOKUP(Q1389,'[3]Velocidades Std 1500 w'!$B$2:$F$15,5,FALSE),IF(P1389="INOXIDABLE",VLOOKUP(Q1389,'[3]Velocidades Std 1500 w'!$B$17:$F$28,5,FALSE),IF(P1389="ALUMINIO",VLOOKUP(Q1389,'[3]Velocidades Std 1500 w'!$B$30:$F$38,5,FALSE))))</f>
        <v>9.1575091575091579E-7</v>
      </c>
      <c r="S1389" s="82">
        <f t="shared" si="273"/>
        <v>4.578754578754579E-3</v>
      </c>
      <c r="T1389" s="83">
        <f t="shared" si="274"/>
        <v>49.375841538461543</v>
      </c>
      <c r="U1389" s="307">
        <f t="shared" si="275"/>
        <v>14977.338599999999</v>
      </c>
      <c r="V1389" s="80">
        <f t="shared" si="276"/>
        <v>68.577557692307693</v>
      </c>
      <c r="W1389" s="98">
        <v>288</v>
      </c>
      <c r="X1389" s="84">
        <f>+IF(P1389="ACERO A36",VLOOKUP(Q1389,'[3]Tiempo Objeto'!$B$2:$C$12,2,FALSE),IF(P1389="INOXIDABLE",VLOOKUP(Q1389,'[3]Tiempo Objeto'!$B$14:$C$22,2,FALSE),IF(P1389="ALUMINIO",VLOOKUP(Q1389,'[3]Tiempo Objeto'!$B$24:$C$32,2,FALSE))))</f>
        <v>0.24666666666666667</v>
      </c>
      <c r="Y1389" s="84">
        <f t="shared" si="277"/>
        <v>71.040000000000006</v>
      </c>
      <c r="Z1389" s="80">
        <f t="shared" si="278"/>
        <v>98.666666666666686</v>
      </c>
      <c r="AA1389" s="100">
        <v>4</v>
      </c>
      <c r="AB1389" s="86">
        <f>+AA1389*Analisis!$J$6</f>
        <v>100</v>
      </c>
      <c r="AC1389" s="100"/>
      <c r="AD1389" s="85">
        <f t="shared" si="279"/>
        <v>0</v>
      </c>
      <c r="AE1389" s="86">
        <f>+AC1389*Analisis!$J$7</f>
        <v>0</v>
      </c>
      <c r="AF1389" s="308">
        <f>+H1389*0.0254*I1389*0.0254*2*(1+[3]Analisis!$G$2)</f>
        <v>0.78783197271999994</v>
      </c>
      <c r="AG1389" s="86">
        <f>+AF1389*Analisis!$J$8</f>
        <v>83.941620902904774</v>
      </c>
      <c r="AH1389" s="309">
        <f t="shared" si="280"/>
        <v>461.89444083171031</v>
      </c>
      <c r="AI1389" s="86">
        <f>+AH1389/(1-Analisis!G1159)</f>
        <v>461.89444083171031</v>
      </c>
      <c r="AJ1389" s="86">
        <f t="shared" si="281"/>
        <v>496.66068906635519</v>
      </c>
      <c r="AK1389" s="86">
        <f t="shared" si="282"/>
        <v>0</v>
      </c>
      <c r="AL1389" s="310" t="e">
        <f>+VLOOKUP(B1389,#REF!,2,FALSE)</f>
        <v>#REF!</v>
      </c>
      <c r="AM1389" s="311" t="e">
        <f t="shared" si="283"/>
        <v>#REF!</v>
      </c>
      <c r="AN1389" s="312" t="e">
        <f t="shared" si="284"/>
        <v>#REF!</v>
      </c>
    </row>
    <row r="1390" spans="1:40" s="73" customFormat="1" x14ac:dyDescent="0.25">
      <c r="A1390" s="396"/>
      <c r="B1390" s="304" t="s">
        <v>2048</v>
      </c>
      <c r="D1390" s="74">
        <f>IFERROR(VLOOKUP(B1390,'REQ. PINTADO'!B:C,2,0),0)</f>
        <v>0</v>
      </c>
      <c r="E1390" s="305">
        <f t="shared" si="271"/>
        <v>320.88925209281723</v>
      </c>
      <c r="F1390" s="397" t="s">
        <v>166</v>
      </c>
      <c r="G1390" s="75" t="s">
        <v>147</v>
      </c>
      <c r="H1390" s="90">
        <v>12.08</v>
      </c>
      <c r="I1390" s="90">
        <v>8.7100000000000009</v>
      </c>
      <c r="J1390" s="76">
        <v>0.105</v>
      </c>
      <c r="K1390" s="306">
        <v>16.38</v>
      </c>
      <c r="L1390" s="78">
        <f t="shared" si="272"/>
        <v>3.2029418507572389</v>
      </c>
      <c r="M1390" s="58">
        <f>+VLOOKUP(F1390,Material!$H$2:$M$17,6,FALSE)*H1390*I1390*(1+Material!$K$14)</f>
        <v>23.847357961547075</v>
      </c>
      <c r="N1390" s="79" t="str">
        <f t="shared" si="270"/>
        <v>T5.0</v>
      </c>
      <c r="O1390" s="80">
        <f>+VLOOKUP(N1390,[3]Material!$A$3:$B$58,2,FALSE)</f>
        <v>5000</v>
      </c>
      <c r="P1390" s="79" t="s">
        <v>42</v>
      </c>
      <c r="Q1390" s="79" t="str">
        <f>+VLOOKUP(F1390,[3]Material!$C$2:$E$12,2,FALSE)</f>
        <v>Cal 16</v>
      </c>
      <c r="R1390" s="81">
        <f>+IF(P1390="ACERO A36",VLOOKUP(Q1390,'[3]Velocidades Std 1500 w'!$B$2:$F$15,5,FALSE),IF(P1390="INOXIDABLE",VLOOKUP(Q1390,'[3]Velocidades Std 1500 w'!$B$17:$F$28,5,FALSE),IF(P1390="ALUMINIO",VLOOKUP(Q1390,'[3]Velocidades Std 1500 w'!$B$30:$F$38,5,FALSE))))</f>
        <v>9.1575091575091579E-7</v>
      </c>
      <c r="S1390" s="82">
        <f t="shared" si="273"/>
        <v>4.578754578754579E-3</v>
      </c>
      <c r="T1390" s="83">
        <f t="shared" si="274"/>
        <v>41.638610769230766</v>
      </c>
      <c r="U1390" s="307">
        <f t="shared" si="275"/>
        <v>12630.3786</v>
      </c>
      <c r="V1390" s="80">
        <f t="shared" si="276"/>
        <v>57.831403846153847</v>
      </c>
      <c r="W1390" s="98">
        <v>288</v>
      </c>
      <c r="X1390" s="84">
        <f>+IF(P1390="ACERO A36",VLOOKUP(Q1390,'[3]Tiempo Objeto'!$B$2:$C$12,2,FALSE),IF(P1390="INOXIDABLE",VLOOKUP(Q1390,'[3]Tiempo Objeto'!$B$14:$C$22,2,FALSE),IF(P1390="ALUMINIO",VLOOKUP(Q1390,'[3]Tiempo Objeto'!$B$24:$C$32,2,FALSE))))</f>
        <v>0.24666666666666667</v>
      </c>
      <c r="Y1390" s="84">
        <f t="shared" si="277"/>
        <v>71.040000000000006</v>
      </c>
      <c r="Z1390" s="80">
        <f t="shared" si="278"/>
        <v>98.666666666666686</v>
      </c>
      <c r="AA1390" s="100">
        <v>4</v>
      </c>
      <c r="AB1390" s="86">
        <f>+AA1390*Analisis!$J$6</f>
        <v>100</v>
      </c>
      <c r="AC1390" s="100"/>
      <c r="AD1390" s="85">
        <f t="shared" si="279"/>
        <v>0</v>
      </c>
      <c r="AE1390" s="86">
        <f>+AC1390*Analisis!$J$7</f>
        <v>0</v>
      </c>
      <c r="AF1390" s="308">
        <f>+H1390*0.0254*I1390*0.0254*2*(1+[3]Analisis!$G$2)</f>
        <v>0.16970417672000002</v>
      </c>
      <c r="AG1390" s="86">
        <f>+AF1390*Analisis!$J$8</f>
        <v>18.08157597195239</v>
      </c>
      <c r="AH1390" s="309">
        <f t="shared" si="280"/>
        <v>298.42700444631998</v>
      </c>
      <c r="AI1390" s="86">
        <f>+AH1390/(1-Analisis!G1160)</f>
        <v>298.42700444631998</v>
      </c>
      <c r="AJ1390" s="86">
        <f t="shared" si="281"/>
        <v>320.88925209281723</v>
      </c>
      <c r="AK1390" s="86">
        <f t="shared" si="282"/>
        <v>0</v>
      </c>
      <c r="AL1390" s="310" t="e">
        <f>+VLOOKUP(B1390,#REF!,2,FALSE)</f>
        <v>#REF!</v>
      </c>
      <c r="AM1390" s="311" t="e">
        <f t="shared" si="283"/>
        <v>#REF!</v>
      </c>
      <c r="AN1390" s="312" t="e">
        <f t="shared" si="284"/>
        <v>#REF!</v>
      </c>
    </row>
    <row r="1391" spans="1:40" s="73" customFormat="1" x14ac:dyDescent="0.25">
      <c r="A1391" s="396"/>
      <c r="B1391" s="304" t="s">
        <v>2049</v>
      </c>
      <c r="D1391" s="74">
        <f>IFERROR(VLOOKUP(B1391,'REQ. PINTADO'!B:C,2,0),0)</f>
        <v>0</v>
      </c>
      <c r="E1391" s="305">
        <f t="shared" si="271"/>
        <v>344.85808440739061</v>
      </c>
      <c r="F1391" s="397" t="s">
        <v>166</v>
      </c>
      <c r="G1391" s="75" t="s">
        <v>147</v>
      </c>
      <c r="H1391" s="90">
        <v>18.079999999999998</v>
      </c>
      <c r="I1391" s="90">
        <v>8.7100000000000009</v>
      </c>
      <c r="J1391" s="76">
        <v>0.105</v>
      </c>
      <c r="K1391" s="306">
        <v>16.38</v>
      </c>
      <c r="L1391" s="78">
        <f t="shared" si="272"/>
        <v>4.7938070084181188</v>
      </c>
      <c r="M1391" s="58">
        <f>+VLOOKUP(F1391,Material!$H$2:$M$17,6,FALSE)*H1391*I1391*(1+Material!$K$14)</f>
        <v>35.692072180858531</v>
      </c>
      <c r="N1391" s="79" t="str">
        <f t="shared" si="270"/>
        <v>T5.0</v>
      </c>
      <c r="O1391" s="80">
        <f>+VLOOKUP(N1391,[3]Material!$A$3:$B$58,2,FALSE)</f>
        <v>5000</v>
      </c>
      <c r="P1391" s="79" t="s">
        <v>42</v>
      </c>
      <c r="Q1391" s="79" t="str">
        <f>+VLOOKUP(F1391,[3]Material!$C$2:$E$12,2,FALSE)</f>
        <v>Cal 16</v>
      </c>
      <c r="R1391" s="81">
        <f>+IF(P1391="ACERO A36",VLOOKUP(Q1391,'[3]Velocidades Std 1500 w'!$B$2:$F$15,5,FALSE),IF(P1391="INOXIDABLE",VLOOKUP(Q1391,'[3]Velocidades Std 1500 w'!$B$17:$F$28,5,FALSE),IF(P1391="ALUMINIO",VLOOKUP(Q1391,'[3]Velocidades Std 1500 w'!$B$30:$F$38,5,FALSE))))</f>
        <v>9.1575091575091579E-7</v>
      </c>
      <c r="S1391" s="82">
        <f t="shared" si="273"/>
        <v>4.578754578754579E-3</v>
      </c>
      <c r="T1391" s="83">
        <f t="shared" si="274"/>
        <v>42.693687692307691</v>
      </c>
      <c r="U1391" s="307">
        <f t="shared" si="275"/>
        <v>12950.418599999999</v>
      </c>
      <c r="V1391" s="80">
        <f t="shared" si="276"/>
        <v>59.296788461538462</v>
      </c>
      <c r="W1391" s="98">
        <v>288</v>
      </c>
      <c r="X1391" s="84">
        <f>+IF(P1391="ACERO A36",VLOOKUP(Q1391,'[3]Tiempo Objeto'!$B$2:$C$12,2,FALSE),IF(P1391="INOXIDABLE",VLOOKUP(Q1391,'[3]Tiempo Objeto'!$B$14:$C$22,2,FALSE),IF(P1391="ALUMINIO",VLOOKUP(Q1391,'[3]Tiempo Objeto'!$B$24:$C$32,2,FALSE))))</f>
        <v>0.24666666666666667</v>
      </c>
      <c r="Y1391" s="84">
        <f t="shared" si="277"/>
        <v>71.040000000000006</v>
      </c>
      <c r="Z1391" s="80">
        <f t="shared" si="278"/>
        <v>98.666666666666686</v>
      </c>
      <c r="AA1391" s="100">
        <v>4</v>
      </c>
      <c r="AB1391" s="86">
        <f>+AA1391*Analisis!$J$6</f>
        <v>100</v>
      </c>
      <c r="AC1391" s="100"/>
      <c r="AD1391" s="85">
        <f t="shared" si="279"/>
        <v>0</v>
      </c>
      <c r="AE1391" s="86">
        <f>+AC1391*Analisis!$J$7</f>
        <v>0</v>
      </c>
      <c r="AF1391" s="308">
        <f>+H1391*0.0254*I1391*0.0254*2*(1+[3]Analisis!$G$2)</f>
        <v>0.25399433071999994</v>
      </c>
      <c r="AG1391" s="86">
        <f>+AF1391*Analisis!$J$8</f>
        <v>27.062491189809524</v>
      </c>
      <c r="AH1391" s="309">
        <f t="shared" si="280"/>
        <v>320.71801849887322</v>
      </c>
      <c r="AI1391" s="86">
        <f>+AH1391/(1-Analisis!G1161)</f>
        <v>320.71801849887322</v>
      </c>
      <c r="AJ1391" s="86">
        <f t="shared" si="281"/>
        <v>344.85808440739061</v>
      </c>
      <c r="AK1391" s="86">
        <f t="shared" si="282"/>
        <v>0</v>
      </c>
      <c r="AL1391" s="310" t="e">
        <f>+VLOOKUP(B1391,#REF!,2,FALSE)</f>
        <v>#REF!</v>
      </c>
      <c r="AM1391" s="311" t="e">
        <f t="shared" si="283"/>
        <v>#REF!</v>
      </c>
      <c r="AN1391" s="312" t="e">
        <f t="shared" si="284"/>
        <v>#REF!</v>
      </c>
    </row>
    <row r="1392" spans="1:40" s="73" customFormat="1" x14ac:dyDescent="0.25">
      <c r="A1392" s="396"/>
      <c r="B1392" s="304" t="s">
        <v>2050</v>
      </c>
      <c r="D1392" s="74">
        <f>IFERROR(VLOOKUP(B1392,'REQ. PINTADO'!B:C,2,0),0)</f>
        <v>0</v>
      </c>
      <c r="E1392" s="305">
        <f t="shared" si="271"/>
        <v>376.81652749348842</v>
      </c>
      <c r="F1392" s="397" t="s">
        <v>166</v>
      </c>
      <c r="G1392" s="75" t="s">
        <v>147</v>
      </c>
      <c r="H1392" s="90">
        <v>26.08</v>
      </c>
      <c r="I1392" s="90">
        <v>8.7100000000000009</v>
      </c>
      <c r="J1392" s="76">
        <v>0.105</v>
      </c>
      <c r="K1392" s="306">
        <v>16.38</v>
      </c>
      <c r="L1392" s="78">
        <f t="shared" si="272"/>
        <v>6.9149605519659589</v>
      </c>
      <c r="M1392" s="58">
        <f>+VLOOKUP(F1392,Material!$H$2:$M$17,6,FALSE)*H1392*I1392*(1+Material!$K$14)</f>
        <v>51.48502447327381</v>
      </c>
      <c r="N1392" s="79" t="str">
        <f t="shared" si="270"/>
        <v>T5.0</v>
      </c>
      <c r="O1392" s="80">
        <f>+VLOOKUP(N1392,[3]Material!$A$3:$B$58,2,FALSE)</f>
        <v>5000</v>
      </c>
      <c r="P1392" s="79" t="s">
        <v>42</v>
      </c>
      <c r="Q1392" s="79" t="str">
        <f>+VLOOKUP(F1392,[3]Material!$C$2:$E$12,2,FALSE)</f>
        <v>Cal 16</v>
      </c>
      <c r="R1392" s="81">
        <f>+IF(P1392="ACERO A36",VLOOKUP(Q1392,'[3]Velocidades Std 1500 w'!$B$2:$F$15,5,FALSE),IF(P1392="INOXIDABLE",VLOOKUP(Q1392,'[3]Velocidades Std 1500 w'!$B$17:$F$28,5,FALSE),IF(P1392="ALUMINIO",VLOOKUP(Q1392,'[3]Velocidades Std 1500 w'!$B$30:$F$38,5,FALSE))))</f>
        <v>9.1575091575091579E-7</v>
      </c>
      <c r="S1392" s="82">
        <f t="shared" si="273"/>
        <v>4.578754578754579E-3</v>
      </c>
      <c r="T1392" s="83">
        <f t="shared" si="274"/>
        <v>44.100456923076926</v>
      </c>
      <c r="U1392" s="307">
        <f t="shared" si="275"/>
        <v>13377.1386</v>
      </c>
      <c r="V1392" s="80">
        <f t="shared" si="276"/>
        <v>61.25063461538462</v>
      </c>
      <c r="W1392" s="98">
        <v>288</v>
      </c>
      <c r="X1392" s="84">
        <f>+IF(P1392="ACERO A36",VLOOKUP(Q1392,'[3]Tiempo Objeto'!$B$2:$C$12,2,FALSE),IF(P1392="INOXIDABLE",VLOOKUP(Q1392,'[3]Tiempo Objeto'!$B$14:$C$22,2,FALSE),IF(P1392="ALUMINIO",VLOOKUP(Q1392,'[3]Tiempo Objeto'!$B$24:$C$32,2,FALSE))))</f>
        <v>0.24666666666666667</v>
      </c>
      <c r="Y1392" s="84">
        <f t="shared" si="277"/>
        <v>71.040000000000006</v>
      </c>
      <c r="Z1392" s="80">
        <f t="shared" si="278"/>
        <v>98.666666666666686</v>
      </c>
      <c r="AA1392" s="100">
        <v>4</v>
      </c>
      <c r="AB1392" s="86">
        <f>+AA1392*Analisis!$J$6</f>
        <v>100</v>
      </c>
      <c r="AC1392" s="100"/>
      <c r="AD1392" s="85">
        <f t="shared" si="279"/>
        <v>0</v>
      </c>
      <c r="AE1392" s="86">
        <f>+AC1392*Analisis!$J$7</f>
        <v>0</v>
      </c>
      <c r="AF1392" s="308">
        <f>+H1392*0.0254*I1392*0.0254*2*(1+[3]Analisis!$G$2)</f>
        <v>0.36638120271999997</v>
      </c>
      <c r="AG1392" s="86">
        <f>+AF1392*Analisis!$J$8</f>
        <v>39.037044813619055</v>
      </c>
      <c r="AH1392" s="309">
        <f t="shared" si="280"/>
        <v>350.43937056894418</v>
      </c>
      <c r="AI1392" s="86">
        <f>+AH1392/(1-Analisis!G1162)</f>
        <v>350.43937056894418</v>
      </c>
      <c r="AJ1392" s="86">
        <f t="shared" si="281"/>
        <v>376.81652749348842</v>
      </c>
      <c r="AK1392" s="86">
        <f t="shared" si="282"/>
        <v>0</v>
      </c>
      <c r="AL1392" s="310" t="e">
        <f>+VLOOKUP(B1392,#REF!,2,FALSE)</f>
        <v>#REF!</v>
      </c>
      <c r="AM1392" s="311" t="e">
        <f t="shared" si="283"/>
        <v>#REF!</v>
      </c>
      <c r="AN1392" s="312" t="e">
        <f t="shared" si="284"/>
        <v>#REF!</v>
      </c>
    </row>
    <row r="1393" spans="1:40" s="73" customFormat="1" x14ac:dyDescent="0.25">
      <c r="A1393" s="396"/>
      <c r="B1393" s="304" t="s">
        <v>2051</v>
      </c>
      <c r="D1393" s="74">
        <f>IFERROR(VLOOKUP(B1393,'REQ. PINTADO'!B:C,2,0),0)</f>
        <v>0</v>
      </c>
      <c r="E1393" s="305">
        <f t="shared" si="271"/>
        <v>392.79574903653736</v>
      </c>
      <c r="F1393" s="397" t="s">
        <v>166</v>
      </c>
      <c r="G1393" s="75" t="s">
        <v>147</v>
      </c>
      <c r="H1393" s="90">
        <v>30.08</v>
      </c>
      <c r="I1393" s="90">
        <v>8.7100000000000009</v>
      </c>
      <c r="J1393" s="76">
        <v>0.105</v>
      </c>
      <c r="K1393" s="306">
        <v>16.38</v>
      </c>
      <c r="L1393" s="78">
        <f t="shared" si="272"/>
        <v>7.9755373237398794</v>
      </c>
      <c r="M1393" s="58">
        <f>+VLOOKUP(F1393,Material!$H$2:$M$17,6,FALSE)*H1393*I1393*(1+Material!$K$14)</f>
        <v>59.38150061948145</v>
      </c>
      <c r="N1393" s="79" t="str">
        <f t="shared" si="270"/>
        <v>T5.0</v>
      </c>
      <c r="O1393" s="80">
        <f>+VLOOKUP(N1393,[3]Material!$A$3:$B$58,2,FALSE)</f>
        <v>5000</v>
      </c>
      <c r="P1393" s="79" t="s">
        <v>42</v>
      </c>
      <c r="Q1393" s="79" t="str">
        <f>+VLOOKUP(F1393,[3]Material!$C$2:$E$12,2,FALSE)</f>
        <v>Cal 16</v>
      </c>
      <c r="R1393" s="81">
        <f>+IF(P1393="ACERO A36",VLOOKUP(Q1393,'[3]Velocidades Std 1500 w'!$B$2:$F$15,5,FALSE),IF(P1393="INOXIDABLE",VLOOKUP(Q1393,'[3]Velocidades Std 1500 w'!$B$17:$F$28,5,FALSE),IF(P1393="ALUMINIO",VLOOKUP(Q1393,'[3]Velocidades Std 1500 w'!$B$30:$F$38,5,FALSE))))</f>
        <v>9.1575091575091579E-7</v>
      </c>
      <c r="S1393" s="82">
        <f t="shared" si="273"/>
        <v>4.578754578754579E-3</v>
      </c>
      <c r="T1393" s="83">
        <f t="shared" si="274"/>
        <v>44.80384153846154</v>
      </c>
      <c r="U1393" s="307">
        <f t="shared" si="275"/>
        <v>13590.498599999999</v>
      </c>
      <c r="V1393" s="80">
        <f t="shared" si="276"/>
        <v>62.227557692307691</v>
      </c>
      <c r="W1393" s="98">
        <v>288</v>
      </c>
      <c r="X1393" s="84">
        <f>+IF(P1393="ACERO A36",VLOOKUP(Q1393,'[3]Tiempo Objeto'!$B$2:$C$12,2,FALSE),IF(P1393="INOXIDABLE",VLOOKUP(Q1393,'[3]Tiempo Objeto'!$B$14:$C$22,2,FALSE),IF(P1393="ALUMINIO",VLOOKUP(Q1393,'[3]Tiempo Objeto'!$B$24:$C$32,2,FALSE))))</f>
        <v>0.24666666666666667</v>
      </c>
      <c r="Y1393" s="84">
        <f t="shared" si="277"/>
        <v>71.040000000000006</v>
      </c>
      <c r="Z1393" s="80">
        <f t="shared" si="278"/>
        <v>98.666666666666686</v>
      </c>
      <c r="AA1393" s="100">
        <v>4</v>
      </c>
      <c r="AB1393" s="86">
        <f>+AA1393*Analisis!$J$6</f>
        <v>100</v>
      </c>
      <c r="AC1393" s="100"/>
      <c r="AD1393" s="85">
        <f t="shared" si="279"/>
        <v>0</v>
      </c>
      <c r="AE1393" s="86">
        <f>+AC1393*Analisis!$J$7</f>
        <v>0</v>
      </c>
      <c r="AF1393" s="308">
        <f>+H1393*0.0254*I1393*0.0254*2*(1+[3]Analisis!$G$2)</f>
        <v>0.42257463871999995</v>
      </c>
      <c r="AG1393" s="86">
        <f>+AF1393*Analisis!$J$8</f>
        <v>45.024321625523818</v>
      </c>
      <c r="AH1393" s="309">
        <f t="shared" si="280"/>
        <v>365.30004660397969</v>
      </c>
      <c r="AI1393" s="86">
        <f>+AH1393/(1-Analisis!G1163)</f>
        <v>365.30004660397969</v>
      </c>
      <c r="AJ1393" s="86">
        <f t="shared" si="281"/>
        <v>392.79574903653736</v>
      </c>
      <c r="AK1393" s="86">
        <f t="shared" si="282"/>
        <v>0</v>
      </c>
      <c r="AL1393" s="310" t="e">
        <f>+VLOOKUP(B1393,#REF!,2,FALSE)</f>
        <v>#REF!</v>
      </c>
      <c r="AM1393" s="311" t="e">
        <f t="shared" si="283"/>
        <v>#REF!</v>
      </c>
      <c r="AN1393" s="312" t="e">
        <f t="shared" si="284"/>
        <v>#REF!</v>
      </c>
    </row>
    <row r="1394" spans="1:40" s="73" customFormat="1" x14ac:dyDescent="0.25">
      <c r="A1394" s="396"/>
      <c r="B1394" s="304" t="s">
        <v>2052</v>
      </c>
      <c r="D1394" s="74">
        <f>IFERROR(VLOOKUP(B1394,'REQ. PINTADO'!B:C,2,0),0)</f>
        <v>0</v>
      </c>
      <c r="E1394" s="305">
        <f t="shared" si="271"/>
        <v>416.76458135111062</v>
      </c>
      <c r="F1394" s="397" t="s">
        <v>166</v>
      </c>
      <c r="G1394" s="75" t="s">
        <v>147</v>
      </c>
      <c r="H1394" s="90">
        <v>36.08</v>
      </c>
      <c r="I1394" s="90">
        <v>8.7100000000000009</v>
      </c>
      <c r="J1394" s="76">
        <v>0.105</v>
      </c>
      <c r="K1394" s="306">
        <v>16.38</v>
      </c>
      <c r="L1394" s="78">
        <f t="shared" si="272"/>
        <v>9.5664024814007593</v>
      </c>
      <c r="M1394" s="58">
        <f>+VLOOKUP(F1394,Material!$H$2:$M$17,6,FALSE)*H1394*I1394*(1+Material!$K$14)</f>
        <v>71.226214838792913</v>
      </c>
      <c r="N1394" s="79" t="str">
        <f t="shared" si="270"/>
        <v>T5.0</v>
      </c>
      <c r="O1394" s="80">
        <f>+VLOOKUP(N1394,[3]Material!$A$3:$B$58,2,FALSE)</f>
        <v>5000</v>
      </c>
      <c r="P1394" s="79" t="s">
        <v>42</v>
      </c>
      <c r="Q1394" s="79" t="str">
        <f>+VLOOKUP(F1394,[3]Material!$C$2:$E$12,2,FALSE)</f>
        <v>Cal 16</v>
      </c>
      <c r="R1394" s="81">
        <f>+IF(P1394="ACERO A36",VLOOKUP(Q1394,'[3]Velocidades Std 1500 w'!$B$2:$F$15,5,FALSE),IF(P1394="INOXIDABLE",VLOOKUP(Q1394,'[3]Velocidades Std 1500 w'!$B$17:$F$28,5,FALSE),IF(P1394="ALUMINIO",VLOOKUP(Q1394,'[3]Velocidades Std 1500 w'!$B$30:$F$38,5,FALSE))))</f>
        <v>9.1575091575091579E-7</v>
      </c>
      <c r="S1394" s="82">
        <f t="shared" si="273"/>
        <v>4.578754578754579E-3</v>
      </c>
      <c r="T1394" s="83">
        <f t="shared" si="274"/>
        <v>45.858918461538465</v>
      </c>
      <c r="U1394" s="307">
        <f t="shared" si="275"/>
        <v>13910.5386</v>
      </c>
      <c r="V1394" s="80">
        <f t="shared" si="276"/>
        <v>63.692942307692313</v>
      </c>
      <c r="W1394" s="98">
        <v>288</v>
      </c>
      <c r="X1394" s="84">
        <f>+IF(P1394="ACERO A36",VLOOKUP(Q1394,'[3]Tiempo Objeto'!$B$2:$C$12,2,FALSE),IF(P1394="INOXIDABLE",VLOOKUP(Q1394,'[3]Tiempo Objeto'!$B$14:$C$22,2,FALSE),IF(P1394="ALUMINIO",VLOOKUP(Q1394,'[3]Tiempo Objeto'!$B$24:$C$32,2,FALSE))))</f>
        <v>0.24666666666666667</v>
      </c>
      <c r="Y1394" s="84">
        <f t="shared" si="277"/>
        <v>71.040000000000006</v>
      </c>
      <c r="Z1394" s="80">
        <f t="shared" si="278"/>
        <v>98.666666666666686</v>
      </c>
      <c r="AA1394" s="100">
        <v>4</v>
      </c>
      <c r="AB1394" s="86">
        <f>+AA1394*Analisis!$J$6</f>
        <v>100</v>
      </c>
      <c r="AC1394" s="100"/>
      <c r="AD1394" s="85">
        <f t="shared" si="279"/>
        <v>0</v>
      </c>
      <c r="AE1394" s="86">
        <f>+AC1394*Analisis!$J$7</f>
        <v>0</v>
      </c>
      <c r="AF1394" s="308">
        <f>+H1394*0.0254*I1394*0.0254*2*(1+[3]Analisis!$G$2)</f>
        <v>0.50686479271999996</v>
      </c>
      <c r="AG1394" s="86">
        <f>+AF1394*Analisis!$J$8</f>
        <v>54.005236843380963</v>
      </c>
      <c r="AH1394" s="309">
        <f t="shared" si="280"/>
        <v>387.59106065653287</v>
      </c>
      <c r="AI1394" s="86">
        <f>+AH1394/(1-Analisis!G1164)</f>
        <v>387.59106065653287</v>
      </c>
      <c r="AJ1394" s="86">
        <f t="shared" si="281"/>
        <v>416.76458135111062</v>
      </c>
      <c r="AK1394" s="86">
        <f t="shared" si="282"/>
        <v>0</v>
      </c>
      <c r="AL1394" s="310" t="e">
        <f>+VLOOKUP(B1394,#REF!,2,FALSE)</f>
        <v>#REF!</v>
      </c>
      <c r="AM1394" s="311" t="e">
        <f t="shared" si="283"/>
        <v>#REF!</v>
      </c>
      <c r="AN1394" s="312" t="e">
        <f t="shared" si="284"/>
        <v>#REF!</v>
      </c>
    </row>
    <row r="1395" spans="1:40" s="73" customFormat="1" x14ac:dyDescent="0.25">
      <c r="A1395" s="396"/>
      <c r="B1395" s="304" t="s">
        <v>2053</v>
      </c>
      <c r="D1395" s="74">
        <f>IFERROR(VLOOKUP(B1395,'REQ. PINTADO'!B:C,2,0),0)</f>
        <v>0</v>
      </c>
      <c r="E1395" s="305">
        <f t="shared" si="271"/>
        <v>448.72302443720844</v>
      </c>
      <c r="F1395" s="397" t="s">
        <v>166</v>
      </c>
      <c r="G1395" s="75" t="s">
        <v>147</v>
      </c>
      <c r="H1395" s="90">
        <v>44.08</v>
      </c>
      <c r="I1395" s="90">
        <v>8.7100000000000009</v>
      </c>
      <c r="J1395" s="76">
        <v>0.105</v>
      </c>
      <c r="K1395" s="306">
        <v>16.38</v>
      </c>
      <c r="L1395" s="78">
        <f t="shared" si="272"/>
        <v>11.687556024948597</v>
      </c>
      <c r="M1395" s="58">
        <f>+VLOOKUP(F1395,Material!$H$2:$M$17,6,FALSE)*H1395*I1395*(1+Material!$K$14)</f>
        <v>87.019167131208178</v>
      </c>
      <c r="N1395" s="79" t="str">
        <f t="shared" si="270"/>
        <v>T5.0</v>
      </c>
      <c r="O1395" s="80">
        <f>+VLOOKUP(N1395,[3]Material!$A$3:$B$58,2,FALSE)</f>
        <v>5000</v>
      </c>
      <c r="P1395" s="79" t="s">
        <v>42</v>
      </c>
      <c r="Q1395" s="79" t="str">
        <f>+VLOOKUP(F1395,[3]Material!$C$2:$E$12,2,FALSE)</f>
        <v>Cal 16</v>
      </c>
      <c r="R1395" s="81">
        <f>+IF(P1395="ACERO A36",VLOOKUP(Q1395,'[3]Velocidades Std 1500 w'!$B$2:$F$15,5,FALSE),IF(P1395="INOXIDABLE",VLOOKUP(Q1395,'[3]Velocidades Std 1500 w'!$B$17:$F$28,5,FALSE),IF(P1395="ALUMINIO",VLOOKUP(Q1395,'[3]Velocidades Std 1500 w'!$B$30:$F$38,5,FALSE))))</f>
        <v>9.1575091575091579E-7</v>
      </c>
      <c r="S1395" s="82">
        <f t="shared" si="273"/>
        <v>4.578754578754579E-3</v>
      </c>
      <c r="T1395" s="83">
        <f t="shared" si="274"/>
        <v>47.265687692307694</v>
      </c>
      <c r="U1395" s="307">
        <f t="shared" si="275"/>
        <v>14337.258600000001</v>
      </c>
      <c r="V1395" s="80">
        <f t="shared" si="276"/>
        <v>65.646788461538463</v>
      </c>
      <c r="W1395" s="98">
        <v>288</v>
      </c>
      <c r="X1395" s="84">
        <f>+IF(P1395="ACERO A36",VLOOKUP(Q1395,'[3]Tiempo Objeto'!$B$2:$C$12,2,FALSE),IF(P1395="INOXIDABLE",VLOOKUP(Q1395,'[3]Tiempo Objeto'!$B$14:$C$22,2,FALSE),IF(P1395="ALUMINIO",VLOOKUP(Q1395,'[3]Tiempo Objeto'!$B$24:$C$32,2,FALSE))))</f>
        <v>0.24666666666666667</v>
      </c>
      <c r="Y1395" s="84">
        <f t="shared" si="277"/>
        <v>71.040000000000006</v>
      </c>
      <c r="Z1395" s="80">
        <f t="shared" si="278"/>
        <v>98.666666666666686</v>
      </c>
      <c r="AA1395" s="100">
        <v>4</v>
      </c>
      <c r="AB1395" s="86">
        <f>+AA1395*Analisis!$J$6</f>
        <v>100</v>
      </c>
      <c r="AC1395" s="100"/>
      <c r="AD1395" s="85">
        <f t="shared" si="279"/>
        <v>0</v>
      </c>
      <c r="AE1395" s="86">
        <f>+AC1395*Analisis!$J$7</f>
        <v>0</v>
      </c>
      <c r="AF1395" s="308">
        <f>+H1395*0.0254*I1395*0.0254*2*(1+[3]Analisis!$G$2)</f>
        <v>0.61925166472000004</v>
      </c>
      <c r="AG1395" s="86">
        <f>+AF1395*Analisis!$J$8</f>
        <v>65.979790467190497</v>
      </c>
      <c r="AH1395" s="309">
        <f t="shared" si="280"/>
        <v>417.31241272660384</v>
      </c>
      <c r="AI1395" s="86">
        <f>+AH1395/(1-Analisis!G1165)</f>
        <v>417.31241272660384</v>
      </c>
      <c r="AJ1395" s="86">
        <f t="shared" si="281"/>
        <v>448.72302443720844</v>
      </c>
      <c r="AK1395" s="86">
        <f t="shared" si="282"/>
        <v>0</v>
      </c>
      <c r="AL1395" s="310" t="e">
        <f>+VLOOKUP(B1395,#REF!,2,FALSE)</f>
        <v>#REF!</v>
      </c>
      <c r="AM1395" s="311" t="e">
        <f t="shared" si="283"/>
        <v>#REF!</v>
      </c>
      <c r="AN1395" s="312" t="e">
        <f t="shared" si="284"/>
        <v>#REF!</v>
      </c>
    </row>
    <row r="1396" spans="1:40" s="73" customFormat="1" x14ac:dyDescent="0.25">
      <c r="A1396" s="396"/>
      <c r="B1396" s="304" t="s">
        <v>2054</v>
      </c>
      <c r="D1396" s="74">
        <f>IFERROR(VLOOKUP(B1396,'REQ. PINTADO'!B:C,2,0),0)</f>
        <v>0</v>
      </c>
      <c r="E1396" s="305">
        <f t="shared" si="271"/>
        <v>472.69185675178176</v>
      </c>
      <c r="F1396" s="397" t="s">
        <v>166</v>
      </c>
      <c r="G1396" s="75" t="s">
        <v>147</v>
      </c>
      <c r="H1396" s="90">
        <v>50.08</v>
      </c>
      <c r="I1396" s="90">
        <v>8.7100000000000009</v>
      </c>
      <c r="J1396" s="76">
        <v>0.105</v>
      </c>
      <c r="K1396" s="306">
        <v>16.38</v>
      </c>
      <c r="L1396" s="78">
        <f t="shared" si="272"/>
        <v>13.278421182609478</v>
      </c>
      <c r="M1396" s="58">
        <f>+VLOOKUP(F1396,Material!$H$2:$M$17,6,FALSE)*H1396*I1396*(1+Material!$K$14)</f>
        <v>98.863881350519648</v>
      </c>
      <c r="N1396" s="79" t="str">
        <f t="shared" si="270"/>
        <v>T5.0</v>
      </c>
      <c r="O1396" s="80">
        <f>+VLOOKUP(N1396,[3]Material!$A$3:$B$58,2,FALSE)</f>
        <v>5000</v>
      </c>
      <c r="P1396" s="79" t="s">
        <v>42</v>
      </c>
      <c r="Q1396" s="79" t="str">
        <f>+VLOOKUP(F1396,[3]Material!$C$2:$E$12,2,FALSE)</f>
        <v>Cal 16</v>
      </c>
      <c r="R1396" s="81">
        <f>+IF(P1396="ACERO A36",VLOOKUP(Q1396,'[3]Velocidades Std 1500 w'!$B$2:$F$15,5,FALSE),IF(P1396="INOXIDABLE",VLOOKUP(Q1396,'[3]Velocidades Std 1500 w'!$B$17:$F$28,5,FALSE),IF(P1396="ALUMINIO",VLOOKUP(Q1396,'[3]Velocidades Std 1500 w'!$B$30:$F$38,5,FALSE))))</f>
        <v>9.1575091575091579E-7</v>
      </c>
      <c r="S1396" s="82">
        <f t="shared" si="273"/>
        <v>4.578754578754579E-3</v>
      </c>
      <c r="T1396" s="83">
        <f t="shared" si="274"/>
        <v>48.320764615384618</v>
      </c>
      <c r="U1396" s="307">
        <f t="shared" si="275"/>
        <v>14657.2986</v>
      </c>
      <c r="V1396" s="80">
        <f t="shared" si="276"/>
        <v>67.112173076923085</v>
      </c>
      <c r="W1396" s="98">
        <v>288</v>
      </c>
      <c r="X1396" s="84">
        <f>+IF(P1396="ACERO A36",VLOOKUP(Q1396,'[3]Tiempo Objeto'!$B$2:$C$12,2,FALSE),IF(P1396="INOXIDABLE",VLOOKUP(Q1396,'[3]Tiempo Objeto'!$B$14:$C$22,2,FALSE),IF(P1396="ALUMINIO",VLOOKUP(Q1396,'[3]Tiempo Objeto'!$B$24:$C$32,2,FALSE))))</f>
        <v>0.24666666666666667</v>
      </c>
      <c r="Y1396" s="84">
        <f t="shared" si="277"/>
        <v>71.040000000000006</v>
      </c>
      <c r="Z1396" s="80">
        <f t="shared" si="278"/>
        <v>98.666666666666686</v>
      </c>
      <c r="AA1396" s="100">
        <v>4</v>
      </c>
      <c r="AB1396" s="86">
        <f>+AA1396*Analisis!$J$6</f>
        <v>100</v>
      </c>
      <c r="AC1396" s="100"/>
      <c r="AD1396" s="85">
        <f t="shared" si="279"/>
        <v>0</v>
      </c>
      <c r="AE1396" s="86">
        <f>+AC1396*Analisis!$J$7</f>
        <v>0</v>
      </c>
      <c r="AF1396" s="308">
        <f>+H1396*0.0254*I1396*0.0254*2*(1+[3]Analisis!$G$2)</f>
        <v>0.70354181871999999</v>
      </c>
      <c r="AG1396" s="86">
        <f>+AF1396*Analisis!$J$8</f>
        <v>74.960705685047643</v>
      </c>
      <c r="AH1396" s="309">
        <f t="shared" si="280"/>
        <v>439.60342677915702</v>
      </c>
      <c r="AI1396" s="86">
        <f>+AH1396/(1-Analisis!G1166)</f>
        <v>439.60342677915702</v>
      </c>
      <c r="AJ1396" s="86">
        <f t="shared" si="281"/>
        <v>472.69185675178176</v>
      </c>
      <c r="AK1396" s="86">
        <f t="shared" si="282"/>
        <v>0</v>
      </c>
      <c r="AL1396" s="310" t="e">
        <f>+VLOOKUP(B1396,#REF!,2,FALSE)</f>
        <v>#REF!</v>
      </c>
      <c r="AM1396" s="311" t="e">
        <f t="shared" si="283"/>
        <v>#REF!</v>
      </c>
      <c r="AN1396" s="312" t="e">
        <f t="shared" si="284"/>
        <v>#REF!</v>
      </c>
    </row>
    <row r="1397" spans="1:40" s="73" customFormat="1" x14ac:dyDescent="0.25">
      <c r="A1397" s="396"/>
      <c r="B1397" s="304" t="s">
        <v>2055</v>
      </c>
      <c r="D1397" s="74">
        <f>IFERROR(VLOOKUP(B1397,'REQ. PINTADO'!B:C,2,0),0)</f>
        <v>0</v>
      </c>
      <c r="E1397" s="305">
        <f t="shared" ref="E1397:E1402" si="285">+AJ1397</f>
        <v>456.71263520873288</v>
      </c>
      <c r="F1397" s="397" t="s">
        <v>166</v>
      </c>
      <c r="G1397" s="75" t="s">
        <v>147</v>
      </c>
      <c r="H1397" s="90">
        <v>46.08</v>
      </c>
      <c r="I1397" s="90">
        <v>8.7100000000000009</v>
      </c>
      <c r="J1397" s="76">
        <v>0.105</v>
      </c>
      <c r="K1397" s="306">
        <v>16.38</v>
      </c>
      <c r="L1397" s="78">
        <f t="shared" ref="L1397:L1402" si="286">+M1397*2.2/K1397</f>
        <v>12.217844410835557</v>
      </c>
      <c r="M1397" s="58">
        <f>+VLOOKUP(F1397,Material!$H$2:$M$17,6,FALSE)*H1397*I1397*(1+Material!$K$14)</f>
        <v>90.967405204312001</v>
      </c>
      <c r="N1397" s="79" t="str">
        <f t="shared" si="270"/>
        <v>T5.0</v>
      </c>
      <c r="O1397" s="80">
        <f>+VLOOKUP(N1397,[3]Material!$A$3:$B$58,2,FALSE)</f>
        <v>5000</v>
      </c>
      <c r="P1397" s="79" t="s">
        <v>42</v>
      </c>
      <c r="Q1397" s="79" t="str">
        <f>+VLOOKUP(F1397,[3]Material!$C$2:$E$12,2,FALSE)</f>
        <v>Cal 16</v>
      </c>
      <c r="R1397" s="81">
        <f>+IF(P1397="ACERO A36",VLOOKUP(Q1397,'[3]Velocidades Std 1500 w'!$B$2:$F$15,5,FALSE),IF(P1397="INOXIDABLE",VLOOKUP(Q1397,'[3]Velocidades Std 1500 w'!$B$17:$F$28,5,FALSE),IF(P1397="ALUMINIO",VLOOKUP(Q1397,'[3]Velocidades Std 1500 w'!$B$30:$F$38,5,FALSE))))</f>
        <v>9.1575091575091579E-7</v>
      </c>
      <c r="S1397" s="82">
        <f t="shared" ref="S1397:S1402" si="287">+R1397*O1397</f>
        <v>4.578754578754579E-3</v>
      </c>
      <c r="T1397" s="83">
        <f t="shared" ref="T1397:T1402" si="288">+R1397*U1397*3600</f>
        <v>47.617380000000004</v>
      </c>
      <c r="U1397" s="307">
        <f t="shared" ref="U1397:U1402" si="289">(+I1397*2+H1397*2+W1397*1.5)*25.4*1.05</f>
        <v>14443.938599999999</v>
      </c>
      <c r="V1397" s="80">
        <f t="shared" ref="V1397:V1402" si="290">+U1397*S1397</f>
        <v>66.135249999999999</v>
      </c>
      <c r="W1397" s="98">
        <v>288</v>
      </c>
      <c r="X1397" s="84">
        <f>+IF(P1397="ACERO A36",VLOOKUP(Q1397,'[3]Tiempo Objeto'!$B$2:$C$12,2,FALSE),IF(P1397="INOXIDABLE",VLOOKUP(Q1397,'[3]Tiempo Objeto'!$B$14:$C$22,2,FALSE),IF(P1397="ALUMINIO",VLOOKUP(Q1397,'[3]Tiempo Objeto'!$B$24:$C$32,2,FALSE))))</f>
        <v>0.24666666666666667</v>
      </c>
      <c r="Y1397" s="84">
        <f t="shared" ref="Y1397:Y1402" si="291">+X1397*W1397</f>
        <v>71.040000000000006</v>
      </c>
      <c r="Z1397" s="80">
        <f t="shared" ref="Z1397:Z1402" si="292">+Y1397*O1397/3600</f>
        <v>98.666666666666686</v>
      </c>
      <c r="AA1397" s="100">
        <v>4</v>
      </c>
      <c r="AB1397" s="86">
        <f>+AA1397*Analisis!$J$6</f>
        <v>100</v>
      </c>
      <c r="AC1397" s="100"/>
      <c r="AD1397" s="85">
        <f t="shared" ref="AD1397:AD1402" si="293">30*AC1397+AC1397*$D1397*1.5</f>
        <v>0</v>
      </c>
      <c r="AE1397" s="86">
        <f>+AC1397*Analisis!$J$7</f>
        <v>0</v>
      </c>
      <c r="AF1397" s="308">
        <f>+H1397*0.0254*I1397*0.0254*2*(1+[3]Analisis!$G$2)</f>
        <v>0.64734838271999995</v>
      </c>
      <c r="AG1397" s="86">
        <f>+AF1397*Analisis!$J$8</f>
        <v>68.973428873142879</v>
      </c>
      <c r="AH1397" s="309">
        <f t="shared" ref="AH1397:AH1402" si="294">+AE1397+AB1397+Z1397+V1397+M1397+AG1397</f>
        <v>424.74275074412157</v>
      </c>
      <c r="AI1397" s="86">
        <f>+AH1397/(1-Analisis!G1167)</f>
        <v>424.74275074412157</v>
      </c>
      <c r="AJ1397" s="86">
        <f t="shared" ref="AJ1397:AJ1402" si="295">+AI1397/(1-0.07)</f>
        <v>456.71263520873288</v>
      </c>
      <c r="AK1397" s="86">
        <f t="shared" ref="AK1397:AK1402" si="296">+AJ1397*D1397</f>
        <v>0</v>
      </c>
      <c r="AL1397" s="310" t="e">
        <f>+VLOOKUP(B1397,#REF!,2,FALSE)</f>
        <v>#REF!</v>
      </c>
      <c r="AM1397" s="311" t="e">
        <f t="shared" ref="AM1397:AM1402" si="297">+AL1397-E1397</f>
        <v>#REF!</v>
      </c>
      <c r="AN1397" s="312" t="e">
        <f t="shared" ref="AN1397:AN1402" si="298">+AM1397/AL1397</f>
        <v>#REF!</v>
      </c>
    </row>
    <row r="1398" spans="1:40" s="73" customFormat="1" x14ac:dyDescent="0.25">
      <c r="A1398" s="396"/>
      <c r="B1398" s="304" t="s">
        <v>2056</v>
      </c>
      <c r="D1398" s="74">
        <f>IFERROR(VLOOKUP(B1398,'REQ. PINTADO'!B:C,2,0),0)</f>
        <v>0</v>
      </c>
      <c r="E1398" s="305">
        <f t="shared" si="285"/>
        <v>336.86847363586617</v>
      </c>
      <c r="F1398" s="397" t="s">
        <v>166</v>
      </c>
      <c r="G1398" s="75" t="s">
        <v>147</v>
      </c>
      <c r="H1398" s="90">
        <v>16.079999999999998</v>
      </c>
      <c r="I1398" s="90">
        <v>8.7100000000000009</v>
      </c>
      <c r="J1398" s="76">
        <v>0.105</v>
      </c>
      <c r="K1398" s="306">
        <v>16.38</v>
      </c>
      <c r="L1398" s="78">
        <f t="shared" si="286"/>
        <v>4.2635186225311585</v>
      </c>
      <c r="M1398" s="58">
        <f>+VLOOKUP(F1398,Material!$H$2:$M$17,6,FALSE)*H1398*I1398*(1+Material!$K$14)</f>
        <v>31.743834107754708</v>
      </c>
      <c r="N1398" s="79" t="str">
        <f t="shared" si="270"/>
        <v>T5.0</v>
      </c>
      <c r="O1398" s="80">
        <f>+VLOOKUP(N1398,[3]Material!$A$3:$B$58,2,FALSE)</f>
        <v>5000</v>
      </c>
      <c r="P1398" s="79" t="s">
        <v>42</v>
      </c>
      <c r="Q1398" s="79" t="str">
        <f>+VLOOKUP(F1398,[3]Material!$C$2:$E$12,2,FALSE)</f>
        <v>Cal 16</v>
      </c>
      <c r="R1398" s="81">
        <f>+IF(P1398="ACERO A36",VLOOKUP(Q1398,'[3]Velocidades Std 1500 w'!$B$2:$F$15,5,FALSE),IF(P1398="INOXIDABLE",VLOOKUP(Q1398,'[3]Velocidades Std 1500 w'!$B$17:$F$28,5,FALSE),IF(P1398="ALUMINIO",VLOOKUP(Q1398,'[3]Velocidades Std 1500 w'!$B$30:$F$38,5,FALSE))))</f>
        <v>9.1575091575091579E-7</v>
      </c>
      <c r="S1398" s="82">
        <f t="shared" si="287"/>
        <v>4.578754578754579E-3</v>
      </c>
      <c r="T1398" s="83">
        <f t="shared" si="288"/>
        <v>42.341995384615387</v>
      </c>
      <c r="U1398" s="307">
        <f t="shared" si="289"/>
        <v>12843.738600000001</v>
      </c>
      <c r="V1398" s="80">
        <f t="shared" si="290"/>
        <v>58.808326923076926</v>
      </c>
      <c r="W1398" s="98">
        <v>288</v>
      </c>
      <c r="X1398" s="84">
        <f>+IF(P1398="ACERO A36",VLOOKUP(Q1398,'[3]Tiempo Objeto'!$B$2:$C$12,2,FALSE),IF(P1398="INOXIDABLE",VLOOKUP(Q1398,'[3]Tiempo Objeto'!$B$14:$C$22,2,FALSE),IF(P1398="ALUMINIO",VLOOKUP(Q1398,'[3]Tiempo Objeto'!$B$24:$C$32,2,FALSE))))</f>
        <v>0.24666666666666667</v>
      </c>
      <c r="Y1398" s="84">
        <f t="shared" si="291"/>
        <v>71.040000000000006</v>
      </c>
      <c r="Z1398" s="80">
        <f t="shared" si="292"/>
        <v>98.666666666666686</v>
      </c>
      <c r="AA1398" s="100">
        <v>4</v>
      </c>
      <c r="AB1398" s="86">
        <f>+AA1398*Analisis!$J$6</f>
        <v>100</v>
      </c>
      <c r="AC1398" s="100"/>
      <c r="AD1398" s="85">
        <f t="shared" si="293"/>
        <v>0</v>
      </c>
      <c r="AE1398" s="86">
        <f>+AC1398*Analisis!$J$7</f>
        <v>0</v>
      </c>
      <c r="AF1398" s="308">
        <f>+H1398*0.0254*I1398*0.0254*2*(1+[3]Analisis!$G$2)</f>
        <v>0.22589761271999997</v>
      </c>
      <c r="AG1398" s="86">
        <f>+AF1398*Analisis!$J$8</f>
        <v>24.068852783857146</v>
      </c>
      <c r="AH1398" s="309">
        <f t="shared" si="294"/>
        <v>313.28768048135549</v>
      </c>
      <c r="AI1398" s="86">
        <f>+AH1398/(1-Analisis!G1168)</f>
        <v>313.28768048135549</v>
      </c>
      <c r="AJ1398" s="86">
        <f t="shared" si="295"/>
        <v>336.86847363586617</v>
      </c>
      <c r="AK1398" s="86">
        <f t="shared" si="296"/>
        <v>0</v>
      </c>
      <c r="AL1398" s="310" t="e">
        <f>+VLOOKUP(B1398,#REF!,2,FALSE)</f>
        <v>#REF!</v>
      </c>
      <c r="AM1398" s="311" t="e">
        <f t="shared" si="297"/>
        <v>#REF!</v>
      </c>
      <c r="AN1398" s="312" t="e">
        <f t="shared" si="298"/>
        <v>#REF!</v>
      </c>
    </row>
    <row r="1399" spans="1:40" s="73" customFormat="1" x14ac:dyDescent="0.25">
      <c r="A1399" s="396"/>
      <c r="B1399" s="304" t="s">
        <v>2057</v>
      </c>
      <c r="D1399" s="74">
        <f>IFERROR(VLOOKUP(B1399,'REQ. PINTADO'!B:C,2,0),0)</f>
        <v>0</v>
      </c>
      <c r="E1399" s="305">
        <f t="shared" si="285"/>
        <v>368.82691672196398</v>
      </c>
      <c r="F1399" s="397" t="s">
        <v>166</v>
      </c>
      <c r="G1399" s="75" t="s">
        <v>147</v>
      </c>
      <c r="H1399" s="90">
        <v>24.08</v>
      </c>
      <c r="I1399" s="90">
        <v>8.7100000000000009</v>
      </c>
      <c r="J1399" s="76">
        <v>0.105</v>
      </c>
      <c r="K1399" s="306">
        <v>16.38</v>
      </c>
      <c r="L1399" s="78">
        <f t="shared" si="286"/>
        <v>6.3846721660789978</v>
      </c>
      <c r="M1399" s="58">
        <f>+VLOOKUP(F1399,Material!$H$2:$M$17,6,FALSE)*H1399*I1399*(1+Material!$K$14)</f>
        <v>47.536786400169987</v>
      </c>
      <c r="N1399" s="79" t="str">
        <f t="shared" si="270"/>
        <v>T5.0</v>
      </c>
      <c r="O1399" s="80">
        <f>+VLOOKUP(N1399,[3]Material!$A$3:$B$58,2,FALSE)</f>
        <v>5000</v>
      </c>
      <c r="P1399" s="79" t="s">
        <v>42</v>
      </c>
      <c r="Q1399" s="79" t="str">
        <f>+VLOOKUP(F1399,[3]Material!$C$2:$E$12,2,FALSE)</f>
        <v>Cal 16</v>
      </c>
      <c r="R1399" s="81">
        <f>+IF(P1399="ACERO A36",VLOOKUP(Q1399,'[3]Velocidades Std 1500 w'!$B$2:$F$15,5,FALSE),IF(P1399="INOXIDABLE",VLOOKUP(Q1399,'[3]Velocidades Std 1500 w'!$B$17:$F$28,5,FALSE),IF(P1399="ALUMINIO",VLOOKUP(Q1399,'[3]Velocidades Std 1500 w'!$B$30:$F$38,5,FALSE))))</f>
        <v>9.1575091575091579E-7</v>
      </c>
      <c r="S1399" s="82">
        <f t="shared" si="287"/>
        <v>4.578754578754579E-3</v>
      </c>
      <c r="T1399" s="83">
        <f t="shared" si="288"/>
        <v>43.748764615384623</v>
      </c>
      <c r="U1399" s="307">
        <f t="shared" si="289"/>
        <v>13270.4586</v>
      </c>
      <c r="V1399" s="80">
        <f t="shared" si="290"/>
        <v>60.762173076923077</v>
      </c>
      <c r="W1399" s="98">
        <v>288</v>
      </c>
      <c r="X1399" s="84">
        <f>+IF(P1399="ACERO A36",VLOOKUP(Q1399,'[3]Tiempo Objeto'!$B$2:$C$12,2,FALSE),IF(P1399="INOXIDABLE",VLOOKUP(Q1399,'[3]Tiempo Objeto'!$B$14:$C$22,2,FALSE),IF(P1399="ALUMINIO",VLOOKUP(Q1399,'[3]Tiempo Objeto'!$B$24:$C$32,2,FALSE))))</f>
        <v>0.24666666666666667</v>
      </c>
      <c r="Y1399" s="84">
        <f t="shared" si="291"/>
        <v>71.040000000000006</v>
      </c>
      <c r="Z1399" s="80">
        <f t="shared" si="292"/>
        <v>98.666666666666686</v>
      </c>
      <c r="AA1399" s="100">
        <v>4</v>
      </c>
      <c r="AB1399" s="86">
        <f>+AA1399*Analisis!$J$6</f>
        <v>100</v>
      </c>
      <c r="AC1399" s="100"/>
      <c r="AD1399" s="85">
        <f t="shared" si="293"/>
        <v>0</v>
      </c>
      <c r="AE1399" s="86">
        <f>+AC1399*Analisis!$J$7</f>
        <v>0</v>
      </c>
      <c r="AF1399" s="308">
        <f>+H1399*0.0254*I1399*0.0254*2*(1+[3]Analisis!$G$2)</f>
        <v>0.33828448472</v>
      </c>
      <c r="AG1399" s="86">
        <f>+AF1399*Analisis!$J$8</f>
        <v>36.04340640766668</v>
      </c>
      <c r="AH1399" s="309">
        <f t="shared" si="294"/>
        <v>343.00903255142646</v>
      </c>
      <c r="AI1399" s="86">
        <f>+AH1399/(1-Analisis!G1169)</f>
        <v>343.00903255142646</v>
      </c>
      <c r="AJ1399" s="86">
        <f t="shared" si="295"/>
        <v>368.82691672196398</v>
      </c>
      <c r="AK1399" s="86">
        <f t="shared" si="296"/>
        <v>0</v>
      </c>
      <c r="AL1399" s="310" t="e">
        <f>+VLOOKUP(B1399,#REF!,2,FALSE)</f>
        <v>#REF!</v>
      </c>
      <c r="AM1399" s="311" t="e">
        <f t="shared" si="297"/>
        <v>#REF!</v>
      </c>
      <c r="AN1399" s="312" t="e">
        <f t="shared" si="298"/>
        <v>#REF!</v>
      </c>
    </row>
    <row r="1400" spans="1:40" s="73" customFormat="1" x14ac:dyDescent="0.25">
      <c r="A1400" s="396"/>
      <c r="B1400" s="304" t="s">
        <v>2058</v>
      </c>
      <c r="D1400" s="74">
        <f>IFERROR(VLOOKUP(B1400,'REQ. PINTADO'!B:C,2,0),0)</f>
        <v>0</v>
      </c>
      <c r="E1400" s="305">
        <f t="shared" si="285"/>
        <v>496.66068906635519</v>
      </c>
      <c r="F1400" s="397" t="s">
        <v>166</v>
      </c>
      <c r="G1400" s="75" t="s">
        <v>147</v>
      </c>
      <c r="H1400" s="90">
        <v>56.08</v>
      </c>
      <c r="I1400" s="90">
        <v>8.7100000000000009</v>
      </c>
      <c r="J1400" s="76">
        <v>0.105</v>
      </c>
      <c r="K1400" s="306">
        <v>16.38</v>
      </c>
      <c r="L1400" s="78">
        <f t="shared" si="286"/>
        <v>14.869286340270358</v>
      </c>
      <c r="M1400" s="58">
        <f>+VLOOKUP(F1400,Material!$H$2:$M$17,6,FALSE)*H1400*I1400*(1+Material!$K$14)</f>
        <v>110.7085955698311</v>
      </c>
      <c r="N1400" s="79" t="str">
        <f t="shared" si="270"/>
        <v>T5.0</v>
      </c>
      <c r="O1400" s="80">
        <f>+VLOOKUP(N1400,[3]Material!$A$3:$B$58,2,FALSE)</f>
        <v>5000</v>
      </c>
      <c r="P1400" s="79" t="s">
        <v>42</v>
      </c>
      <c r="Q1400" s="79" t="str">
        <f>+VLOOKUP(F1400,[3]Material!$C$2:$E$12,2,FALSE)</f>
        <v>Cal 16</v>
      </c>
      <c r="R1400" s="81">
        <f>+IF(P1400="ACERO A36",VLOOKUP(Q1400,'[3]Velocidades Std 1500 w'!$B$2:$F$15,5,FALSE),IF(P1400="INOXIDABLE",VLOOKUP(Q1400,'[3]Velocidades Std 1500 w'!$B$17:$F$28,5,FALSE),IF(P1400="ALUMINIO",VLOOKUP(Q1400,'[3]Velocidades Std 1500 w'!$B$30:$F$38,5,FALSE))))</f>
        <v>9.1575091575091579E-7</v>
      </c>
      <c r="S1400" s="82">
        <f t="shared" si="287"/>
        <v>4.578754578754579E-3</v>
      </c>
      <c r="T1400" s="83">
        <f t="shared" si="288"/>
        <v>49.375841538461543</v>
      </c>
      <c r="U1400" s="307">
        <f t="shared" si="289"/>
        <v>14977.338599999999</v>
      </c>
      <c r="V1400" s="80">
        <f t="shared" si="290"/>
        <v>68.577557692307693</v>
      </c>
      <c r="W1400" s="98">
        <v>288</v>
      </c>
      <c r="X1400" s="84">
        <f>+IF(P1400="ACERO A36",VLOOKUP(Q1400,'[3]Tiempo Objeto'!$B$2:$C$12,2,FALSE),IF(P1400="INOXIDABLE",VLOOKUP(Q1400,'[3]Tiempo Objeto'!$B$14:$C$22,2,FALSE),IF(P1400="ALUMINIO",VLOOKUP(Q1400,'[3]Tiempo Objeto'!$B$24:$C$32,2,FALSE))))</f>
        <v>0.24666666666666667</v>
      </c>
      <c r="Y1400" s="84">
        <f t="shared" si="291"/>
        <v>71.040000000000006</v>
      </c>
      <c r="Z1400" s="80">
        <f t="shared" si="292"/>
        <v>98.666666666666686</v>
      </c>
      <c r="AA1400" s="100">
        <v>4</v>
      </c>
      <c r="AB1400" s="86">
        <f>+AA1400*Analisis!$J$6</f>
        <v>100</v>
      </c>
      <c r="AC1400" s="100"/>
      <c r="AD1400" s="85">
        <f t="shared" si="293"/>
        <v>0</v>
      </c>
      <c r="AE1400" s="86">
        <f>+AC1400*Analisis!$J$7</f>
        <v>0</v>
      </c>
      <c r="AF1400" s="308">
        <f>+H1400*0.0254*I1400*0.0254*2*(1+[3]Analisis!$G$2)</f>
        <v>0.78783197271999994</v>
      </c>
      <c r="AG1400" s="86">
        <f>+AF1400*Analisis!$J$8</f>
        <v>83.941620902904774</v>
      </c>
      <c r="AH1400" s="309">
        <f t="shared" si="294"/>
        <v>461.89444083171031</v>
      </c>
      <c r="AI1400" s="86">
        <f>+AH1400/(1-Analisis!G1170)</f>
        <v>461.89444083171031</v>
      </c>
      <c r="AJ1400" s="86">
        <f t="shared" si="295"/>
        <v>496.66068906635519</v>
      </c>
      <c r="AK1400" s="86">
        <f t="shared" si="296"/>
        <v>0</v>
      </c>
      <c r="AL1400" s="310" t="e">
        <f>+VLOOKUP(B1400,#REF!,2,FALSE)</f>
        <v>#REF!</v>
      </c>
      <c r="AM1400" s="311" t="e">
        <f t="shared" si="297"/>
        <v>#REF!</v>
      </c>
      <c r="AN1400" s="312" t="e">
        <f t="shared" si="298"/>
        <v>#REF!</v>
      </c>
    </row>
    <row r="1401" spans="1:40" s="73" customFormat="1" x14ac:dyDescent="0.25">
      <c r="A1401" s="396"/>
      <c r="B1401" s="304" t="s">
        <v>2059</v>
      </c>
      <c r="D1401" s="74">
        <f>IFERROR(VLOOKUP(B1401,'REQ. PINTADO'!B:C,2,0),0)</f>
        <v>0</v>
      </c>
      <c r="E1401" s="305">
        <f t="shared" si="285"/>
        <v>320.88925209281723</v>
      </c>
      <c r="F1401" s="397" t="s">
        <v>166</v>
      </c>
      <c r="G1401" s="75" t="s">
        <v>147</v>
      </c>
      <c r="H1401" s="90">
        <v>12.08</v>
      </c>
      <c r="I1401" s="90">
        <v>8.7100000000000009</v>
      </c>
      <c r="J1401" s="76">
        <v>0.105</v>
      </c>
      <c r="K1401" s="306">
        <v>16.38</v>
      </c>
      <c r="L1401" s="78">
        <f t="shared" si="286"/>
        <v>3.2029418507572389</v>
      </c>
      <c r="M1401" s="58">
        <f>+VLOOKUP(F1401,Material!$H$2:$M$17,6,FALSE)*H1401*I1401*(1+Material!$K$14)</f>
        <v>23.847357961547075</v>
      </c>
      <c r="N1401" s="79" t="str">
        <f t="shared" si="270"/>
        <v>T5.0</v>
      </c>
      <c r="O1401" s="80">
        <f>+VLOOKUP(N1401,[3]Material!$A$3:$B$58,2,FALSE)</f>
        <v>5000</v>
      </c>
      <c r="P1401" s="79" t="s">
        <v>42</v>
      </c>
      <c r="Q1401" s="79" t="str">
        <f>+VLOOKUP(F1401,[3]Material!$C$2:$E$12,2,FALSE)</f>
        <v>Cal 16</v>
      </c>
      <c r="R1401" s="81">
        <f>+IF(P1401="ACERO A36",VLOOKUP(Q1401,'[3]Velocidades Std 1500 w'!$B$2:$F$15,5,FALSE),IF(P1401="INOXIDABLE",VLOOKUP(Q1401,'[3]Velocidades Std 1500 w'!$B$17:$F$28,5,FALSE),IF(P1401="ALUMINIO",VLOOKUP(Q1401,'[3]Velocidades Std 1500 w'!$B$30:$F$38,5,FALSE))))</f>
        <v>9.1575091575091579E-7</v>
      </c>
      <c r="S1401" s="82">
        <f t="shared" si="287"/>
        <v>4.578754578754579E-3</v>
      </c>
      <c r="T1401" s="83">
        <f t="shared" si="288"/>
        <v>41.638610769230766</v>
      </c>
      <c r="U1401" s="307">
        <f t="shared" si="289"/>
        <v>12630.3786</v>
      </c>
      <c r="V1401" s="80">
        <f t="shared" si="290"/>
        <v>57.831403846153847</v>
      </c>
      <c r="W1401" s="98">
        <v>288</v>
      </c>
      <c r="X1401" s="84">
        <f>+IF(P1401="ACERO A36",VLOOKUP(Q1401,'[3]Tiempo Objeto'!$B$2:$C$12,2,FALSE),IF(P1401="INOXIDABLE",VLOOKUP(Q1401,'[3]Tiempo Objeto'!$B$14:$C$22,2,FALSE),IF(P1401="ALUMINIO",VLOOKUP(Q1401,'[3]Tiempo Objeto'!$B$24:$C$32,2,FALSE))))</f>
        <v>0.24666666666666667</v>
      </c>
      <c r="Y1401" s="84">
        <f t="shared" si="291"/>
        <v>71.040000000000006</v>
      </c>
      <c r="Z1401" s="80">
        <f t="shared" si="292"/>
        <v>98.666666666666686</v>
      </c>
      <c r="AA1401" s="100">
        <v>4</v>
      </c>
      <c r="AB1401" s="86">
        <f>+AA1401*Analisis!$J$6</f>
        <v>100</v>
      </c>
      <c r="AC1401" s="100"/>
      <c r="AD1401" s="85">
        <f t="shared" si="293"/>
        <v>0</v>
      </c>
      <c r="AE1401" s="86">
        <f>+AC1401*Analisis!$J$7</f>
        <v>0</v>
      </c>
      <c r="AF1401" s="308">
        <f>+H1401*0.0254*I1401*0.0254*2*(1+[3]Analisis!$G$2)</f>
        <v>0.16970417672000002</v>
      </c>
      <c r="AG1401" s="86">
        <f>+AF1401*Analisis!$J$8</f>
        <v>18.08157597195239</v>
      </c>
      <c r="AH1401" s="309">
        <f t="shared" si="294"/>
        <v>298.42700444631998</v>
      </c>
      <c r="AI1401" s="86">
        <f>+AH1401/(1-Analisis!G1171)</f>
        <v>298.42700444631998</v>
      </c>
      <c r="AJ1401" s="86">
        <f t="shared" si="295"/>
        <v>320.88925209281723</v>
      </c>
      <c r="AK1401" s="86">
        <f t="shared" si="296"/>
        <v>0</v>
      </c>
      <c r="AL1401" s="310" t="e">
        <f>+VLOOKUP(B1401,#REF!,2,FALSE)</f>
        <v>#REF!</v>
      </c>
      <c r="AM1401" s="311" t="e">
        <f t="shared" si="297"/>
        <v>#REF!</v>
      </c>
      <c r="AN1401" s="312" t="e">
        <f t="shared" si="298"/>
        <v>#REF!</v>
      </c>
    </row>
    <row r="1402" spans="1:40" s="73" customFormat="1" x14ac:dyDescent="0.25">
      <c r="A1402" s="396"/>
      <c r="B1402" s="304" t="s">
        <v>2060</v>
      </c>
      <c r="D1402" s="74">
        <f>IFERROR(VLOOKUP(B1402,'REQ. PINTADO'!B:C,2,0),0)</f>
        <v>0</v>
      </c>
      <c r="E1402" s="305">
        <f t="shared" si="285"/>
        <v>344.85808440739061</v>
      </c>
      <c r="F1402" s="397" t="s">
        <v>166</v>
      </c>
      <c r="G1402" s="75" t="s">
        <v>147</v>
      </c>
      <c r="H1402" s="90">
        <v>18.079999999999998</v>
      </c>
      <c r="I1402" s="90">
        <v>8.7100000000000009</v>
      </c>
      <c r="J1402" s="76">
        <v>0.105</v>
      </c>
      <c r="K1402" s="306">
        <v>16.38</v>
      </c>
      <c r="L1402" s="78">
        <f t="shared" si="286"/>
        <v>4.7938070084181188</v>
      </c>
      <c r="M1402" s="58">
        <f>+VLOOKUP(F1402,Material!$H$2:$M$17,6,FALSE)*H1402*I1402*(1+Material!$K$14)</f>
        <v>35.692072180858531</v>
      </c>
      <c r="N1402" s="79" t="str">
        <f t="shared" si="270"/>
        <v>T5.0</v>
      </c>
      <c r="O1402" s="80">
        <f>+VLOOKUP(N1402,[3]Material!$A$3:$B$58,2,FALSE)</f>
        <v>5000</v>
      </c>
      <c r="P1402" s="79" t="s">
        <v>42</v>
      </c>
      <c r="Q1402" s="79" t="str">
        <f>+VLOOKUP(F1402,[3]Material!$C$2:$E$12,2,FALSE)</f>
        <v>Cal 16</v>
      </c>
      <c r="R1402" s="81">
        <f>+IF(P1402="ACERO A36",VLOOKUP(Q1402,'[3]Velocidades Std 1500 w'!$B$2:$F$15,5,FALSE),IF(P1402="INOXIDABLE",VLOOKUP(Q1402,'[3]Velocidades Std 1500 w'!$B$17:$F$28,5,FALSE),IF(P1402="ALUMINIO",VLOOKUP(Q1402,'[3]Velocidades Std 1500 w'!$B$30:$F$38,5,FALSE))))</f>
        <v>9.1575091575091579E-7</v>
      </c>
      <c r="S1402" s="82">
        <f t="shared" si="287"/>
        <v>4.578754578754579E-3</v>
      </c>
      <c r="T1402" s="83">
        <f t="shared" si="288"/>
        <v>42.693687692307691</v>
      </c>
      <c r="U1402" s="307">
        <f t="shared" si="289"/>
        <v>12950.418599999999</v>
      </c>
      <c r="V1402" s="80">
        <f t="shared" si="290"/>
        <v>59.296788461538462</v>
      </c>
      <c r="W1402" s="98">
        <v>288</v>
      </c>
      <c r="X1402" s="84">
        <f>+IF(P1402="ACERO A36",VLOOKUP(Q1402,'[3]Tiempo Objeto'!$B$2:$C$12,2,FALSE),IF(P1402="INOXIDABLE",VLOOKUP(Q1402,'[3]Tiempo Objeto'!$B$14:$C$22,2,FALSE),IF(P1402="ALUMINIO",VLOOKUP(Q1402,'[3]Tiempo Objeto'!$B$24:$C$32,2,FALSE))))</f>
        <v>0.24666666666666667</v>
      </c>
      <c r="Y1402" s="84">
        <f t="shared" si="291"/>
        <v>71.040000000000006</v>
      </c>
      <c r="Z1402" s="80">
        <f t="shared" si="292"/>
        <v>98.666666666666686</v>
      </c>
      <c r="AA1402" s="100">
        <v>4</v>
      </c>
      <c r="AB1402" s="86">
        <f>+AA1402*Analisis!$J$6</f>
        <v>100</v>
      </c>
      <c r="AC1402" s="100"/>
      <c r="AD1402" s="85">
        <f t="shared" si="293"/>
        <v>0</v>
      </c>
      <c r="AE1402" s="86">
        <f>+AC1402*Analisis!$J$7</f>
        <v>0</v>
      </c>
      <c r="AF1402" s="308">
        <f>+H1402*0.0254*I1402*0.0254*2*(1+[3]Analisis!$G$2)</f>
        <v>0.25399433071999994</v>
      </c>
      <c r="AG1402" s="86">
        <f>+AF1402*Analisis!$J$8</f>
        <v>27.062491189809524</v>
      </c>
      <c r="AH1402" s="309">
        <f t="shared" si="294"/>
        <v>320.71801849887322</v>
      </c>
      <c r="AI1402" s="86">
        <f>+AH1402/(1-Analisis!G1172)</f>
        <v>320.71801849887322</v>
      </c>
      <c r="AJ1402" s="86">
        <f t="shared" si="295"/>
        <v>344.85808440739061</v>
      </c>
      <c r="AK1402" s="86">
        <f t="shared" si="296"/>
        <v>0</v>
      </c>
      <c r="AL1402" s="310" t="e">
        <f>+VLOOKUP(B1402,#REF!,2,FALSE)</f>
        <v>#REF!</v>
      </c>
      <c r="AM1402" s="311" t="e">
        <f t="shared" si="297"/>
        <v>#REF!</v>
      </c>
      <c r="AN1402" s="312" t="e">
        <f t="shared" si="298"/>
        <v>#REF!</v>
      </c>
    </row>
    <row r="1403" spans="1:40" s="73" customFormat="1" x14ac:dyDescent="0.25">
      <c r="A1403" s="396"/>
      <c r="B1403" s="304" t="s">
        <v>2061</v>
      </c>
      <c r="D1403" s="74">
        <f>IFERROR(VLOOKUP(B1403,'REQ. PINTADO'!B:C,2,0),0)</f>
        <v>0</v>
      </c>
      <c r="E1403" s="305">
        <f t="shared" ref="E1403" si="299">+AJ1403</f>
        <v>376.81652749348842</v>
      </c>
      <c r="F1403" s="397" t="s">
        <v>166</v>
      </c>
      <c r="G1403" s="75" t="s">
        <v>147</v>
      </c>
      <c r="H1403" s="90">
        <v>26.08</v>
      </c>
      <c r="I1403" s="90">
        <v>8.7100000000000009</v>
      </c>
      <c r="J1403" s="76">
        <v>0.105</v>
      </c>
      <c r="K1403" s="306">
        <v>16.38</v>
      </c>
      <c r="L1403" s="78">
        <f t="shared" ref="L1403" si="300">+M1403*2.2/K1403</f>
        <v>6.9149605519659589</v>
      </c>
      <c r="M1403" s="58">
        <f>+VLOOKUP(F1403,Material!$H$2:$M$17,6,FALSE)*H1403*I1403*(1+Material!$K$14)</f>
        <v>51.48502447327381</v>
      </c>
      <c r="N1403" s="79" t="str">
        <f t="shared" si="270"/>
        <v>T5.0</v>
      </c>
      <c r="O1403" s="80">
        <f>+VLOOKUP(N1403,[3]Material!$A$3:$B$58,2,FALSE)</f>
        <v>5000</v>
      </c>
      <c r="P1403" s="79" t="s">
        <v>42</v>
      </c>
      <c r="Q1403" s="79" t="str">
        <f>+VLOOKUP(F1403,[3]Material!$C$2:$E$12,2,FALSE)</f>
        <v>Cal 16</v>
      </c>
      <c r="R1403" s="81">
        <f>+IF(P1403="ACERO A36",VLOOKUP(Q1403,'[3]Velocidades Std 1500 w'!$B$2:$F$15,5,FALSE),IF(P1403="INOXIDABLE",VLOOKUP(Q1403,'[3]Velocidades Std 1500 w'!$B$17:$F$28,5,FALSE),IF(P1403="ALUMINIO",VLOOKUP(Q1403,'[3]Velocidades Std 1500 w'!$B$30:$F$38,5,FALSE))))</f>
        <v>9.1575091575091579E-7</v>
      </c>
      <c r="S1403" s="82">
        <f t="shared" ref="S1403" si="301">+R1403*O1403</f>
        <v>4.578754578754579E-3</v>
      </c>
      <c r="T1403" s="83">
        <f t="shared" ref="T1403" si="302">+R1403*U1403*3600</f>
        <v>44.100456923076926</v>
      </c>
      <c r="U1403" s="307">
        <f t="shared" ref="U1403" si="303">(+I1403*2+H1403*2+W1403*1.5)*25.4*1.05</f>
        <v>13377.1386</v>
      </c>
      <c r="V1403" s="80">
        <f t="shared" ref="V1403" si="304">+U1403*S1403</f>
        <v>61.25063461538462</v>
      </c>
      <c r="W1403" s="98">
        <v>288</v>
      </c>
      <c r="X1403" s="84">
        <f>+IF(P1403="ACERO A36",VLOOKUP(Q1403,'[3]Tiempo Objeto'!$B$2:$C$12,2,FALSE),IF(P1403="INOXIDABLE",VLOOKUP(Q1403,'[3]Tiempo Objeto'!$B$14:$C$22,2,FALSE),IF(P1403="ALUMINIO",VLOOKUP(Q1403,'[3]Tiempo Objeto'!$B$24:$C$32,2,FALSE))))</f>
        <v>0.24666666666666667</v>
      </c>
      <c r="Y1403" s="84">
        <f t="shared" ref="Y1403" si="305">+X1403*W1403</f>
        <v>71.040000000000006</v>
      </c>
      <c r="Z1403" s="80">
        <f t="shared" ref="Z1403" si="306">+Y1403*O1403/3600</f>
        <v>98.666666666666686</v>
      </c>
      <c r="AA1403" s="100">
        <v>4</v>
      </c>
      <c r="AB1403" s="86">
        <f>+AA1403*Analisis!$J$6</f>
        <v>100</v>
      </c>
      <c r="AC1403" s="100"/>
      <c r="AD1403" s="85">
        <f t="shared" ref="AD1403" si="307">30*AC1403+AC1403*$D1403*1.5</f>
        <v>0</v>
      </c>
      <c r="AE1403" s="86">
        <f>+AC1403*Analisis!$J$7</f>
        <v>0</v>
      </c>
      <c r="AF1403" s="308">
        <f>+H1403*0.0254*I1403*0.0254*2*(1+[3]Analisis!$G$2)</f>
        <v>0.36638120271999997</v>
      </c>
      <c r="AG1403" s="86">
        <f>+AF1403*Analisis!$J$8</f>
        <v>39.037044813619055</v>
      </c>
      <c r="AH1403" s="309">
        <f t="shared" ref="AH1403" si="308">+AE1403+AB1403+Z1403+V1403+M1403+AG1403</f>
        <v>350.43937056894418</v>
      </c>
      <c r="AI1403" s="86">
        <f>+AH1403/(1-Analisis!G1173)</f>
        <v>350.43937056894418</v>
      </c>
      <c r="AJ1403" s="86">
        <f t="shared" ref="AJ1403" si="309">+AI1403/(1-0.07)</f>
        <v>376.81652749348842</v>
      </c>
      <c r="AK1403" s="86">
        <f t="shared" ref="AK1403" si="310">+AJ1403*D1403</f>
        <v>0</v>
      </c>
      <c r="AL1403" s="310" t="e">
        <f>+VLOOKUP(B1403,#REF!,2,FALSE)</f>
        <v>#REF!</v>
      </c>
      <c r="AM1403" s="311" t="e">
        <f t="shared" ref="AM1403" si="311">+AL1403-E1403</f>
        <v>#REF!</v>
      </c>
      <c r="AN1403" s="312" t="e">
        <f t="shared" ref="AN1403" si="312">+AM1403/AL1403</f>
        <v>#REF!</v>
      </c>
    </row>
    <row r="1404" spans="1:40" s="73" customFormat="1" x14ac:dyDescent="0.25">
      <c r="A1404" s="396"/>
      <c r="B1404" s="304" t="s">
        <v>2062</v>
      </c>
      <c r="D1404" s="74">
        <f>IFERROR(VLOOKUP(B1404,'REQ. PINTADO'!B:C,2,0),0)</f>
        <v>0</v>
      </c>
      <c r="E1404" s="305">
        <f t="shared" si="172"/>
        <v>167.796470966122</v>
      </c>
      <c r="F1404" s="397" t="s">
        <v>166</v>
      </c>
      <c r="G1404" s="75" t="s">
        <v>147</v>
      </c>
      <c r="H1404" s="90">
        <v>12.09</v>
      </c>
      <c r="I1404" s="90">
        <v>9.9700000000000006</v>
      </c>
      <c r="J1404" s="76">
        <v>0.105</v>
      </c>
      <c r="K1404" s="306">
        <v>16.38</v>
      </c>
      <c r="L1404" s="78">
        <f t="shared" si="173"/>
        <v>3.6693186140167771</v>
      </c>
      <c r="M1404" s="58">
        <f>+VLOOKUP(F1404,Material!$H$2:$M$17,6,FALSE)*H1404*I1404*(1+Material!$K$14)</f>
        <v>27.319744953452183</v>
      </c>
      <c r="N1404" s="79" t="str">
        <f t="shared" ref="N1404:N1413" si="313">+N1141</f>
        <v>T5.0</v>
      </c>
      <c r="O1404" s="80">
        <f>+VLOOKUP(N1404,[3]Material!$A$3:$B$58,2,FALSE)</f>
        <v>5000</v>
      </c>
      <c r="P1404" s="79" t="s">
        <v>42</v>
      </c>
      <c r="Q1404" s="79" t="str">
        <f>+VLOOKUP(F1404,[3]Material!$C$2:$E$12,2,FALSE)</f>
        <v>Cal 16</v>
      </c>
      <c r="R1404" s="81">
        <f>+IF(P1404="ACERO A36",VLOOKUP(Q1404,'[3]Velocidades Std 1500 w'!$B$2:$F$15,5,FALSE),IF(P1404="INOXIDABLE",VLOOKUP(Q1404,'[3]Velocidades Std 1500 w'!$B$17:$F$28,5,FALSE),IF(P1404="ALUMINIO",VLOOKUP(Q1404,'[3]Velocidades Std 1500 w'!$B$30:$F$38,5,FALSE))))</f>
        <v>9.1575091575091579E-7</v>
      </c>
      <c r="S1404" s="82">
        <f t="shared" si="174"/>
        <v>4.578754578754579E-3</v>
      </c>
      <c r="T1404" s="83">
        <f t="shared" si="175"/>
        <v>4.5385892307692322</v>
      </c>
      <c r="U1404" s="307">
        <f t="shared" si="171"/>
        <v>1376.7054000000003</v>
      </c>
      <c r="V1404" s="80">
        <f t="shared" si="153"/>
        <v>6.3035961538461551</v>
      </c>
      <c r="W1404" s="98">
        <v>5</v>
      </c>
      <c r="X1404" s="84">
        <f>+IF(P1404="ACERO A36",VLOOKUP(Q1404,'[3]Tiempo Objeto'!$B$2:$C$12,2,FALSE),IF(P1404="INOXIDABLE",VLOOKUP(Q1404,'[3]Tiempo Objeto'!$B$14:$C$22,2,FALSE),IF(P1404="ALUMINIO",VLOOKUP(Q1404,'[3]Tiempo Objeto'!$B$24:$C$32,2,FALSE))))</f>
        <v>0.24666666666666667</v>
      </c>
      <c r="Y1404" s="84">
        <f t="shared" si="176"/>
        <v>1.2333333333333334</v>
      </c>
      <c r="Z1404" s="80">
        <f t="shared" si="177"/>
        <v>1.712962962962963</v>
      </c>
      <c r="AA1404" s="100">
        <v>4</v>
      </c>
      <c r="AB1404" s="86">
        <f>+AA1404*Analisis!$J$6</f>
        <v>100</v>
      </c>
      <c r="AC1404" s="100"/>
      <c r="AD1404" s="85">
        <f t="shared" si="178"/>
        <v>0</v>
      </c>
      <c r="AE1404" s="86">
        <f>+AC1404*Analisis!$J$7</f>
        <v>0</v>
      </c>
      <c r="AF1404" s="308">
        <f>+H1404*0.0254*I1404*0.0254*2*(1+[3]Analisis!$G$2)</f>
        <v>0.19441461117</v>
      </c>
      <c r="AG1404" s="86">
        <f>+AF1404*Analisis!$J$8</f>
        <v>20.714413928232148</v>
      </c>
      <c r="AH1404" s="309">
        <f t="shared" si="179"/>
        <v>156.05071799849344</v>
      </c>
      <c r="AI1404" s="86">
        <f>+AH1404/(1-Analisis!G1153)</f>
        <v>156.05071799849344</v>
      </c>
      <c r="AJ1404" s="86">
        <f t="shared" si="180"/>
        <v>167.796470966122</v>
      </c>
      <c r="AK1404" s="86">
        <f t="shared" si="181"/>
        <v>0</v>
      </c>
      <c r="AL1404" s="310" t="e">
        <f>+VLOOKUP(B1404,#REF!,2,FALSE)</f>
        <v>#REF!</v>
      </c>
      <c r="AM1404" s="311" t="e">
        <f t="shared" si="183"/>
        <v>#REF!</v>
      </c>
      <c r="AN1404" s="312" t="e">
        <f t="shared" si="182"/>
        <v>#REF!</v>
      </c>
    </row>
    <row r="1405" spans="1:40" s="73" customFormat="1" x14ac:dyDescent="0.25">
      <c r="A1405" s="396"/>
      <c r="B1405" s="304" t="s">
        <v>2063</v>
      </c>
      <c r="D1405" s="74">
        <f>IFERROR(VLOOKUP(B1405,'REQ. PINTADO'!B:C,2,0),0)</f>
        <v>0</v>
      </c>
      <c r="E1405" s="305">
        <f t="shared" ref="E1405:E1413" si="314">+AJ1405</f>
        <v>185.93530742802844</v>
      </c>
      <c r="F1405" s="397" t="s">
        <v>166</v>
      </c>
      <c r="G1405" s="75" t="s">
        <v>147</v>
      </c>
      <c r="H1405" s="90">
        <v>16.09</v>
      </c>
      <c r="I1405" s="90">
        <v>9.9700000000000006</v>
      </c>
      <c r="J1405" s="76">
        <v>0.105</v>
      </c>
      <c r="K1405" s="306">
        <v>16.38</v>
      </c>
      <c r="L1405" s="78">
        <f t="shared" ref="L1405:L1413" si="315">+M1405*2.2/K1405</f>
        <v>4.8833198097212538</v>
      </c>
      <c r="M1405" s="58">
        <f>+VLOOKUP(F1405,Material!$H$2:$M$17,6,FALSE)*H1405*I1405*(1+Material!$K$14)</f>
        <v>36.358535674197327</v>
      </c>
      <c r="N1405" s="79" t="str">
        <f t="shared" si="313"/>
        <v>T5.0</v>
      </c>
      <c r="O1405" s="80">
        <f>+VLOOKUP(N1405,[3]Material!$A$3:$B$58,2,FALSE)</f>
        <v>5000</v>
      </c>
      <c r="P1405" s="79" t="s">
        <v>42</v>
      </c>
      <c r="Q1405" s="79" t="str">
        <f>+VLOOKUP(F1405,[3]Material!$C$2:$E$12,2,FALSE)</f>
        <v>Cal 16</v>
      </c>
      <c r="R1405" s="81">
        <f>+IF(P1405="ACERO A36",VLOOKUP(Q1405,'[3]Velocidades Std 1500 w'!$B$2:$F$15,5,FALSE),IF(P1405="INOXIDABLE",VLOOKUP(Q1405,'[3]Velocidades Std 1500 w'!$B$17:$F$28,5,FALSE),IF(P1405="ALUMINIO",VLOOKUP(Q1405,'[3]Velocidades Std 1500 w'!$B$30:$F$38,5,FALSE))))</f>
        <v>9.1575091575091579E-7</v>
      </c>
      <c r="S1405" s="82">
        <f t="shared" ref="S1405:S1413" si="316">+R1405*O1405</f>
        <v>4.578754578754579E-3</v>
      </c>
      <c r="T1405" s="83">
        <f t="shared" ref="T1405:T1413" si="317">+R1405*U1405*3600</f>
        <v>5.2419738461538463</v>
      </c>
      <c r="U1405" s="307">
        <f t="shared" ref="U1405:U1413" si="318">(+I1405*2+H1405*2+W1405*1.5)*25.4*1.05</f>
        <v>1590.0654</v>
      </c>
      <c r="V1405" s="80">
        <f t="shared" ref="V1405:V1413" si="319">+U1405*S1405</f>
        <v>7.2805192307692312</v>
      </c>
      <c r="W1405" s="98">
        <v>5</v>
      </c>
      <c r="X1405" s="84">
        <f>+IF(P1405="ACERO A36",VLOOKUP(Q1405,'[3]Tiempo Objeto'!$B$2:$C$12,2,FALSE),IF(P1405="INOXIDABLE",VLOOKUP(Q1405,'[3]Tiempo Objeto'!$B$14:$C$22,2,FALSE),IF(P1405="ALUMINIO",VLOOKUP(Q1405,'[3]Tiempo Objeto'!$B$24:$C$32,2,FALSE))))</f>
        <v>0.24666666666666667</v>
      </c>
      <c r="Y1405" s="84">
        <f t="shared" ref="Y1405:Y1413" si="320">+X1405*W1405</f>
        <v>1.2333333333333334</v>
      </c>
      <c r="Z1405" s="80">
        <f t="shared" ref="Z1405:Z1413" si="321">+Y1405*O1405/3600</f>
        <v>1.712962962962963</v>
      </c>
      <c r="AA1405" s="100">
        <v>4</v>
      </c>
      <c r="AB1405" s="86">
        <f>+AA1405*Analisis!$J$6</f>
        <v>100</v>
      </c>
      <c r="AC1405" s="100"/>
      <c r="AD1405" s="85">
        <f t="shared" ref="AD1405:AD1413" si="322">30*AC1405+AC1405*$D1405*1.5</f>
        <v>0</v>
      </c>
      <c r="AE1405" s="86">
        <f>+AC1405*Analisis!$J$7</f>
        <v>0</v>
      </c>
      <c r="AF1405" s="308">
        <f>+H1405*0.0254*I1405*0.0254*2*(1+[3]Analisis!$G$2)</f>
        <v>0.25873706317</v>
      </c>
      <c r="AG1405" s="86">
        <f>+AF1405*Analisis!$J$8</f>
        <v>27.567818040136913</v>
      </c>
      <c r="AH1405" s="309">
        <f t="shared" ref="AH1405:AH1413" si="323">+AE1405+AB1405+Z1405+V1405+M1405+AG1405</f>
        <v>172.91983590806643</v>
      </c>
      <c r="AI1405" s="86">
        <f>+AH1405/(1-Analisis!G1154)</f>
        <v>172.91983590806643</v>
      </c>
      <c r="AJ1405" s="86">
        <f t="shared" ref="AJ1405:AJ1413" si="324">+AI1405/(1-0.07)</f>
        <v>185.93530742802844</v>
      </c>
      <c r="AK1405" s="86">
        <f t="shared" ref="AK1405:AK1413" si="325">+AJ1405*D1405</f>
        <v>0</v>
      </c>
      <c r="AL1405" s="310" t="e">
        <f>+VLOOKUP(B1405,#REF!,2,FALSE)</f>
        <v>#REF!</v>
      </c>
      <c r="AM1405" s="311" t="e">
        <f t="shared" ref="AM1405:AM1413" si="326">+AL1405-E1405</f>
        <v>#REF!</v>
      </c>
      <c r="AN1405" s="312" t="e">
        <f t="shared" ref="AN1405:AN1413" si="327">+AM1405/AL1405</f>
        <v>#REF!</v>
      </c>
    </row>
    <row r="1406" spans="1:40" s="73" customFormat="1" x14ac:dyDescent="0.25">
      <c r="A1406" s="396"/>
      <c r="B1406" s="304" t="s">
        <v>2064</v>
      </c>
      <c r="D1406" s="74">
        <f>IFERROR(VLOOKUP(B1406,'REQ. PINTADO'!B:C,2,0),0)</f>
        <v>0</v>
      </c>
      <c r="E1406" s="305">
        <f t="shared" si="314"/>
        <v>195.00472565898167</v>
      </c>
      <c r="F1406" s="397" t="s">
        <v>166</v>
      </c>
      <c r="G1406" s="75" t="s">
        <v>147</v>
      </c>
      <c r="H1406" s="90">
        <v>18.09</v>
      </c>
      <c r="I1406" s="90">
        <v>9.9700000000000006</v>
      </c>
      <c r="J1406" s="76">
        <v>0.105</v>
      </c>
      <c r="K1406" s="306">
        <v>16.38</v>
      </c>
      <c r="L1406" s="78">
        <f t="shared" si="315"/>
        <v>5.490320407573491</v>
      </c>
      <c r="M1406" s="58">
        <f>+VLOOKUP(F1406,Material!$H$2:$M$17,6,FALSE)*H1406*I1406*(1+Material!$K$14)</f>
        <v>40.87793103456989</v>
      </c>
      <c r="N1406" s="79" t="str">
        <f t="shared" si="313"/>
        <v>T5.0</v>
      </c>
      <c r="O1406" s="80">
        <f>+VLOOKUP(N1406,[3]Material!$A$3:$B$58,2,FALSE)</f>
        <v>5000</v>
      </c>
      <c r="P1406" s="79" t="s">
        <v>42</v>
      </c>
      <c r="Q1406" s="79" t="str">
        <f>+VLOOKUP(F1406,[3]Material!$C$2:$E$12,2,FALSE)</f>
        <v>Cal 16</v>
      </c>
      <c r="R1406" s="81">
        <f>+IF(P1406="ACERO A36",VLOOKUP(Q1406,'[3]Velocidades Std 1500 w'!$B$2:$F$15,5,FALSE),IF(P1406="INOXIDABLE",VLOOKUP(Q1406,'[3]Velocidades Std 1500 w'!$B$17:$F$28,5,FALSE),IF(P1406="ALUMINIO",VLOOKUP(Q1406,'[3]Velocidades Std 1500 w'!$B$30:$F$38,5,FALSE))))</f>
        <v>9.1575091575091579E-7</v>
      </c>
      <c r="S1406" s="82">
        <f t="shared" si="316"/>
        <v>4.578754578754579E-3</v>
      </c>
      <c r="T1406" s="83">
        <f t="shared" si="317"/>
        <v>5.5936661538461552</v>
      </c>
      <c r="U1406" s="307">
        <f t="shared" si="318"/>
        <v>1696.7454000000002</v>
      </c>
      <c r="V1406" s="80">
        <f t="shared" si="319"/>
        <v>7.7689807692307706</v>
      </c>
      <c r="W1406" s="98">
        <v>5</v>
      </c>
      <c r="X1406" s="84">
        <f>+IF(P1406="ACERO A36",VLOOKUP(Q1406,'[3]Tiempo Objeto'!$B$2:$C$12,2,FALSE),IF(P1406="INOXIDABLE",VLOOKUP(Q1406,'[3]Tiempo Objeto'!$B$14:$C$22,2,FALSE),IF(P1406="ALUMINIO",VLOOKUP(Q1406,'[3]Tiempo Objeto'!$B$24:$C$32,2,FALSE))))</f>
        <v>0.24666666666666667</v>
      </c>
      <c r="Y1406" s="84">
        <f t="shared" si="320"/>
        <v>1.2333333333333334</v>
      </c>
      <c r="Z1406" s="80">
        <f t="shared" si="321"/>
        <v>1.712962962962963</v>
      </c>
      <c r="AA1406" s="100">
        <v>4</v>
      </c>
      <c r="AB1406" s="86">
        <f>+AA1406*Analisis!$J$6</f>
        <v>100</v>
      </c>
      <c r="AC1406" s="100"/>
      <c r="AD1406" s="85">
        <f t="shared" si="322"/>
        <v>0</v>
      </c>
      <c r="AE1406" s="86">
        <f>+AC1406*Analisis!$J$7</f>
        <v>0</v>
      </c>
      <c r="AF1406" s="308">
        <f>+H1406*0.0254*I1406*0.0254*2*(1+[3]Analisis!$G$2)</f>
        <v>0.29089828916999994</v>
      </c>
      <c r="AG1406" s="86">
        <f>+AF1406*Analisis!$J$8</f>
        <v>30.994520096089289</v>
      </c>
      <c r="AH1406" s="309">
        <f t="shared" si="323"/>
        <v>181.35439486285293</v>
      </c>
      <c r="AI1406" s="86">
        <f>+AH1406/(1-Analisis!G1155)</f>
        <v>181.35439486285293</v>
      </c>
      <c r="AJ1406" s="86">
        <f t="shared" si="324"/>
        <v>195.00472565898167</v>
      </c>
      <c r="AK1406" s="86">
        <f t="shared" si="325"/>
        <v>0</v>
      </c>
      <c r="AL1406" s="310" t="e">
        <f>+VLOOKUP(B1406,#REF!,2,FALSE)</f>
        <v>#REF!</v>
      </c>
      <c r="AM1406" s="311" t="e">
        <f t="shared" si="326"/>
        <v>#REF!</v>
      </c>
      <c r="AN1406" s="312" t="e">
        <f t="shared" si="327"/>
        <v>#REF!</v>
      </c>
    </row>
    <row r="1407" spans="1:40" s="73" customFormat="1" x14ac:dyDescent="0.25">
      <c r="A1407" s="396"/>
      <c r="B1407" s="304" t="s">
        <v>2065</v>
      </c>
      <c r="D1407" s="74">
        <f>IFERROR(VLOOKUP(B1407,'REQ. PINTADO'!B:C,2,0),0)</f>
        <v>0</v>
      </c>
      <c r="E1407" s="305">
        <f t="shared" si="314"/>
        <v>222.21298035184128</v>
      </c>
      <c r="F1407" s="397" t="s">
        <v>166</v>
      </c>
      <c r="G1407" s="75" t="s">
        <v>147</v>
      </c>
      <c r="H1407" s="90">
        <v>24.09</v>
      </c>
      <c r="I1407" s="90">
        <v>9.9700000000000006</v>
      </c>
      <c r="J1407" s="76">
        <v>0.105</v>
      </c>
      <c r="K1407" s="306">
        <v>16.38</v>
      </c>
      <c r="L1407" s="78">
        <f t="shared" si="315"/>
        <v>7.3113222011302037</v>
      </c>
      <c r="M1407" s="58">
        <f>+VLOOKUP(F1407,Material!$H$2:$M$17,6,FALSE)*H1407*I1407*(1+Material!$K$14)</f>
        <v>54.436117115687601</v>
      </c>
      <c r="N1407" s="79" t="str">
        <f t="shared" si="313"/>
        <v>T5.0</v>
      </c>
      <c r="O1407" s="80">
        <f>+VLOOKUP(N1407,[3]Material!$A$3:$B$58,2,FALSE)</f>
        <v>5000</v>
      </c>
      <c r="P1407" s="79" t="s">
        <v>42</v>
      </c>
      <c r="Q1407" s="79" t="str">
        <f>+VLOOKUP(F1407,[3]Material!$C$2:$E$12,2,FALSE)</f>
        <v>Cal 16</v>
      </c>
      <c r="R1407" s="81">
        <f>+IF(P1407="ACERO A36",VLOOKUP(Q1407,'[3]Velocidades Std 1500 w'!$B$2:$F$15,5,FALSE),IF(P1407="INOXIDABLE",VLOOKUP(Q1407,'[3]Velocidades Std 1500 w'!$B$17:$F$28,5,FALSE),IF(P1407="ALUMINIO",VLOOKUP(Q1407,'[3]Velocidades Std 1500 w'!$B$30:$F$38,5,FALSE))))</f>
        <v>9.1575091575091579E-7</v>
      </c>
      <c r="S1407" s="82">
        <f t="shared" si="316"/>
        <v>4.578754578754579E-3</v>
      </c>
      <c r="T1407" s="83">
        <f t="shared" si="317"/>
        <v>6.6487430769230782</v>
      </c>
      <c r="U1407" s="307">
        <f t="shared" si="318"/>
        <v>2016.7854000000002</v>
      </c>
      <c r="V1407" s="80">
        <f t="shared" si="319"/>
        <v>9.2343653846153853</v>
      </c>
      <c r="W1407" s="98">
        <v>5</v>
      </c>
      <c r="X1407" s="84">
        <f>+IF(P1407="ACERO A36",VLOOKUP(Q1407,'[3]Tiempo Objeto'!$B$2:$C$12,2,FALSE),IF(P1407="INOXIDABLE",VLOOKUP(Q1407,'[3]Tiempo Objeto'!$B$14:$C$22,2,FALSE),IF(P1407="ALUMINIO",VLOOKUP(Q1407,'[3]Tiempo Objeto'!$B$24:$C$32,2,FALSE))))</f>
        <v>0.24666666666666667</v>
      </c>
      <c r="Y1407" s="84">
        <f t="shared" si="320"/>
        <v>1.2333333333333334</v>
      </c>
      <c r="Z1407" s="80">
        <f t="shared" si="321"/>
        <v>1.712962962962963</v>
      </c>
      <c r="AA1407" s="100">
        <v>4</v>
      </c>
      <c r="AB1407" s="86">
        <f>+AA1407*Analisis!$J$6</f>
        <v>100</v>
      </c>
      <c r="AC1407" s="100"/>
      <c r="AD1407" s="85">
        <f t="shared" si="322"/>
        <v>0</v>
      </c>
      <c r="AE1407" s="86">
        <f>+AC1407*Analisis!$J$7</f>
        <v>0</v>
      </c>
      <c r="AF1407" s="308">
        <f>+H1407*0.0254*I1407*0.0254*2*(1+[3]Analisis!$G$2)</f>
        <v>0.38738196716999995</v>
      </c>
      <c r="AG1407" s="86">
        <f>+AF1407*Analisis!$J$8</f>
        <v>41.274626263946438</v>
      </c>
      <c r="AH1407" s="309">
        <f t="shared" si="323"/>
        <v>206.65807172721239</v>
      </c>
      <c r="AI1407" s="86">
        <f>+AH1407/(1-Analisis!G1156)</f>
        <v>206.65807172721239</v>
      </c>
      <c r="AJ1407" s="86">
        <f t="shared" si="324"/>
        <v>222.21298035184128</v>
      </c>
      <c r="AK1407" s="86">
        <f t="shared" si="325"/>
        <v>0</v>
      </c>
      <c r="AL1407" s="310" t="e">
        <f>+VLOOKUP(B1407,#REF!,2,FALSE)</f>
        <v>#REF!</v>
      </c>
      <c r="AM1407" s="311" t="e">
        <f t="shared" si="326"/>
        <v>#REF!</v>
      </c>
      <c r="AN1407" s="312" t="e">
        <f t="shared" si="327"/>
        <v>#REF!</v>
      </c>
    </row>
    <row r="1408" spans="1:40" s="73" customFormat="1" x14ac:dyDescent="0.25">
      <c r="A1408" s="396"/>
      <c r="B1408" s="304" t="s">
        <v>2066</v>
      </c>
      <c r="D1408" s="74">
        <f>IFERROR(VLOOKUP(B1408,'REQ. PINTADO'!B:C,2,0),0)</f>
        <v>0</v>
      </c>
      <c r="E1408" s="305">
        <f t="shared" si="314"/>
        <v>249.42123504470092</v>
      </c>
      <c r="F1408" s="397" t="s">
        <v>166</v>
      </c>
      <c r="G1408" s="75" t="s">
        <v>147</v>
      </c>
      <c r="H1408" s="90">
        <v>30.09</v>
      </c>
      <c r="I1408" s="90">
        <v>9.9700000000000006</v>
      </c>
      <c r="J1408" s="76">
        <v>0.105</v>
      </c>
      <c r="K1408" s="306">
        <v>16.38</v>
      </c>
      <c r="L1408" s="78">
        <f t="shared" si="315"/>
        <v>9.1323239946869172</v>
      </c>
      <c r="M1408" s="58">
        <f>+VLOOKUP(F1408,Material!$H$2:$M$17,6,FALSE)*H1408*I1408*(1+Material!$K$14)</f>
        <v>67.994303196805305</v>
      </c>
      <c r="N1408" s="79" t="str">
        <f t="shared" si="313"/>
        <v>T5.0</v>
      </c>
      <c r="O1408" s="80">
        <f>+VLOOKUP(N1408,[3]Material!$A$3:$B$58,2,FALSE)</f>
        <v>5000</v>
      </c>
      <c r="P1408" s="79" t="s">
        <v>42</v>
      </c>
      <c r="Q1408" s="79" t="str">
        <f>+VLOOKUP(F1408,[3]Material!$C$2:$E$12,2,FALSE)</f>
        <v>Cal 16</v>
      </c>
      <c r="R1408" s="81">
        <f>+IF(P1408="ACERO A36",VLOOKUP(Q1408,'[3]Velocidades Std 1500 w'!$B$2:$F$15,5,FALSE),IF(P1408="INOXIDABLE",VLOOKUP(Q1408,'[3]Velocidades Std 1500 w'!$B$17:$F$28,5,FALSE),IF(P1408="ALUMINIO",VLOOKUP(Q1408,'[3]Velocidades Std 1500 w'!$B$30:$F$38,5,FALSE))))</f>
        <v>9.1575091575091579E-7</v>
      </c>
      <c r="S1408" s="82">
        <f t="shared" si="316"/>
        <v>4.578754578754579E-3</v>
      </c>
      <c r="T1408" s="83">
        <f t="shared" si="317"/>
        <v>7.7038199999999994</v>
      </c>
      <c r="U1408" s="307">
        <f t="shared" si="318"/>
        <v>2336.8253999999997</v>
      </c>
      <c r="V1408" s="80">
        <f t="shared" si="319"/>
        <v>10.69975</v>
      </c>
      <c r="W1408" s="98">
        <v>5</v>
      </c>
      <c r="X1408" s="84">
        <f>+IF(P1408="ACERO A36",VLOOKUP(Q1408,'[3]Tiempo Objeto'!$B$2:$C$12,2,FALSE),IF(P1408="INOXIDABLE",VLOOKUP(Q1408,'[3]Tiempo Objeto'!$B$14:$C$22,2,FALSE),IF(P1408="ALUMINIO",VLOOKUP(Q1408,'[3]Tiempo Objeto'!$B$24:$C$32,2,FALSE))))</f>
        <v>0.24666666666666667</v>
      </c>
      <c r="Y1408" s="84">
        <f t="shared" si="320"/>
        <v>1.2333333333333334</v>
      </c>
      <c r="Z1408" s="80">
        <f t="shared" si="321"/>
        <v>1.712962962962963</v>
      </c>
      <c r="AA1408" s="100">
        <v>4</v>
      </c>
      <c r="AB1408" s="86">
        <f>+AA1408*Analisis!$J$6</f>
        <v>100</v>
      </c>
      <c r="AC1408" s="100"/>
      <c r="AD1408" s="85">
        <f t="shared" si="322"/>
        <v>0</v>
      </c>
      <c r="AE1408" s="86">
        <f>+AC1408*Analisis!$J$7</f>
        <v>0</v>
      </c>
      <c r="AF1408" s="308">
        <f>+H1408*0.0254*I1408*0.0254*2*(1+[3]Analisis!$G$2)</f>
        <v>0.48386564516999991</v>
      </c>
      <c r="AG1408" s="86">
        <f>+AF1408*Analisis!$J$8</f>
        <v>51.554732431803579</v>
      </c>
      <c r="AH1408" s="309">
        <f t="shared" si="323"/>
        <v>231.96174859157185</v>
      </c>
      <c r="AI1408" s="86">
        <f>+AH1408/(1-Analisis!G1157)</f>
        <v>231.96174859157185</v>
      </c>
      <c r="AJ1408" s="86">
        <f t="shared" si="324"/>
        <v>249.42123504470092</v>
      </c>
      <c r="AK1408" s="86">
        <f t="shared" si="325"/>
        <v>0</v>
      </c>
      <c r="AL1408" s="310" t="e">
        <f>+VLOOKUP(B1408,#REF!,2,FALSE)</f>
        <v>#REF!</v>
      </c>
      <c r="AM1408" s="311" t="e">
        <f t="shared" si="326"/>
        <v>#REF!</v>
      </c>
      <c r="AN1408" s="312" t="e">
        <f t="shared" si="327"/>
        <v>#REF!</v>
      </c>
    </row>
    <row r="1409" spans="1:40" s="73" customFormat="1" x14ac:dyDescent="0.25">
      <c r="A1409" s="396">
        <v>16</v>
      </c>
      <c r="B1409" s="304" t="s">
        <v>1998</v>
      </c>
      <c r="D1409" s="74">
        <f>IFERROR(VLOOKUP(B1409,'REQ. PINTADO'!B:C,2,0),0)</f>
        <v>0</v>
      </c>
      <c r="E1409" s="305">
        <f t="shared" si="314"/>
        <v>276.62948973756062</v>
      </c>
      <c r="F1409" s="397" t="s">
        <v>166</v>
      </c>
      <c r="G1409" s="75" t="s">
        <v>147</v>
      </c>
      <c r="H1409" s="90">
        <v>36.090000000000003</v>
      </c>
      <c r="I1409" s="90">
        <v>9.9700000000000006</v>
      </c>
      <c r="J1409" s="76">
        <v>0.105</v>
      </c>
      <c r="K1409" s="306">
        <v>16.38</v>
      </c>
      <c r="L1409" s="78">
        <f t="shared" si="315"/>
        <v>10.953325788243632</v>
      </c>
      <c r="M1409" s="58">
        <f>+VLOOKUP(F1409,Material!$H$2:$M$17,6,FALSE)*H1409*I1409*(1+Material!$K$14)</f>
        <v>81.55248927792303</v>
      </c>
      <c r="N1409" s="79" t="str">
        <f t="shared" si="313"/>
        <v>T5.0</v>
      </c>
      <c r="O1409" s="80">
        <f>+VLOOKUP(N1409,[3]Material!$A$3:$B$58,2,FALSE)</f>
        <v>5000</v>
      </c>
      <c r="P1409" s="79" t="s">
        <v>42</v>
      </c>
      <c r="Q1409" s="79" t="str">
        <f>+VLOOKUP(F1409,[3]Material!$C$2:$E$12,2,FALSE)</f>
        <v>Cal 16</v>
      </c>
      <c r="R1409" s="81">
        <f>+IF(P1409="ACERO A36",VLOOKUP(Q1409,'[3]Velocidades Std 1500 w'!$B$2:$F$15,5,FALSE),IF(P1409="INOXIDABLE",VLOOKUP(Q1409,'[3]Velocidades Std 1500 w'!$B$17:$F$28,5,FALSE),IF(P1409="ALUMINIO",VLOOKUP(Q1409,'[3]Velocidades Std 1500 w'!$B$30:$F$38,5,FALSE))))</f>
        <v>9.1575091575091579E-7</v>
      </c>
      <c r="S1409" s="82">
        <f t="shared" si="316"/>
        <v>4.578754578754579E-3</v>
      </c>
      <c r="T1409" s="83">
        <f t="shared" si="317"/>
        <v>8.7588969230769251</v>
      </c>
      <c r="U1409" s="307">
        <f t="shared" si="318"/>
        <v>2656.8654000000001</v>
      </c>
      <c r="V1409" s="80">
        <f t="shared" si="319"/>
        <v>12.165134615384616</v>
      </c>
      <c r="W1409" s="98">
        <v>5</v>
      </c>
      <c r="X1409" s="84">
        <f>+IF(P1409="ACERO A36",VLOOKUP(Q1409,'[3]Tiempo Objeto'!$B$2:$C$12,2,FALSE),IF(P1409="INOXIDABLE",VLOOKUP(Q1409,'[3]Tiempo Objeto'!$B$14:$C$22,2,FALSE),IF(P1409="ALUMINIO",VLOOKUP(Q1409,'[3]Tiempo Objeto'!$B$24:$C$32,2,FALSE))))</f>
        <v>0.24666666666666667</v>
      </c>
      <c r="Y1409" s="84">
        <f t="shared" si="320"/>
        <v>1.2333333333333334</v>
      </c>
      <c r="Z1409" s="80">
        <f t="shared" si="321"/>
        <v>1.712962962962963</v>
      </c>
      <c r="AA1409" s="100">
        <v>4</v>
      </c>
      <c r="AB1409" s="86">
        <f>+AA1409*Analisis!$J$6</f>
        <v>100</v>
      </c>
      <c r="AC1409" s="100"/>
      <c r="AD1409" s="85">
        <f t="shared" si="322"/>
        <v>0</v>
      </c>
      <c r="AE1409" s="86">
        <f>+AC1409*Analisis!$J$7</f>
        <v>0</v>
      </c>
      <c r="AF1409" s="308">
        <f>+H1409*0.0254*I1409*0.0254*2*(1+[3]Analisis!$G$2)</f>
        <v>0.58034932316999999</v>
      </c>
      <c r="AG1409" s="86">
        <f>+AF1409*Analisis!$J$8</f>
        <v>61.834838599660735</v>
      </c>
      <c r="AH1409" s="309">
        <f t="shared" si="323"/>
        <v>257.26542545593134</v>
      </c>
      <c r="AI1409" s="86">
        <f>+AH1409/(1-Analisis!G1158)</f>
        <v>257.26542545593134</v>
      </c>
      <c r="AJ1409" s="86">
        <f t="shared" si="324"/>
        <v>276.62948973756062</v>
      </c>
      <c r="AK1409" s="86">
        <f t="shared" si="325"/>
        <v>0</v>
      </c>
      <c r="AL1409" s="310" t="e">
        <f>+VLOOKUP(B1409,#REF!,2,FALSE)</f>
        <v>#REF!</v>
      </c>
      <c r="AM1409" s="311" t="e">
        <f t="shared" si="326"/>
        <v>#REF!</v>
      </c>
      <c r="AN1409" s="312" t="e">
        <f t="shared" si="327"/>
        <v>#REF!</v>
      </c>
    </row>
    <row r="1410" spans="1:40" s="73" customFormat="1" x14ac:dyDescent="0.25">
      <c r="A1410" s="396"/>
      <c r="B1410" s="304" t="s">
        <v>2067</v>
      </c>
      <c r="D1410" s="74">
        <f>IFERROR(VLOOKUP(B1410,'REQ. PINTADO'!B:C,2,0),0)</f>
        <v>0</v>
      </c>
      <c r="E1410" s="305">
        <f t="shared" si="314"/>
        <v>312.90716266137349</v>
      </c>
      <c r="F1410" s="397" t="s">
        <v>166</v>
      </c>
      <c r="G1410" s="75" t="s">
        <v>147</v>
      </c>
      <c r="H1410" s="90">
        <v>44.09</v>
      </c>
      <c r="I1410" s="90">
        <v>9.9700000000000006</v>
      </c>
      <c r="J1410" s="76">
        <v>0.105</v>
      </c>
      <c r="K1410" s="306">
        <v>16.38</v>
      </c>
      <c r="L1410" s="78">
        <f t="shared" si="315"/>
        <v>13.381328179652581</v>
      </c>
      <c r="M1410" s="58">
        <f>+VLOOKUP(F1410,Material!$H$2:$M$17,6,FALSE)*H1410*I1410*(1+Material!$K$14)</f>
        <v>99.630070719413297</v>
      </c>
      <c r="N1410" s="79" t="str">
        <f t="shared" si="313"/>
        <v>T5.0</v>
      </c>
      <c r="O1410" s="80">
        <f>+VLOOKUP(N1410,[3]Material!$A$3:$B$58,2,FALSE)</f>
        <v>5000</v>
      </c>
      <c r="P1410" s="79" t="s">
        <v>42</v>
      </c>
      <c r="Q1410" s="79" t="str">
        <f>+VLOOKUP(F1410,[3]Material!$C$2:$E$12,2,FALSE)</f>
        <v>Cal 16</v>
      </c>
      <c r="R1410" s="81">
        <f>+IF(P1410="ACERO A36",VLOOKUP(Q1410,'[3]Velocidades Std 1500 w'!$B$2:$F$15,5,FALSE),IF(P1410="INOXIDABLE",VLOOKUP(Q1410,'[3]Velocidades Std 1500 w'!$B$17:$F$28,5,FALSE),IF(P1410="ALUMINIO",VLOOKUP(Q1410,'[3]Velocidades Std 1500 w'!$B$30:$F$38,5,FALSE))))</f>
        <v>9.1575091575091579E-7</v>
      </c>
      <c r="S1410" s="82">
        <f t="shared" si="316"/>
        <v>4.578754578754579E-3</v>
      </c>
      <c r="T1410" s="83">
        <f t="shared" si="317"/>
        <v>10.165666153846157</v>
      </c>
      <c r="U1410" s="307">
        <f t="shared" si="318"/>
        <v>3083.5854000000004</v>
      </c>
      <c r="V1410" s="80">
        <f t="shared" si="319"/>
        <v>14.118980769230772</v>
      </c>
      <c r="W1410" s="98">
        <v>5</v>
      </c>
      <c r="X1410" s="84">
        <f>+IF(P1410="ACERO A36",VLOOKUP(Q1410,'[3]Tiempo Objeto'!$B$2:$C$12,2,FALSE),IF(P1410="INOXIDABLE",VLOOKUP(Q1410,'[3]Tiempo Objeto'!$B$14:$C$22,2,FALSE),IF(P1410="ALUMINIO",VLOOKUP(Q1410,'[3]Tiempo Objeto'!$B$24:$C$32,2,FALSE))))</f>
        <v>0.24666666666666667</v>
      </c>
      <c r="Y1410" s="84">
        <f t="shared" si="320"/>
        <v>1.2333333333333334</v>
      </c>
      <c r="Z1410" s="80">
        <f t="shared" si="321"/>
        <v>1.712962962962963</v>
      </c>
      <c r="AA1410" s="100">
        <v>4</v>
      </c>
      <c r="AB1410" s="86">
        <f>+AA1410*Analisis!$J$6</f>
        <v>100</v>
      </c>
      <c r="AC1410" s="100"/>
      <c r="AD1410" s="85">
        <f t="shared" si="322"/>
        <v>0</v>
      </c>
      <c r="AE1410" s="86">
        <f>+AC1410*Analisis!$J$7</f>
        <v>0</v>
      </c>
      <c r="AF1410" s="308">
        <f>+H1410*0.0254*I1410*0.0254*2*(1+[3]Analisis!$G$2)</f>
        <v>0.70899422717000005</v>
      </c>
      <c r="AG1410" s="86">
        <f>+AF1410*Analisis!$J$8</f>
        <v>75.541646823470259</v>
      </c>
      <c r="AH1410" s="309">
        <f t="shared" si="323"/>
        <v>291.00366127507732</v>
      </c>
      <c r="AI1410" s="86">
        <f>+AH1410/(1-Analisis!G1159)</f>
        <v>291.00366127507732</v>
      </c>
      <c r="AJ1410" s="86">
        <f t="shared" si="324"/>
        <v>312.90716266137349</v>
      </c>
      <c r="AK1410" s="86">
        <f t="shared" si="325"/>
        <v>0</v>
      </c>
      <c r="AL1410" s="310" t="e">
        <f>+VLOOKUP(B1410,#REF!,2,FALSE)</f>
        <v>#REF!</v>
      </c>
      <c r="AM1410" s="311" t="e">
        <f t="shared" si="326"/>
        <v>#REF!</v>
      </c>
      <c r="AN1410" s="312" t="e">
        <f t="shared" si="327"/>
        <v>#REF!</v>
      </c>
    </row>
    <row r="1411" spans="1:40" s="73" customFormat="1" x14ac:dyDescent="0.25">
      <c r="A1411" s="396"/>
      <c r="B1411" s="304" t="s">
        <v>2068</v>
      </c>
      <c r="D1411" s="74">
        <f>IFERROR(VLOOKUP(B1411,'REQ. PINTADO'!B:C,2,0),0)</f>
        <v>0</v>
      </c>
      <c r="E1411" s="305">
        <f t="shared" si="314"/>
        <v>340.11541735423316</v>
      </c>
      <c r="F1411" s="397" t="s">
        <v>166</v>
      </c>
      <c r="G1411" s="75" t="s">
        <v>147</v>
      </c>
      <c r="H1411" s="90">
        <v>50.09</v>
      </c>
      <c r="I1411" s="90">
        <v>9.9700000000000006</v>
      </c>
      <c r="J1411" s="76">
        <v>0.105</v>
      </c>
      <c r="K1411" s="306">
        <v>16.38</v>
      </c>
      <c r="L1411" s="78">
        <f t="shared" si="315"/>
        <v>15.202329973209299</v>
      </c>
      <c r="M1411" s="58">
        <f>+VLOOKUP(F1411,Material!$H$2:$M$17,6,FALSE)*H1411*I1411*(1+Material!$K$14)</f>
        <v>113.18825680053104</v>
      </c>
      <c r="N1411" s="79" t="str">
        <f t="shared" si="313"/>
        <v>T5.0</v>
      </c>
      <c r="O1411" s="80">
        <f>+VLOOKUP(N1411,[3]Material!$A$3:$B$58,2,FALSE)</f>
        <v>5000</v>
      </c>
      <c r="P1411" s="79" t="s">
        <v>42</v>
      </c>
      <c r="Q1411" s="79" t="str">
        <f>+VLOOKUP(F1411,[3]Material!$C$2:$E$12,2,FALSE)</f>
        <v>Cal 16</v>
      </c>
      <c r="R1411" s="81">
        <f>+IF(P1411="ACERO A36",VLOOKUP(Q1411,'[3]Velocidades Std 1500 w'!$B$2:$F$15,5,FALSE),IF(P1411="INOXIDABLE",VLOOKUP(Q1411,'[3]Velocidades Std 1500 w'!$B$17:$F$28,5,FALSE),IF(P1411="ALUMINIO",VLOOKUP(Q1411,'[3]Velocidades Std 1500 w'!$B$30:$F$38,5,FALSE))))</f>
        <v>9.1575091575091579E-7</v>
      </c>
      <c r="S1411" s="82">
        <f t="shared" si="316"/>
        <v>4.578754578754579E-3</v>
      </c>
      <c r="T1411" s="83">
        <f t="shared" si="317"/>
        <v>11.220743076923076</v>
      </c>
      <c r="U1411" s="307">
        <f t="shared" si="318"/>
        <v>3403.6253999999999</v>
      </c>
      <c r="V1411" s="80">
        <f t="shared" si="319"/>
        <v>15.584365384615385</v>
      </c>
      <c r="W1411" s="98">
        <v>5</v>
      </c>
      <c r="X1411" s="84">
        <f>+IF(P1411="ACERO A36",VLOOKUP(Q1411,'[3]Tiempo Objeto'!$B$2:$C$12,2,FALSE),IF(P1411="INOXIDABLE",VLOOKUP(Q1411,'[3]Tiempo Objeto'!$B$14:$C$22,2,FALSE),IF(P1411="ALUMINIO",VLOOKUP(Q1411,'[3]Tiempo Objeto'!$B$24:$C$32,2,FALSE))))</f>
        <v>0.24666666666666667</v>
      </c>
      <c r="Y1411" s="84">
        <f t="shared" si="320"/>
        <v>1.2333333333333334</v>
      </c>
      <c r="Z1411" s="80">
        <f t="shared" si="321"/>
        <v>1.712962962962963</v>
      </c>
      <c r="AA1411" s="100">
        <v>4</v>
      </c>
      <c r="AB1411" s="86">
        <f>+AA1411*Analisis!$J$6</f>
        <v>100</v>
      </c>
      <c r="AC1411" s="100"/>
      <c r="AD1411" s="85">
        <f t="shared" si="322"/>
        <v>0</v>
      </c>
      <c r="AE1411" s="86">
        <f>+AC1411*Analisis!$J$7</f>
        <v>0</v>
      </c>
      <c r="AF1411" s="308">
        <f>+H1411*0.0254*I1411*0.0254*2*(1+[3]Analisis!$G$2)</f>
        <v>0.80547790517000006</v>
      </c>
      <c r="AG1411" s="86">
        <f>+AF1411*Analisis!$J$8</f>
        <v>85.821752991327415</v>
      </c>
      <c r="AH1411" s="309">
        <f t="shared" si="323"/>
        <v>316.30733813943681</v>
      </c>
      <c r="AI1411" s="86">
        <f>+AH1411/(1-Analisis!G1160)</f>
        <v>316.30733813943681</v>
      </c>
      <c r="AJ1411" s="86">
        <f t="shared" si="324"/>
        <v>340.11541735423316</v>
      </c>
      <c r="AK1411" s="86">
        <f t="shared" si="325"/>
        <v>0</v>
      </c>
      <c r="AL1411" s="310" t="e">
        <f>+VLOOKUP(B1411,#REF!,2,FALSE)</f>
        <v>#REF!</v>
      </c>
      <c r="AM1411" s="311" t="e">
        <f t="shared" si="326"/>
        <v>#REF!</v>
      </c>
      <c r="AN1411" s="312" t="e">
        <f t="shared" si="327"/>
        <v>#REF!</v>
      </c>
    </row>
    <row r="1412" spans="1:40" s="73" customFormat="1" x14ac:dyDescent="0.25">
      <c r="A1412" s="396"/>
      <c r="B1412" s="304" t="s">
        <v>2069</v>
      </c>
      <c r="D1412" s="74">
        <f>IFERROR(VLOOKUP(B1412,'REQ. PINTADO'!B:C,2,0),0)</f>
        <v>0</v>
      </c>
      <c r="E1412" s="305">
        <f t="shared" si="314"/>
        <v>367.32367204709283</v>
      </c>
      <c r="F1412" s="397" t="s">
        <v>166</v>
      </c>
      <c r="G1412" s="75" t="s">
        <v>147</v>
      </c>
      <c r="H1412" s="90">
        <v>56.09</v>
      </c>
      <c r="I1412" s="90">
        <v>9.9700000000000006</v>
      </c>
      <c r="J1412" s="76">
        <v>0.105</v>
      </c>
      <c r="K1412" s="306">
        <v>16.38</v>
      </c>
      <c r="L1412" s="78">
        <f t="shared" si="315"/>
        <v>17.02333176676601</v>
      </c>
      <c r="M1412" s="58">
        <f>+VLOOKUP(F1412,Material!$H$2:$M$17,6,FALSE)*H1412*I1412*(1+Material!$K$14)</f>
        <v>126.74644288164873</v>
      </c>
      <c r="N1412" s="79" t="str">
        <f t="shared" si="313"/>
        <v>T5.0</v>
      </c>
      <c r="O1412" s="80">
        <f>+VLOOKUP(N1412,[3]Material!$A$3:$B$58,2,FALSE)</f>
        <v>5000</v>
      </c>
      <c r="P1412" s="79" t="s">
        <v>42</v>
      </c>
      <c r="Q1412" s="79" t="str">
        <f>+VLOOKUP(F1412,[3]Material!$C$2:$E$12,2,FALSE)</f>
        <v>Cal 16</v>
      </c>
      <c r="R1412" s="81">
        <f>+IF(P1412="ACERO A36",VLOOKUP(Q1412,'[3]Velocidades Std 1500 w'!$B$2:$F$15,5,FALSE),IF(P1412="INOXIDABLE",VLOOKUP(Q1412,'[3]Velocidades Std 1500 w'!$B$17:$F$28,5,FALSE),IF(P1412="ALUMINIO",VLOOKUP(Q1412,'[3]Velocidades Std 1500 w'!$B$30:$F$38,5,FALSE))))</f>
        <v>9.1575091575091579E-7</v>
      </c>
      <c r="S1412" s="82">
        <f t="shared" si="316"/>
        <v>4.578754578754579E-3</v>
      </c>
      <c r="T1412" s="83">
        <f t="shared" si="317"/>
        <v>12.275820000000001</v>
      </c>
      <c r="U1412" s="307">
        <f t="shared" si="318"/>
        <v>3723.6654000000003</v>
      </c>
      <c r="V1412" s="80">
        <f t="shared" si="319"/>
        <v>17.049750000000003</v>
      </c>
      <c r="W1412" s="98">
        <v>5</v>
      </c>
      <c r="X1412" s="84">
        <f>+IF(P1412="ACERO A36",VLOOKUP(Q1412,'[3]Tiempo Objeto'!$B$2:$C$12,2,FALSE),IF(P1412="INOXIDABLE",VLOOKUP(Q1412,'[3]Tiempo Objeto'!$B$14:$C$22,2,FALSE),IF(P1412="ALUMINIO",VLOOKUP(Q1412,'[3]Tiempo Objeto'!$B$24:$C$32,2,FALSE))))</f>
        <v>0.24666666666666667</v>
      </c>
      <c r="Y1412" s="84">
        <f t="shared" si="320"/>
        <v>1.2333333333333334</v>
      </c>
      <c r="Z1412" s="80">
        <f t="shared" si="321"/>
        <v>1.712962962962963</v>
      </c>
      <c r="AA1412" s="100">
        <v>4</v>
      </c>
      <c r="AB1412" s="86">
        <f>+AA1412*Analisis!$J$6</f>
        <v>100</v>
      </c>
      <c r="AC1412" s="100"/>
      <c r="AD1412" s="85">
        <f t="shared" si="322"/>
        <v>0</v>
      </c>
      <c r="AE1412" s="86">
        <f>+AC1412*Analisis!$J$7</f>
        <v>0</v>
      </c>
      <c r="AF1412" s="308">
        <f>+H1412*0.0254*I1412*0.0254*2*(1+[3]Analisis!$G$2)</f>
        <v>0.90196158317000008</v>
      </c>
      <c r="AG1412" s="86">
        <f>+AF1412*Analisis!$J$8</f>
        <v>96.101859159184556</v>
      </c>
      <c r="AH1412" s="309">
        <f t="shared" si="323"/>
        <v>341.6110150037963</v>
      </c>
      <c r="AI1412" s="86">
        <f>+AH1412/(1-Analisis!G1161)</f>
        <v>341.6110150037963</v>
      </c>
      <c r="AJ1412" s="86">
        <f t="shared" si="324"/>
        <v>367.32367204709283</v>
      </c>
      <c r="AK1412" s="86">
        <f t="shared" si="325"/>
        <v>0</v>
      </c>
      <c r="AL1412" s="310" t="e">
        <f>+VLOOKUP(B1412,#REF!,2,FALSE)</f>
        <v>#REF!</v>
      </c>
      <c r="AM1412" s="311" t="e">
        <f t="shared" si="326"/>
        <v>#REF!</v>
      </c>
      <c r="AN1412" s="312" t="e">
        <f t="shared" si="327"/>
        <v>#REF!</v>
      </c>
    </row>
    <row r="1413" spans="1:40" s="73" customFormat="1" x14ac:dyDescent="0.25">
      <c r="A1413" s="396"/>
      <c r="B1413" s="304" t="s">
        <v>2070</v>
      </c>
      <c r="D1413" s="74">
        <f>IFERROR(VLOOKUP(B1413,'REQ. PINTADO'!B:C,2,0),0)</f>
        <v>0</v>
      </c>
      <c r="E1413" s="305">
        <f t="shared" si="314"/>
        <v>217.67827123636468</v>
      </c>
      <c r="F1413" s="397" t="s">
        <v>166</v>
      </c>
      <c r="G1413" s="75" t="s">
        <v>147</v>
      </c>
      <c r="H1413" s="90">
        <v>23.09</v>
      </c>
      <c r="I1413" s="90">
        <v>9.9700000000000006</v>
      </c>
      <c r="J1413" s="76">
        <v>0.105</v>
      </c>
      <c r="K1413" s="306">
        <v>16.38</v>
      </c>
      <c r="L1413" s="78">
        <f t="shared" si="315"/>
        <v>7.0078219022040846</v>
      </c>
      <c r="M1413" s="58">
        <f>+VLOOKUP(F1413,Material!$H$2:$M$17,6,FALSE)*H1413*I1413*(1+Material!$K$14)</f>
        <v>52.176419435501316</v>
      </c>
      <c r="N1413" s="79" t="str">
        <f t="shared" si="313"/>
        <v>T5.0</v>
      </c>
      <c r="O1413" s="80">
        <f>+VLOOKUP(N1413,[3]Material!$A$3:$B$58,2,FALSE)</f>
        <v>5000</v>
      </c>
      <c r="P1413" s="79" t="s">
        <v>42</v>
      </c>
      <c r="Q1413" s="79" t="str">
        <f>+VLOOKUP(F1413,[3]Material!$C$2:$E$12,2,FALSE)</f>
        <v>Cal 16</v>
      </c>
      <c r="R1413" s="81">
        <f>+IF(P1413="ACERO A36",VLOOKUP(Q1413,'[3]Velocidades Std 1500 w'!$B$2:$F$15,5,FALSE),IF(P1413="INOXIDABLE",VLOOKUP(Q1413,'[3]Velocidades Std 1500 w'!$B$17:$F$28,5,FALSE),IF(P1413="ALUMINIO",VLOOKUP(Q1413,'[3]Velocidades Std 1500 w'!$B$30:$F$38,5,FALSE))))</f>
        <v>9.1575091575091579E-7</v>
      </c>
      <c r="S1413" s="82">
        <f t="shared" si="316"/>
        <v>4.578754578754579E-3</v>
      </c>
      <c r="T1413" s="83">
        <f t="shared" si="317"/>
        <v>6.4728969230769238</v>
      </c>
      <c r="U1413" s="307">
        <f t="shared" si="318"/>
        <v>1963.4454000000003</v>
      </c>
      <c r="V1413" s="80">
        <f t="shared" si="319"/>
        <v>8.9901346153846173</v>
      </c>
      <c r="W1413" s="98">
        <v>5</v>
      </c>
      <c r="X1413" s="84">
        <f>+IF(P1413="ACERO A36",VLOOKUP(Q1413,'[3]Tiempo Objeto'!$B$2:$C$12,2,FALSE),IF(P1413="INOXIDABLE",VLOOKUP(Q1413,'[3]Tiempo Objeto'!$B$14:$C$22,2,FALSE),IF(P1413="ALUMINIO",VLOOKUP(Q1413,'[3]Tiempo Objeto'!$B$24:$C$32,2,FALSE))))</f>
        <v>0.24666666666666667</v>
      </c>
      <c r="Y1413" s="84">
        <f t="shared" si="320"/>
        <v>1.2333333333333334</v>
      </c>
      <c r="Z1413" s="80">
        <f t="shared" si="321"/>
        <v>1.712962962962963</v>
      </c>
      <c r="AA1413" s="100">
        <v>4</v>
      </c>
      <c r="AB1413" s="86">
        <f>+AA1413*Analisis!$J$6</f>
        <v>100</v>
      </c>
      <c r="AC1413" s="100"/>
      <c r="AD1413" s="85">
        <f t="shared" si="322"/>
        <v>0</v>
      </c>
      <c r="AE1413" s="86">
        <f>+AC1413*Analisis!$J$7</f>
        <v>0</v>
      </c>
      <c r="AF1413" s="308">
        <f>+H1413*0.0254*I1413*0.0254*2*(1+[3]Analisis!$G$2)</f>
        <v>0.37130135416999999</v>
      </c>
      <c r="AG1413" s="86">
        <f>+AF1413*Analisis!$J$8</f>
        <v>39.56127523597025</v>
      </c>
      <c r="AH1413" s="309">
        <f t="shared" si="323"/>
        <v>202.44079224981914</v>
      </c>
      <c r="AI1413" s="86">
        <f>+AH1413/(1-Analisis!G1162)</f>
        <v>202.44079224981914</v>
      </c>
      <c r="AJ1413" s="86">
        <f t="shared" si="324"/>
        <v>217.67827123636468</v>
      </c>
      <c r="AK1413" s="86">
        <f t="shared" si="325"/>
        <v>0</v>
      </c>
      <c r="AL1413" s="310" t="e">
        <f>+VLOOKUP(B1413,#REF!,2,FALSE)</f>
        <v>#REF!</v>
      </c>
      <c r="AM1413" s="311" t="e">
        <f t="shared" si="326"/>
        <v>#REF!</v>
      </c>
      <c r="AN1413" s="312" t="e">
        <f t="shared" si="327"/>
        <v>#REF!</v>
      </c>
    </row>
    <row r="1414" spans="1:40" s="73" customFormat="1" x14ac:dyDescent="0.25">
      <c r="A1414" s="396"/>
      <c r="B1414" s="304" t="s">
        <v>2071</v>
      </c>
      <c r="D1414" s="74">
        <f>IFERROR(VLOOKUP(B1414,'REQ. PINTADO'!B:C,2,0),0)</f>
        <v>0</v>
      </c>
      <c r="E1414" s="305">
        <f t="shared" si="172"/>
        <v>132.57334658441383</v>
      </c>
      <c r="F1414" s="397" t="s">
        <v>166</v>
      </c>
      <c r="G1414" s="75" t="s">
        <v>147</v>
      </c>
      <c r="H1414" s="90">
        <v>12.08</v>
      </c>
      <c r="I1414" s="90">
        <v>3.71</v>
      </c>
      <c r="J1414" s="76">
        <v>0.105</v>
      </c>
      <c r="K1414" s="306">
        <v>16.38</v>
      </c>
      <c r="L1414" s="78">
        <f t="shared" si="173"/>
        <v>1.3642840719069296</v>
      </c>
      <c r="M1414" s="58">
        <f>+VLOOKUP(F1414,Material!$H$2:$M$17,6,FALSE)*H1414*I1414*(1+Material!$K$14)</f>
        <v>10.157715044470683</v>
      </c>
      <c r="N1414" s="79" t="str">
        <f t="shared" ref="N1414:N1422" si="328">+N1142</f>
        <v>T5.0</v>
      </c>
      <c r="O1414" s="80">
        <f>+VLOOKUP(N1414,[3]Material!$A$3:$B$58,2,FALSE)</f>
        <v>5000</v>
      </c>
      <c r="P1414" s="79" t="s">
        <v>42</v>
      </c>
      <c r="Q1414" s="79" t="str">
        <f>+VLOOKUP(F1414,[3]Material!$C$2:$E$12,2,FALSE)</f>
        <v>Cal 16</v>
      </c>
      <c r="R1414" s="81">
        <f>+IF(P1414="ACERO A36",VLOOKUP(Q1414,'[3]Velocidades Std 1500 w'!$B$2:$F$15,5,FALSE),IF(P1414="INOXIDABLE",VLOOKUP(Q1414,'[3]Velocidades Std 1500 w'!$B$17:$F$28,5,FALSE),IF(P1414="ALUMINIO",VLOOKUP(Q1414,'[3]Velocidades Std 1500 w'!$B$30:$F$38,5,FALSE))))</f>
        <v>9.1575091575091579E-7</v>
      </c>
      <c r="S1414" s="82">
        <f t="shared" si="174"/>
        <v>4.578754578754579E-3</v>
      </c>
      <c r="T1414" s="83">
        <f t="shared" si="175"/>
        <v>3.1722646153846155</v>
      </c>
      <c r="U1414" s="307">
        <f t="shared" si="171"/>
        <v>962.25359999999989</v>
      </c>
      <c r="V1414" s="80">
        <f t="shared" si="153"/>
        <v>4.4059230769230764</v>
      </c>
      <c r="W1414" s="98">
        <v>3</v>
      </c>
      <c r="X1414" s="84">
        <f>+IF(P1414="ACERO A36",VLOOKUP(Q1414,'[3]Tiempo Objeto'!$B$2:$C$12,2,FALSE),IF(P1414="INOXIDABLE",VLOOKUP(Q1414,'[3]Tiempo Objeto'!$B$14:$C$22,2,FALSE),IF(P1414="ALUMINIO",VLOOKUP(Q1414,'[3]Tiempo Objeto'!$B$24:$C$32,2,FALSE))))</f>
        <v>0.24666666666666667</v>
      </c>
      <c r="Y1414" s="84">
        <f t="shared" si="176"/>
        <v>0.74</v>
      </c>
      <c r="Z1414" s="80">
        <f t="shared" si="177"/>
        <v>1.0277777777777777</v>
      </c>
      <c r="AA1414" s="100">
        <v>4</v>
      </c>
      <c r="AB1414" s="86">
        <f>+AA1414*Analisis!$J$6</f>
        <v>100</v>
      </c>
      <c r="AC1414" s="100"/>
      <c r="AD1414" s="85">
        <f t="shared" si="178"/>
        <v>0</v>
      </c>
      <c r="AE1414" s="86">
        <f>+AC1414*Analisis!$J$7</f>
        <v>0</v>
      </c>
      <c r="AF1414" s="308">
        <f>+H1414*0.0254*I1414*0.0254*2*(1+[3]Analisis!$G$2)</f>
        <v>7.2285016719999984E-2</v>
      </c>
      <c r="AG1414" s="86">
        <f>+AF1414*Analisis!$J$8</f>
        <v>7.7017964243333337</v>
      </c>
      <c r="AH1414" s="309">
        <f t="shared" si="179"/>
        <v>123.29321232350486</v>
      </c>
      <c r="AI1414" s="86">
        <f>+AH1414/(1-Analisis!G1154)</f>
        <v>123.29321232350486</v>
      </c>
      <c r="AJ1414" s="86">
        <f t="shared" si="180"/>
        <v>132.57334658441383</v>
      </c>
      <c r="AK1414" s="86">
        <f t="shared" si="181"/>
        <v>0</v>
      </c>
      <c r="AL1414" s="310" t="e">
        <f>+VLOOKUP(B1414,#REF!,2,FALSE)</f>
        <v>#REF!</v>
      </c>
      <c r="AM1414" s="311" t="e">
        <f t="shared" si="183"/>
        <v>#REF!</v>
      </c>
      <c r="AN1414" s="312" t="e">
        <f t="shared" si="182"/>
        <v>#REF!</v>
      </c>
    </row>
    <row r="1415" spans="1:40" s="73" customFormat="1" x14ac:dyDescent="0.25">
      <c r="A1415" s="396"/>
      <c r="B1415" s="304" t="s">
        <v>2072</v>
      </c>
      <c r="D1415" s="74">
        <f>IFERROR(VLOOKUP(B1415,'REQ. PINTADO'!B:C,2,0),0)</f>
        <v>0</v>
      </c>
      <c r="E1415" s="305">
        <f t="shared" ref="E1415:E1422" si="329">+AJ1415</f>
        <v>139.9826676558059</v>
      </c>
      <c r="F1415" s="397" t="s">
        <v>166</v>
      </c>
      <c r="G1415" s="75" t="s">
        <v>147</v>
      </c>
      <c r="H1415" s="90">
        <v>16.079999999999998</v>
      </c>
      <c r="I1415" s="90">
        <v>3.71</v>
      </c>
      <c r="J1415" s="76">
        <v>0.105</v>
      </c>
      <c r="K1415" s="306">
        <v>16.38</v>
      </c>
      <c r="L1415" s="78">
        <f t="shared" ref="L1415:L1422" si="330">+M1415*2.2/K1415</f>
        <v>1.8160337645913427</v>
      </c>
      <c r="M1415" s="58">
        <f>+VLOOKUP(F1415,Material!$H$2:$M$17,6,FALSE)*H1415*I1415*(1+Material!$K$14)</f>
        <v>13.52119684727554</v>
      </c>
      <c r="N1415" s="79" t="str">
        <f t="shared" si="328"/>
        <v>T5.0</v>
      </c>
      <c r="O1415" s="80">
        <f>+VLOOKUP(N1415,[3]Material!$A$3:$B$58,2,FALSE)</f>
        <v>5000</v>
      </c>
      <c r="P1415" s="79" t="s">
        <v>42</v>
      </c>
      <c r="Q1415" s="79" t="str">
        <f>+VLOOKUP(F1415,[3]Material!$C$2:$E$12,2,FALSE)</f>
        <v>Cal 16</v>
      </c>
      <c r="R1415" s="81">
        <f>+IF(P1415="ACERO A36",VLOOKUP(Q1415,'[3]Velocidades Std 1500 w'!$B$2:$F$15,5,FALSE),IF(P1415="INOXIDABLE",VLOOKUP(Q1415,'[3]Velocidades Std 1500 w'!$B$17:$F$28,5,FALSE),IF(P1415="ALUMINIO",VLOOKUP(Q1415,'[3]Velocidades Std 1500 w'!$B$30:$F$38,5,FALSE))))</f>
        <v>9.1575091575091579E-7</v>
      </c>
      <c r="S1415" s="82">
        <f t="shared" ref="S1415:S1422" si="331">+R1415*O1415</f>
        <v>4.578754578754579E-3</v>
      </c>
      <c r="T1415" s="83">
        <f t="shared" ref="T1415:T1422" si="332">+R1415*U1415*3600</f>
        <v>3.8756492307692305</v>
      </c>
      <c r="U1415" s="307">
        <f t="shared" ref="U1415:U1422" si="333">(+I1415*2+H1415*2+W1415*1.5)*25.4*1.05</f>
        <v>1175.6135999999999</v>
      </c>
      <c r="V1415" s="80">
        <f t="shared" ref="V1415:V1422" si="334">+U1415*S1415</f>
        <v>5.3828461538461534</v>
      </c>
      <c r="W1415" s="98">
        <v>3</v>
      </c>
      <c r="X1415" s="84">
        <f>+IF(P1415="ACERO A36",VLOOKUP(Q1415,'[3]Tiempo Objeto'!$B$2:$C$12,2,FALSE),IF(P1415="INOXIDABLE",VLOOKUP(Q1415,'[3]Tiempo Objeto'!$B$14:$C$22,2,FALSE),IF(P1415="ALUMINIO",VLOOKUP(Q1415,'[3]Tiempo Objeto'!$B$24:$C$32,2,FALSE))))</f>
        <v>0.24666666666666667</v>
      </c>
      <c r="Y1415" s="84">
        <f t="shared" ref="Y1415:Y1422" si="335">+X1415*W1415</f>
        <v>0.74</v>
      </c>
      <c r="Z1415" s="80">
        <f t="shared" ref="Z1415:Z1422" si="336">+Y1415*O1415/3600</f>
        <v>1.0277777777777777</v>
      </c>
      <c r="AA1415" s="100">
        <v>4</v>
      </c>
      <c r="AB1415" s="86">
        <f>+AA1415*Analisis!$J$6</f>
        <v>100</v>
      </c>
      <c r="AC1415" s="100"/>
      <c r="AD1415" s="85">
        <f t="shared" ref="AD1415:AD1422" si="337">30*AC1415+AC1415*$D1415*1.5</f>
        <v>0</v>
      </c>
      <c r="AE1415" s="86">
        <f>+AC1415*Analisis!$J$7</f>
        <v>0</v>
      </c>
      <c r="AF1415" s="308">
        <f>+H1415*0.0254*I1415*0.0254*2*(1+[3]Analisis!$G$2)</f>
        <v>9.6220452719999988E-2</v>
      </c>
      <c r="AG1415" s="86">
        <f>+AF1415*Analisis!$J$8</f>
        <v>10.252060141000001</v>
      </c>
      <c r="AH1415" s="309">
        <f t="shared" ref="AH1415:AH1422" si="338">+AE1415+AB1415+Z1415+V1415+M1415+AG1415</f>
        <v>130.18388091989948</v>
      </c>
      <c r="AI1415" s="86">
        <f>+AH1415/(1-Analisis!G1155)</f>
        <v>130.18388091989948</v>
      </c>
      <c r="AJ1415" s="86">
        <f t="shared" ref="AJ1415:AJ1422" si="339">+AI1415/(1-0.07)</f>
        <v>139.9826676558059</v>
      </c>
      <c r="AK1415" s="86">
        <f t="shared" ref="AK1415:AK1422" si="340">+AJ1415*D1415</f>
        <v>0</v>
      </c>
      <c r="AL1415" s="310" t="e">
        <f>+VLOOKUP(B1415,#REF!,2,FALSE)</f>
        <v>#REF!</v>
      </c>
      <c r="AM1415" s="311" t="e">
        <f t="shared" ref="AM1415:AM1422" si="341">+AL1415-E1415</f>
        <v>#REF!</v>
      </c>
      <c r="AN1415" s="312" t="e">
        <f t="shared" ref="AN1415:AN1422" si="342">+AM1415/AL1415</f>
        <v>#REF!</v>
      </c>
    </row>
    <row r="1416" spans="1:40" s="73" customFormat="1" x14ac:dyDescent="0.25">
      <c r="A1416" s="396"/>
      <c r="B1416" s="304" t="s">
        <v>2073</v>
      </c>
      <c r="D1416" s="74">
        <f>IFERROR(VLOOKUP(B1416,'REQ. PINTADO'!B:C,2,0),0)</f>
        <v>0</v>
      </c>
      <c r="E1416" s="305">
        <f t="shared" si="329"/>
        <v>143.6873281915019</v>
      </c>
      <c r="F1416" s="397" t="s">
        <v>166</v>
      </c>
      <c r="G1416" s="75" t="s">
        <v>147</v>
      </c>
      <c r="H1416" s="90">
        <v>18.079999999999998</v>
      </c>
      <c r="I1416" s="90">
        <v>3.71</v>
      </c>
      <c r="J1416" s="76">
        <v>0.105</v>
      </c>
      <c r="K1416" s="306">
        <v>16.38</v>
      </c>
      <c r="L1416" s="78">
        <f t="shared" si="330"/>
        <v>2.0419086109335498</v>
      </c>
      <c r="M1416" s="58">
        <f>+VLOOKUP(F1416,Material!$H$2:$M$17,6,FALSE)*H1416*I1416*(1+Material!$K$14)</f>
        <v>15.202937748677972</v>
      </c>
      <c r="N1416" s="79" t="str">
        <f t="shared" si="328"/>
        <v>T5.0</v>
      </c>
      <c r="O1416" s="80">
        <f>+VLOOKUP(N1416,[3]Material!$A$3:$B$58,2,FALSE)</f>
        <v>5000</v>
      </c>
      <c r="P1416" s="79" t="s">
        <v>42</v>
      </c>
      <c r="Q1416" s="79" t="str">
        <f>+VLOOKUP(F1416,[3]Material!$C$2:$E$12,2,FALSE)</f>
        <v>Cal 16</v>
      </c>
      <c r="R1416" s="81">
        <f>+IF(P1416="ACERO A36",VLOOKUP(Q1416,'[3]Velocidades Std 1500 w'!$B$2:$F$15,5,FALSE),IF(P1416="INOXIDABLE",VLOOKUP(Q1416,'[3]Velocidades Std 1500 w'!$B$17:$F$28,5,FALSE),IF(P1416="ALUMINIO",VLOOKUP(Q1416,'[3]Velocidades Std 1500 w'!$B$30:$F$38,5,FALSE))))</f>
        <v>9.1575091575091579E-7</v>
      </c>
      <c r="S1416" s="82">
        <f t="shared" si="331"/>
        <v>4.578754578754579E-3</v>
      </c>
      <c r="T1416" s="83">
        <f t="shared" si="332"/>
        <v>4.2273415384615385</v>
      </c>
      <c r="U1416" s="307">
        <f t="shared" si="333"/>
        <v>1282.2936</v>
      </c>
      <c r="V1416" s="80">
        <f t="shared" si="334"/>
        <v>5.8713076923076928</v>
      </c>
      <c r="W1416" s="98">
        <v>3</v>
      </c>
      <c r="X1416" s="84">
        <f>+IF(P1416="ACERO A36",VLOOKUP(Q1416,'[3]Tiempo Objeto'!$B$2:$C$12,2,FALSE),IF(P1416="INOXIDABLE",VLOOKUP(Q1416,'[3]Tiempo Objeto'!$B$14:$C$22,2,FALSE),IF(P1416="ALUMINIO",VLOOKUP(Q1416,'[3]Tiempo Objeto'!$B$24:$C$32,2,FALSE))))</f>
        <v>0.24666666666666667</v>
      </c>
      <c r="Y1416" s="84">
        <f t="shared" si="335"/>
        <v>0.74</v>
      </c>
      <c r="Z1416" s="80">
        <f t="shared" si="336"/>
        <v>1.0277777777777777</v>
      </c>
      <c r="AA1416" s="100">
        <v>4</v>
      </c>
      <c r="AB1416" s="86">
        <f>+AA1416*Analisis!$J$6</f>
        <v>100</v>
      </c>
      <c r="AC1416" s="100"/>
      <c r="AD1416" s="85">
        <f t="shared" si="337"/>
        <v>0</v>
      </c>
      <c r="AE1416" s="86">
        <f>+AC1416*Analisis!$J$7</f>
        <v>0</v>
      </c>
      <c r="AF1416" s="308">
        <f>+H1416*0.0254*I1416*0.0254*2*(1+[3]Analisis!$G$2)</f>
        <v>0.10818817071999998</v>
      </c>
      <c r="AG1416" s="86">
        <f>+AF1416*Analisis!$J$8</f>
        <v>11.527191999333334</v>
      </c>
      <c r="AH1416" s="309">
        <f t="shared" si="338"/>
        <v>133.62921521809676</v>
      </c>
      <c r="AI1416" s="86">
        <f>+AH1416/(1-Analisis!G1156)</f>
        <v>133.62921521809676</v>
      </c>
      <c r="AJ1416" s="86">
        <f t="shared" si="339"/>
        <v>143.6873281915019</v>
      </c>
      <c r="AK1416" s="86">
        <f t="shared" si="340"/>
        <v>0</v>
      </c>
      <c r="AL1416" s="310" t="e">
        <f>+VLOOKUP(B1416,#REF!,2,FALSE)</f>
        <v>#REF!</v>
      </c>
      <c r="AM1416" s="311" t="e">
        <f t="shared" si="341"/>
        <v>#REF!</v>
      </c>
      <c r="AN1416" s="312" t="e">
        <f t="shared" si="342"/>
        <v>#REF!</v>
      </c>
    </row>
    <row r="1417" spans="1:40" s="73" customFormat="1" x14ac:dyDescent="0.25">
      <c r="A1417" s="396"/>
      <c r="B1417" s="304" t="s">
        <v>2074</v>
      </c>
      <c r="D1417" s="74">
        <f>IFERROR(VLOOKUP(B1417,'REQ. PINTADO'!B:C,2,0),0)</f>
        <v>0</v>
      </c>
      <c r="E1417" s="305">
        <f t="shared" si="329"/>
        <v>154.80130979859001</v>
      </c>
      <c r="F1417" s="397" t="s">
        <v>166</v>
      </c>
      <c r="G1417" s="75" t="s">
        <v>147</v>
      </c>
      <c r="H1417" s="90">
        <v>24.08</v>
      </c>
      <c r="I1417" s="90">
        <v>3.71</v>
      </c>
      <c r="J1417" s="76">
        <v>0.105</v>
      </c>
      <c r="K1417" s="306">
        <v>16.38</v>
      </c>
      <c r="L1417" s="78">
        <f t="shared" si="330"/>
        <v>2.7195331499601698</v>
      </c>
      <c r="M1417" s="58">
        <f>+VLOOKUP(F1417,Material!$H$2:$M$17,6,FALSE)*H1417*I1417*(1+Material!$K$14)</f>
        <v>20.248160452885262</v>
      </c>
      <c r="N1417" s="79" t="str">
        <f t="shared" si="328"/>
        <v>T5.0</v>
      </c>
      <c r="O1417" s="80">
        <f>+VLOOKUP(N1417,[3]Material!$A$3:$B$58,2,FALSE)</f>
        <v>5000</v>
      </c>
      <c r="P1417" s="79" t="s">
        <v>42</v>
      </c>
      <c r="Q1417" s="79" t="str">
        <f>+VLOOKUP(F1417,[3]Material!$C$2:$E$12,2,FALSE)</f>
        <v>Cal 16</v>
      </c>
      <c r="R1417" s="81">
        <f>+IF(P1417="ACERO A36",VLOOKUP(Q1417,'[3]Velocidades Std 1500 w'!$B$2:$F$15,5,FALSE),IF(P1417="INOXIDABLE",VLOOKUP(Q1417,'[3]Velocidades Std 1500 w'!$B$17:$F$28,5,FALSE),IF(P1417="ALUMINIO",VLOOKUP(Q1417,'[3]Velocidades Std 1500 w'!$B$30:$F$38,5,FALSE))))</f>
        <v>9.1575091575091579E-7</v>
      </c>
      <c r="S1417" s="82">
        <f t="shared" si="331"/>
        <v>4.578754578754579E-3</v>
      </c>
      <c r="T1417" s="83">
        <f t="shared" si="332"/>
        <v>5.2824184615384615</v>
      </c>
      <c r="U1417" s="307">
        <f t="shared" si="333"/>
        <v>1602.3335999999999</v>
      </c>
      <c r="V1417" s="80">
        <f t="shared" si="334"/>
        <v>7.3366923076923074</v>
      </c>
      <c r="W1417" s="98">
        <v>3</v>
      </c>
      <c r="X1417" s="84">
        <f>+IF(P1417="ACERO A36",VLOOKUP(Q1417,'[3]Tiempo Objeto'!$B$2:$C$12,2,FALSE),IF(P1417="INOXIDABLE",VLOOKUP(Q1417,'[3]Tiempo Objeto'!$B$14:$C$22,2,FALSE),IF(P1417="ALUMINIO",VLOOKUP(Q1417,'[3]Tiempo Objeto'!$B$24:$C$32,2,FALSE))))</f>
        <v>0.24666666666666667</v>
      </c>
      <c r="Y1417" s="84">
        <f t="shared" si="335"/>
        <v>0.74</v>
      </c>
      <c r="Z1417" s="80">
        <f t="shared" si="336"/>
        <v>1.0277777777777777</v>
      </c>
      <c r="AA1417" s="100">
        <v>4</v>
      </c>
      <c r="AB1417" s="86">
        <f>+AA1417*Analisis!$J$6</f>
        <v>100</v>
      </c>
      <c r="AC1417" s="100"/>
      <c r="AD1417" s="85">
        <f t="shared" si="337"/>
        <v>0</v>
      </c>
      <c r="AE1417" s="86">
        <f>+AC1417*Analisis!$J$7</f>
        <v>0</v>
      </c>
      <c r="AF1417" s="308">
        <f>+H1417*0.0254*I1417*0.0254*2*(1+[3]Analisis!$G$2)</f>
        <v>0.14409132472</v>
      </c>
      <c r="AG1417" s="86">
        <f>+AF1417*Analisis!$J$8</f>
        <v>15.352587574333338</v>
      </c>
      <c r="AH1417" s="309">
        <f t="shared" si="338"/>
        <v>143.96521811268869</v>
      </c>
      <c r="AI1417" s="86">
        <f>+AH1417/(1-Analisis!G1157)</f>
        <v>143.96521811268869</v>
      </c>
      <c r="AJ1417" s="86">
        <f t="shared" si="339"/>
        <v>154.80130979859001</v>
      </c>
      <c r="AK1417" s="86">
        <f t="shared" si="340"/>
        <v>0</v>
      </c>
      <c r="AL1417" s="310" t="e">
        <f>+VLOOKUP(B1417,#REF!,2,FALSE)</f>
        <v>#REF!</v>
      </c>
      <c r="AM1417" s="311" t="e">
        <f t="shared" si="341"/>
        <v>#REF!</v>
      </c>
      <c r="AN1417" s="312" t="e">
        <f t="shared" si="342"/>
        <v>#REF!</v>
      </c>
    </row>
    <row r="1418" spans="1:40" s="73" customFormat="1" x14ac:dyDescent="0.25">
      <c r="A1418" s="396">
        <v>17</v>
      </c>
      <c r="B1418" s="304" t="s">
        <v>1999</v>
      </c>
      <c r="D1418" s="74">
        <f>IFERROR(VLOOKUP(B1418,'REQ. PINTADO'!B:C,2,0),0)</f>
        <v>0</v>
      </c>
      <c r="E1418" s="305">
        <f t="shared" si="329"/>
        <v>165.91529140567806</v>
      </c>
      <c r="F1418" s="397" t="s">
        <v>166</v>
      </c>
      <c r="G1418" s="75" t="s">
        <v>147</v>
      </c>
      <c r="H1418" s="90">
        <v>30.08</v>
      </c>
      <c r="I1418" s="90">
        <v>3.71</v>
      </c>
      <c r="J1418" s="76">
        <v>0.105</v>
      </c>
      <c r="K1418" s="306">
        <v>16.38</v>
      </c>
      <c r="L1418" s="78">
        <f t="shared" si="330"/>
        <v>3.3971576889867907</v>
      </c>
      <c r="M1418" s="58">
        <f>+VLOOKUP(F1418,Material!$H$2:$M$17,6,FALSE)*H1418*I1418*(1+Material!$K$14)</f>
        <v>25.293383157092556</v>
      </c>
      <c r="N1418" s="79" t="str">
        <f t="shared" si="328"/>
        <v>T5.0</v>
      </c>
      <c r="O1418" s="80">
        <f>+VLOOKUP(N1418,[3]Material!$A$3:$B$58,2,FALSE)</f>
        <v>5000</v>
      </c>
      <c r="P1418" s="79" t="s">
        <v>42</v>
      </c>
      <c r="Q1418" s="79" t="str">
        <f>+VLOOKUP(F1418,[3]Material!$C$2:$E$12,2,FALSE)</f>
        <v>Cal 16</v>
      </c>
      <c r="R1418" s="81">
        <f>+IF(P1418="ACERO A36",VLOOKUP(Q1418,'[3]Velocidades Std 1500 w'!$B$2:$F$15,5,FALSE),IF(P1418="INOXIDABLE",VLOOKUP(Q1418,'[3]Velocidades Std 1500 w'!$B$17:$F$28,5,FALSE),IF(P1418="ALUMINIO",VLOOKUP(Q1418,'[3]Velocidades Std 1500 w'!$B$30:$F$38,5,FALSE))))</f>
        <v>9.1575091575091579E-7</v>
      </c>
      <c r="S1418" s="82">
        <f t="shared" si="331"/>
        <v>4.578754578754579E-3</v>
      </c>
      <c r="T1418" s="83">
        <f t="shared" si="332"/>
        <v>6.3374953846153845</v>
      </c>
      <c r="U1418" s="307">
        <f t="shared" si="333"/>
        <v>1922.3735999999999</v>
      </c>
      <c r="V1418" s="80">
        <f t="shared" si="334"/>
        <v>8.8020769230769229</v>
      </c>
      <c r="W1418" s="98">
        <v>3</v>
      </c>
      <c r="X1418" s="84">
        <f>+IF(P1418="ACERO A36",VLOOKUP(Q1418,'[3]Tiempo Objeto'!$B$2:$C$12,2,FALSE),IF(P1418="INOXIDABLE",VLOOKUP(Q1418,'[3]Tiempo Objeto'!$B$14:$C$22,2,FALSE),IF(P1418="ALUMINIO",VLOOKUP(Q1418,'[3]Tiempo Objeto'!$B$24:$C$32,2,FALSE))))</f>
        <v>0.24666666666666667</v>
      </c>
      <c r="Y1418" s="84">
        <f t="shared" si="335"/>
        <v>0.74</v>
      </c>
      <c r="Z1418" s="80">
        <f t="shared" si="336"/>
        <v>1.0277777777777777</v>
      </c>
      <c r="AA1418" s="100">
        <v>4</v>
      </c>
      <c r="AB1418" s="86">
        <f>+AA1418*Analisis!$J$6</f>
        <v>100</v>
      </c>
      <c r="AC1418" s="100"/>
      <c r="AD1418" s="85">
        <f t="shared" si="337"/>
        <v>0</v>
      </c>
      <c r="AE1418" s="86">
        <f>+AC1418*Analisis!$J$7</f>
        <v>0</v>
      </c>
      <c r="AF1418" s="308">
        <f>+H1418*0.0254*I1418*0.0254*2*(1+[3]Analisis!$G$2)</f>
        <v>0.17999447871999996</v>
      </c>
      <c r="AG1418" s="86">
        <f>+AF1418*Analisis!$J$8</f>
        <v>19.177983149333336</v>
      </c>
      <c r="AH1418" s="309">
        <f t="shared" si="338"/>
        <v>154.30122100728059</v>
      </c>
      <c r="AI1418" s="86">
        <f>+AH1418/(1-Analisis!G1158)</f>
        <v>154.30122100728059</v>
      </c>
      <c r="AJ1418" s="86">
        <f t="shared" si="339"/>
        <v>165.91529140567806</v>
      </c>
      <c r="AK1418" s="86">
        <f t="shared" si="340"/>
        <v>0</v>
      </c>
      <c r="AL1418" s="310" t="e">
        <f>+VLOOKUP(B1418,#REF!,2,FALSE)</f>
        <v>#REF!</v>
      </c>
      <c r="AM1418" s="311" t="e">
        <f t="shared" si="341"/>
        <v>#REF!</v>
      </c>
      <c r="AN1418" s="312" t="e">
        <f t="shared" si="342"/>
        <v>#REF!</v>
      </c>
    </row>
    <row r="1419" spans="1:40" s="73" customFormat="1" x14ac:dyDescent="0.25">
      <c r="A1419" s="396"/>
      <c r="B1419" s="304" t="s">
        <v>2075</v>
      </c>
      <c r="D1419" s="74">
        <f>IFERROR(VLOOKUP(B1419,'REQ. PINTADO'!B:C,2,0),0)</f>
        <v>0</v>
      </c>
      <c r="E1419" s="305">
        <f t="shared" si="329"/>
        <v>177.02927301276617</v>
      </c>
      <c r="F1419" s="397" t="s">
        <v>166</v>
      </c>
      <c r="G1419" s="75" t="s">
        <v>147</v>
      </c>
      <c r="H1419" s="90">
        <v>36.08</v>
      </c>
      <c r="I1419" s="90">
        <v>3.71</v>
      </c>
      <c r="J1419" s="76">
        <v>0.105</v>
      </c>
      <c r="K1419" s="306">
        <v>16.38</v>
      </c>
      <c r="L1419" s="78">
        <f t="shared" si="330"/>
        <v>4.0747822280134116</v>
      </c>
      <c r="M1419" s="58">
        <f>+VLOOKUP(F1419,Material!$H$2:$M$17,6,FALSE)*H1419*I1419*(1+Material!$K$14)</f>
        <v>30.338605861299847</v>
      </c>
      <c r="N1419" s="79" t="str">
        <f t="shared" si="328"/>
        <v>T5.0</v>
      </c>
      <c r="O1419" s="80">
        <f>+VLOOKUP(N1419,[3]Material!$A$3:$B$58,2,FALSE)</f>
        <v>5000</v>
      </c>
      <c r="P1419" s="79" t="s">
        <v>42</v>
      </c>
      <c r="Q1419" s="79" t="str">
        <f>+VLOOKUP(F1419,[3]Material!$C$2:$E$12,2,FALSE)</f>
        <v>Cal 16</v>
      </c>
      <c r="R1419" s="81">
        <f>+IF(P1419="ACERO A36",VLOOKUP(Q1419,'[3]Velocidades Std 1500 w'!$B$2:$F$15,5,FALSE),IF(P1419="INOXIDABLE",VLOOKUP(Q1419,'[3]Velocidades Std 1500 w'!$B$17:$F$28,5,FALSE),IF(P1419="ALUMINIO",VLOOKUP(Q1419,'[3]Velocidades Std 1500 w'!$B$30:$F$38,5,FALSE))))</f>
        <v>9.1575091575091579E-7</v>
      </c>
      <c r="S1419" s="82">
        <f t="shared" si="331"/>
        <v>4.578754578754579E-3</v>
      </c>
      <c r="T1419" s="83">
        <f t="shared" si="332"/>
        <v>7.3925723076923084</v>
      </c>
      <c r="U1419" s="307">
        <f t="shared" si="333"/>
        <v>2242.4136000000003</v>
      </c>
      <c r="V1419" s="80">
        <f t="shared" si="334"/>
        <v>10.267461538461541</v>
      </c>
      <c r="W1419" s="98">
        <v>3</v>
      </c>
      <c r="X1419" s="84">
        <f>+IF(P1419="ACERO A36",VLOOKUP(Q1419,'[3]Tiempo Objeto'!$B$2:$C$12,2,FALSE),IF(P1419="INOXIDABLE",VLOOKUP(Q1419,'[3]Tiempo Objeto'!$B$14:$C$22,2,FALSE),IF(P1419="ALUMINIO",VLOOKUP(Q1419,'[3]Tiempo Objeto'!$B$24:$C$32,2,FALSE))))</f>
        <v>0.24666666666666667</v>
      </c>
      <c r="Y1419" s="84">
        <f t="shared" si="335"/>
        <v>0.74</v>
      </c>
      <c r="Z1419" s="80">
        <f t="shared" si="336"/>
        <v>1.0277777777777777</v>
      </c>
      <c r="AA1419" s="100">
        <v>4</v>
      </c>
      <c r="AB1419" s="86">
        <f>+AA1419*Analisis!$J$6</f>
        <v>100</v>
      </c>
      <c r="AC1419" s="100"/>
      <c r="AD1419" s="85">
        <f t="shared" si="337"/>
        <v>0</v>
      </c>
      <c r="AE1419" s="86">
        <f>+AC1419*Analisis!$J$7</f>
        <v>0</v>
      </c>
      <c r="AF1419" s="308">
        <f>+H1419*0.0254*I1419*0.0254*2*(1+[3]Analisis!$G$2)</f>
        <v>0.21589763271999995</v>
      </c>
      <c r="AG1419" s="86">
        <f>+AF1419*Analisis!$J$8</f>
        <v>23.003378724333334</v>
      </c>
      <c r="AH1419" s="309">
        <f t="shared" si="338"/>
        <v>164.63722390187252</v>
      </c>
      <c r="AI1419" s="86">
        <f>+AH1419/(1-Analisis!G1159)</f>
        <v>164.63722390187252</v>
      </c>
      <c r="AJ1419" s="86">
        <f t="shared" si="339"/>
        <v>177.02927301276617</v>
      </c>
      <c r="AK1419" s="86">
        <f t="shared" si="340"/>
        <v>0</v>
      </c>
      <c r="AL1419" s="310" t="e">
        <f>+VLOOKUP(B1419,#REF!,2,FALSE)</f>
        <v>#REF!</v>
      </c>
      <c r="AM1419" s="311" t="e">
        <f t="shared" si="341"/>
        <v>#REF!</v>
      </c>
      <c r="AN1419" s="312" t="e">
        <f t="shared" si="342"/>
        <v>#REF!</v>
      </c>
    </row>
    <row r="1420" spans="1:40" s="73" customFormat="1" x14ac:dyDescent="0.25">
      <c r="A1420" s="396"/>
      <c r="B1420" s="304" t="s">
        <v>2076</v>
      </c>
      <c r="D1420" s="74">
        <f>IFERROR(VLOOKUP(B1420,'REQ. PINTADO'!B:C,2,0),0)</f>
        <v>0</v>
      </c>
      <c r="E1420" s="305">
        <f t="shared" si="329"/>
        <v>191.84791515555023</v>
      </c>
      <c r="F1420" s="397" t="s">
        <v>166</v>
      </c>
      <c r="G1420" s="75" t="s">
        <v>147</v>
      </c>
      <c r="H1420" s="90">
        <v>44.08</v>
      </c>
      <c r="I1420" s="90">
        <v>3.71</v>
      </c>
      <c r="J1420" s="76">
        <v>0.105</v>
      </c>
      <c r="K1420" s="306">
        <v>16.38</v>
      </c>
      <c r="L1420" s="78">
        <f t="shared" si="330"/>
        <v>4.9782816133822374</v>
      </c>
      <c r="M1420" s="58">
        <f>+VLOOKUP(F1420,Material!$H$2:$M$17,6,FALSE)*H1420*I1420*(1+Material!$K$14)</f>
        <v>37.065569466909565</v>
      </c>
      <c r="N1420" s="79" t="str">
        <f t="shared" si="328"/>
        <v>T5.0</v>
      </c>
      <c r="O1420" s="80">
        <f>+VLOOKUP(N1420,[3]Material!$A$3:$B$58,2,FALSE)</f>
        <v>5000</v>
      </c>
      <c r="P1420" s="79" t="s">
        <v>42</v>
      </c>
      <c r="Q1420" s="79" t="str">
        <f>+VLOOKUP(F1420,[3]Material!$C$2:$E$12,2,FALSE)</f>
        <v>Cal 16</v>
      </c>
      <c r="R1420" s="81">
        <f>+IF(P1420="ACERO A36",VLOOKUP(Q1420,'[3]Velocidades Std 1500 w'!$B$2:$F$15,5,FALSE),IF(P1420="INOXIDABLE",VLOOKUP(Q1420,'[3]Velocidades Std 1500 w'!$B$17:$F$28,5,FALSE),IF(P1420="ALUMINIO",VLOOKUP(Q1420,'[3]Velocidades Std 1500 w'!$B$30:$F$38,5,FALSE))))</f>
        <v>9.1575091575091579E-7</v>
      </c>
      <c r="S1420" s="82">
        <f t="shared" si="331"/>
        <v>4.578754578754579E-3</v>
      </c>
      <c r="T1420" s="83">
        <f t="shared" si="332"/>
        <v>8.7993415384615385</v>
      </c>
      <c r="U1420" s="307">
        <f t="shared" si="333"/>
        <v>2669.1335999999997</v>
      </c>
      <c r="V1420" s="80">
        <f t="shared" si="334"/>
        <v>12.221307692307692</v>
      </c>
      <c r="W1420" s="98">
        <v>3</v>
      </c>
      <c r="X1420" s="84">
        <f>+IF(P1420="ACERO A36",VLOOKUP(Q1420,'[3]Tiempo Objeto'!$B$2:$C$12,2,FALSE),IF(P1420="INOXIDABLE",VLOOKUP(Q1420,'[3]Tiempo Objeto'!$B$14:$C$22,2,FALSE),IF(P1420="ALUMINIO",VLOOKUP(Q1420,'[3]Tiempo Objeto'!$B$24:$C$32,2,FALSE))))</f>
        <v>0.24666666666666667</v>
      </c>
      <c r="Y1420" s="84">
        <f t="shared" si="335"/>
        <v>0.74</v>
      </c>
      <c r="Z1420" s="80">
        <f t="shared" si="336"/>
        <v>1.0277777777777777</v>
      </c>
      <c r="AA1420" s="100">
        <v>4</v>
      </c>
      <c r="AB1420" s="86">
        <f>+AA1420*Analisis!$J$6</f>
        <v>100</v>
      </c>
      <c r="AC1420" s="100"/>
      <c r="AD1420" s="85">
        <f t="shared" si="337"/>
        <v>0</v>
      </c>
      <c r="AE1420" s="86">
        <f>+AC1420*Analisis!$J$7</f>
        <v>0</v>
      </c>
      <c r="AF1420" s="308">
        <f>+H1420*0.0254*I1420*0.0254*2*(1+[3]Analisis!$G$2)</f>
        <v>0.26376850471999996</v>
      </c>
      <c r="AG1420" s="86">
        <f>+AF1420*Analisis!$J$8</f>
        <v>28.103906157666671</v>
      </c>
      <c r="AH1420" s="309">
        <f t="shared" si="338"/>
        <v>178.4185610946617</v>
      </c>
      <c r="AI1420" s="86">
        <f>+AH1420/(1-Analisis!G1160)</f>
        <v>178.4185610946617</v>
      </c>
      <c r="AJ1420" s="86">
        <f t="shared" si="339"/>
        <v>191.84791515555023</v>
      </c>
      <c r="AK1420" s="86">
        <f t="shared" si="340"/>
        <v>0</v>
      </c>
      <c r="AL1420" s="310" t="e">
        <f>+VLOOKUP(B1420,#REF!,2,FALSE)</f>
        <v>#REF!</v>
      </c>
      <c r="AM1420" s="311" t="e">
        <f t="shared" si="341"/>
        <v>#REF!</v>
      </c>
      <c r="AN1420" s="312" t="e">
        <f t="shared" si="342"/>
        <v>#REF!</v>
      </c>
    </row>
    <row r="1421" spans="1:40" s="73" customFormat="1" x14ac:dyDescent="0.25">
      <c r="A1421" s="396"/>
      <c r="B1421" s="304" t="s">
        <v>2077</v>
      </c>
      <c r="D1421" s="74">
        <f>IFERROR(VLOOKUP(B1421,'REQ. PINTADO'!B:C,2,0),0)</f>
        <v>0</v>
      </c>
      <c r="E1421" s="305">
        <f t="shared" si="329"/>
        <v>202.9618967626383</v>
      </c>
      <c r="F1421" s="397" t="s">
        <v>166</v>
      </c>
      <c r="G1421" s="75" t="s">
        <v>147</v>
      </c>
      <c r="H1421" s="90">
        <v>50.08</v>
      </c>
      <c r="I1421" s="90">
        <v>3.71</v>
      </c>
      <c r="J1421" s="76">
        <v>0.105</v>
      </c>
      <c r="K1421" s="306">
        <v>16.38</v>
      </c>
      <c r="L1421" s="78">
        <f t="shared" si="330"/>
        <v>5.6559061524088579</v>
      </c>
      <c r="M1421" s="58">
        <f>+VLOOKUP(F1421,Material!$H$2:$M$17,6,FALSE)*H1421*I1421*(1+Material!$K$14)</f>
        <v>42.110792171116856</v>
      </c>
      <c r="N1421" s="79" t="str">
        <f t="shared" si="328"/>
        <v>T5.0</v>
      </c>
      <c r="O1421" s="80">
        <f>+VLOOKUP(N1421,[3]Material!$A$3:$B$58,2,FALSE)</f>
        <v>5000</v>
      </c>
      <c r="P1421" s="79" t="s">
        <v>42</v>
      </c>
      <c r="Q1421" s="79" t="str">
        <f>+VLOOKUP(F1421,[3]Material!$C$2:$E$12,2,FALSE)</f>
        <v>Cal 16</v>
      </c>
      <c r="R1421" s="81">
        <f>+IF(P1421="ACERO A36",VLOOKUP(Q1421,'[3]Velocidades Std 1500 w'!$B$2:$F$15,5,FALSE),IF(P1421="INOXIDABLE",VLOOKUP(Q1421,'[3]Velocidades Std 1500 w'!$B$17:$F$28,5,FALSE),IF(P1421="ALUMINIO",VLOOKUP(Q1421,'[3]Velocidades Std 1500 w'!$B$30:$F$38,5,FALSE))))</f>
        <v>9.1575091575091579E-7</v>
      </c>
      <c r="S1421" s="82">
        <f t="shared" si="331"/>
        <v>4.578754578754579E-3</v>
      </c>
      <c r="T1421" s="83">
        <f t="shared" si="332"/>
        <v>9.8544184615384616</v>
      </c>
      <c r="U1421" s="307">
        <f t="shared" si="333"/>
        <v>2989.1736000000001</v>
      </c>
      <c r="V1421" s="80">
        <f t="shared" si="334"/>
        <v>13.686692307692308</v>
      </c>
      <c r="W1421" s="98">
        <v>3</v>
      </c>
      <c r="X1421" s="84">
        <f>+IF(P1421="ACERO A36",VLOOKUP(Q1421,'[3]Tiempo Objeto'!$B$2:$C$12,2,FALSE),IF(P1421="INOXIDABLE",VLOOKUP(Q1421,'[3]Tiempo Objeto'!$B$14:$C$22,2,FALSE),IF(P1421="ALUMINIO",VLOOKUP(Q1421,'[3]Tiempo Objeto'!$B$24:$C$32,2,FALSE))))</f>
        <v>0.24666666666666667</v>
      </c>
      <c r="Y1421" s="84">
        <f t="shared" si="335"/>
        <v>0.74</v>
      </c>
      <c r="Z1421" s="80">
        <f t="shared" si="336"/>
        <v>1.0277777777777777</v>
      </c>
      <c r="AA1421" s="100">
        <v>4</v>
      </c>
      <c r="AB1421" s="86">
        <f>+AA1421*Analisis!$J$6</f>
        <v>100</v>
      </c>
      <c r="AC1421" s="100"/>
      <c r="AD1421" s="85">
        <f t="shared" si="337"/>
        <v>0</v>
      </c>
      <c r="AE1421" s="86">
        <f>+AC1421*Analisis!$J$7</f>
        <v>0</v>
      </c>
      <c r="AF1421" s="308">
        <f>+H1421*0.0254*I1421*0.0254*2*(1+[3]Analisis!$G$2)</f>
        <v>0.29967165871999996</v>
      </c>
      <c r="AG1421" s="86">
        <f>+AF1421*Analisis!$J$8</f>
        <v>31.929301732666673</v>
      </c>
      <c r="AH1421" s="309">
        <f t="shared" si="338"/>
        <v>188.7545639892536</v>
      </c>
      <c r="AI1421" s="86">
        <f>+AH1421/(1-Analisis!G1161)</f>
        <v>188.7545639892536</v>
      </c>
      <c r="AJ1421" s="86">
        <f t="shared" si="339"/>
        <v>202.9618967626383</v>
      </c>
      <c r="AK1421" s="86">
        <f t="shared" si="340"/>
        <v>0</v>
      </c>
      <c r="AL1421" s="310" t="e">
        <f>+VLOOKUP(B1421,#REF!,2,FALSE)</f>
        <v>#REF!</v>
      </c>
      <c r="AM1421" s="311" t="e">
        <f t="shared" si="341"/>
        <v>#REF!</v>
      </c>
      <c r="AN1421" s="312" t="e">
        <f t="shared" si="342"/>
        <v>#REF!</v>
      </c>
    </row>
    <row r="1422" spans="1:40" s="73" customFormat="1" x14ac:dyDescent="0.25">
      <c r="A1422" s="396"/>
      <c r="B1422" s="304" t="s">
        <v>2078</v>
      </c>
      <c r="D1422" s="74">
        <f>IFERROR(VLOOKUP(B1422,'REQ. PINTADO'!B:C,2,0),0)</f>
        <v>0</v>
      </c>
      <c r="E1422" s="305">
        <f t="shared" si="329"/>
        <v>214.07587836972635</v>
      </c>
      <c r="F1422" s="397" t="s">
        <v>166</v>
      </c>
      <c r="G1422" s="75" t="s">
        <v>147</v>
      </c>
      <c r="H1422" s="90">
        <v>56.08</v>
      </c>
      <c r="I1422" s="90">
        <v>3.71</v>
      </c>
      <c r="J1422" s="76">
        <v>0.105</v>
      </c>
      <c r="K1422" s="306">
        <v>16.38</v>
      </c>
      <c r="L1422" s="78">
        <f t="shared" si="330"/>
        <v>6.3335306914354783</v>
      </c>
      <c r="M1422" s="58">
        <f>+VLOOKUP(F1422,Material!$H$2:$M$17,6,FALSE)*H1422*I1422*(1+Material!$K$14)</f>
        <v>47.156014875324146</v>
      </c>
      <c r="N1422" s="79" t="str">
        <f t="shared" si="328"/>
        <v>T5.0</v>
      </c>
      <c r="O1422" s="80">
        <f>+VLOOKUP(N1422,[3]Material!$A$3:$B$58,2,FALSE)</f>
        <v>5000</v>
      </c>
      <c r="P1422" s="79" t="s">
        <v>42</v>
      </c>
      <c r="Q1422" s="79" t="str">
        <f>+VLOOKUP(F1422,[3]Material!$C$2:$E$12,2,FALSE)</f>
        <v>Cal 16</v>
      </c>
      <c r="R1422" s="81">
        <f>+IF(P1422="ACERO A36",VLOOKUP(Q1422,'[3]Velocidades Std 1500 w'!$B$2:$F$15,5,FALSE),IF(P1422="INOXIDABLE",VLOOKUP(Q1422,'[3]Velocidades Std 1500 w'!$B$17:$F$28,5,FALSE),IF(P1422="ALUMINIO",VLOOKUP(Q1422,'[3]Velocidades Std 1500 w'!$B$30:$F$38,5,FALSE))))</f>
        <v>9.1575091575091579E-7</v>
      </c>
      <c r="S1422" s="82">
        <f t="shared" si="331"/>
        <v>4.578754578754579E-3</v>
      </c>
      <c r="T1422" s="83">
        <f t="shared" si="332"/>
        <v>10.909495384615385</v>
      </c>
      <c r="U1422" s="307">
        <f t="shared" si="333"/>
        <v>3309.2135999999996</v>
      </c>
      <c r="V1422" s="80">
        <f t="shared" si="334"/>
        <v>15.152076923076923</v>
      </c>
      <c r="W1422" s="98">
        <v>3</v>
      </c>
      <c r="X1422" s="84">
        <f>+IF(P1422="ACERO A36",VLOOKUP(Q1422,'[3]Tiempo Objeto'!$B$2:$C$12,2,FALSE),IF(P1422="INOXIDABLE",VLOOKUP(Q1422,'[3]Tiempo Objeto'!$B$14:$C$22,2,FALSE),IF(P1422="ALUMINIO",VLOOKUP(Q1422,'[3]Tiempo Objeto'!$B$24:$C$32,2,FALSE))))</f>
        <v>0.24666666666666667</v>
      </c>
      <c r="Y1422" s="84">
        <f t="shared" si="335"/>
        <v>0.74</v>
      </c>
      <c r="Z1422" s="80">
        <f t="shared" si="336"/>
        <v>1.0277777777777777</v>
      </c>
      <c r="AA1422" s="100">
        <v>4</v>
      </c>
      <c r="AB1422" s="86">
        <f>+AA1422*Analisis!$J$6</f>
        <v>100</v>
      </c>
      <c r="AC1422" s="100"/>
      <c r="AD1422" s="85">
        <f t="shared" si="337"/>
        <v>0</v>
      </c>
      <c r="AE1422" s="86">
        <f>+AC1422*Analisis!$J$7</f>
        <v>0</v>
      </c>
      <c r="AF1422" s="308">
        <f>+H1422*0.0254*I1422*0.0254*2*(1+[3]Analisis!$G$2)</f>
        <v>0.33557481272</v>
      </c>
      <c r="AG1422" s="86">
        <f>+AF1422*Analisis!$J$8</f>
        <v>35.754697307666675</v>
      </c>
      <c r="AH1422" s="309">
        <f t="shared" si="338"/>
        <v>199.0905668838455</v>
      </c>
      <c r="AI1422" s="86">
        <f>+AH1422/(1-Analisis!G1162)</f>
        <v>199.0905668838455</v>
      </c>
      <c r="AJ1422" s="86">
        <f t="shared" si="339"/>
        <v>214.07587836972635</v>
      </c>
      <c r="AK1422" s="86">
        <f t="shared" si="340"/>
        <v>0</v>
      </c>
      <c r="AL1422" s="310" t="e">
        <f>+VLOOKUP(B1422,#REF!,2,FALSE)</f>
        <v>#REF!</v>
      </c>
      <c r="AM1422" s="311" t="e">
        <f t="shared" si="341"/>
        <v>#REF!</v>
      </c>
      <c r="AN1422" s="312" t="e">
        <f t="shared" si="342"/>
        <v>#REF!</v>
      </c>
    </row>
    <row r="1423" spans="1:40" s="73" customFormat="1" x14ac:dyDescent="0.25">
      <c r="A1423" s="396"/>
      <c r="B1423" s="304" t="s">
        <v>2079</v>
      </c>
      <c r="D1423" s="74">
        <f>IFERROR(VLOOKUP(B1423,'REQ. PINTADO'!B:C,2,0),0)</f>
        <v>0</v>
      </c>
      <c r="E1423" s="305">
        <f t="shared" si="172"/>
        <v>153.05799569326791</v>
      </c>
      <c r="F1423" s="397" t="s">
        <v>166</v>
      </c>
      <c r="G1423" s="75" t="s">
        <v>147</v>
      </c>
      <c r="H1423" s="90">
        <v>12.09</v>
      </c>
      <c r="I1423" s="90">
        <v>7.47</v>
      </c>
      <c r="J1423" s="76">
        <v>0.105</v>
      </c>
      <c r="K1423" s="306">
        <v>16.38</v>
      </c>
      <c r="L1423" s="78">
        <f t="shared" si="173"/>
        <v>2.7492286907427603</v>
      </c>
      <c r="M1423" s="58">
        <f>+VLOOKUP(F1423,Material!$H$2:$M$17,6,FALSE)*H1423*I1423*(1+Material!$K$14)</f>
        <v>20.469257251984732</v>
      </c>
      <c r="N1423" s="79" t="str">
        <f t="shared" ref="N1423:N1432" si="343">+N1143</f>
        <v>T5.0</v>
      </c>
      <c r="O1423" s="80">
        <f>+VLOOKUP(N1423,[3]Material!$A$3:$B$58,2,FALSE)</f>
        <v>5000</v>
      </c>
      <c r="P1423" s="79" t="s">
        <v>42</v>
      </c>
      <c r="Q1423" s="79" t="str">
        <f>+VLOOKUP(F1423,[3]Material!$C$2:$E$12,2,FALSE)</f>
        <v>Cal 16</v>
      </c>
      <c r="R1423" s="81">
        <f>+IF(P1423="ACERO A36",VLOOKUP(Q1423,'[3]Velocidades Std 1500 w'!$B$2:$F$15,5,FALSE),IF(P1423="INOXIDABLE",VLOOKUP(Q1423,'[3]Velocidades Std 1500 w'!$B$17:$F$28,5,FALSE),IF(P1423="ALUMINIO",VLOOKUP(Q1423,'[3]Velocidades Std 1500 w'!$B$30:$F$38,5,FALSE))))</f>
        <v>9.1575091575091579E-7</v>
      </c>
      <c r="S1423" s="82">
        <f t="shared" si="174"/>
        <v>4.578754578754579E-3</v>
      </c>
      <c r="T1423" s="83">
        <f t="shared" si="175"/>
        <v>3.8352046153846158</v>
      </c>
      <c r="U1423" s="307">
        <f t="shared" si="171"/>
        <v>1163.3453999999999</v>
      </c>
      <c r="V1423" s="80">
        <f t="shared" si="153"/>
        <v>5.3266730769230772</v>
      </c>
      <c r="W1423" s="98">
        <v>3</v>
      </c>
      <c r="X1423" s="84">
        <f>+IF(P1423="ACERO A36",VLOOKUP(Q1423,'[3]Tiempo Objeto'!$B$2:$C$12,2,FALSE),IF(P1423="INOXIDABLE",VLOOKUP(Q1423,'[3]Tiempo Objeto'!$B$14:$C$22,2,FALSE),IF(P1423="ALUMINIO",VLOOKUP(Q1423,'[3]Tiempo Objeto'!$B$24:$C$32,2,FALSE))))</f>
        <v>0.24666666666666667</v>
      </c>
      <c r="Y1423" s="84">
        <f t="shared" si="176"/>
        <v>0.74</v>
      </c>
      <c r="Z1423" s="80">
        <f t="shared" si="177"/>
        <v>1.0277777777777777</v>
      </c>
      <c r="AA1423" s="100">
        <v>4</v>
      </c>
      <c r="AB1423" s="86">
        <f>+AA1423*Analisis!$J$6</f>
        <v>100</v>
      </c>
      <c r="AC1423" s="100"/>
      <c r="AD1423" s="85">
        <f t="shared" si="178"/>
        <v>0</v>
      </c>
      <c r="AE1423" s="86">
        <f>+AC1423*Analisis!$J$7</f>
        <v>0</v>
      </c>
      <c r="AF1423" s="308">
        <f>+H1423*0.0254*I1423*0.0254*2*(1+[3]Analisis!$G$2)</f>
        <v>0.14566470866999995</v>
      </c>
      <c r="AG1423" s="86">
        <f>+AF1423*Analisis!$J$8</f>
        <v>15.52022788805357</v>
      </c>
      <c r="AH1423" s="309">
        <f t="shared" si="179"/>
        <v>142.34393599473916</v>
      </c>
      <c r="AI1423" s="86">
        <f>+AH1423/(1-Analisis!G1155)</f>
        <v>142.34393599473916</v>
      </c>
      <c r="AJ1423" s="86">
        <f t="shared" si="180"/>
        <v>153.05799569326791</v>
      </c>
      <c r="AK1423" s="86">
        <f t="shared" si="181"/>
        <v>0</v>
      </c>
      <c r="AL1423" s="310" t="e">
        <f>+VLOOKUP(B1423,#REF!,2,FALSE)</f>
        <v>#REF!</v>
      </c>
      <c r="AM1423" s="311" t="e">
        <f t="shared" si="183"/>
        <v>#REF!</v>
      </c>
      <c r="AN1423" s="312" t="e">
        <f t="shared" si="182"/>
        <v>#REF!</v>
      </c>
    </row>
    <row r="1424" spans="1:40" s="73" customFormat="1" x14ac:dyDescent="0.25">
      <c r="A1424" s="396"/>
      <c r="B1424" s="304" t="s">
        <v>2080</v>
      </c>
      <c r="D1424" s="74">
        <f>IFERROR(VLOOKUP(B1424,'REQ. PINTADO'!B:C,2,0),0)</f>
        <v>0</v>
      </c>
      <c r="E1424" s="305">
        <f t="shared" ref="E1424:E1431" si="344">+AJ1424</f>
        <v>166.91188191934592</v>
      </c>
      <c r="F1424" s="397" t="s">
        <v>166</v>
      </c>
      <c r="G1424" s="75" t="s">
        <v>147</v>
      </c>
      <c r="H1424" s="90">
        <v>16.09</v>
      </c>
      <c r="I1424" s="90">
        <v>7.47</v>
      </c>
      <c r="J1424" s="76">
        <v>0.105</v>
      </c>
      <c r="K1424" s="306">
        <v>16.38</v>
      </c>
      <c r="L1424" s="78">
        <f t="shared" ref="L1424:L1431" si="345">+M1424*2.2/K1424</f>
        <v>3.6588163469024826</v>
      </c>
      <c r="M1424" s="58">
        <f>+VLOOKUP(F1424,Material!$H$2:$M$17,6,FALSE)*H1424*I1424*(1+Material!$K$14)</f>
        <v>27.241550801028481</v>
      </c>
      <c r="N1424" s="79" t="str">
        <f t="shared" si="343"/>
        <v>T5.0</v>
      </c>
      <c r="O1424" s="80">
        <f>+VLOOKUP(N1424,[3]Material!$A$3:$B$58,2,FALSE)</f>
        <v>5000</v>
      </c>
      <c r="P1424" s="79" t="s">
        <v>42</v>
      </c>
      <c r="Q1424" s="79" t="str">
        <f>+VLOOKUP(F1424,[3]Material!$C$2:$E$12,2,FALSE)</f>
        <v>Cal 16</v>
      </c>
      <c r="R1424" s="81">
        <f>+IF(P1424="ACERO A36",VLOOKUP(Q1424,'[3]Velocidades Std 1500 w'!$B$2:$F$15,5,FALSE),IF(P1424="INOXIDABLE",VLOOKUP(Q1424,'[3]Velocidades Std 1500 w'!$B$17:$F$28,5,FALSE),IF(P1424="ALUMINIO",VLOOKUP(Q1424,'[3]Velocidades Std 1500 w'!$B$30:$F$38,5,FALSE))))</f>
        <v>9.1575091575091579E-7</v>
      </c>
      <c r="S1424" s="82">
        <f t="shared" ref="S1424:S1431" si="346">+R1424*O1424</f>
        <v>4.578754578754579E-3</v>
      </c>
      <c r="T1424" s="83">
        <f t="shared" ref="T1424:T1431" si="347">+R1424*U1424*3600</f>
        <v>4.5385892307692313</v>
      </c>
      <c r="U1424" s="307">
        <f t="shared" ref="U1424:U1431" si="348">(+I1424*2+H1424*2+W1424*1.5)*25.4*1.05</f>
        <v>1376.7054000000001</v>
      </c>
      <c r="V1424" s="80">
        <f t="shared" ref="V1424:V1431" si="349">+U1424*S1424</f>
        <v>6.3035961538461542</v>
      </c>
      <c r="W1424" s="98">
        <v>3</v>
      </c>
      <c r="X1424" s="84">
        <f>+IF(P1424="ACERO A36",VLOOKUP(Q1424,'[3]Tiempo Objeto'!$B$2:$C$12,2,FALSE),IF(P1424="INOXIDABLE",VLOOKUP(Q1424,'[3]Tiempo Objeto'!$B$14:$C$22,2,FALSE),IF(P1424="ALUMINIO",VLOOKUP(Q1424,'[3]Tiempo Objeto'!$B$24:$C$32,2,FALSE))))</f>
        <v>0.24666666666666667</v>
      </c>
      <c r="Y1424" s="84">
        <f t="shared" ref="Y1424:Y1431" si="350">+X1424*W1424</f>
        <v>0.74</v>
      </c>
      <c r="Z1424" s="80">
        <f t="shared" ref="Z1424:Z1431" si="351">+Y1424*O1424/3600</f>
        <v>1.0277777777777777</v>
      </c>
      <c r="AA1424" s="100">
        <v>4</v>
      </c>
      <c r="AB1424" s="86">
        <f>+AA1424*Analisis!$J$6</f>
        <v>100</v>
      </c>
      <c r="AC1424" s="100"/>
      <c r="AD1424" s="85">
        <f t="shared" ref="AD1424:AD1431" si="352">30*AC1424+AC1424*$D1424*1.5</f>
        <v>0</v>
      </c>
      <c r="AE1424" s="86">
        <f>+AC1424*Analisis!$J$7</f>
        <v>0</v>
      </c>
      <c r="AF1424" s="308">
        <f>+H1424*0.0254*I1424*0.0254*2*(1+[3]Analisis!$G$2)</f>
        <v>0.19385816067</v>
      </c>
      <c r="AG1424" s="86">
        <f>+AF1424*Analisis!$J$8</f>
        <v>20.655125452339291</v>
      </c>
      <c r="AH1424" s="309">
        <f t="shared" ref="AH1424:AH1431" si="353">+AE1424+AB1424+Z1424+V1424+M1424+AG1424</f>
        <v>155.2280501849917</v>
      </c>
      <c r="AI1424" s="86">
        <f>+AH1424/(1-Analisis!G1156)</f>
        <v>155.2280501849917</v>
      </c>
      <c r="AJ1424" s="86">
        <f t="shared" ref="AJ1424:AJ1431" si="354">+AI1424/(1-0.07)</f>
        <v>166.91188191934592</v>
      </c>
      <c r="AK1424" s="86">
        <f t="shared" ref="AK1424:AK1431" si="355">+AJ1424*D1424</f>
        <v>0</v>
      </c>
      <c r="AL1424" s="310" t="e">
        <f>+VLOOKUP(B1424,#REF!,2,FALSE)</f>
        <v>#REF!</v>
      </c>
      <c r="AM1424" s="311" t="e">
        <f t="shared" ref="AM1424:AM1431" si="356">+AL1424-E1424</f>
        <v>#REF!</v>
      </c>
      <c r="AN1424" s="312" t="e">
        <f t="shared" ref="AN1424:AN1431" si="357">+AM1424/AL1424</f>
        <v>#REF!</v>
      </c>
    </row>
    <row r="1425" spans="1:40" s="73" customFormat="1" x14ac:dyDescent="0.25">
      <c r="A1425" s="396"/>
      <c r="B1425" s="304" t="s">
        <v>2081</v>
      </c>
      <c r="D1425" s="74">
        <f>IFERROR(VLOOKUP(B1425,'REQ. PINTADO'!B:C,2,0),0)</f>
        <v>0</v>
      </c>
      <c r="E1425" s="305">
        <f t="shared" si="344"/>
        <v>173.83882503238493</v>
      </c>
      <c r="F1425" s="397" t="s">
        <v>166</v>
      </c>
      <c r="G1425" s="75" t="s">
        <v>147</v>
      </c>
      <c r="H1425" s="90">
        <v>18.09</v>
      </c>
      <c r="I1425" s="90">
        <v>7.47</v>
      </c>
      <c r="J1425" s="76">
        <v>0.105</v>
      </c>
      <c r="K1425" s="306">
        <v>16.38</v>
      </c>
      <c r="L1425" s="78">
        <f t="shared" si="345"/>
        <v>4.1136101749823446</v>
      </c>
      <c r="M1425" s="58">
        <f>+VLOOKUP(F1425,Material!$H$2:$M$17,6,FALSE)*H1425*I1425*(1+Material!$K$14)</f>
        <v>30.627697575550361</v>
      </c>
      <c r="N1425" s="79" t="str">
        <f t="shared" si="343"/>
        <v>T5.0</v>
      </c>
      <c r="O1425" s="80">
        <f>+VLOOKUP(N1425,[3]Material!$A$3:$B$58,2,FALSE)</f>
        <v>5000</v>
      </c>
      <c r="P1425" s="79" t="s">
        <v>42</v>
      </c>
      <c r="Q1425" s="79" t="str">
        <f>+VLOOKUP(F1425,[3]Material!$C$2:$E$12,2,FALSE)</f>
        <v>Cal 16</v>
      </c>
      <c r="R1425" s="81">
        <f>+IF(P1425="ACERO A36",VLOOKUP(Q1425,'[3]Velocidades Std 1500 w'!$B$2:$F$15,5,FALSE),IF(P1425="INOXIDABLE",VLOOKUP(Q1425,'[3]Velocidades Std 1500 w'!$B$17:$F$28,5,FALSE),IF(P1425="ALUMINIO",VLOOKUP(Q1425,'[3]Velocidades Std 1500 w'!$B$30:$F$38,5,FALSE))))</f>
        <v>9.1575091575091579E-7</v>
      </c>
      <c r="S1425" s="82">
        <f t="shared" si="346"/>
        <v>4.578754578754579E-3</v>
      </c>
      <c r="T1425" s="83">
        <f t="shared" si="347"/>
        <v>4.8902815384615383</v>
      </c>
      <c r="U1425" s="307">
        <f t="shared" si="348"/>
        <v>1483.3853999999999</v>
      </c>
      <c r="V1425" s="80">
        <f t="shared" si="349"/>
        <v>6.7920576923076919</v>
      </c>
      <c r="W1425" s="98">
        <v>3</v>
      </c>
      <c r="X1425" s="84">
        <f>+IF(P1425="ACERO A36",VLOOKUP(Q1425,'[3]Tiempo Objeto'!$B$2:$C$12,2,FALSE),IF(P1425="INOXIDABLE",VLOOKUP(Q1425,'[3]Tiempo Objeto'!$B$14:$C$22,2,FALSE),IF(P1425="ALUMINIO",VLOOKUP(Q1425,'[3]Tiempo Objeto'!$B$24:$C$32,2,FALSE))))</f>
        <v>0.24666666666666667</v>
      </c>
      <c r="Y1425" s="84">
        <f t="shared" si="350"/>
        <v>0.74</v>
      </c>
      <c r="Z1425" s="80">
        <f t="shared" si="351"/>
        <v>1.0277777777777777</v>
      </c>
      <c r="AA1425" s="100">
        <v>4</v>
      </c>
      <c r="AB1425" s="86">
        <f>+AA1425*Analisis!$J$6</f>
        <v>100</v>
      </c>
      <c r="AC1425" s="100"/>
      <c r="AD1425" s="85">
        <f t="shared" si="352"/>
        <v>0</v>
      </c>
      <c r="AE1425" s="86">
        <f>+AC1425*Analisis!$J$7</f>
        <v>0</v>
      </c>
      <c r="AF1425" s="308">
        <f>+H1425*0.0254*I1425*0.0254*2*(1+[3]Analisis!$G$2)</f>
        <v>0.21795488666999996</v>
      </c>
      <c r="AG1425" s="86">
        <f>+AF1425*Analisis!$J$8</f>
        <v>23.222574234482146</v>
      </c>
      <c r="AH1425" s="309">
        <f t="shared" si="353"/>
        <v>161.67010728011797</v>
      </c>
      <c r="AI1425" s="86">
        <f>+AH1425/(1-Analisis!G1157)</f>
        <v>161.67010728011797</v>
      </c>
      <c r="AJ1425" s="86">
        <f t="shared" si="354"/>
        <v>173.83882503238493</v>
      </c>
      <c r="AK1425" s="86">
        <f t="shared" si="355"/>
        <v>0</v>
      </c>
      <c r="AL1425" s="310" t="e">
        <f>+VLOOKUP(B1425,#REF!,2,FALSE)</f>
        <v>#REF!</v>
      </c>
      <c r="AM1425" s="311" t="e">
        <f t="shared" si="356"/>
        <v>#REF!</v>
      </c>
      <c r="AN1425" s="312" t="e">
        <f t="shared" si="357"/>
        <v>#REF!</v>
      </c>
    </row>
    <row r="1426" spans="1:40" s="73" customFormat="1" x14ac:dyDescent="0.25">
      <c r="A1426" s="396"/>
      <c r="B1426" s="304" t="s">
        <v>2082</v>
      </c>
      <c r="D1426" s="74">
        <f>IFERROR(VLOOKUP(B1426,'REQ. PINTADO'!B:C,2,0),0)</f>
        <v>0</v>
      </c>
      <c r="E1426" s="305">
        <f t="shared" si="344"/>
        <v>194.61965437150192</v>
      </c>
      <c r="F1426" s="397" t="s">
        <v>166</v>
      </c>
      <c r="G1426" s="75" t="s">
        <v>147</v>
      </c>
      <c r="H1426" s="90">
        <v>24.09</v>
      </c>
      <c r="I1426" s="90">
        <v>7.47</v>
      </c>
      <c r="J1426" s="76">
        <v>0.105</v>
      </c>
      <c r="K1426" s="306">
        <v>16.38</v>
      </c>
      <c r="L1426" s="78">
        <f t="shared" si="345"/>
        <v>5.4779916592219271</v>
      </c>
      <c r="M1426" s="58">
        <f>+VLOOKUP(F1426,Material!$H$2:$M$17,6,FALSE)*H1426*I1426*(1+Material!$K$14)</f>
        <v>40.786137899115978</v>
      </c>
      <c r="N1426" s="79" t="str">
        <f t="shared" si="343"/>
        <v>T5.0</v>
      </c>
      <c r="O1426" s="80">
        <f>+VLOOKUP(N1426,[3]Material!$A$3:$B$58,2,FALSE)</f>
        <v>5000</v>
      </c>
      <c r="P1426" s="79" t="s">
        <v>42</v>
      </c>
      <c r="Q1426" s="79" t="str">
        <f>+VLOOKUP(F1426,[3]Material!$C$2:$E$12,2,FALSE)</f>
        <v>Cal 16</v>
      </c>
      <c r="R1426" s="81">
        <f>+IF(P1426="ACERO A36",VLOOKUP(Q1426,'[3]Velocidades Std 1500 w'!$B$2:$F$15,5,FALSE),IF(P1426="INOXIDABLE",VLOOKUP(Q1426,'[3]Velocidades Std 1500 w'!$B$17:$F$28,5,FALSE),IF(P1426="ALUMINIO",VLOOKUP(Q1426,'[3]Velocidades Std 1500 w'!$B$30:$F$38,5,FALSE))))</f>
        <v>9.1575091575091579E-7</v>
      </c>
      <c r="S1426" s="82">
        <f t="shared" si="346"/>
        <v>4.578754578754579E-3</v>
      </c>
      <c r="T1426" s="83">
        <f t="shared" si="347"/>
        <v>5.9453584615384623</v>
      </c>
      <c r="U1426" s="307">
        <f t="shared" si="348"/>
        <v>1803.4254000000001</v>
      </c>
      <c r="V1426" s="80">
        <f t="shared" si="349"/>
        <v>8.2574423076923082</v>
      </c>
      <c r="W1426" s="98">
        <v>3</v>
      </c>
      <c r="X1426" s="84">
        <f>+IF(P1426="ACERO A36",VLOOKUP(Q1426,'[3]Tiempo Objeto'!$B$2:$C$12,2,FALSE),IF(P1426="INOXIDABLE",VLOOKUP(Q1426,'[3]Tiempo Objeto'!$B$14:$C$22,2,FALSE),IF(P1426="ALUMINIO",VLOOKUP(Q1426,'[3]Tiempo Objeto'!$B$24:$C$32,2,FALSE))))</f>
        <v>0.24666666666666667</v>
      </c>
      <c r="Y1426" s="84">
        <f t="shared" si="350"/>
        <v>0.74</v>
      </c>
      <c r="Z1426" s="80">
        <f t="shared" si="351"/>
        <v>1.0277777777777777</v>
      </c>
      <c r="AA1426" s="100">
        <v>4</v>
      </c>
      <c r="AB1426" s="86">
        <f>+AA1426*Analisis!$J$6</f>
        <v>100</v>
      </c>
      <c r="AC1426" s="100"/>
      <c r="AD1426" s="85">
        <f t="shared" si="352"/>
        <v>0</v>
      </c>
      <c r="AE1426" s="86">
        <f>+AC1426*Analisis!$J$7</f>
        <v>0</v>
      </c>
      <c r="AF1426" s="308">
        <f>+H1426*0.0254*I1426*0.0254*2*(1+[3]Analisis!$G$2)</f>
        <v>0.29024506466999994</v>
      </c>
      <c r="AG1426" s="86">
        <f>+AF1426*Analisis!$J$8</f>
        <v>30.924920580910719</v>
      </c>
      <c r="AH1426" s="309">
        <f t="shared" si="353"/>
        <v>180.99627856549677</v>
      </c>
      <c r="AI1426" s="86">
        <f>+AH1426/(1-Analisis!G1158)</f>
        <v>180.99627856549677</v>
      </c>
      <c r="AJ1426" s="86">
        <f t="shared" si="354"/>
        <v>194.61965437150192</v>
      </c>
      <c r="AK1426" s="86">
        <f t="shared" si="355"/>
        <v>0</v>
      </c>
      <c r="AL1426" s="310" t="e">
        <f>+VLOOKUP(B1426,#REF!,2,FALSE)</f>
        <v>#REF!</v>
      </c>
      <c r="AM1426" s="311" t="e">
        <f t="shared" si="356"/>
        <v>#REF!</v>
      </c>
      <c r="AN1426" s="312" t="e">
        <f t="shared" si="357"/>
        <v>#REF!</v>
      </c>
    </row>
    <row r="1427" spans="1:40" s="73" customFormat="1" x14ac:dyDescent="0.25">
      <c r="A1427" s="396"/>
      <c r="B1427" s="304" t="s">
        <v>2083</v>
      </c>
      <c r="D1427" s="74">
        <f>IFERROR(VLOOKUP(B1427,'REQ. PINTADO'!B:C,2,0),0)</f>
        <v>0</v>
      </c>
      <c r="E1427" s="305">
        <f t="shared" si="344"/>
        <v>215.40048371061891</v>
      </c>
      <c r="F1427" s="397" t="s">
        <v>166</v>
      </c>
      <c r="G1427" s="75" t="s">
        <v>147</v>
      </c>
      <c r="H1427" s="90">
        <v>30.09</v>
      </c>
      <c r="I1427" s="90">
        <v>7.47</v>
      </c>
      <c r="J1427" s="76">
        <v>0.105</v>
      </c>
      <c r="K1427" s="306">
        <v>16.38</v>
      </c>
      <c r="L1427" s="78">
        <f t="shared" si="345"/>
        <v>6.8423731434615114</v>
      </c>
      <c r="M1427" s="58">
        <f>+VLOOKUP(F1427,Material!$H$2:$M$17,6,FALSE)*H1427*I1427*(1+Material!$K$14)</f>
        <v>50.944578222681606</v>
      </c>
      <c r="N1427" s="79" t="str">
        <f t="shared" si="343"/>
        <v>T5.0</v>
      </c>
      <c r="O1427" s="80">
        <f>+VLOOKUP(N1427,[3]Material!$A$3:$B$58,2,FALSE)</f>
        <v>5000</v>
      </c>
      <c r="P1427" s="79" t="s">
        <v>42</v>
      </c>
      <c r="Q1427" s="79" t="str">
        <f>+VLOOKUP(F1427,[3]Material!$C$2:$E$12,2,FALSE)</f>
        <v>Cal 16</v>
      </c>
      <c r="R1427" s="81">
        <f>+IF(P1427="ACERO A36",VLOOKUP(Q1427,'[3]Velocidades Std 1500 w'!$B$2:$F$15,5,FALSE),IF(P1427="INOXIDABLE",VLOOKUP(Q1427,'[3]Velocidades Std 1500 w'!$B$17:$F$28,5,FALSE),IF(P1427="ALUMINIO",VLOOKUP(Q1427,'[3]Velocidades Std 1500 w'!$B$30:$F$38,5,FALSE))))</f>
        <v>9.1575091575091579E-7</v>
      </c>
      <c r="S1427" s="82">
        <f t="shared" si="346"/>
        <v>4.578754578754579E-3</v>
      </c>
      <c r="T1427" s="83">
        <f t="shared" si="347"/>
        <v>7.0004353846153853</v>
      </c>
      <c r="U1427" s="307">
        <f t="shared" si="348"/>
        <v>2123.4654</v>
      </c>
      <c r="V1427" s="80">
        <f t="shared" si="349"/>
        <v>9.7228269230769229</v>
      </c>
      <c r="W1427" s="98">
        <v>3</v>
      </c>
      <c r="X1427" s="84">
        <f>+IF(P1427="ACERO A36",VLOOKUP(Q1427,'[3]Tiempo Objeto'!$B$2:$C$12,2,FALSE),IF(P1427="INOXIDABLE",VLOOKUP(Q1427,'[3]Tiempo Objeto'!$B$14:$C$22,2,FALSE),IF(P1427="ALUMINIO",VLOOKUP(Q1427,'[3]Tiempo Objeto'!$B$24:$C$32,2,FALSE))))</f>
        <v>0.24666666666666667</v>
      </c>
      <c r="Y1427" s="84">
        <f t="shared" si="350"/>
        <v>0.74</v>
      </c>
      <c r="Z1427" s="80">
        <f t="shared" si="351"/>
        <v>1.0277777777777777</v>
      </c>
      <c r="AA1427" s="100">
        <v>4</v>
      </c>
      <c r="AB1427" s="86">
        <f>+AA1427*Analisis!$J$6</f>
        <v>100</v>
      </c>
      <c r="AC1427" s="100"/>
      <c r="AD1427" s="85">
        <f t="shared" si="352"/>
        <v>0</v>
      </c>
      <c r="AE1427" s="86">
        <f>+AC1427*Analisis!$J$7</f>
        <v>0</v>
      </c>
      <c r="AF1427" s="308">
        <f>+H1427*0.0254*I1427*0.0254*2*(1+[3]Analisis!$G$2)</f>
        <v>0.36253524266999992</v>
      </c>
      <c r="AG1427" s="86">
        <f>+AF1427*Analisis!$J$8</f>
        <v>38.627266927339292</v>
      </c>
      <c r="AH1427" s="309">
        <f t="shared" si="353"/>
        <v>200.32244985087559</v>
      </c>
      <c r="AI1427" s="86">
        <f>+AH1427/(1-Analisis!G1159)</f>
        <v>200.32244985087559</v>
      </c>
      <c r="AJ1427" s="86">
        <f t="shared" si="354"/>
        <v>215.40048371061891</v>
      </c>
      <c r="AK1427" s="86">
        <f t="shared" si="355"/>
        <v>0</v>
      </c>
      <c r="AL1427" s="310" t="e">
        <f>+VLOOKUP(B1427,#REF!,2,FALSE)</f>
        <v>#REF!</v>
      </c>
      <c r="AM1427" s="311" t="e">
        <f t="shared" si="356"/>
        <v>#REF!</v>
      </c>
      <c r="AN1427" s="312" t="e">
        <f t="shared" si="357"/>
        <v>#REF!</v>
      </c>
    </row>
    <row r="1428" spans="1:40" s="73" customFormat="1" x14ac:dyDescent="0.25">
      <c r="A1428" s="396">
        <v>18</v>
      </c>
      <c r="B1428" s="304" t="s">
        <v>2000</v>
      </c>
      <c r="D1428" s="74">
        <f>IFERROR(VLOOKUP(B1428,'REQ. PINTADO'!B:C,2,0),0)</f>
        <v>0</v>
      </c>
      <c r="E1428" s="305">
        <f t="shared" si="344"/>
        <v>236.18131304973596</v>
      </c>
      <c r="F1428" s="397" t="s">
        <v>166</v>
      </c>
      <c r="G1428" s="75" t="s">
        <v>147</v>
      </c>
      <c r="H1428" s="90">
        <v>36.090000000000003</v>
      </c>
      <c r="I1428" s="90">
        <v>7.47</v>
      </c>
      <c r="J1428" s="76">
        <v>0.105</v>
      </c>
      <c r="K1428" s="306">
        <v>16.38</v>
      </c>
      <c r="L1428" s="78">
        <f t="shared" si="345"/>
        <v>8.2067546277010948</v>
      </c>
      <c r="M1428" s="58">
        <f>+VLOOKUP(F1428,Material!$H$2:$M$17,6,FALSE)*H1428*I1428*(1+Material!$K$14)</f>
        <v>61.103018546247242</v>
      </c>
      <c r="N1428" s="79" t="str">
        <f t="shared" si="343"/>
        <v>T5.0</v>
      </c>
      <c r="O1428" s="80">
        <f>+VLOOKUP(N1428,[3]Material!$A$3:$B$58,2,FALSE)</f>
        <v>5000</v>
      </c>
      <c r="P1428" s="79" t="s">
        <v>42</v>
      </c>
      <c r="Q1428" s="79" t="str">
        <f>+VLOOKUP(F1428,[3]Material!$C$2:$E$12,2,FALSE)</f>
        <v>Cal 16</v>
      </c>
      <c r="R1428" s="81">
        <f>+IF(P1428="ACERO A36",VLOOKUP(Q1428,'[3]Velocidades Std 1500 w'!$B$2:$F$15,5,FALSE),IF(P1428="INOXIDABLE",VLOOKUP(Q1428,'[3]Velocidades Std 1500 w'!$B$17:$F$28,5,FALSE),IF(P1428="ALUMINIO",VLOOKUP(Q1428,'[3]Velocidades Std 1500 w'!$B$30:$F$38,5,FALSE))))</f>
        <v>9.1575091575091579E-7</v>
      </c>
      <c r="S1428" s="82">
        <f t="shared" si="346"/>
        <v>4.578754578754579E-3</v>
      </c>
      <c r="T1428" s="83">
        <f t="shared" si="347"/>
        <v>8.0555123076923092</v>
      </c>
      <c r="U1428" s="307">
        <f t="shared" si="348"/>
        <v>2443.5054000000005</v>
      </c>
      <c r="V1428" s="80">
        <f t="shared" si="349"/>
        <v>11.188211538461541</v>
      </c>
      <c r="W1428" s="98">
        <v>3</v>
      </c>
      <c r="X1428" s="84">
        <f>+IF(P1428="ACERO A36",VLOOKUP(Q1428,'[3]Tiempo Objeto'!$B$2:$C$12,2,FALSE),IF(P1428="INOXIDABLE",VLOOKUP(Q1428,'[3]Tiempo Objeto'!$B$14:$C$22,2,FALSE),IF(P1428="ALUMINIO",VLOOKUP(Q1428,'[3]Tiempo Objeto'!$B$24:$C$32,2,FALSE))))</f>
        <v>0.24666666666666667</v>
      </c>
      <c r="Y1428" s="84">
        <f t="shared" si="350"/>
        <v>0.74</v>
      </c>
      <c r="Z1428" s="80">
        <f t="shared" si="351"/>
        <v>1.0277777777777777</v>
      </c>
      <c r="AA1428" s="100">
        <v>4</v>
      </c>
      <c r="AB1428" s="86">
        <f>+AA1428*Analisis!$J$6</f>
        <v>100</v>
      </c>
      <c r="AC1428" s="100"/>
      <c r="AD1428" s="85">
        <f t="shared" si="352"/>
        <v>0</v>
      </c>
      <c r="AE1428" s="86">
        <f>+AC1428*Analisis!$J$7</f>
        <v>0</v>
      </c>
      <c r="AF1428" s="308">
        <f>+H1428*0.0254*I1428*0.0254*2*(1+[3]Analisis!$G$2)</f>
        <v>0.43482542066999996</v>
      </c>
      <c r="AG1428" s="86">
        <f>+AF1428*Analisis!$J$8</f>
        <v>46.329613273767869</v>
      </c>
      <c r="AH1428" s="309">
        <f t="shared" si="353"/>
        <v>219.64862113625443</v>
      </c>
      <c r="AI1428" s="86">
        <f>+AH1428/(1-Analisis!G1160)</f>
        <v>219.64862113625443</v>
      </c>
      <c r="AJ1428" s="86">
        <f t="shared" si="354"/>
        <v>236.18131304973596</v>
      </c>
      <c r="AK1428" s="86">
        <f t="shared" si="355"/>
        <v>0</v>
      </c>
      <c r="AL1428" s="310" t="e">
        <f>+VLOOKUP(B1428,#REF!,2,FALSE)</f>
        <v>#REF!</v>
      </c>
      <c r="AM1428" s="311" t="e">
        <f t="shared" si="356"/>
        <v>#REF!</v>
      </c>
      <c r="AN1428" s="312" t="e">
        <f t="shared" si="357"/>
        <v>#REF!</v>
      </c>
    </row>
    <row r="1429" spans="1:40" s="73" customFormat="1" x14ac:dyDescent="0.25">
      <c r="A1429" s="396"/>
      <c r="B1429" s="304" t="s">
        <v>2084</v>
      </c>
      <c r="D1429" s="74">
        <f>IFERROR(VLOOKUP(B1429,'REQ. PINTADO'!B:C,2,0),0)</f>
        <v>0</v>
      </c>
      <c r="E1429" s="305">
        <f t="shared" si="344"/>
        <v>263.88908550189194</v>
      </c>
      <c r="F1429" s="397" t="s">
        <v>166</v>
      </c>
      <c r="G1429" s="75" t="s">
        <v>147</v>
      </c>
      <c r="H1429" s="90">
        <v>44.09</v>
      </c>
      <c r="I1429" s="90">
        <v>7.47</v>
      </c>
      <c r="J1429" s="76">
        <v>0.105</v>
      </c>
      <c r="K1429" s="306">
        <v>16.38</v>
      </c>
      <c r="L1429" s="78">
        <f t="shared" si="345"/>
        <v>10.025929940020541</v>
      </c>
      <c r="M1429" s="58">
        <f>+VLOOKUP(F1429,Material!$H$2:$M$17,6,FALSE)*H1429*I1429*(1+Material!$K$14)</f>
        <v>74.647605644334746</v>
      </c>
      <c r="N1429" s="79" t="str">
        <f t="shared" si="343"/>
        <v>T5.0</v>
      </c>
      <c r="O1429" s="80">
        <f>+VLOOKUP(N1429,[3]Material!$A$3:$B$58,2,FALSE)</f>
        <v>5000</v>
      </c>
      <c r="P1429" s="79" t="s">
        <v>42</v>
      </c>
      <c r="Q1429" s="79" t="str">
        <f>+VLOOKUP(F1429,[3]Material!$C$2:$E$12,2,FALSE)</f>
        <v>Cal 16</v>
      </c>
      <c r="R1429" s="81">
        <f>+IF(P1429="ACERO A36",VLOOKUP(Q1429,'[3]Velocidades Std 1500 w'!$B$2:$F$15,5,FALSE),IF(P1429="INOXIDABLE",VLOOKUP(Q1429,'[3]Velocidades Std 1500 w'!$B$17:$F$28,5,FALSE),IF(P1429="ALUMINIO",VLOOKUP(Q1429,'[3]Velocidades Std 1500 w'!$B$30:$F$38,5,FALSE))))</f>
        <v>9.1575091575091579E-7</v>
      </c>
      <c r="S1429" s="82">
        <f t="shared" si="346"/>
        <v>4.578754578754579E-3</v>
      </c>
      <c r="T1429" s="83">
        <f t="shared" si="347"/>
        <v>9.4622815384615393</v>
      </c>
      <c r="U1429" s="307">
        <f t="shared" si="348"/>
        <v>2870.2253999999998</v>
      </c>
      <c r="V1429" s="80">
        <f t="shared" si="349"/>
        <v>13.142057692307691</v>
      </c>
      <c r="W1429" s="98">
        <v>3</v>
      </c>
      <c r="X1429" s="84">
        <f>+IF(P1429="ACERO A36",VLOOKUP(Q1429,'[3]Tiempo Objeto'!$B$2:$C$12,2,FALSE),IF(P1429="INOXIDABLE",VLOOKUP(Q1429,'[3]Tiempo Objeto'!$B$14:$C$22,2,FALSE),IF(P1429="ALUMINIO",VLOOKUP(Q1429,'[3]Tiempo Objeto'!$B$24:$C$32,2,FALSE))))</f>
        <v>0.24666666666666667</v>
      </c>
      <c r="Y1429" s="84">
        <f t="shared" si="350"/>
        <v>0.74</v>
      </c>
      <c r="Z1429" s="80">
        <f t="shared" si="351"/>
        <v>1.0277777777777777</v>
      </c>
      <c r="AA1429" s="100">
        <v>4</v>
      </c>
      <c r="AB1429" s="86">
        <f>+AA1429*Analisis!$J$6</f>
        <v>100</v>
      </c>
      <c r="AC1429" s="100"/>
      <c r="AD1429" s="85">
        <f t="shared" si="352"/>
        <v>0</v>
      </c>
      <c r="AE1429" s="86">
        <f>+AC1429*Analisis!$J$7</f>
        <v>0</v>
      </c>
      <c r="AF1429" s="308">
        <f>+H1429*0.0254*I1429*0.0254*2*(1+[3]Analisis!$G$2)</f>
        <v>0.53121232467000001</v>
      </c>
      <c r="AG1429" s="86">
        <f>+AF1429*Analisis!$J$8</f>
        <v>56.599408402339307</v>
      </c>
      <c r="AH1429" s="309">
        <f t="shared" si="353"/>
        <v>245.4168495167595</v>
      </c>
      <c r="AI1429" s="86">
        <f>+AH1429/(1-Analisis!G1161)</f>
        <v>245.4168495167595</v>
      </c>
      <c r="AJ1429" s="86">
        <f t="shared" si="354"/>
        <v>263.88908550189194</v>
      </c>
      <c r="AK1429" s="86">
        <f t="shared" si="355"/>
        <v>0</v>
      </c>
      <c r="AL1429" s="310" t="e">
        <f>+VLOOKUP(B1429,#REF!,2,FALSE)</f>
        <v>#REF!</v>
      </c>
      <c r="AM1429" s="311" t="e">
        <f t="shared" si="356"/>
        <v>#REF!</v>
      </c>
      <c r="AN1429" s="312" t="e">
        <f t="shared" si="357"/>
        <v>#REF!</v>
      </c>
    </row>
    <row r="1430" spans="1:40" s="73" customFormat="1" x14ac:dyDescent="0.25">
      <c r="A1430" s="396"/>
      <c r="B1430" s="304" t="s">
        <v>2085</v>
      </c>
      <c r="D1430" s="74">
        <f>IFERROR(VLOOKUP(B1430,'REQ. PINTADO'!B:C,2,0),0)</f>
        <v>0</v>
      </c>
      <c r="E1430" s="305">
        <f t="shared" si="344"/>
        <v>284.66991484100896</v>
      </c>
      <c r="F1430" s="397" t="s">
        <v>166</v>
      </c>
      <c r="G1430" s="75" t="s">
        <v>147</v>
      </c>
      <c r="H1430" s="90">
        <v>50.09</v>
      </c>
      <c r="I1430" s="90">
        <v>7.47</v>
      </c>
      <c r="J1430" s="76">
        <v>0.105</v>
      </c>
      <c r="K1430" s="306">
        <v>16.38</v>
      </c>
      <c r="L1430" s="78">
        <f t="shared" si="345"/>
        <v>11.390311424260124</v>
      </c>
      <c r="M1430" s="58">
        <f>+VLOOKUP(F1430,Material!$H$2:$M$17,6,FALSE)*H1430*I1430*(1+Material!$K$14)</f>
        <v>84.806045967900374</v>
      </c>
      <c r="N1430" s="79" t="str">
        <f t="shared" si="343"/>
        <v>T5.0</v>
      </c>
      <c r="O1430" s="80">
        <f>+VLOOKUP(N1430,[3]Material!$A$3:$B$58,2,FALSE)</f>
        <v>5000</v>
      </c>
      <c r="P1430" s="79" t="s">
        <v>42</v>
      </c>
      <c r="Q1430" s="79" t="str">
        <f>+VLOOKUP(F1430,[3]Material!$C$2:$E$12,2,FALSE)</f>
        <v>Cal 16</v>
      </c>
      <c r="R1430" s="81">
        <f>+IF(P1430="ACERO A36",VLOOKUP(Q1430,'[3]Velocidades Std 1500 w'!$B$2:$F$15,5,FALSE),IF(P1430="INOXIDABLE",VLOOKUP(Q1430,'[3]Velocidades Std 1500 w'!$B$17:$F$28,5,FALSE),IF(P1430="ALUMINIO",VLOOKUP(Q1430,'[3]Velocidades Std 1500 w'!$B$30:$F$38,5,FALSE))))</f>
        <v>9.1575091575091579E-7</v>
      </c>
      <c r="S1430" s="82">
        <f t="shared" si="346"/>
        <v>4.578754578754579E-3</v>
      </c>
      <c r="T1430" s="83">
        <f t="shared" si="347"/>
        <v>10.517358461538462</v>
      </c>
      <c r="U1430" s="307">
        <f t="shared" si="348"/>
        <v>3190.2654000000002</v>
      </c>
      <c r="V1430" s="80">
        <f t="shared" si="349"/>
        <v>14.60744230769231</v>
      </c>
      <c r="W1430" s="98">
        <v>3</v>
      </c>
      <c r="X1430" s="84">
        <f>+IF(P1430="ACERO A36",VLOOKUP(Q1430,'[3]Tiempo Objeto'!$B$2:$C$12,2,FALSE),IF(P1430="INOXIDABLE",VLOOKUP(Q1430,'[3]Tiempo Objeto'!$B$14:$C$22,2,FALSE),IF(P1430="ALUMINIO",VLOOKUP(Q1430,'[3]Tiempo Objeto'!$B$24:$C$32,2,FALSE))))</f>
        <v>0.24666666666666667</v>
      </c>
      <c r="Y1430" s="84">
        <f t="shared" si="350"/>
        <v>0.74</v>
      </c>
      <c r="Z1430" s="80">
        <f t="shared" si="351"/>
        <v>1.0277777777777777</v>
      </c>
      <c r="AA1430" s="100">
        <v>4</v>
      </c>
      <c r="AB1430" s="86">
        <f>+AA1430*Analisis!$J$6</f>
        <v>100</v>
      </c>
      <c r="AC1430" s="100"/>
      <c r="AD1430" s="85">
        <f t="shared" si="352"/>
        <v>0</v>
      </c>
      <c r="AE1430" s="86">
        <f>+AC1430*Analisis!$J$7</f>
        <v>0</v>
      </c>
      <c r="AF1430" s="308">
        <f>+H1430*0.0254*I1430*0.0254*2*(1+[3]Analisis!$G$2)</f>
        <v>0.60350250267000005</v>
      </c>
      <c r="AG1430" s="86">
        <f>+AF1430*Analisis!$J$8</f>
        <v>64.301754748767877</v>
      </c>
      <c r="AH1430" s="309">
        <f t="shared" si="353"/>
        <v>264.74302080213829</v>
      </c>
      <c r="AI1430" s="86">
        <f>+AH1430/(1-Analisis!G1162)</f>
        <v>264.74302080213829</v>
      </c>
      <c r="AJ1430" s="86">
        <f t="shared" si="354"/>
        <v>284.66991484100896</v>
      </c>
      <c r="AK1430" s="86">
        <f t="shared" si="355"/>
        <v>0</v>
      </c>
      <c r="AL1430" s="310" t="e">
        <f>+VLOOKUP(B1430,#REF!,2,FALSE)</f>
        <v>#REF!</v>
      </c>
      <c r="AM1430" s="311" t="e">
        <f t="shared" si="356"/>
        <v>#REF!</v>
      </c>
      <c r="AN1430" s="312" t="e">
        <f t="shared" si="357"/>
        <v>#REF!</v>
      </c>
    </row>
    <row r="1431" spans="1:40" s="73" customFormat="1" x14ac:dyDescent="0.25">
      <c r="A1431" s="396"/>
      <c r="B1431" s="304" t="s">
        <v>2086</v>
      </c>
      <c r="D1431" s="74">
        <f>IFERROR(VLOOKUP(B1431,'REQ. PINTADO'!B:C,2,0),0)</f>
        <v>0</v>
      </c>
      <c r="E1431" s="305">
        <f t="shared" si="344"/>
        <v>305.45074418012598</v>
      </c>
      <c r="F1431" s="397" t="s">
        <v>166</v>
      </c>
      <c r="G1431" s="75" t="s">
        <v>147</v>
      </c>
      <c r="H1431" s="90">
        <v>56.09</v>
      </c>
      <c r="I1431" s="90">
        <v>7.47</v>
      </c>
      <c r="J1431" s="76">
        <v>0.105</v>
      </c>
      <c r="K1431" s="306">
        <v>16.38</v>
      </c>
      <c r="L1431" s="78">
        <f t="shared" si="345"/>
        <v>12.754692908499708</v>
      </c>
      <c r="M1431" s="58">
        <f>+VLOOKUP(F1431,Material!$H$2:$M$17,6,FALSE)*H1431*I1431*(1+Material!$K$14)</f>
        <v>94.964486291465988</v>
      </c>
      <c r="N1431" s="79" t="str">
        <f t="shared" si="343"/>
        <v>T5.0</v>
      </c>
      <c r="O1431" s="80">
        <f>+VLOOKUP(N1431,[3]Material!$A$3:$B$58,2,FALSE)</f>
        <v>5000</v>
      </c>
      <c r="P1431" s="79" t="s">
        <v>42</v>
      </c>
      <c r="Q1431" s="79" t="str">
        <f>+VLOOKUP(F1431,[3]Material!$C$2:$E$12,2,FALSE)</f>
        <v>Cal 16</v>
      </c>
      <c r="R1431" s="81">
        <f>+IF(P1431="ACERO A36",VLOOKUP(Q1431,'[3]Velocidades Std 1500 w'!$B$2:$F$15,5,FALSE),IF(P1431="INOXIDABLE",VLOOKUP(Q1431,'[3]Velocidades Std 1500 w'!$B$17:$F$28,5,FALSE),IF(P1431="ALUMINIO",VLOOKUP(Q1431,'[3]Velocidades Std 1500 w'!$B$30:$F$38,5,FALSE))))</f>
        <v>9.1575091575091579E-7</v>
      </c>
      <c r="S1431" s="82">
        <f t="shared" si="346"/>
        <v>4.578754578754579E-3</v>
      </c>
      <c r="T1431" s="83">
        <f t="shared" si="347"/>
        <v>11.572435384615387</v>
      </c>
      <c r="U1431" s="307">
        <f t="shared" si="348"/>
        <v>3510.3054000000002</v>
      </c>
      <c r="V1431" s="80">
        <f t="shared" si="349"/>
        <v>16.072826923076924</v>
      </c>
      <c r="W1431" s="98">
        <v>3</v>
      </c>
      <c r="X1431" s="84">
        <f>+IF(P1431="ACERO A36",VLOOKUP(Q1431,'[3]Tiempo Objeto'!$B$2:$C$12,2,FALSE),IF(P1431="INOXIDABLE",VLOOKUP(Q1431,'[3]Tiempo Objeto'!$B$14:$C$22,2,FALSE),IF(P1431="ALUMINIO",VLOOKUP(Q1431,'[3]Tiempo Objeto'!$B$24:$C$32,2,FALSE))))</f>
        <v>0.24666666666666667</v>
      </c>
      <c r="Y1431" s="84">
        <f t="shared" si="350"/>
        <v>0.74</v>
      </c>
      <c r="Z1431" s="80">
        <f t="shared" si="351"/>
        <v>1.0277777777777777</v>
      </c>
      <c r="AA1431" s="100">
        <v>4</v>
      </c>
      <c r="AB1431" s="86">
        <f>+AA1431*Analisis!$J$6</f>
        <v>100</v>
      </c>
      <c r="AC1431" s="100"/>
      <c r="AD1431" s="85">
        <f t="shared" si="352"/>
        <v>0</v>
      </c>
      <c r="AE1431" s="86">
        <f>+AC1431*Analisis!$J$7</f>
        <v>0</v>
      </c>
      <c r="AF1431" s="308">
        <f>+H1431*0.0254*I1431*0.0254*2*(1+[3]Analisis!$G$2)</f>
        <v>0.67579268066999998</v>
      </c>
      <c r="AG1431" s="86">
        <f>+AF1431*Analisis!$J$8</f>
        <v>72.004101095196447</v>
      </c>
      <c r="AH1431" s="309">
        <f t="shared" si="353"/>
        <v>284.06919208751714</v>
      </c>
      <c r="AI1431" s="86">
        <f>+AH1431/(1-Analisis!G1163)</f>
        <v>284.06919208751714</v>
      </c>
      <c r="AJ1431" s="86">
        <f t="shared" si="354"/>
        <v>305.45074418012598</v>
      </c>
      <c r="AK1431" s="86">
        <f t="shared" si="355"/>
        <v>0</v>
      </c>
      <c r="AL1431" s="310" t="e">
        <f>+VLOOKUP(B1431,#REF!,2,FALSE)</f>
        <v>#REF!</v>
      </c>
      <c r="AM1431" s="311" t="e">
        <f t="shared" si="356"/>
        <v>#REF!</v>
      </c>
      <c r="AN1431" s="312" t="e">
        <f t="shared" si="357"/>
        <v>#REF!</v>
      </c>
    </row>
    <row r="1432" spans="1:40" s="73" customFormat="1" x14ac:dyDescent="0.25">
      <c r="A1432" s="396"/>
      <c r="B1432" s="304" t="s">
        <v>2087</v>
      </c>
      <c r="D1432" s="74">
        <f>IFERROR(VLOOKUP(B1432,'REQ. PINTADO'!B:C,2,0),0)</f>
        <v>0</v>
      </c>
      <c r="E1432" s="305">
        <f t="shared" ref="E1432" si="358">+AJ1432</f>
        <v>191.15618281498243</v>
      </c>
      <c r="F1432" s="397" t="s">
        <v>166</v>
      </c>
      <c r="G1432" s="75" t="s">
        <v>147</v>
      </c>
      <c r="H1432" s="90">
        <v>23.09</v>
      </c>
      <c r="I1432" s="90">
        <v>7.47</v>
      </c>
      <c r="J1432" s="76">
        <v>0.105</v>
      </c>
      <c r="K1432" s="306">
        <v>16.38</v>
      </c>
      <c r="L1432" s="78">
        <f t="shared" ref="L1432" si="359">+M1432*2.2/K1432</f>
        <v>5.2505947451819965</v>
      </c>
      <c r="M1432" s="58">
        <f>+VLOOKUP(F1432,Material!$H$2:$M$17,6,FALSE)*H1432*I1432*(1+Material!$K$14)</f>
        <v>39.09306451185504</v>
      </c>
      <c r="N1432" s="79" t="str">
        <f t="shared" si="343"/>
        <v>T5.0</v>
      </c>
      <c r="O1432" s="80">
        <f>+VLOOKUP(N1432,[3]Material!$A$3:$B$58,2,FALSE)</f>
        <v>5000</v>
      </c>
      <c r="P1432" s="79" t="s">
        <v>42</v>
      </c>
      <c r="Q1432" s="79" t="str">
        <f>+VLOOKUP(F1432,[3]Material!$C$2:$E$12,2,FALSE)</f>
        <v>Cal 16</v>
      </c>
      <c r="R1432" s="81">
        <f>+IF(P1432="ACERO A36",VLOOKUP(Q1432,'[3]Velocidades Std 1500 w'!$B$2:$F$15,5,FALSE),IF(P1432="INOXIDABLE",VLOOKUP(Q1432,'[3]Velocidades Std 1500 w'!$B$17:$F$28,5,FALSE),IF(P1432="ALUMINIO",VLOOKUP(Q1432,'[3]Velocidades Std 1500 w'!$B$30:$F$38,5,FALSE))))</f>
        <v>9.1575091575091579E-7</v>
      </c>
      <c r="S1432" s="82">
        <f t="shared" ref="S1432" si="360">+R1432*O1432</f>
        <v>4.578754578754579E-3</v>
      </c>
      <c r="T1432" s="83">
        <f t="shared" ref="T1432" si="361">+R1432*U1432*3600</f>
        <v>5.7695123076923087</v>
      </c>
      <c r="U1432" s="307">
        <f t="shared" ref="U1432" si="362">(+I1432*2+H1432*2+W1432*1.5)*25.4*1.05</f>
        <v>1750.0854000000002</v>
      </c>
      <c r="V1432" s="80">
        <f t="shared" ref="V1432" si="363">+U1432*S1432</f>
        <v>8.0132115384615403</v>
      </c>
      <c r="W1432" s="98">
        <v>3</v>
      </c>
      <c r="X1432" s="84">
        <f>+IF(P1432="ACERO A36",VLOOKUP(Q1432,'[3]Tiempo Objeto'!$B$2:$C$12,2,FALSE),IF(P1432="INOXIDABLE",VLOOKUP(Q1432,'[3]Tiempo Objeto'!$B$14:$C$22,2,FALSE),IF(P1432="ALUMINIO",VLOOKUP(Q1432,'[3]Tiempo Objeto'!$B$24:$C$32,2,FALSE))))</f>
        <v>0.24666666666666667</v>
      </c>
      <c r="Y1432" s="84">
        <f t="shared" ref="Y1432" si="364">+X1432*W1432</f>
        <v>0.74</v>
      </c>
      <c r="Z1432" s="80">
        <f t="shared" ref="Z1432" si="365">+Y1432*O1432/3600</f>
        <v>1.0277777777777777</v>
      </c>
      <c r="AA1432" s="100">
        <v>4</v>
      </c>
      <c r="AB1432" s="86">
        <f>+AA1432*Analisis!$J$6</f>
        <v>100</v>
      </c>
      <c r="AC1432" s="100"/>
      <c r="AD1432" s="85">
        <f t="shared" ref="AD1432" si="366">30*AC1432+AC1432*$D1432*1.5</f>
        <v>0</v>
      </c>
      <c r="AE1432" s="86">
        <f>+AC1432*Analisis!$J$7</f>
        <v>0</v>
      </c>
      <c r="AF1432" s="308">
        <f>+H1432*0.0254*I1432*0.0254*2*(1+[3]Analisis!$G$2)</f>
        <v>0.27819670166999994</v>
      </c>
      <c r="AG1432" s="86">
        <f>+AF1432*Analisis!$J$8</f>
        <v>29.641196189839288</v>
      </c>
      <c r="AH1432" s="309">
        <f t="shared" ref="AH1432" si="367">+AE1432+AB1432+Z1432+V1432+M1432+AG1432</f>
        <v>177.77525001793364</v>
      </c>
      <c r="AI1432" s="86">
        <f>+AH1432/(1-Analisis!G1164)</f>
        <v>177.77525001793364</v>
      </c>
      <c r="AJ1432" s="86">
        <f t="shared" ref="AJ1432" si="368">+AI1432/(1-0.07)</f>
        <v>191.15618281498243</v>
      </c>
      <c r="AK1432" s="86">
        <f t="shared" ref="AK1432" si="369">+AJ1432*D1432</f>
        <v>0</v>
      </c>
      <c r="AL1432" s="310" t="e">
        <f>+VLOOKUP(B1432,#REF!,2,FALSE)</f>
        <v>#REF!</v>
      </c>
      <c r="AM1432" s="311" t="e">
        <f t="shared" ref="AM1432" si="370">+AL1432-E1432</f>
        <v>#REF!</v>
      </c>
      <c r="AN1432" s="312" t="e">
        <f t="shared" ref="AN1432" si="371">+AM1432/AL1432</f>
        <v>#REF!</v>
      </c>
    </row>
    <row r="1433" spans="1:40" s="73" customFormat="1" x14ac:dyDescent="0.25">
      <c r="A1433" s="396"/>
      <c r="B1433" s="304" t="s">
        <v>2088</v>
      </c>
      <c r="D1433" s="74">
        <f>IFERROR(VLOOKUP(B1433,'REQ. PINTADO'!B:C,2,0),0)</f>
        <v>0</v>
      </c>
      <c r="E1433" s="305">
        <f t="shared" si="172"/>
        <v>243.61137660748898</v>
      </c>
      <c r="F1433" s="397" t="s">
        <v>166</v>
      </c>
      <c r="G1433" s="75" t="s">
        <v>147</v>
      </c>
      <c r="H1433" s="90">
        <v>12.08</v>
      </c>
      <c r="I1433" s="90">
        <v>23.71</v>
      </c>
      <c r="J1433" s="76">
        <v>0.105</v>
      </c>
      <c r="K1433" s="306">
        <v>16.38</v>
      </c>
      <c r="L1433" s="78">
        <f t="shared" si="173"/>
        <v>8.7189151873081681</v>
      </c>
      <c r="M1433" s="58">
        <f>+VLOOKUP(F1433,Material!$H$2:$M$17,6,FALSE)*H1433*I1433*(1+Material!$K$14)</f>
        <v>64.916286712776255</v>
      </c>
      <c r="N1433" s="79" t="str">
        <f t="shared" ref="N1433:N1441" si="372">+N1144</f>
        <v>T5.0</v>
      </c>
      <c r="O1433" s="80">
        <f>+VLOOKUP(N1433,[3]Material!$A$3:$B$58,2,FALSE)</f>
        <v>5000</v>
      </c>
      <c r="P1433" s="79" t="s">
        <v>42</v>
      </c>
      <c r="Q1433" s="79" t="str">
        <f>+VLOOKUP(F1433,[3]Material!$C$2:$E$12,2,FALSE)</f>
        <v>Cal 16</v>
      </c>
      <c r="R1433" s="81">
        <f>+IF(P1433="ACERO A36",VLOOKUP(Q1433,'[3]Velocidades Std 1500 w'!$B$2:$F$15,5,FALSE),IF(P1433="INOXIDABLE",VLOOKUP(Q1433,'[3]Velocidades Std 1500 w'!$B$17:$F$28,5,FALSE),IF(P1433="ALUMINIO",VLOOKUP(Q1433,'[3]Velocidades Std 1500 w'!$B$30:$F$38,5,FALSE))))</f>
        <v>9.1575091575091579E-7</v>
      </c>
      <c r="S1433" s="82">
        <f t="shared" si="174"/>
        <v>4.578754578754579E-3</v>
      </c>
      <c r="T1433" s="83">
        <f t="shared" si="175"/>
        <v>7.2167261538461549</v>
      </c>
      <c r="U1433" s="307">
        <f t="shared" si="171"/>
        <v>2189.0736000000002</v>
      </c>
      <c r="V1433" s="80">
        <f t="shared" si="153"/>
        <v>10.02323076923077</v>
      </c>
      <c r="W1433" s="98">
        <v>7</v>
      </c>
      <c r="X1433" s="84">
        <f>+IF(P1433="ACERO A36",VLOOKUP(Q1433,'[3]Tiempo Objeto'!$B$2:$C$12,2,FALSE),IF(P1433="INOXIDABLE",VLOOKUP(Q1433,'[3]Tiempo Objeto'!$B$14:$C$22,2,FALSE),IF(P1433="ALUMINIO",VLOOKUP(Q1433,'[3]Tiempo Objeto'!$B$24:$C$32,2,FALSE))))</f>
        <v>0.24666666666666667</v>
      </c>
      <c r="Y1433" s="84">
        <f t="shared" si="176"/>
        <v>1.7266666666666668</v>
      </c>
      <c r="Z1433" s="80">
        <f t="shared" si="177"/>
        <v>2.3981481481481484</v>
      </c>
      <c r="AA1433" s="100">
        <v>4</v>
      </c>
      <c r="AB1433" s="86">
        <f>+AA1433*Analisis!$J$6</f>
        <v>100</v>
      </c>
      <c r="AC1433" s="100"/>
      <c r="AD1433" s="85">
        <f t="shared" si="178"/>
        <v>0</v>
      </c>
      <c r="AE1433" s="86">
        <f>+AC1433*Analisis!$J$7</f>
        <v>0</v>
      </c>
      <c r="AF1433" s="308">
        <f>+H1433*0.0254*I1433*0.0254*2*(1+[3]Analisis!$G$2)</f>
        <v>0.46196165672</v>
      </c>
      <c r="AG1433" s="86">
        <f>+AF1433*Analisis!$J$8</f>
        <v>49.220914614809537</v>
      </c>
      <c r="AH1433" s="309">
        <f t="shared" si="179"/>
        <v>226.55858024496473</v>
      </c>
      <c r="AI1433" s="86">
        <f>+AH1433/(1-Analisis!G1156)</f>
        <v>226.55858024496473</v>
      </c>
      <c r="AJ1433" s="86">
        <f t="shared" si="180"/>
        <v>243.61137660748898</v>
      </c>
      <c r="AK1433" s="86">
        <f t="shared" si="181"/>
        <v>0</v>
      </c>
      <c r="AL1433" s="310" t="e">
        <f>+VLOOKUP(B1433,#REF!,2,FALSE)</f>
        <v>#REF!</v>
      </c>
      <c r="AM1433" s="311" t="e">
        <f t="shared" si="183"/>
        <v>#REF!</v>
      </c>
      <c r="AN1433" s="312" t="e">
        <f t="shared" si="182"/>
        <v>#REF!</v>
      </c>
    </row>
    <row r="1434" spans="1:40" s="73" customFormat="1" x14ac:dyDescent="0.25">
      <c r="A1434" s="396"/>
      <c r="B1434" s="304" t="s">
        <v>2089</v>
      </c>
      <c r="D1434" s="74">
        <f>IFERROR(VLOOKUP(B1434,'REQ. PINTADO'!B:C,2,0),0)</f>
        <v>0</v>
      </c>
      <c r="E1434" s="305">
        <f t="shared" ref="E1434:E1441" si="373">+AJ1434</f>
        <v>285.3002995655084</v>
      </c>
      <c r="F1434" s="397" t="s">
        <v>166</v>
      </c>
      <c r="G1434" s="75" t="s">
        <v>147</v>
      </c>
      <c r="H1434" s="90">
        <v>16.079999999999998</v>
      </c>
      <c r="I1434" s="90">
        <v>23.71</v>
      </c>
      <c r="J1434" s="76">
        <v>0.105</v>
      </c>
      <c r="K1434" s="306">
        <v>16.38</v>
      </c>
      <c r="L1434" s="78">
        <f t="shared" ref="L1434:L1441" si="374">+M1434*2.2/K1434</f>
        <v>11.605973196350604</v>
      </c>
      <c r="M1434" s="58">
        <f>+VLOOKUP(F1434,Material!$H$2:$M$17,6,FALSE)*H1434*I1434*(1+Material!$K$14)</f>
        <v>86.411745889192218</v>
      </c>
      <c r="N1434" s="79" t="str">
        <f t="shared" si="372"/>
        <v>T5.0</v>
      </c>
      <c r="O1434" s="80">
        <f>+VLOOKUP(N1434,[3]Material!$A$3:$B$58,2,FALSE)</f>
        <v>5000</v>
      </c>
      <c r="P1434" s="79" t="s">
        <v>42</v>
      </c>
      <c r="Q1434" s="79" t="str">
        <f>+VLOOKUP(F1434,[3]Material!$C$2:$E$12,2,FALSE)</f>
        <v>Cal 16</v>
      </c>
      <c r="R1434" s="81">
        <f>+IF(P1434="ACERO A36",VLOOKUP(Q1434,'[3]Velocidades Std 1500 w'!$B$2:$F$15,5,FALSE),IF(P1434="INOXIDABLE",VLOOKUP(Q1434,'[3]Velocidades Std 1500 w'!$B$17:$F$28,5,FALSE),IF(P1434="ALUMINIO",VLOOKUP(Q1434,'[3]Velocidades Std 1500 w'!$B$30:$F$38,5,FALSE))))</f>
        <v>9.1575091575091579E-7</v>
      </c>
      <c r="S1434" s="82">
        <f t="shared" ref="S1434:S1441" si="375">+R1434*O1434</f>
        <v>4.578754578754579E-3</v>
      </c>
      <c r="T1434" s="83">
        <f t="shared" ref="T1434:T1441" si="376">+R1434*U1434*3600</f>
        <v>7.92011076923077</v>
      </c>
      <c r="U1434" s="307">
        <f t="shared" ref="U1434:U1441" si="377">(+I1434*2+H1434*2+W1434*1.5)*25.4*1.05</f>
        <v>2402.4335999999998</v>
      </c>
      <c r="V1434" s="80">
        <f t="shared" ref="V1434:V1441" si="378">+U1434*S1434</f>
        <v>11.000153846153847</v>
      </c>
      <c r="W1434" s="98">
        <v>7</v>
      </c>
      <c r="X1434" s="84">
        <f>+IF(P1434="ACERO A36",VLOOKUP(Q1434,'[3]Tiempo Objeto'!$B$2:$C$12,2,FALSE),IF(P1434="INOXIDABLE",VLOOKUP(Q1434,'[3]Tiempo Objeto'!$B$14:$C$22,2,FALSE),IF(P1434="ALUMINIO",VLOOKUP(Q1434,'[3]Tiempo Objeto'!$B$24:$C$32,2,FALSE))))</f>
        <v>0.24666666666666667</v>
      </c>
      <c r="Y1434" s="84">
        <f t="shared" ref="Y1434:Y1441" si="379">+X1434*W1434</f>
        <v>1.7266666666666668</v>
      </c>
      <c r="Z1434" s="80">
        <f t="shared" ref="Z1434:Z1441" si="380">+Y1434*O1434/3600</f>
        <v>2.3981481481481484</v>
      </c>
      <c r="AA1434" s="100">
        <v>4</v>
      </c>
      <c r="AB1434" s="86">
        <f>+AA1434*Analisis!$J$6</f>
        <v>100</v>
      </c>
      <c r="AC1434" s="100"/>
      <c r="AD1434" s="85">
        <f t="shared" ref="AD1434:AD1441" si="381">30*AC1434+AC1434*$D1434*1.5</f>
        <v>0</v>
      </c>
      <c r="AE1434" s="86">
        <f>+AC1434*Analisis!$J$7</f>
        <v>0</v>
      </c>
      <c r="AF1434" s="308">
        <f>+H1434*0.0254*I1434*0.0254*2*(1+[3]Analisis!$G$2)</f>
        <v>0.61492909271999996</v>
      </c>
      <c r="AG1434" s="86">
        <f>+AF1434*Analisis!$J$8</f>
        <v>65.51923071242858</v>
      </c>
      <c r="AH1434" s="309">
        <f t="shared" ref="AH1434:AH1441" si="382">+AE1434+AB1434+Z1434+V1434+M1434+AG1434</f>
        <v>265.3292785959228</v>
      </c>
      <c r="AI1434" s="86">
        <f>+AH1434/(1-Analisis!G1157)</f>
        <v>265.3292785959228</v>
      </c>
      <c r="AJ1434" s="86">
        <f t="shared" ref="AJ1434:AJ1441" si="383">+AI1434/(1-0.07)</f>
        <v>285.3002995655084</v>
      </c>
      <c r="AK1434" s="86">
        <f t="shared" ref="AK1434:AK1441" si="384">+AJ1434*D1434</f>
        <v>0</v>
      </c>
      <c r="AL1434" s="310" t="e">
        <f>+VLOOKUP(B1434,#REF!,2,FALSE)</f>
        <v>#REF!</v>
      </c>
      <c r="AM1434" s="311" t="e">
        <f t="shared" ref="AM1434:AM1441" si="385">+AL1434-E1434</f>
        <v>#REF!</v>
      </c>
      <c r="AN1434" s="312" t="e">
        <f t="shared" ref="AN1434:AN1441" si="386">+AM1434/AL1434</f>
        <v>#REF!</v>
      </c>
    </row>
    <row r="1435" spans="1:40" s="73" customFormat="1" x14ac:dyDescent="0.25">
      <c r="A1435" s="396"/>
      <c r="B1435" s="304" t="s">
        <v>2090</v>
      </c>
      <c r="D1435" s="74">
        <f>IFERROR(VLOOKUP(B1435,'REQ. PINTADO'!B:C,2,0),0)</f>
        <v>0</v>
      </c>
      <c r="E1435" s="305">
        <f t="shared" si="373"/>
        <v>306.14476104451813</v>
      </c>
      <c r="F1435" s="397" t="s">
        <v>166</v>
      </c>
      <c r="G1435" s="75" t="s">
        <v>147</v>
      </c>
      <c r="H1435" s="90">
        <v>18.079999999999998</v>
      </c>
      <c r="I1435" s="90">
        <v>23.71</v>
      </c>
      <c r="J1435" s="76">
        <v>0.105</v>
      </c>
      <c r="K1435" s="306">
        <v>16.38</v>
      </c>
      <c r="L1435" s="78">
        <f t="shared" si="374"/>
        <v>13.049502200871823</v>
      </c>
      <c r="M1435" s="58">
        <f>+VLOOKUP(F1435,Material!$H$2:$M$17,6,FALSE)*H1435*I1435*(1+Material!$K$14)</f>
        <v>97.159475477400193</v>
      </c>
      <c r="N1435" s="79" t="str">
        <f t="shared" si="372"/>
        <v>T5.0</v>
      </c>
      <c r="O1435" s="80">
        <f>+VLOOKUP(N1435,[3]Material!$A$3:$B$58,2,FALSE)</f>
        <v>5000</v>
      </c>
      <c r="P1435" s="79" t="s">
        <v>42</v>
      </c>
      <c r="Q1435" s="79" t="str">
        <f>+VLOOKUP(F1435,[3]Material!$C$2:$E$12,2,FALSE)</f>
        <v>Cal 16</v>
      </c>
      <c r="R1435" s="81">
        <f>+IF(P1435="ACERO A36",VLOOKUP(Q1435,'[3]Velocidades Std 1500 w'!$B$2:$F$15,5,FALSE),IF(P1435="INOXIDABLE",VLOOKUP(Q1435,'[3]Velocidades Std 1500 w'!$B$17:$F$28,5,FALSE),IF(P1435="ALUMINIO",VLOOKUP(Q1435,'[3]Velocidades Std 1500 w'!$B$30:$F$38,5,FALSE))))</f>
        <v>9.1575091575091579E-7</v>
      </c>
      <c r="S1435" s="82">
        <f t="shared" si="375"/>
        <v>4.578754578754579E-3</v>
      </c>
      <c r="T1435" s="83">
        <f t="shared" si="376"/>
        <v>8.2718030769230761</v>
      </c>
      <c r="U1435" s="307">
        <f t="shared" si="377"/>
        <v>2509.1135999999997</v>
      </c>
      <c r="V1435" s="80">
        <f t="shared" si="378"/>
        <v>11.488615384615384</v>
      </c>
      <c r="W1435" s="98">
        <v>7</v>
      </c>
      <c r="X1435" s="84">
        <f>+IF(P1435="ACERO A36",VLOOKUP(Q1435,'[3]Tiempo Objeto'!$B$2:$C$12,2,FALSE),IF(P1435="INOXIDABLE",VLOOKUP(Q1435,'[3]Tiempo Objeto'!$B$14:$C$22,2,FALSE),IF(P1435="ALUMINIO",VLOOKUP(Q1435,'[3]Tiempo Objeto'!$B$24:$C$32,2,FALSE))))</f>
        <v>0.24666666666666667</v>
      </c>
      <c r="Y1435" s="84">
        <f t="shared" si="379"/>
        <v>1.7266666666666668</v>
      </c>
      <c r="Z1435" s="80">
        <f t="shared" si="380"/>
        <v>2.3981481481481484</v>
      </c>
      <c r="AA1435" s="100">
        <v>4</v>
      </c>
      <c r="AB1435" s="86">
        <f>+AA1435*Analisis!$J$6</f>
        <v>100</v>
      </c>
      <c r="AC1435" s="100"/>
      <c r="AD1435" s="85">
        <f t="shared" si="381"/>
        <v>0</v>
      </c>
      <c r="AE1435" s="86">
        <f>+AC1435*Analisis!$J$7</f>
        <v>0</v>
      </c>
      <c r="AF1435" s="308">
        <f>+H1435*0.0254*I1435*0.0254*2*(1+[3]Analisis!$G$2)</f>
        <v>0.69141281071999994</v>
      </c>
      <c r="AG1435" s="86">
        <f>+AF1435*Analisis!$J$8</f>
        <v>73.668388761238106</v>
      </c>
      <c r="AH1435" s="309">
        <f t="shared" si="382"/>
        <v>284.71462777140187</v>
      </c>
      <c r="AI1435" s="86">
        <f>+AH1435/(1-Analisis!G1158)</f>
        <v>284.71462777140187</v>
      </c>
      <c r="AJ1435" s="86">
        <f t="shared" si="383"/>
        <v>306.14476104451813</v>
      </c>
      <c r="AK1435" s="86">
        <f t="shared" si="384"/>
        <v>0</v>
      </c>
      <c r="AL1435" s="310" t="e">
        <f>+VLOOKUP(B1435,#REF!,2,FALSE)</f>
        <v>#REF!</v>
      </c>
      <c r="AM1435" s="311" t="e">
        <f t="shared" si="385"/>
        <v>#REF!</v>
      </c>
      <c r="AN1435" s="312" t="e">
        <f t="shared" si="386"/>
        <v>#REF!</v>
      </c>
    </row>
    <row r="1436" spans="1:40" s="73" customFormat="1" x14ac:dyDescent="0.25">
      <c r="A1436" s="396"/>
      <c r="B1436" s="304" t="s">
        <v>2091</v>
      </c>
      <c r="D1436" s="74">
        <f>IFERROR(VLOOKUP(B1436,'REQ. PINTADO'!B:C,2,0),0)</f>
        <v>0</v>
      </c>
      <c r="E1436" s="305">
        <f t="shared" si="373"/>
        <v>368.67814548154735</v>
      </c>
      <c r="F1436" s="397" t="s">
        <v>166</v>
      </c>
      <c r="G1436" s="75" t="s">
        <v>147</v>
      </c>
      <c r="H1436" s="90">
        <v>24.08</v>
      </c>
      <c r="I1436" s="90">
        <v>23.71</v>
      </c>
      <c r="J1436" s="76">
        <v>0.105</v>
      </c>
      <c r="K1436" s="306">
        <v>16.38</v>
      </c>
      <c r="L1436" s="78">
        <f t="shared" si="374"/>
        <v>17.380089214435479</v>
      </c>
      <c r="M1436" s="58">
        <f>+VLOOKUP(F1436,Material!$H$2:$M$17,6,FALSE)*H1436*I1436*(1+Material!$K$14)</f>
        <v>129.40266424202414</v>
      </c>
      <c r="N1436" s="79" t="str">
        <f t="shared" si="372"/>
        <v>T5.0</v>
      </c>
      <c r="O1436" s="80">
        <f>+VLOOKUP(N1436,[3]Material!$A$3:$B$58,2,FALSE)</f>
        <v>5000</v>
      </c>
      <c r="P1436" s="79" t="s">
        <v>42</v>
      </c>
      <c r="Q1436" s="79" t="str">
        <f>+VLOOKUP(F1436,[3]Material!$C$2:$E$12,2,FALSE)</f>
        <v>Cal 16</v>
      </c>
      <c r="R1436" s="81">
        <f>+IF(P1436="ACERO A36",VLOOKUP(Q1436,'[3]Velocidades Std 1500 w'!$B$2:$F$15,5,FALSE),IF(P1436="INOXIDABLE",VLOOKUP(Q1436,'[3]Velocidades Std 1500 w'!$B$17:$F$28,5,FALSE),IF(P1436="ALUMINIO",VLOOKUP(Q1436,'[3]Velocidades Std 1500 w'!$B$30:$F$38,5,FALSE))))</f>
        <v>9.1575091575091579E-7</v>
      </c>
      <c r="S1436" s="82">
        <f t="shared" si="375"/>
        <v>4.578754578754579E-3</v>
      </c>
      <c r="T1436" s="83">
        <f t="shared" si="376"/>
        <v>9.3268800000000009</v>
      </c>
      <c r="U1436" s="307">
        <f t="shared" si="377"/>
        <v>2829.1536000000001</v>
      </c>
      <c r="V1436" s="80">
        <f t="shared" si="378"/>
        <v>12.954000000000001</v>
      </c>
      <c r="W1436" s="98">
        <v>7</v>
      </c>
      <c r="X1436" s="84">
        <f>+IF(P1436="ACERO A36",VLOOKUP(Q1436,'[3]Tiempo Objeto'!$B$2:$C$12,2,FALSE),IF(P1436="INOXIDABLE",VLOOKUP(Q1436,'[3]Tiempo Objeto'!$B$14:$C$22,2,FALSE),IF(P1436="ALUMINIO",VLOOKUP(Q1436,'[3]Tiempo Objeto'!$B$24:$C$32,2,FALSE))))</f>
        <v>0.24666666666666667</v>
      </c>
      <c r="Y1436" s="84">
        <f t="shared" si="379"/>
        <v>1.7266666666666668</v>
      </c>
      <c r="Z1436" s="80">
        <f t="shared" si="380"/>
        <v>2.3981481481481484</v>
      </c>
      <c r="AA1436" s="100">
        <v>4</v>
      </c>
      <c r="AB1436" s="86">
        <f>+AA1436*Analisis!$J$6</f>
        <v>100</v>
      </c>
      <c r="AC1436" s="100"/>
      <c r="AD1436" s="85">
        <f t="shared" si="381"/>
        <v>0</v>
      </c>
      <c r="AE1436" s="86">
        <f>+AC1436*Analisis!$J$7</f>
        <v>0</v>
      </c>
      <c r="AF1436" s="308">
        <f>+H1436*0.0254*I1436*0.0254*2*(1+[3]Analisis!$G$2)</f>
        <v>0.92086396471999998</v>
      </c>
      <c r="AG1436" s="86">
        <f>+AF1436*Analisis!$J$8</f>
        <v>98.115862907666695</v>
      </c>
      <c r="AH1436" s="309">
        <f t="shared" si="382"/>
        <v>342.870675297839</v>
      </c>
      <c r="AI1436" s="86">
        <f>+AH1436/(1-Analisis!G1159)</f>
        <v>342.870675297839</v>
      </c>
      <c r="AJ1436" s="86">
        <f t="shared" si="383"/>
        <v>368.67814548154735</v>
      </c>
      <c r="AK1436" s="86">
        <f t="shared" si="384"/>
        <v>0</v>
      </c>
      <c r="AL1436" s="310" t="e">
        <f>+VLOOKUP(B1436,#REF!,2,FALSE)</f>
        <v>#REF!</v>
      </c>
      <c r="AM1436" s="311" t="e">
        <f t="shared" si="385"/>
        <v>#REF!</v>
      </c>
      <c r="AN1436" s="312" t="e">
        <f t="shared" si="386"/>
        <v>#REF!</v>
      </c>
    </row>
    <row r="1437" spans="1:40" s="73" customFormat="1" x14ac:dyDescent="0.25">
      <c r="A1437" s="396"/>
      <c r="B1437" s="304" t="s">
        <v>2092</v>
      </c>
      <c r="D1437" s="74">
        <f>IFERROR(VLOOKUP(B1437,'REQ. PINTADO'!B:C,2,0),0)</f>
        <v>0</v>
      </c>
      <c r="E1437" s="305">
        <f t="shared" si="373"/>
        <v>431.2115299185765</v>
      </c>
      <c r="F1437" s="397" t="s">
        <v>166</v>
      </c>
      <c r="G1437" s="75" t="s">
        <v>147</v>
      </c>
      <c r="H1437" s="90">
        <v>30.08</v>
      </c>
      <c r="I1437" s="90">
        <v>23.71</v>
      </c>
      <c r="J1437" s="76">
        <v>0.105</v>
      </c>
      <c r="K1437" s="306">
        <v>16.38</v>
      </c>
      <c r="L1437" s="78">
        <f t="shared" si="374"/>
        <v>21.710676227999141</v>
      </c>
      <c r="M1437" s="58">
        <f>+VLOOKUP(F1437,Material!$H$2:$M$17,6,FALSE)*H1437*I1437*(1+Material!$K$14)</f>
        <v>161.64585300664811</v>
      </c>
      <c r="N1437" s="79" t="str">
        <f t="shared" si="372"/>
        <v>T5.0</v>
      </c>
      <c r="O1437" s="80">
        <f>+VLOOKUP(N1437,[3]Material!$A$3:$B$58,2,FALSE)</f>
        <v>5000</v>
      </c>
      <c r="P1437" s="79" t="s">
        <v>42</v>
      </c>
      <c r="Q1437" s="79" t="str">
        <f>+VLOOKUP(F1437,[3]Material!$C$2:$E$12,2,FALSE)</f>
        <v>Cal 16</v>
      </c>
      <c r="R1437" s="81">
        <f>+IF(P1437="ACERO A36",VLOOKUP(Q1437,'[3]Velocidades Std 1500 w'!$B$2:$F$15,5,FALSE),IF(P1437="INOXIDABLE",VLOOKUP(Q1437,'[3]Velocidades Std 1500 w'!$B$17:$F$28,5,FALSE),IF(P1437="ALUMINIO",VLOOKUP(Q1437,'[3]Velocidades Std 1500 w'!$B$30:$F$38,5,FALSE))))</f>
        <v>9.1575091575091579E-7</v>
      </c>
      <c r="S1437" s="82">
        <f t="shared" si="375"/>
        <v>4.578754578754579E-3</v>
      </c>
      <c r="T1437" s="83">
        <f t="shared" si="376"/>
        <v>10.381956923076924</v>
      </c>
      <c r="U1437" s="307">
        <f t="shared" si="377"/>
        <v>3149.1936000000001</v>
      </c>
      <c r="V1437" s="80">
        <f t="shared" si="378"/>
        <v>14.419384615384617</v>
      </c>
      <c r="W1437" s="98">
        <v>7</v>
      </c>
      <c r="X1437" s="84">
        <f>+IF(P1437="ACERO A36",VLOOKUP(Q1437,'[3]Tiempo Objeto'!$B$2:$C$12,2,FALSE),IF(P1437="INOXIDABLE",VLOOKUP(Q1437,'[3]Tiempo Objeto'!$B$14:$C$22,2,FALSE),IF(P1437="ALUMINIO",VLOOKUP(Q1437,'[3]Tiempo Objeto'!$B$24:$C$32,2,FALSE))))</f>
        <v>0.24666666666666667</v>
      </c>
      <c r="Y1437" s="84">
        <f t="shared" si="379"/>
        <v>1.7266666666666668</v>
      </c>
      <c r="Z1437" s="80">
        <f t="shared" si="380"/>
        <v>2.3981481481481484</v>
      </c>
      <c r="AA1437" s="100">
        <v>4</v>
      </c>
      <c r="AB1437" s="86">
        <f>+AA1437*Analisis!$J$6</f>
        <v>100</v>
      </c>
      <c r="AC1437" s="100"/>
      <c r="AD1437" s="85">
        <f t="shared" si="381"/>
        <v>0</v>
      </c>
      <c r="AE1437" s="86">
        <f>+AC1437*Analisis!$J$7</f>
        <v>0</v>
      </c>
      <c r="AF1437" s="308">
        <f>+H1437*0.0254*I1437*0.0254*2*(1+[3]Analisis!$G$2)</f>
        <v>1.1503151187199998</v>
      </c>
      <c r="AG1437" s="86">
        <f>+AF1437*Analisis!$J$8</f>
        <v>122.56333705409526</v>
      </c>
      <c r="AH1437" s="309">
        <f t="shared" si="382"/>
        <v>401.02672282427613</v>
      </c>
      <c r="AI1437" s="86">
        <f>+AH1437/(1-Analisis!G1160)</f>
        <v>401.02672282427613</v>
      </c>
      <c r="AJ1437" s="86">
        <f t="shared" si="383"/>
        <v>431.2115299185765</v>
      </c>
      <c r="AK1437" s="86">
        <f t="shared" si="384"/>
        <v>0</v>
      </c>
      <c r="AL1437" s="310" t="e">
        <f>+VLOOKUP(B1437,#REF!,2,FALSE)</f>
        <v>#REF!</v>
      </c>
      <c r="AM1437" s="311" t="e">
        <f t="shared" si="385"/>
        <v>#REF!</v>
      </c>
      <c r="AN1437" s="312" t="e">
        <f t="shared" si="386"/>
        <v>#REF!</v>
      </c>
    </row>
    <row r="1438" spans="1:40" s="73" customFormat="1" x14ac:dyDescent="0.25">
      <c r="A1438" s="396">
        <v>19</v>
      </c>
      <c r="B1438" s="304" t="s">
        <v>2001</v>
      </c>
      <c r="D1438" s="74">
        <f>IFERROR(VLOOKUP(B1438,'REQ. PINTADO'!B:C,2,0),0)</f>
        <v>0</v>
      </c>
      <c r="E1438" s="305">
        <f t="shared" si="373"/>
        <v>493.74491435560566</v>
      </c>
      <c r="F1438" s="397" t="s">
        <v>166</v>
      </c>
      <c r="G1438" s="75" t="s">
        <v>147</v>
      </c>
      <c r="H1438" s="90">
        <v>36.08</v>
      </c>
      <c r="I1438" s="90">
        <v>23.71</v>
      </c>
      <c r="J1438" s="76">
        <v>0.105</v>
      </c>
      <c r="K1438" s="306">
        <v>16.38</v>
      </c>
      <c r="L1438" s="78">
        <f t="shared" si="374"/>
        <v>26.041263241562795</v>
      </c>
      <c r="M1438" s="58">
        <f>+VLOOKUP(F1438,Material!$H$2:$M$17,6,FALSE)*H1438*I1438*(1+Material!$K$14)</f>
        <v>193.88904177127208</v>
      </c>
      <c r="N1438" s="79" t="str">
        <f t="shared" si="372"/>
        <v>T5.0</v>
      </c>
      <c r="O1438" s="80">
        <f>+VLOOKUP(N1438,[3]Material!$A$3:$B$58,2,FALSE)</f>
        <v>5000</v>
      </c>
      <c r="P1438" s="79" t="s">
        <v>42</v>
      </c>
      <c r="Q1438" s="79" t="str">
        <f>+VLOOKUP(F1438,[3]Material!$C$2:$E$12,2,FALSE)</f>
        <v>Cal 16</v>
      </c>
      <c r="R1438" s="81">
        <f>+IF(P1438="ACERO A36",VLOOKUP(Q1438,'[3]Velocidades Std 1500 w'!$B$2:$F$15,5,FALSE),IF(P1438="INOXIDABLE",VLOOKUP(Q1438,'[3]Velocidades Std 1500 w'!$B$17:$F$28,5,FALSE),IF(P1438="ALUMINIO",VLOOKUP(Q1438,'[3]Velocidades Std 1500 w'!$B$30:$F$38,5,FALSE))))</f>
        <v>9.1575091575091579E-7</v>
      </c>
      <c r="S1438" s="82">
        <f t="shared" si="375"/>
        <v>4.578754578754579E-3</v>
      </c>
      <c r="T1438" s="83">
        <f t="shared" si="376"/>
        <v>11.437033846153845</v>
      </c>
      <c r="U1438" s="307">
        <f t="shared" si="377"/>
        <v>3469.2335999999996</v>
      </c>
      <c r="V1438" s="80">
        <f t="shared" si="378"/>
        <v>15.88476923076923</v>
      </c>
      <c r="W1438" s="98">
        <v>7</v>
      </c>
      <c r="X1438" s="84">
        <f>+IF(P1438="ACERO A36",VLOOKUP(Q1438,'[3]Tiempo Objeto'!$B$2:$C$12,2,FALSE),IF(P1438="INOXIDABLE",VLOOKUP(Q1438,'[3]Tiempo Objeto'!$B$14:$C$22,2,FALSE),IF(P1438="ALUMINIO",VLOOKUP(Q1438,'[3]Tiempo Objeto'!$B$24:$C$32,2,FALSE))))</f>
        <v>0.24666666666666667</v>
      </c>
      <c r="Y1438" s="84">
        <f t="shared" si="379"/>
        <v>1.7266666666666668</v>
      </c>
      <c r="Z1438" s="80">
        <f t="shared" si="380"/>
        <v>2.3981481481481484</v>
      </c>
      <c r="AA1438" s="100">
        <v>4</v>
      </c>
      <c r="AB1438" s="86">
        <f>+AA1438*Analisis!$J$6</f>
        <v>100</v>
      </c>
      <c r="AC1438" s="100"/>
      <c r="AD1438" s="85">
        <f t="shared" si="381"/>
        <v>0</v>
      </c>
      <c r="AE1438" s="86">
        <f>+AC1438*Analisis!$J$7</f>
        <v>0</v>
      </c>
      <c r="AF1438" s="308">
        <f>+H1438*0.0254*I1438*0.0254*2*(1+[3]Analisis!$G$2)</f>
        <v>1.3797662727199997</v>
      </c>
      <c r="AG1438" s="86">
        <f>+AF1438*Analisis!$J$8</f>
        <v>147.01081120052382</v>
      </c>
      <c r="AH1438" s="309">
        <f t="shared" si="382"/>
        <v>459.18277035071321</v>
      </c>
      <c r="AI1438" s="86">
        <f>+AH1438/(1-Analisis!G1161)</f>
        <v>459.18277035071321</v>
      </c>
      <c r="AJ1438" s="86">
        <f t="shared" si="383"/>
        <v>493.74491435560566</v>
      </c>
      <c r="AK1438" s="86">
        <f t="shared" si="384"/>
        <v>0</v>
      </c>
      <c r="AL1438" s="310" t="e">
        <f>+VLOOKUP(B1438,#REF!,2,FALSE)</f>
        <v>#REF!</v>
      </c>
      <c r="AM1438" s="311" t="e">
        <f t="shared" si="385"/>
        <v>#REF!</v>
      </c>
      <c r="AN1438" s="312" t="e">
        <f t="shared" si="386"/>
        <v>#REF!</v>
      </c>
    </row>
    <row r="1439" spans="1:40" s="73" customFormat="1" x14ac:dyDescent="0.25">
      <c r="A1439" s="396"/>
      <c r="B1439" s="304" t="s">
        <v>2093</v>
      </c>
      <c r="D1439" s="74">
        <f>IFERROR(VLOOKUP(B1439,'REQ. PINTADO'!B:C,2,0),0)</f>
        <v>0</v>
      </c>
      <c r="E1439" s="305">
        <f t="shared" si="373"/>
        <v>577.12276027164478</v>
      </c>
      <c r="F1439" s="397" t="s">
        <v>166</v>
      </c>
      <c r="G1439" s="75" t="s">
        <v>147</v>
      </c>
      <c r="H1439" s="90">
        <v>44.08</v>
      </c>
      <c r="I1439" s="90">
        <v>23.71</v>
      </c>
      <c r="J1439" s="76">
        <v>0.105</v>
      </c>
      <c r="K1439" s="306">
        <v>16.38</v>
      </c>
      <c r="L1439" s="78">
        <f t="shared" si="374"/>
        <v>31.815379259647678</v>
      </c>
      <c r="M1439" s="58">
        <f>+VLOOKUP(F1439,Material!$H$2:$M$17,6,FALSE)*H1439*I1439*(1+Material!$K$14)</f>
        <v>236.87996012410403</v>
      </c>
      <c r="N1439" s="79" t="str">
        <f t="shared" si="372"/>
        <v>T5.0</v>
      </c>
      <c r="O1439" s="80">
        <f>+VLOOKUP(N1439,[3]Material!$A$3:$B$58,2,FALSE)</f>
        <v>5000</v>
      </c>
      <c r="P1439" s="79" t="s">
        <v>42</v>
      </c>
      <c r="Q1439" s="79" t="str">
        <f>+VLOOKUP(F1439,[3]Material!$C$2:$E$12,2,FALSE)</f>
        <v>Cal 16</v>
      </c>
      <c r="R1439" s="81">
        <f>+IF(P1439="ACERO A36",VLOOKUP(Q1439,'[3]Velocidades Std 1500 w'!$B$2:$F$15,5,FALSE),IF(P1439="INOXIDABLE",VLOOKUP(Q1439,'[3]Velocidades Std 1500 w'!$B$17:$F$28,5,FALSE),IF(P1439="ALUMINIO",VLOOKUP(Q1439,'[3]Velocidades Std 1500 w'!$B$30:$F$38,5,FALSE))))</f>
        <v>9.1575091575091579E-7</v>
      </c>
      <c r="S1439" s="82">
        <f t="shared" si="375"/>
        <v>4.578754578754579E-3</v>
      </c>
      <c r="T1439" s="83">
        <f t="shared" si="376"/>
        <v>12.843803076923075</v>
      </c>
      <c r="U1439" s="307">
        <f t="shared" si="377"/>
        <v>3895.9535999999994</v>
      </c>
      <c r="V1439" s="80">
        <f t="shared" si="378"/>
        <v>17.838615384615384</v>
      </c>
      <c r="W1439" s="98">
        <v>7</v>
      </c>
      <c r="X1439" s="84">
        <f>+IF(P1439="ACERO A36",VLOOKUP(Q1439,'[3]Tiempo Objeto'!$B$2:$C$12,2,FALSE),IF(P1439="INOXIDABLE",VLOOKUP(Q1439,'[3]Tiempo Objeto'!$B$14:$C$22,2,FALSE),IF(P1439="ALUMINIO",VLOOKUP(Q1439,'[3]Tiempo Objeto'!$B$24:$C$32,2,FALSE))))</f>
        <v>0.24666666666666667</v>
      </c>
      <c r="Y1439" s="84">
        <f t="shared" si="379"/>
        <v>1.7266666666666668</v>
      </c>
      <c r="Z1439" s="80">
        <f t="shared" si="380"/>
        <v>2.3981481481481484</v>
      </c>
      <c r="AA1439" s="100">
        <v>4</v>
      </c>
      <c r="AB1439" s="86">
        <f>+AA1439*Analisis!$J$6</f>
        <v>100</v>
      </c>
      <c r="AC1439" s="100"/>
      <c r="AD1439" s="85">
        <f t="shared" si="381"/>
        <v>0</v>
      </c>
      <c r="AE1439" s="86">
        <f>+AC1439*Analisis!$J$7</f>
        <v>0</v>
      </c>
      <c r="AF1439" s="308">
        <f>+H1439*0.0254*I1439*0.0254*2*(1+[3]Analisis!$G$2)</f>
        <v>1.6857011447199999</v>
      </c>
      <c r="AG1439" s="86">
        <f>+AF1439*Analisis!$J$8</f>
        <v>179.60744339576195</v>
      </c>
      <c r="AH1439" s="309">
        <f t="shared" si="382"/>
        <v>536.72416705262958</v>
      </c>
      <c r="AI1439" s="86">
        <f>+AH1439/(1-Analisis!G1162)</f>
        <v>536.72416705262958</v>
      </c>
      <c r="AJ1439" s="86">
        <f t="shared" si="383"/>
        <v>577.12276027164478</v>
      </c>
      <c r="AK1439" s="86">
        <f t="shared" si="384"/>
        <v>0</v>
      </c>
      <c r="AL1439" s="310" t="e">
        <f>+VLOOKUP(B1439,#REF!,2,FALSE)</f>
        <v>#REF!</v>
      </c>
      <c r="AM1439" s="311" t="e">
        <f t="shared" si="385"/>
        <v>#REF!</v>
      </c>
      <c r="AN1439" s="312" t="e">
        <f t="shared" si="386"/>
        <v>#REF!</v>
      </c>
    </row>
    <row r="1440" spans="1:40" s="73" customFormat="1" x14ac:dyDescent="0.25">
      <c r="A1440" s="396"/>
      <c r="B1440" s="304" t="s">
        <v>2094</v>
      </c>
      <c r="D1440" s="74">
        <f>IFERROR(VLOOKUP(B1440,'REQ. PINTADO'!B:C,2,0),0)</f>
        <v>0</v>
      </c>
      <c r="E1440" s="305">
        <f t="shared" si="373"/>
        <v>639.65614470867388</v>
      </c>
      <c r="F1440" s="397" t="s">
        <v>166</v>
      </c>
      <c r="G1440" s="75" t="s">
        <v>147</v>
      </c>
      <c r="H1440" s="90">
        <v>50.08</v>
      </c>
      <c r="I1440" s="90">
        <v>23.71</v>
      </c>
      <c r="J1440" s="76">
        <v>0.105</v>
      </c>
      <c r="K1440" s="306">
        <v>16.38</v>
      </c>
      <c r="L1440" s="78">
        <f t="shared" si="374"/>
        <v>36.145966273211329</v>
      </c>
      <c r="M1440" s="58">
        <f>+VLOOKUP(F1440,Material!$H$2:$M$17,6,FALSE)*H1440*I1440*(1+Material!$K$14)</f>
        <v>269.12314888872794</v>
      </c>
      <c r="N1440" s="79" t="str">
        <f t="shared" si="372"/>
        <v>T5.0</v>
      </c>
      <c r="O1440" s="80">
        <f>+VLOOKUP(N1440,[3]Material!$A$3:$B$58,2,FALSE)</f>
        <v>5000</v>
      </c>
      <c r="P1440" s="79" t="s">
        <v>42</v>
      </c>
      <c r="Q1440" s="79" t="str">
        <f>+VLOOKUP(F1440,[3]Material!$C$2:$E$12,2,FALSE)</f>
        <v>Cal 16</v>
      </c>
      <c r="R1440" s="81">
        <f>+IF(P1440="ACERO A36",VLOOKUP(Q1440,'[3]Velocidades Std 1500 w'!$B$2:$F$15,5,FALSE),IF(P1440="INOXIDABLE",VLOOKUP(Q1440,'[3]Velocidades Std 1500 w'!$B$17:$F$28,5,FALSE),IF(P1440="ALUMINIO",VLOOKUP(Q1440,'[3]Velocidades Std 1500 w'!$B$30:$F$38,5,FALSE))))</f>
        <v>9.1575091575091579E-7</v>
      </c>
      <c r="S1440" s="82">
        <f t="shared" si="375"/>
        <v>4.578754578754579E-3</v>
      </c>
      <c r="T1440" s="83">
        <f t="shared" si="376"/>
        <v>13.89888</v>
      </c>
      <c r="U1440" s="307">
        <f t="shared" si="377"/>
        <v>4215.9935999999998</v>
      </c>
      <c r="V1440" s="80">
        <f t="shared" si="378"/>
        <v>19.303999999999998</v>
      </c>
      <c r="W1440" s="98">
        <v>7</v>
      </c>
      <c r="X1440" s="84">
        <f>+IF(P1440="ACERO A36",VLOOKUP(Q1440,'[3]Tiempo Objeto'!$B$2:$C$12,2,FALSE),IF(P1440="INOXIDABLE",VLOOKUP(Q1440,'[3]Tiempo Objeto'!$B$14:$C$22,2,FALSE),IF(P1440="ALUMINIO",VLOOKUP(Q1440,'[3]Tiempo Objeto'!$B$24:$C$32,2,FALSE))))</f>
        <v>0.24666666666666667</v>
      </c>
      <c r="Y1440" s="84">
        <f t="shared" si="379"/>
        <v>1.7266666666666668</v>
      </c>
      <c r="Z1440" s="80">
        <f t="shared" si="380"/>
        <v>2.3981481481481484</v>
      </c>
      <c r="AA1440" s="100">
        <v>4</v>
      </c>
      <c r="AB1440" s="86">
        <f>+AA1440*Analisis!$J$6</f>
        <v>100</v>
      </c>
      <c r="AC1440" s="100"/>
      <c r="AD1440" s="85">
        <f t="shared" si="381"/>
        <v>0</v>
      </c>
      <c r="AE1440" s="86">
        <f>+AC1440*Analisis!$J$7</f>
        <v>0</v>
      </c>
      <c r="AF1440" s="308">
        <f>+H1440*0.0254*I1440*0.0254*2*(1+[3]Analisis!$G$2)</f>
        <v>1.9151522987199998</v>
      </c>
      <c r="AG1440" s="86">
        <f>+AF1440*Analisis!$J$8</f>
        <v>204.05491754219051</v>
      </c>
      <c r="AH1440" s="309">
        <f t="shared" si="382"/>
        <v>594.88021457906666</v>
      </c>
      <c r="AI1440" s="86">
        <f>+AH1440/(1-Analisis!G1163)</f>
        <v>594.88021457906666</v>
      </c>
      <c r="AJ1440" s="86">
        <f t="shared" si="383"/>
        <v>639.65614470867388</v>
      </c>
      <c r="AK1440" s="86">
        <f t="shared" si="384"/>
        <v>0</v>
      </c>
      <c r="AL1440" s="310" t="e">
        <f>+VLOOKUP(B1440,#REF!,2,FALSE)</f>
        <v>#REF!</v>
      </c>
      <c r="AM1440" s="311" t="e">
        <f t="shared" si="385"/>
        <v>#REF!</v>
      </c>
      <c r="AN1440" s="312" t="e">
        <f t="shared" si="386"/>
        <v>#REF!</v>
      </c>
    </row>
    <row r="1441" spans="1:40" s="73" customFormat="1" x14ac:dyDescent="0.25">
      <c r="A1441" s="396"/>
      <c r="B1441" s="304" t="s">
        <v>2095</v>
      </c>
      <c r="D1441" s="74">
        <f>IFERROR(VLOOKUP(B1441,'REQ. PINTADO'!B:C,2,0),0)</f>
        <v>0</v>
      </c>
      <c r="E1441" s="305">
        <f t="shared" si="373"/>
        <v>702.18952914570309</v>
      </c>
      <c r="F1441" s="397" t="s">
        <v>166</v>
      </c>
      <c r="G1441" s="75" t="s">
        <v>147</v>
      </c>
      <c r="H1441" s="90">
        <v>56.08</v>
      </c>
      <c r="I1441" s="90">
        <v>23.71</v>
      </c>
      <c r="J1441" s="76">
        <v>0.105</v>
      </c>
      <c r="K1441" s="306">
        <v>16.38</v>
      </c>
      <c r="L1441" s="78">
        <f t="shared" si="374"/>
        <v>40.476553286774987</v>
      </c>
      <c r="M1441" s="58">
        <f>+VLOOKUP(F1441,Material!$H$2:$M$17,6,FALSE)*H1441*I1441*(1+Material!$K$14)</f>
        <v>301.36633765335193</v>
      </c>
      <c r="N1441" s="79" t="str">
        <f t="shared" si="372"/>
        <v>T5.0</v>
      </c>
      <c r="O1441" s="80">
        <f>+VLOOKUP(N1441,[3]Material!$A$3:$B$58,2,FALSE)</f>
        <v>5000</v>
      </c>
      <c r="P1441" s="79" t="s">
        <v>42</v>
      </c>
      <c r="Q1441" s="79" t="str">
        <f>+VLOOKUP(F1441,[3]Material!$C$2:$E$12,2,FALSE)</f>
        <v>Cal 16</v>
      </c>
      <c r="R1441" s="81">
        <f>+IF(P1441="ACERO A36",VLOOKUP(Q1441,'[3]Velocidades Std 1500 w'!$B$2:$F$15,5,FALSE),IF(P1441="INOXIDABLE",VLOOKUP(Q1441,'[3]Velocidades Std 1500 w'!$B$17:$F$28,5,FALSE),IF(P1441="ALUMINIO",VLOOKUP(Q1441,'[3]Velocidades Std 1500 w'!$B$30:$F$38,5,FALSE))))</f>
        <v>9.1575091575091579E-7</v>
      </c>
      <c r="S1441" s="82">
        <f t="shared" si="375"/>
        <v>4.578754578754579E-3</v>
      </c>
      <c r="T1441" s="83">
        <f t="shared" si="376"/>
        <v>14.953956923076923</v>
      </c>
      <c r="U1441" s="307">
        <f t="shared" si="377"/>
        <v>4536.0335999999998</v>
      </c>
      <c r="V1441" s="80">
        <f t="shared" si="378"/>
        <v>20.769384615384617</v>
      </c>
      <c r="W1441" s="98">
        <v>7</v>
      </c>
      <c r="X1441" s="84">
        <f>+IF(P1441="ACERO A36",VLOOKUP(Q1441,'[3]Tiempo Objeto'!$B$2:$C$12,2,FALSE),IF(P1441="INOXIDABLE",VLOOKUP(Q1441,'[3]Tiempo Objeto'!$B$14:$C$22,2,FALSE),IF(P1441="ALUMINIO",VLOOKUP(Q1441,'[3]Tiempo Objeto'!$B$24:$C$32,2,FALSE))))</f>
        <v>0.24666666666666667</v>
      </c>
      <c r="Y1441" s="84">
        <f t="shared" si="379"/>
        <v>1.7266666666666668</v>
      </c>
      <c r="Z1441" s="80">
        <f t="shared" si="380"/>
        <v>2.3981481481481484</v>
      </c>
      <c r="AA1441" s="100">
        <v>4</v>
      </c>
      <c r="AB1441" s="86">
        <f>+AA1441*Analisis!$J$6</f>
        <v>100</v>
      </c>
      <c r="AC1441" s="100"/>
      <c r="AD1441" s="85">
        <f t="shared" si="381"/>
        <v>0</v>
      </c>
      <c r="AE1441" s="86">
        <f>+AC1441*Analisis!$J$7</f>
        <v>0</v>
      </c>
      <c r="AF1441" s="308">
        <f>+H1441*0.0254*I1441*0.0254*2*(1+[3]Analisis!$G$2)</f>
        <v>2.1446034527199997</v>
      </c>
      <c r="AG1441" s="86">
        <f>+AF1441*Analisis!$J$8</f>
        <v>228.5023916886191</v>
      </c>
      <c r="AH1441" s="309">
        <f t="shared" si="382"/>
        <v>653.03626210550385</v>
      </c>
      <c r="AI1441" s="86">
        <f>+AH1441/(1-Analisis!G1164)</f>
        <v>653.03626210550385</v>
      </c>
      <c r="AJ1441" s="86">
        <f t="shared" si="383"/>
        <v>702.18952914570309</v>
      </c>
      <c r="AK1441" s="86">
        <f t="shared" si="384"/>
        <v>0</v>
      </c>
      <c r="AL1441" s="310" t="e">
        <f>+VLOOKUP(B1441,#REF!,2,FALSE)</f>
        <v>#REF!</v>
      </c>
      <c r="AM1441" s="311" t="e">
        <f t="shared" si="385"/>
        <v>#REF!</v>
      </c>
      <c r="AN1441" s="312" t="e">
        <f t="shared" si="386"/>
        <v>#REF!</v>
      </c>
    </row>
    <row r="1442" spans="1:40" s="73" customFormat="1" x14ac:dyDescent="0.25">
      <c r="A1442" s="396">
        <v>20</v>
      </c>
      <c r="B1442" s="304" t="s">
        <v>2002</v>
      </c>
      <c r="D1442" s="74">
        <f>IFERROR(VLOOKUP(B1442,'REQ. PINTADO'!B:C,2,0),0)</f>
        <v>0</v>
      </c>
      <c r="E1442" s="305">
        <f t="shared" si="172"/>
        <v>138.71989710724529</v>
      </c>
      <c r="F1442" s="397" t="s">
        <v>163</v>
      </c>
      <c r="G1442" s="75" t="s">
        <v>147</v>
      </c>
      <c r="H1442" s="90">
        <v>3.2</v>
      </c>
      <c r="I1442" s="90">
        <v>29</v>
      </c>
      <c r="J1442" s="76">
        <v>0.105</v>
      </c>
      <c r="K1442" s="306">
        <v>16.38</v>
      </c>
      <c r="L1442" s="78">
        <f t="shared" si="173"/>
        <v>4.6785386531481494</v>
      </c>
      <c r="M1442" s="58">
        <f>+VLOOKUP(F1442,Material!$H$2:$M$17,6,FALSE)*H1442*I1442*(1+Material!$K$14)</f>
        <v>34.833846881166671</v>
      </c>
      <c r="N1442" s="79" t="str">
        <f>+N1145</f>
        <v>T5.0</v>
      </c>
      <c r="O1442" s="80">
        <f>+VLOOKUP(N1442,[3]Material!$A$3:$B$58,2,FALSE)</f>
        <v>5000</v>
      </c>
      <c r="P1442" s="79" t="s">
        <v>42</v>
      </c>
      <c r="Q1442" s="79" t="str">
        <f>+VLOOKUP(F1442,[3]Material!$C$2:$E$12,2,FALSE)</f>
        <v>Cal 12</v>
      </c>
      <c r="R1442" s="81">
        <f>+IF(P1442="ACERO A36",VLOOKUP(Q1442,'[3]Velocidades Std 1500 w'!$B$2:$F$15,5,FALSE),IF(P1442="INOXIDABLE",VLOOKUP(Q1442,'[3]Velocidades Std 1500 w'!$B$17:$F$28,5,FALSE),IF(P1442="ALUMINIO",VLOOKUP(Q1442,'[3]Velocidades Std 1500 w'!$B$30:$F$38,5,FALSE))))</f>
        <v>4.3859649122807014E-6</v>
      </c>
      <c r="S1442" s="82">
        <f t="shared" si="174"/>
        <v>2.1929824561403508E-2</v>
      </c>
      <c r="T1442" s="83">
        <f t="shared" si="175"/>
        <v>32.804100000000005</v>
      </c>
      <c r="U1442" s="307">
        <f t="shared" si="171"/>
        <v>2077.5930000000003</v>
      </c>
      <c r="V1442" s="80">
        <f t="shared" si="153"/>
        <v>45.561250000000001</v>
      </c>
      <c r="W1442" s="98">
        <v>9</v>
      </c>
      <c r="X1442" s="84">
        <f>+IF(P1442="ACERO A36",VLOOKUP(Q1442,'[3]Tiempo Objeto'!$B$2:$C$12,2,FALSE),IF(P1442="INOXIDABLE",VLOOKUP(Q1442,'[3]Tiempo Objeto'!$B$14:$C$22,2,FALSE),IF(P1442="ALUMINIO",VLOOKUP(Q1442,'[3]Tiempo Objeto'!$B$24:$C$32,2,FALSE))))</f>
        <v>0.6133333333333334</v>
      </c>
      <c r="Y1442" s="84">
        <f t="shared" si="176"/>
        <v>5.5200000000000005</v>
      </c>
      <c r="Z1442" s="80">
        <f t="shared" si="177"/>
        <v>7.6666666666666679</v>
      </c>
      <c r="AA1442" s="100">
        <v>1</v>
      </c>
      <c r="AB1442" s="86">
        <f>+AA1442*Analisis!$J$6</f>
        <v>25</v>
      </c>
      <c r="AC1442" s="100"/>
      <c r="AD1442" s="85">
        <f t="shared" si="178"/>
        <v>0</v>
      </c>
      <c r="AE1442" s="86">
        <f>+AC1442*Analisis!$J$7</f>
        <v>0</v>
      </c>
      <c r="AF1442" s="308">
        <f>+H1442*0.0254*I1442*0.0254*2*(1+[3]Analisis!$G$2)</f>
        <v>0.14967712</v>
      </c>
      <c r="AG1442" s="86">
        <f>+AF1442*Analisis!$J$8</f>
        <v>15.947740761904766</v>
      </c>
      <c r="AH1442" s="309">
        <f t="shared" si="179"/>
        <v>129.00950430973811</v>
      </c>
      <c r="AI1442" s="86">
        <f>+AH1442/(1-Analisis!G1157)</f>
        <v>129.00950430973811</v>
      </c>
      <c r="AJ1442" s="86">
        <f t="shared" si="180"/>
        <v>138.71989710724529</v>
      </c>
      <c r="AK1442" s="86">
        <f t="shared" si="181"/>
        <v>0</v>
      </c>
      <c r="AL1442" s="310" t="e">
        <f>+VLOOKUP(B1442,#REF!,2,FALSE)</f>
        <v>#REF!</v>
      </c>
      <c r="AM1442" s="311" t="e">
        <f t="shared" si="183"/>
        <v>#REF!</v>
      </c>
      <c r="AN1442" s="312" t="e">
        <f t="shared" si="182"/>
        <v>#REF!</v>
      </c>
    </row>
    <row r="1443" spans="1:40" s="73" customFormat="1" x14ac:dyDescent="0.25">
      <c r="A1443" s="396"/>
      <c r="B1443" s="304" t="s">
        <v>2096</v>
      </c>
      <c r="D1443" s="74">
        <f>IFERROR(VLOOKUP(B1443,'REQ. PINTADO'!B:C,2,0),0)</f>
        <v>0</v>
      </c>
      <c r="E1443" s="305">
        <f t="shared" ref="E1443:E1446" si="387">+AJ1443</f>
        <v>157.56393627612718</v>
      </c>
      <c r="F1443" s="397" t="s">
        <v>163</v>
      </c>
      <c r="G1443" s="75" t="s">
        <v>147</v>
      </c>
      <c r="H1443" s="90">
        <v>3.2</v>
      </c>
      <c r="I1443" s="90">
        <v>35</v>
      </c>
      <c r="J1443" s="76">
        <v>0.105</v>
      </c>
      <c r="K1443" s="306">
        <v>16.38</v>
      </c>
      <c r="L1443" s="78">
        <f t="shared" ref="L1443:L1446" si="388">+M1443*2.2/K1443</f>
        <v>5.6465121675925944</v>
      </c>
      <c r="M1443" s="58">
        <f>+VLOOKUP(F1443,Material!$H$2:$M$17,6,FALSE)*H1443*I1443*(1+Material!$K$14)</f>
        <v>42.040849684166673</v>
      </c>
      <c r="N1443" s="79" t="str">
        <f>+N1146</f>
        <v>T5.0</v>
      </c>
      <c r="O1443" s="80">
        <f>+VLOOKUP(N1443,[3]Material!$A$3:$B$58,2,FALSE)</f>
        <v>5000</v>
      </c>
      <c r="P1443" s="79" t="s">
        <v>42</v>
      </c>
      <c r="Q1443" s="79" t="str">
        <f>+VLOOKUP(F1443,[3]Material!$C$2:$E$12,2,FALSE)</f>
        <v>Cal 12</v>
      </c>
      <c r="R1443" s="81">
        <f>+IF(P1443="ACERO A36",VLOOKUP(Q1443,'[3]Velocidades Std 1500 w'!$B$2:$F$15,5,FALSE),IF(P1443="INOXIDABLE",VLOOKUP(Q1443,'[3]Velocidades Std 1500 w'!$B$17:$F$28,5,FALSE),IF(P1443="ALUMINIO",VLOOKUP(Q1443,'[3]Velocidades Std 1500 w'!$B$30:$F$38,5,FALSE))))</f>
        <v>4.3859649122807014E-6</v>
      </c>
      <c r="S1443" s="82">
        <f t="shared" ref="S1443:S1446" si="389">+R1443*O1443</f>
        <v>2.1929824561403508E-2</v>
      </c>
      <c r="T1443" s="83">
        <f t="shared" ref="T1443:T1446" si="390">+R1443*U1443*3600</f>
        <v>37.857363157894738</v>
      </c>
      <c r="U1443" s="307">
        <f t="shared" ref="U1443:U1446" si="391">(+I1443*2+H1443*2+W1443*1.5)*25.4*1.05</f>
        <v>2397.6330000000003</v>
      </c>
      <c r="V1443" s="80">
        <f t="shared" ref="V1443:V1446" si="392">+U1443*S1443</f>
        <v>52.579671052631582</v>
      </c>
      <c r="W1443" s="98">
        <v>9</v>
      </c>
      <c r="X1443" s="84">
        <f>+IF(P1443="ACERO A36",VLOOKUP(Q1443,'[3]Tiempo Objeto'!$B$2:$C$12,2,FALSE),IF(P1443="INOXIDABLE",VLOOKUP(Q1443,'[3]Tiempo Objeto'!$B$14:$C$22,2,FALSE),IF(P1443="ALUMINIO",VLOOKUP(Q1443,'[3]Tiempo Objeto'!$B$24:$C$32,2,FALSE))))</f>
        <v>0.6133333333333334</v>
      </c>
      <c r="Y1443" s="84">
        <f t="shared" ref="Y1443:Y1446" si="393">+X1443*W1443</f>
        <v>5.5200000000000005</v>
      </c>
      <c r="Z1443" s="80">
        <f t="shared" ref="Z1443:Z1446" si="394">+Y1443*O1443/3600</f>
        <v>7.6666666666666679</v>
      </c>
      <c r="AA1443" s="100">
        <v>1</v>
      </c>
      <c r="AB1443" s="86">
        <f>+AA1443*Analisis!$J$6</f>
        <v>25</v>
      </c>
      <c r="AC1443" s="100"/>
      <c r="AD1443" s="85">
        <f t="shared" ref="AD1443:AD1446" si="395">30*AC1443+AC1443*$D1443*1.5</f>
        <v>0</v>
      </c>
      <c r="AE1443" s="86">
        <f>+AC1443*Analisis!$J$7</f>
        <v>0</v>
      </c>
      <c r="AF1443" s="308">
        <f>+H1443*0.0254*I1443*0.0254*2*(1+[3]Analisis!$G$2)</f>
        <v>0.18064479999999999</v>
      </c>
      <c r="AG1443" s="86">
        <f>+AF1443*Analisis!$J$8</f>
        <v>19.247273333333339</v>
      </c>
      <c r="AH1443" s="309">
        <f t="shared" ref="AH1443:AH1446" si="396">+AE1443+AB1443+Z1443+V1443+M1443+AG1443</f>
        <v>146.53446073679828</v>
      </c>
      <c r="AI1443" s="86">
        <f>+AH1443/(1-Analisis!G1158)</f>
        <v>146.53446073679828</v>
      </c>
      <c r="AJ1443" s="86">
        <f t="shared" ref="AJ1443:AJ1446" si="397">+AI1443/(1-0.07)</f>
        <v>157.56393627612718</v>
      </c>
      <c r="AK1443" s="86">
        <f t="shared" ref="AK1443:AK1446" si="398">+AJ1443*D1443</f>
        <v>0</v>
      </c>
      <c r="AL1443" s="310" t="e">
        <f>+VLOOKUP(B1443,#REF!,2,FALSE)</f>
        <v>#REF!</v>
      </c>
      <c r="AM1443" s="311" t="e">
        <f t="shared" ref="AM1443:AM1446" si="399">+AL1443-E1443</f>
        <v>#REF!</v>
      </c>
      <c r="AN1443" s="312" t="e">
        <f t="shared" ref="AN1443:AN1446" si="400">+AM1443/AL1443</f>
        <v>#REF!</v>
      </c>
    </row>
    <row r="1444" spans="1:40" s="73" customFormat="1" x14ac:dyDescent="0.25">
      <c r="A1444" s="396"/>
      <c r="B1444" s="304" t="s">
        <v>2097</v>
      </c>
      <c r="D1444" s="74">
        <f>IFERROR(VLOOKUP(B1444,'REQ. PINTADO'!B:C,2,0),0)</f>
        <v>0</v>
      </c>
      <c r="E1444" s="305">
        <f t="shared" si="387"/>
        <v>182.68932183463636</v>
      </c>
      <c r="F1444" s="397" t="s">
        <v>163</v>
      </c>
      <c r="G1444" s="75" t="s">
        <v>147</v>
      </c>
      <c r="H1444" s="90">
        <v>3.2</v>
      </c>
      <c r="I1444" s="90">
        <v>43</v>
      </c>
      <c r="J1444" s="76">
        <v>0.105</v>
      </c>
      <c r="K1444" s="306">
        <v>16.38</v>
      </c>
      <c r="L1444" s="78">
        <f t="shared" si="388"/>
        <v>6.9371435201851872</v>
      </c>
      <c r="M1444" s="58">
        <f>+VLOOKUP(F1444,Material!$H$2:$M$17,6,FALSE)*H1444*I1444*(1+Material!$K$14)</f>
        <v>51.650186754833342</v>
      </c>
      <c r="N1444" s="79" t="str">
        <f>+N1147</f>
        <v>T5.0</v>
      </c>
      <c r="O1444" s="80">
        <f>+VLOOKUP(N1444,[3]Material!$A$3:$B$58,2,FALSE)</f>
        <v>5000</v>
      </c>
      <c r="P1444" s="79" t="s">
        <v>42</v>
      </c>
      <c r="Q1444" s="79" t="str">
        <f>+VLOOKUP(F1444,[3]Material!$C$2:$E$12,2,FALSE)</f>
        <v>Cal 12</v>
      </c>
      <c r="R1444" s="81">
        <f>+IF(P1444="ACERO A36",VLOOKUP(Q1444,'[3]Velocidades Std 1500 w'!$B$2:$F$15,5,FALSE),IF(P1444="INOXIDABLE",VLOOKUP(Q1444,'[3]Velocidades Std 1500 w'!$B$17:$F$28,5,FALSE),IF(P1444="ALUMINIO",VLOOKUP(Q1444,'[3]Velocidades Std 1500 w'!$B$30:$F$38,5,FALSE))))</f>
        <v>4.3859649122807014E-6</v>
      </c>
      <c r="S1444" s="82">
        <f t="shared" si="389"/>
        <v>2.1929824561403508E-2</v>
      </c>
      <c r="T1444" s="83">
        <f t="shared" si="390"/>
        <v>44.595047368421049</v>
      </c>
      <c r="U1444" s="307">
        <f t="shared" si="391"/>
        <v>2824.3530000000001</v>
      </c>
      <c r="V1444" s="80">
        <f t="shared" si="392"/>
        <v>61.93756578947368</v>
      </c>
      <c r="W1444" s="98">
        <v>9</v>
      </c>
      <c r="X1444" s="84">
        <f>+IF(P1444="ACERO A36",VLOOKUP(Q1444,'[3]Tiempo Objeto'!$B$2:$C$12,2,FALSE),IF(P1444="INOXIDABLE",VLOOKUP(Q1444,'[3]Tiempo Objeto'!$B$14:$C$22,2,FALSE),IF(P1444="ALUMINIO",VLOOKUP(Q1444,'[3]Tiempo Objeto'!$B$24:$C$32,2,FALSE))))</f>
        <v>0.6133333333333334</v>
      </c>
      <c r="Y1444" s="84">
        <f t="shared" si="393"/>
        <v>5.5200000000000005</v>
      </c>
      <c r="Z1444" s="80">
        <f t="shared" si="394"/>
        <v>7.6666666666666679</v>
      </c>
      <c r="AA1444" s="100">
        <v>1</v>
      </c>
      <c r="AB1444" s="86">
        <f>+AA1444*Analisis!$J$6</f>
        <v>25</v>
      </c>
      <c r="AC1444" s="100"/>
      <c r="AD1444" s="85">
        <f t="shared" si="395"/>
        <v>0</v>
      </c>
      <c r="AE1444" s="86">
        <f>+AC1444*Analisis!$J$7</f>
        <v>0</v>
      </c>
      <c r="AF1444" s="308">
        <f>+H1444*0.0254*I1444*0.0254*2*(1+[3]Analisis!$G$2)</f>
        <v>0.22193504000000003</v>
      </c>
      <c r="AG1444" s="86">
        <f>+AF1444*Analisis!$J$8</f>
        <v>23.646650095238105</v>
      </c>
      <c r="AH1444" s="309">
        <f t="shared" si="396"/>
        <v>169.90106930621181</v>
      </c>
      <c r="AI1444" s="86">
        <f>+AH1444/(1-Analisis!G1159)</f>
        <v>169.90106930621181</v>
      </c>
      <c r="AJ1444" s="86">
        <f t="shared" si="397"/>
        <v>182.68932183463636</v>
      </c>
      <c r="AK1444" s="86">
        <f t="shared" si="398"/>
        <v>0</v>
      </c>
      <c r="AL1444" s="310" t="e">
        <f>+VLOOKUP(B1444,#REF!,2,FALSE)</f>
        <v>#REF!</v>
      </c>
      <c r="AM1444" s="311" t="e">
        <f t="shared" si="399"/>
        <v>#REF!</v>
      </c>
      <c r="AN1444" s="312" t="e">
        <f t="shared" si="400"/>
        <v>#REF!</v>
      </c>
    </row>
    <row r="1445" spans="1:40" s="73" customFormat="1" x14ac:dyDescent="0.25">
      <c r="A1445" s="396"/>
      <c r="B1445" s="304" t="s">
        <v>2098</v>
      </c>
      <c r="D1445" s="74">
        <f>IFERROR(VLOOKUP(B1445,'REQ. PINTADO'!B:C,2,0),0)</f>
        <v>0</v>
      </c>
      <c r="E1445" s="305">
        <f t="shared" si="387"/>
        <v>101.03181876948152</v>
      </c>
      <c r="F1445" s="397" t="s">
        <v>163</v>
      </c>
      <c r="G1445" s="75" t="s">
        <v>147</v>
      </c>
      <c r="H1445" s="90">
        <v>3.2</v>
      </c>
      <c r="I1445" s="90">
        <v>17</v>
      </c>
      <c r="J1445" s="76">
        <v>0.105</v>
      </c>
      <c r="K1445" s="306">
        <v>16.38</v>
      </c>
      <c r="L1445" s="78">
        <f t="shared" si="388"/>
        <v>2.7425916242592603</v>
      </c>
      <c r="M1445" s="58">
        <f>+VLOOKUP(F1445,Material!$H$2:$M$17,6,FALSE)*H1445*I1445*(1+Material!$K$14)</f>
        <v>20.419841275166672</v>
      </c>
      <c r="N1445" s="79" t="str">
        <f>+N1148</f>
        <v>T5.0</v>
      </c>
      <c r="O1445" s="80">
        <f>+VLOOKUP(N1445,[3]Material!$A$3:$B$58,2,FALSE)</f>
        <v>5000</v>
      </c>
      <c r="P1445" s="79" t="s">
        <v>42</v>
      </c>
      <c r="Q1445" s="79" t="str">
        <f>+VLOOKUP(F1445,[3]Material!$C$2:$E$12,2,FALSE)</f>
        <v>Cal 12</v>
      </c>
      <c r="R1445" s="81">
        <f>+IF(P1445="ACERO A36",VLOOKUP(Q1445,'[3]Velocidades Std 1500 w'!$B$2:$F$15,5,FALSE),IF(P1445="INOXIDABLE",VLOOKUP(Q1445,'[3]Velocidades Std 1500 w'!$B$17:$F$28,5,FALSE),IF(P1445="ALUMINIO",VLOOKUP(Q1445,'[3]Velocidades Std 1500 w'!$B$30:$F$38,5,FALSE))))</f>
        <v>4.3859649122807014E-6</v>
      </c>
      <c r="S1445" s="82">
        <f t="shared" si="389"/>
        <v>2.1929824561403508E-2</v>
      </c>
      <c r="T1445" s="83">
        <f t="shared" si="390"/>
        <v>22.697573684210521</v>
      </c>
      <c r="U1445" s="307">
        <f t="shared" si="391"/>
        <v>1437.5129999999999</v>
      </c>
      <c r="V1445" s="80">
        <f t="shared" si="392"/>
        <v>31.524407894736839</v>
      </c>
      <c r="W1445" s="98">
        <v>9</v>
      </c>
      <c r="X1445" s="84">
        <f>+IF(P1445="ACERO A36",VLOOKUP(Q1445,'[3]Tiempo Objeto'!$B$2:$C$12,2,FALSE),IF(P1445="INOXIDABLE",VLOOKUP(Q1445,'[3]Tiempo Objeto'!$B$14:$C$22,2,FALSE),IF(P1445="ALUMINIO",VLOOKUP(Q1445,'[3]Tiempo Objeto'!$B$24:$C$32,2,FALSE))))</f>
        <v>0.6133333333333334</v>
      </c>
      <c r="Y1445" s="84">
        <f t="shared" si="393"/>
        <v>5.5200000000000005</v>
      </c>
      <c r="Z1445" s="80">
        <f t="shared" si="394"/>
        <v>7.6666666666666679</v>
      </c>
      <c r="AA1445" s="100">
        <v>1</v>
      </c>
      <c r="AB1445" s="86">
        <f>+AA1445*Analisis!$J$6</f>
        <v>25</v>
      </c>
      <c r="AC1445" s="100"/>
      <c r="AD1445" s="85">
        <f t="shared" si="395"/>
        <v>0</v>
      </c>
      <c r="AE1445" s="86">
        <f>+AC1445*Analisis!$J$7</f>
        <v>0</v>
      </c>
      <c r="AF1445" s="308">
        <f>+H1445*0.0254*I1445*0.0254*2*(1+[3]Analisis!$G$2)</f>
        <v>8.7741760000000002E-2</v>
      </c>
      <c r="AG1445" s="86">
        <f>+AF1445*Analisis!$J$8</f>
        <v>9.3486756190476221</v>
      </c>
      <c r="AH1445" s="309">
        <f t="shared" si="396"/>
        <v>93.959591455617812</v>
      </c>
      <c r="AI1445" s="86">
        <f>+AH1445/(1-Analisis!G1160)</f>
        <v>93.959591455617812</v>
      </c>
      <c r="AJ1445" s="86">
        <f t="shared" si="397"/>
        <v>101.03181876948152</v>
      </c>
      <c r="AK1445" s="86">
        <f t="shared" si="398"/>
        <v>0</v>
      </c>
      <c r="AL1445" s="310" t="e">
        <f>+VLOOKUP(B1445,#REF!,2,FALSE)</f>
        <v>#REF!</v>
      </c>
      <c r="AM1445" s="311" t="e">
        <f t="shared" si="399"/>
        <v>#REF!</v>
      </c>
      <c r="AN1445" s="312" t="e">
        <f t="shared" si="400"/>
        <v>#REF!</v>
      </c>
    </row>
    <row r="1446" spans="1:40" s="73" customFormat="1" x14ac:dyDescent="0.25">
      <c r="A1446" s="396"/>
      <c r="B1446" s="304" t="s">
        <v>2099</v>
      </c>
      <c r="D1446" s="74">
        <f>IFERROR(VLOOKUP(B1446,'REQ. PINTADO'!B:C,2,0),0)</f>
        <v>0</v>
      </c>
      <c r="E1446" s="305">
        <f t="shared" si="387"/>
        <v>116.73518474354974</v>
      </c>
      <c r="F1446" s="397" t="s">
        <v>163</v>
      </c>
      <c r="G1446" s="75" t="s">
        <v>147</v>
      </c>
      <c r="H1446" s="90">
        <v>3.2</v>
      </c>
      <c r="I1446" s="90">
        <v>22</v>
      </c>
      <c r="J1446" s="76">
        <v>0.105</v>
      </c>
      <c r="K1446" s="306">
        <v>16.38</v>
      </c>
      <c r="L1446" s="78">
        <f t="shared" si="388"/>
        <v>3.5492362196296305</v>
      </c>
      <c r="M1446" s="58">
        <f>+VLOOKUP(F1446,Material!$H$2:$M$17,6,FALSE)*H1446*I1446*(1+Material!$K$14)</f>
        <v>26.425676944333336</v>
      </c>
      <c r="N1446" s="79" t="str">
        <f>+N1149</f>
        <v>T5.0</v>
      </c>
      <c r="O1446" s="80">
        <f>+VLOOKUP(N1446,[3]Material!$A$3:$B$58,2,FALSE)</f>
        <v>5000</v>
      </c>
      <c r="P1446" s="79" t="s">
        <v>42</v>
      </c>
      <c r="Q1446" s="79" t="str">
        <f>+VLOOKUP(F1446,[3]Material!$C$2:$E$12,2,FALSE)</f>
        <v>Cal 12</v>
      </c>
      <c r="R1446" s="81">
        <f>+IF(P1446="ACERO A36",VLOOKUP(Q1446,'[3]Velocidades Std 1500 w'!$B$2:$F$15,5,FALSE),IF(P1446="INOXIDABLE",VLOOKUP(Q1446,'[3]Velocidades Std 1500 w'!$B$17:$F$28,5,FALSE),IF(P1446="ALUMINIO",VLOOKUP(Q1446,'[3]Velocidades Std 1500 w'!$B$30:$F$38,5,FALSE))))</f>
        <v>4.3859649122807014E-6</v>
      </c>
      <c r="S1446" s="82">
        <f t="shared" si="389"/>
        <v>2.1929824561403508E-2</v>
      </c>
      <c r="T1446" s="83">
        <f t="shared" si="390"/>
        <v>26.908626315789473</v>
      </c>
      <c r="U1446" s="307">
        <f t="shared" si="391"/>
        <v>1704.213</v>
      </c>
      <c r="V1446" s="80">
        <f t="shared" si="392"/>
        <v>37.373092105263154</v>
      </c>
      <c r="W1446" s="98">
        <v>9</v>
      </c>
      <c r="X1446" s="84">
        <f>+IF(P1446="ACERO A36",VLOOKUP(Q1446,'[3]Tiempo Objeto'!$B$2:$C$12,2,FALSE),IF(P1446="INOXIDABLE",VLOOKUP(Q1446,'[3]Tiempo Objeto'!$B$14:$C$22,2,FALSE),IF(P1446="ALUMINIO",VLOOKUP(Q1446,'[3]Tiempo Objeto'!$B$24:$C$32,2,FALSE))))</f>
        <v>0.6133333333333334</v>
      </c>
      <c r="Y1446" s="84">
        <f t="shared" si="393"/>
        <v>5.5200000000000005</v>
      </c>
      <c r="Z1446" s="80">
        <f t="shared" si="394"/>
        <v>7.6666666666666679</v>
      </c>
      <c r="AA1446" s="100">
        <v>1</v>
      </c>
      <c r="AB1446" s="86">
        <f>+AA1446*Analisis!$J$6</f>
        <v>25</v>
      </c>
      <c r="AC1446" s="100"/>
      <c r="AD1446" s="85">
        <f t="shared" si="395"/>
        <v>0</v>
      </c>
      <c r="AE1446" s="86">
        <f>+AC1446*Analisis!$J$7</f>
        <v>0</v>
      </c>
      <c r="AF1446" s="308">
        <f>+H1446*0.0254*I1446*0.0254*2*(1+[3]Analisis!$G$2)</f>
        <v>0.11354816000000001</v>
      </c>
      <c r="AG1446" s="86">
        <f>+AF1446*Analisis!$J$8</f>
        <v>12.0982860952381</v>
      </c>
      <c r="AH1446" s="309">
        <f t="shared" si="396"/>
        <v>108.56372181150125</v>
      </c>
      <c r="AI1446" s="86">
        <f>+AH1446/(1-Analisis!G1161)</f>
        <v>108.56372181150125</v>
      </c>
      <c r="AJ1446" s="86">
        <f t="shared" si="397"/>
        <v>116.73518474354974</v>
      </c>
      <c r="AK1446" s="86">
        <f t="shared" si="398"/>
        <v>0</v>
      </c>
      <c r="AL1446" s="310" t="e">
        <f>+VLOOKUP(B1446,#REF!,2,FALSE)</f>
        <v>#REF!</v>
      </c>
      <c r="AM1446" s="311" t="e">
        <f t="shared" si="399"/>
        <v>#REF!</v>
      </c>
      <c r="AN1446" s="312" t="e">
        <f t="shared" si="400"/>
        <v>#REF!</v>
      </c>
    </row>
    <row r="1447" spans="1:40" s="73" customFormat="1" x14ac:dyDescent="0.25">
      <c r="A1447" s="396">
        <v>21</v>
      </c>
      <c r="B1447" s="304" t="s">
        <v>2003</v>
      </c>
      <c r="D1447" s="74">
        <f>IFERROR(VLOOKUP(B1447,'REQ. PINTADO'!B:C,2,0),0)</f>
        <v>0</v>
      </c>
      <c r="E1447" s="305">
        <f t="shared" si="172"/>
        <v>632.76836126292471</v>
      </c>
      <c r="F1447" s="397" t="s">
        <v>165</v>
      </c>
      <c r="G1447" s="75" t="s">
        <v>147</v>
      </c>
      <c r="H1447" s="90">
        <v>21.178000000000001</v>
      </c>
      <c r="I1447" s="90">
        <v>35.799999999999997</v>
      </c>
      <c r="J1447" s="76">
        <v>0.105</v>
      </c>
      <c r="K1447" s="306">
        <v>16.38</v>
      </c>
      <c r="L1447" s="78">
        <f t="shared" si="173"/>
        <v>42.323192200854706</v>
      </c>
      <c r="M1447" s="58">
        <f>+VLOOKUP(F1447,Material!$H$2:$M$17,6,FALSE)*H1447*I1447*(1+Material!$K$14)</f>
        <v>315.11540374999998</v>
      </c>
      <c r="N1447" s="79" t="str">
        <f t="shared" ref="N1447:N1472" si="401">+N1146</f>
        <v>T5.0</v>
      </c>
      <c r="O1447" s="80">
        <f>+VLOOKUP(N1447,[3]Material!$A$3:$B$58,2,FALSE)</f>
        <v>5000</v>
      </c>
      <c r="P1447" s="79" t="s">
        <v>42</v>
      </c>
      <c r="Q1447" s="79" t="str">
        <f>+VLOOKUP(F1447,[3]Material!$C$2:$E$12,2,FALSE)</f>
        <v>Cal 14</v>
      </c>
      <c r="R1447" s="81">
        <f>+IF(P1447="ACERO A36",VLOOKUP(Q1447,'[3]Velocidades Std 1500 w'!$B$2:$F$15,5,FALSE),IF(P1447="INOXIDABLE",VLOOKUP(Q1447,'[3]Velocidades Std 1500 w'!$B$17:$F$28,5,FALSE),IF(P1447="ALUMINIO",VLOOKUP(Q1447,'[3]Velocidades Std 1500 w'!$B$30:$F$38,5,FALSE))))</f>
        <v>2.0080321285140564E-6</v>
      </c>
      <c r="S1447" s="82">
        <f t="shared" si="174"/>
        <v>1.0040160642570283E-2</v>
      </c>
      <c r="T1447" s="83">
        <f t="shared" si="175"/>
        <v>26.308059180722889</v>
      </c>
      <c r="U1447" s="307">
        <f t="shared" si="171"/>
        <v>3639.2815199999995</v>
      </c>
      <c r="V1447" s="80">
        <f t="shared" si="153"/>
        <v>36.538971084337348</v>
      </c>
      <c r="W1447" s="98">
        <v>15</v>
      </c>
      <c r="X1447" s="84">
        <f>+IF(P1447="ACERO A36",VLOOKUP(Q1447,'[3]Tiempo Objeto'!$B$2:$C$12,2,FALSE),IF(P1447="INOXIDABLE",VLOOKUP(Q1447,'[3]Tiempo Objeto'!$B$14:$C$22,2,FALSE),IF(P1447="ALUMINIO",VLOOKUP(Q1447,'[3]Tiempo Objeto'!$B$24:$C$32,2,FALSE))))</f>
        <v>0.3133333333333333</v>
      </c>
      <c r="Y1447" s="84">
        <f t="shared" si="176"/>
        <v>4.6999999999999993</v>
      </c>
      <c r="Z1447" s="80">
        <f t="shared" si="177"/>
        <v>6.5277777777777768</v>
      </c>
      <c r="AA1447" s="100">
        <v>4</v>
      </c>
      <c r="AB1447" s="86">
        <f>+AA1447*Analisis!$J$6</f>
        <v>100</v>
      </c>
      <c r="AC1447" s="100"/>
      <c r="AD1447" s="85">
        <f t="shared" si="178"/>
        <v>0</v>
      </c>
      <c r="AE1447" s="86">
        <f>+AC1447*Analisis!$J$7</f>
        <v>0</v>
      </c>
      <c r="AF1447" s="308">
        <f>+H1447*0.0254*I1447*0.0254*2*(1+[3]Analisis!$G$2)</f>
        <v>1.2228562639599998</v>
      </c>
      <c r="AG1447" s="86">
        <f>+AF1447*Analisis!$J$8</f>
        <v>130.29242336240478</v>
      </c>
      <c r="AH1447" s="309">
        <f t="shared" si="179"/>
        <v>588.47457597451989</v>
      </c>
      <c r="AI1447" s="86">
        <f>+AH1447/(1-Analisis!G1158)</f>
        <v>588.47457597451989</v>
      </c>
      <c r="AJ1447" s="86">
        <f t="shared" si="180"/>
        <v>632.76836126292471</v>
      </c>
      <c r="AK1447" s="86">
        <f t="shared" si="181"/>
        <v>0</v>
      </c>
      <c r="AL1447" s="310" t="e">
        <f>+VLOOKUP(B1447,#REF!,2,FALSE)</f>
        <v>#REF!</v>
      </c>
      <c r="AM1447" s="311" t="e">
        <f t="shared" si="183"/>
        <v>#REF!</v>
      </c>
      <c r="AN1447" s="312" t="e">
        <f t="shared" si="182"/>
        <v>#REF!</v>
      </c>
    </row>
    <row r="1448" spans="1:40" s="73" customFormat="1" x14ac:dyDescent="0.25">
      <c r="A1448" s="396">
        <v>22</v>
      </c>
      <c r="B1448" s="304" t="s">
        <v>2004</v>
      </c>
      <c r="D1448" s="74">
        <f>IFERROR(VLOOKUP(B1448,'REQ. PINTADO'!B:C,2,0),0)</f>
        <v>0</v>
      </c>
      <c r="E1448" s="305">
        <f t="shared" si="172"/>
        <v>645.52036138051733</v>
      </c>
      <c r="F1448" s="397" t="s">
        <v>165</v>
      </c>
      <c r="G1448" s="75" t="s">
        <v>147</v>
      </c>
      <c r="H1448" s="90">
        <v>26.108000000000001</v>
      </c>
      <c r="I1448" s="90">
        <v>29.795999999999999</v>
      </c>
      <c r="J1448" s="76">
        <v>0.105</v>
      </c>
      <c r="K1448" s="306">
        <v>16.38</v>
      </c>
      <c r="L1448" s="78">
        <f t="shared" si="173"/>
        <v>43.425218833333346</v>
      </c>
      <c r="M1448" s="58">
        <f>+VLOOKUP(F1448,Material!$H$2:$M$17,6,FALSE)*H1448*I1448*(1+Material!$K$14)</f>
        <v>323.32049295000002</v>
      </c>
      <c r="N1448" s="79" t="str">
        <f t="shared" si="401"/>
        <v>T5.0</v>
      </c>
      <c r="O1448" s="80">
        <f>+VLOOKUP(N1448,[3]Material!$A$3:$B$58,2,FALSE)</f>
        <v>5000</v>
      </c>
      <c r="P1448" s="79" t="s">
        <v>42</v>
      </c>
      <c r="Q1448" s="79" t="str">
        <f>+VLOOKUP(F1448,[3]Material!$C$2:$E$12,2,FALSE)</f>
        <v>Cal 14</v>
      </c>
      <c r="R1448" s="81">
        <f>+IF(P1448="ACERO A36",VLOOKUP(Q1448,'[3]Velocidades Std 1500 w'!$B$2:$F$15,5,FALSE),IF(P1448="INOXIDABLE",VLOOKUP(Q1448,'[3]Velocidades Std 1500 w'!$B$17:$F$28,5,FALSE),IF(P1448="ALUMINIO",VLOOKUP(Q1448,'[3]Velocidades Std 1500 w'!$B$30:$F$38,5,FALSE))))</f>
        <v>2.0080321285140564E-6</v>
      </c>
      <c r="S1448" s="82">
        <f t="shared" si="174"/>
        <v>1.0040160642570283E-2</v>
      </c>
      <c r="T1448" s="83">
        <f t="shared" si="175"/>
        <v>26.183127903614459</v>
      </c>
      <c r="U1448" s="307">
        <f t="shared" si="171"/>
        <v>3621.9993599999998</v>
      </c>
      <c r="V1448" s="80">
        <f t="shared" si="153"/>
        <v>36.365455421686754</v>
      </c>
      <c r="W1448" s="98">
        <v>16</v>
      </c>
      <c r="X1448" s="84">
        <f>+IF(P1448="ACERO A36",VLOOKUP(Q1448,'[3]Tiempo Objeto'!$B$2:$C$12,2,FALSE),IF(P1448="INOXIDABLE",VLOOKUP(Q1448,'[3]Tiempo Objeto'!$B$14:$C$22,2,FALSE),IF(P1448="ALUMINIO",VLOOKUP(Q1448,'[3]Tiempo Objeto'!$B$24:$C$32,2,FALSE))))</f>
        <v>0.3133333333333333</v>
      </c>
      <c r="Y1448" s="84">
        <f t="shared" si="176"/>
        <v>5.0133333333333328</v>
      </c>
      <c r="Z1448" s="80">
        <f t="shared" si="177"/>
        <v>6.9629629629629619</v>
      </c>
      <c r="AA1448" s="100">
        <v>4</v>
      </c>
      <c r="AB1448" s="86">
        <f>+AA1448*Analisis!$J$6</f>
        <v>100</v>
      </c>
      <c r="AC1448" s="100"/>
      <c r="AD1448" s="85">
        <f t="shared" si="178"/>
        <v>0</v>
      </c>
      <c r="AE1448" s="86">
        <f>+AC1448*Analisis!$J$7</f>
        <v>0</v>
      </c>
      <c r="AF1448" s="308">
        <f>+H1448*0.0254*I1448*0.0254*2*(1+[3]Analisis!$G$2)</f>
        <v>1.2546974389871999</v>
      </c>
      <c r="AG1448" s="86">
        <f>+AF1448*Analisis!$J$8</f>
        <v>133.68502474923145</v>
      </c>
      <c r="AH1448" s="309">
        <f t="shared" si="179"/>
        <v>600.3339360838811</v>
      </c>
      <c r="AI1448" s="86">
        <f>+AH1448/(1-Analisis!G1159)</f>
        <v>600.3339360838811</v>
      </c>
      <c r="AJ1448" s="86">
        <f t="shared" si="180"/>
        <v>645.52036138051733</v>
      </c>
      <c r="AK1448" s="86">
        <f t="shared" si="181"/>
        <v>0</v>
      </c>
      <c r="AL1448" s="310" t="e">
        <f>+VLOOKUP(B1448,#REF!,2,FALSE)</f>
        <v>#REF!</v>
      </c>
      <c r="AM1448" s="311" t="e">
        <f t="shared" si="183"/>
        <v>#REF!</v>
      </c>
      <c r="AN1448" s="312" t="e">
        <f t="shared" si="182"/>
        <v>#REF!</v>
      </c>
    </row>
    <row r="1449" spans="1:40" s="73" customFormat="1" x14ac:dyDescent="0.25">
      <c r="A1449" s="396">
        <v>23</v>
      </c>
      <c r="B1449" s="304" t="s">
        <v>2005</v>
      </c>
      <c r="D1449" s="74">
        <f>IFERROR(VLOOKUP(B1449,'REQ. PINTADO'!B:C,2,0),0)</f>
        <v>0</v>
      </c>
      <c r="E1449" s="305">
        <f t="shared" si="172"/>
        <v>574.00062212208718</v>
      </c>
      <c r="F1449" s="397" t="s">
        <v>165</v>
      </c>
      <c r="G1449" s="75" t="s">
        <v>147</v>
      </c>
      <c r="H1449" s="90">
        <v>22.420999999999999</v>
      </c>
      <c r="I1449" s="90">
        <v>29.795999999999999</v>
      </c>
      <c r="J1449" s="76">
        <v>0.105</v>
      </c>
      <c r="K1449" s="306">
        <v>16.38</v>
      </c>
      <c r="L1449" s="78">
        <f t="shared" si="173"/>
        <v>37.292662458333332</v>
      </c>
      <c r="M1449" s="58">
        <f>+VLOOKUP(F1449,Material!$H$2:$M$17,6,FALSE)*H1449*I1449*(1+Material!$K$14)</f>
        <v>277.66082321249996</v>
      </c>
      <c r="N1449" s="79" t="str">
        <f t="shared" si="401"/>
        <v>T5.0</v>
      </c>
      <c r="O1449" s="80">
        <f>+VLOOKUP(N1449,[3]Material!$A$3:$B$58,2,FALSE)</f>
        <v>5000</v>
      </c>
      <c r="P1449" s="79" t="s">
        <v>42</v>
      </c>
      <c r="Q1449" s="79" t="str">
        <f>+VLOOKUP(F1449,[3]Material!$C$2:$E$12,2,FALSE)</f>
        <v>Cal 14</v>
      </c>
      <c r="R1449" s="81">
        <f>+IF(P1449="ACERO A36",VLOOKUP(Q1449,'[3]Velocidades Std 1500 w'!$B$2:$F$15,5,FALSE),IF(P1449="INOXIDABLE",VLOOKUP(Q1449,'[3]Velocidades Std 1500 w'!$B$17:$F$28,5,FALSE),IF(P1449="ALUMINIO",VLOOKUP(Q1449,'[3]Velocidades Std 1500 w'!$B$30:$F$38,5,FALSE))))</f>
        <v>2.0080321285140564E-6</v>
      </c>
      <c r="S1449" s="82">
        <f t="shared" si="174"/>
        <v>1.0040160642570283E-2</v>
      </c>
      <c r="T1449" s="83">
        <f t="shared" si="175"/>
        <v>24.761456240963859</v>
      </c>
      <c r="U1449" s="307">
        <f t="shared" si="171"/>
        <v>3425.3347800000001</v>
      </c>
      <c r="V1449" s="80">
        <f t="shared" si="153"/>
        <v>34.390911445783139</v>
      </c>
      <c r="W1449" s="98">
        <v>16</v>
      </c>
      <c r="X1449" s="84">
        <f>+IF(P1449="ACERO A36",VLOOKUP(Q1449,'[3]Tiempo Objeto'!$B$2:$C$12,2,FALSE),IF(P1449="INOXIDABLE",VLOOKUP(Q1449,'[3]Tiempo Objeto'!$B$14:$C$22,2,FALSE),IF(P1449="ALUMINIO",VLOOKUP(Q1449,'[3]Tiempo Objeto'!$B$24:$C$32,2,FALSE))))</f>
        <v>0.3133333333333333</v>
      </c>
      <c r="Y1449" s="84">
        <f t="shared" si="176"/>
        <v>5.0133333333333328</v>
      </c>
      <c r="Z1449" s="80">
        <f t="shared" si="177"/>
        <v>6.9629629629629619</v>
      </c>
      <c r="AA1449" s="100">
        <v>4</v>
      </c>
      <c r="AB1449" s="86">
        <f>+AA1449*Analisis!$J$6</f>
        <v>100</v>
      </c>
      <c r="AC1449" s="100"/>
      <c r="AD1449" s="85">
        <f t="shared" si="178"/>
        <v>0</v>
      </c>
      <c r="AE1449" s="86">
        <f>+AC1449*Analisis!$J$7</f>
        <v>0</v>
      </c>
      <c r="AF1449" s="308">
        <f>+H1449*0.0254*I1449*0.0254*2*(1+[3]Analisis!$G$2)</f>
        <v>1.0775077094963996</v>
      </c>
      <c r="AG1449" s="86">
        <f>+AF1449*Analisis!$J$8</f>
        <v>114.805880952295</v>
      </c>
      <c r="AH1449" s="309">
        <f t="shared" si="179"/>
        <v>533.82057857354107</v>
      </c>
      <c r="AI1449" s="86">
        <f>+AH1449/(1-Analisis!G1160)</f>
        <v>533.82057857354107</v>
      </c>
      <c r="AJ1449" s="86">
        <f t="shared" si="180"/>
        <v>574.00062212208718</v>
      </c>
      <c r="AK1449" s="86">
        <f t="shared" si="181"/>
        <v>0</v>
      </c>
      <c r="AL1449" s="310" t="e">
        <f>+VLOOKUP(B1449,#REF!,2,FALSE)</f>
        <v>#REF!</v>
      </c>
      <c r="AM1449" s="311" t="e">
        <f t="shared" si="183"/>
        <v>#REF!</v>
      </c>
      <c r="AN1449" s="312" t="e">
        <f t="shared" si="182"/>
        <v>#REF!</v>
      </c>
    </row>
    <row r="1450" spans="1:40" s="73" customFormat="1" x14ac:dyDescent="0.25">
      <c r="A1450" s="396">
        <v>24</v>
      </c>
      <c r="B1450" s="304" t="s">
        <v>2006</v>
      </c>
      <c r="D1450" s="74">
        <f>IFERROR(VLOOKUP(B1450,'REQ. PINTADO'!B:C,2,0),0)</f>
        <v>0</v>
      </c>
      <c r="E1450" s="305">
        <f t="shared" si="172"/>
        <v>2605.9957604525853</v>
      </c>
      <c r="F1450" s="397" t="s">
        <v>163</v>
      </c>
      <c r="G1450" s="75" t="s">
        <v>147</v>
      </c>
      <c r="H1450" s="90">
        <v>91.08</v>
      </c>
      <c r="I1450" s="90">
        <v>17.7</v>
      </c>
      <c r="J1450" s="76">
        <v>0.105</v>
      </c>
      <c r="K1450" s="306">
        <v>16.38</v>
      </c>
      <c r="L1450" s="78">
        <f t="shared" si="173"/>
        <v>81.275291156881281</v>
      </c>
      <c r="M1450" s="58">
        <f>+VLOOKUP(F1450,Material!$H$2:$M$17,6,FALSE)*H1450*I1450*(1+Material!$K$14)</f>
        <v>605.13148597714326</v>
      </c>
      <c r="N1450" s="79" t="str">
        <f t="shared" si="401"/>
        <v>T5.0</v>
      </c>
      <c r="O1450" s="80">
        <f>+VLOOKUP(N1450,[3]Material!$A$3:$B$58,2,FALSE)</f>
        <v>5000</v>
      </c>
      <c r="P1450" s="79" t="s">
        <v>42</v>
      </c>
      <c r="Q1450" s="79" t="str">
        <f>+VLOOKUP(F1450,[3]Material!$C$2:$E$12,2,FALSE)</f>
        <v>Cal 12</v>
      </c>
      <c r="R1450" s="81">
        <f>+IF(P1450="ACERO A36",VLOOKUP(Q1450,'[3]Velocidades Std 1500 w'!$B$2:$F$15,5,FALSE),IF(P1450="INOXIDABLE",VLOOKUP(Q1450,'[3]Velocidades Std 1500 w'!$B$17:$F$28,5,FALSE),IF(P1450="ALUMINIO",VLOOKUP(Q1450,'[3]Velocidades Std 1500 w'!$B$30:$F$38,5,FALSE))))</f>
        <v>4.3859649122807014E-6</v>
      </c>
      <c r="S1450" s="82">
        <f t="shared" si="174"/>
        <v>2.1929824561403508E-2</v>
      </c>
      <c r="T1450" s="83">
        <f t="shared" si="175"/>
        <v>571.67566105263154</v>
      </c>
      <c r="U1450" s="307">
        <f t="shared" si="171"/>
        <v>36206.125200000002</v>
      </c>
      <c r="V1450" s="80">
        <f t="shared" si="153"/>
        <v>793.99397368421057</v>
      </c>
      <c r="W1450" s="98">
        <v>760</v>
      </c>
      <c r="X1450" s="84">
        <f>+IF(P1450="ACERO A36",VLOOKUP(Q1450,'[3]Tiempo Objeto'!$B$2:$C$12,2,FALSE),IF(P1450="INOXIDABLE",VLOOKUP(Q1450,'[3]Tiempo Objeto'!$B$14:$C$22,2,FALSE),IF(P1450="ALUMINIO",VLOOKUP(Q1450,'[3]Tiempo Objeto'!$B$24:$C$32,2,FALSE))))</f>
        <v>0.6133333333333334</v>
      </c>
      <c r="Y1450" s="84">
        <f t="shared" si="176"/>
        <v>466.13333333333338</v>
      </c>
      <c r="Z1450" s="80">
        <f t="shared" si="177"/>
        <v>647.4074074074075</v>
      </c>
      <c r="AA1450" s="100">
        <v>4</v>
      </c>
      <c r="AB1450" s="86">
        <f>+AA1450*Analisis!$J$6</f>
        <v>100</v>
      </c>
      <c r="AC1450" s="100"/>
      <c r="AD1450" s="85">
        <f t="shared" si="178"/>
        <v>0</v>
      </c>
      <c r="AE1450" s="86">
        <f>+AC1450*Analisis!$J$7</f>
        <v>0</v>
      </c>
      <c r="AF1450" s="308">
        <f>+H1450*0.0254*I1450*0.0254*2*(1+[3]Analisis!$G$2)</f>
        <v>2.6001818963999996</v>
      </c>
      <c r="AG1450" s="86">
        <f>+AF1450*Analisis!$J$8</f>
        <v>277.04319015214293</v>
      </c>
      <c r="AH1450" s="309">
        <f t="shared" si="179"/>
        <v>2423.5760572209042</v>
      </c>
      <c r="AI1450" s="86">
        <f>+AH1450/(1-Analisis!G1161)</f>
        <v>2423.5760572209042</v>
      </c>
      <c r="AJ1450" s="86">
        <f t="shared" si="180"/>
        <v>2605.9957604525853</v>
      </c>
      <c r="AK1450" s="86">
        <f t="shared" si="181"/>
        <v>0</v>
      </c>
      <c r="AL1450" s="310" t="e">
        <f>+VLOOKUP(B1450,#REF!,2,FALSE)</f>
        <v>#REF!</v>
      </c>
      <c r="AM1450" s="311" t="e">
        <f t="shared" si="183"/>
        <v>#REF!</v>
      </c>
      <c r="AN1450" s="312" t="e">
        <f t="shared" si="182"/>
        <v>#REF!</v>
      </c>
    </row>
    <row r="1451" spans="1:40" s="73" customFormat="1" x14ac:dyDescent="0.25">
      <c r="A1451" s="396">
        <v>25</v>
      </c>
      <c r="B1451" s="304" t="s">
        <v>2007</v>
      </c>
      <c r="D1451" s="74">
        <f>IFERROR(VLOOKUP(B1451,'REQ. PINTADO'!B:C,2,0),0)</f>
        <v>0</v>
      </c>
      <c r="E1451" s="305">
        <f t="shared" si="172"/>
        <v>2880.2436853157615</v>
      </c>
      <c r="F1451" s="397" t="s">
        <v>163</v>
      </c>
      <c r="G1451" s="75" t="s">
        <v>147</v>
      </c>
      <c r="H1451" s="90">
        <v>22.7</v>
      </c>
      <c r="I1451" s="90">
        <v>91.08</v>
      </c>
      <c r="J1451" s="76">
        <v>0.105</v>
      </c>
      <c r="K1451" s="306">
        <v>16.38</v>
      </c>
      <c r="L1451" s="78">
        <f t="shared" si="173"/>
        <v>104.23441295261044</v>
      </c>
      <c r="M1451" s="58">
        <f>+VLOOKUP(F1451,Material!$H$2:$M$17,6,FALSE)*H1451*I1451*(1+Material!$K$14)</f>
        <v>776.07258371079945</v>
      </c>
      <c r="N1451" s="79" t="str">
        <f t="shared" si="401"/>
        <v>T5.0</v>
      </c>
      <c r="O1451" s="80">
        <f>+VLOOKUP(N1451,[3]Material!$A$3:$B$58,2,FALSE)</f>
        <v>5000</v>
      </c>
      <c r="P1451" s="79" t="s">
        <v>42</v>
      </c>
      <c r="Q1451" s="79" t="str">
        <f>+VLOOKUP(F1451,[3]Material!$C$2:$E$12,2,FALSE)</f>
        <v>Cal 12</v>
      </c>
      <c r="R1451" s="81">
        <f>+IF(P1451="ACERO A36",VLOOKUP(Q1451,'[3]Velocidades Std 1500 w'!$B$2:$F$15,5,FALSE),IF(P1451="INOXIDABLE",VLOOKUP(Q1451,'[3]Velocidades Std 1500 w'!$B$17:$F$28,5,FALSE),IF(P1451="ALUMINIO",VLOOKUP(Q1451,'[3]Velocidades Std 1500 w'!$B$30:$F$38,5,FALSE))))</f>
        <v>4.3859649122807014E-6</v>
      </c>
      <c r="S1451" s="82">
        <f t="shared" si="174"/>
        <v>2.1929824561403508E-2</v>
      </c>
      <c r="T1451" s="83">
        <f t="shared" si="175"/>
        <v>575.88671368421046</v>
      </c>
      <c r="U1451" s="307">
        <f t="shared" si="171"/>
        <v>36472.825199999999</v>
      </c>
      <c r="V1451" s="80">
        <f t="shared" si="153"/>
        <v>799.84265789473682</v>
      </c>
      <c r="W1451" s="98">
        <v>760</v>
      </c>
      <c r="X1451" s="84">
        <f>+IF(P1451="ACERO A36",VLOOKUP(Q1451,'[3]Tiempo Objeto'!$B$2:$C$12,2,FALSE),IF(P1451="INOXIDABLE",VLOOKUP(Q1451,'[3]Tiempo Objeto'!$B$14:$C$22,2,FALSE),IF(P1451="ALUMINIO",VLOOKUP(Q1451,'[3]Tiempo Objeto'!$B$24:$C$32,2,FALSE))))</f>
        <v>0.6133333333333334</v>
      </c>
      <c r="Y1451" s="84">
        <f t="shared" si="176"/>
        <v>466.13333333333338</v>
      </c>
      <c r="Z1451" s="80">
        <f t="shared" si="177"/>
        <v>647.4074074074075</v>
      </c>
      <c r="AA1451" s="100">
        <v>4</v>
      </c>
      <c r="AB1451" s="86">
        <f>+AA1451*Analisis!$J$6</f>
        <v>100</v>
      </c>
      <c r="AC1451" s="100"/>
      <c r="AD1451" s="85">
        <f t="shared" si="178"/>
        <v>0</v>
      </c>
      <c r="AE1451" s="86">
        <f>+AC1451*Analisis!$J$7</f>
        <v>0</v>
      </c>
      <c r="AF1451" s="308">
        <f>+H1451*0.0254*I1451*0.0254*2*(1+[3]Analisis!$G$2)</f>
        <v>3.3346965564</v>
      </c>
      <c r="AG1451" s="86">
        <f>+AF1451*Analisis!$J$8</f>
        <v>355.30397833071441</v>
      </c>
      <c r="AH1451" s="309">
        <f t="shared" si="179"/>
        <v>2678.6266273436581</v>
      </c>
      <c r="AI1451" s="86">
        <f>+AH1451/(1-Analisis!G1162)</f>
        <v>2678.6266273436581</v>
      </c>
      <c r="AJ1451" s="86">
        <f t="shared" si="180"/>
        <v>2880.2436853157615</v>
      </c>
      <c r="AK1451" s="86">
        <f t="shared" si="181"/>
        <v>0</v>
      </c>
      <c r="AL1451" s="310" t="e">
        <f>+VLOOKUP(B1451,#REF!,2,FALSE)</f>
        <v>#REF!</v>
      </c>
      <c r="AM1451" s="311" t="e">
        <f t="shared" si="183"/>
        <v>#REF!</v>
      </c>
      <c r="AN1451" s="312" t="e">
        <f t="shared" si="182"/>
        <v>#REF!</v>
      </c>
    </row>
    <row r="1452" spans="1:40" s="73" customFormat="1" x14ac:dyDescent="0.25">
      <c r="A1452" s="396">
        <v>26</v>
      </c>
      <c r="B1452" s="304" t="s">
        <v>2008</v>
      </c>
      <c r="D1452" s="74">
        <f>IFERROR(VLOOKUP(B1452,'REQ. PINTADO'!B:C,2,0),0)</f>
        <v>0</v>
      </c>
      <c r="E1452" s="305">
        <f t="shared" si="172"/>
        <v>412.29729452873778</v>
      </c>
      <c r="F1452" s="397" t="s">
        <v>163</v>
      </c>
      <c r="G1452" s="75" t="s">
        <v>147</v>
      </c>
      <c r="H1452" s="90">
        <v>13.58</v>
      </c>
      <c r="I1452" s="90">
        <v>29.7</v>
      </c>
      <c r="J1452" s="76">
        <v>0.105</v>
      </c>
      <c r="K1452" s="306">
        <v>16.38</v>
      </c>
      <c r="L1452" s="78">
        <f t="shared" si="173"/>
        <v>20.333796129521883</v>
      </c>
      <c r="M1452" s="58">
        <f>+VLOOKUP(F1452,Material!$H$2:$M$17,6,FALSE)*H1452*I1452*(1+Material!$K$14)</f>
        <v>151.39435481889473</v>
      </c>
      <c r="N1452" s="79" t="str">
        <f t="shared" si="401"/>
        <v>T5.0</v>
      </c>
      <c r="O1452" s="80">
        <f>+VLOOKUP(N1452,[3]Material!$A$3:$B$58,2,FALSE)</f>
        <v>5000</v>
      </c>
      <c r="P1452" s="79" t="s">
        <v>42</v>
      </c>
      <c r="Q1452" s="79" t="str">
        <f>+VLOOKUP(F1452,[3]Material!$C$2:$E$12,2,FALSE)</f>
        <v>Cal 12</v>
      </c>
      <c r="R1452" s="81">
        <f>+IF(P1452="ACERO A36",VLOOKUP(Q1452,'[3]Velocidades Std 1500 w'!$B$2:$F$15,5,FALSE),IF(P1452="INOXIDABLE",VLOOKUP(Q1452,'[3]Velocidades Std 1500 w'!$B$17:$F$28,5,FALSE),IF(P1452="ALUMINIO",VLOOKUP(Q1452,'[3]Velocidades Std 1500 w'!$B$30:$F$38,5,FALSE))))</f>
        <v>4.3859649122807014E-6</v>
      </c>
      <c r="S1452" s="82">
        <f t="shared" si="174"/>
        <v>2.1929824561403508E-2</v>
      </c>
      <c r="T1452" s="83">
        <f t="shared" si="175"/>
        <v>40.872476842105264</v>
      </c>
      <c r="U1452" s="307">
        <f t="shared" si="171"/>
        <v>2588.5902000000001</v>
      </c>
      <c r="V1452" s="80">
        <f t="shared" si="153"/>
        <v>56.767328947368419</v>
      </c>
      <c r="W1452" s="98">
        <v>7</v>
      </c>
      <c r="X1452" s="84">
        <f>+IF(P1452="ACERO A36",VLOOKUP(Q1452,'[3]Tiempo Objeto'!$B$2:$C$12,2,FALSE),IF(P1452="INOXIDABLE",VLOOKUP(Q1452,'[3]Tiempo Objeto'!$B$14:$C$22,2,FALSE),IF(P1452="ALUMINIO",VLOOKUP(Q1452,'[3]Tiempo Objeto'!$B$24:$C$32,2,FALSE))))</f>
        <v>0.6133333333333334</v>
      </c>
      <c r="Y1452" s="84">
        <f t="shared" si="176"/>
        <v>4.2933333333333339</v>
      </c>
      <c r="Z1452" s="80">
        <f t="shared" si="177"/>
        <v>5.9629629629629637</v>
      </c>
      <c r="AA1452" s="100">
        <v>4</v>
      </c>
      <c r="AB1452" s="86">
        <f>+AA1452*Analisis!$J$6</f>
        <v>100</v>
      </c>
      <c r="AC1452" s="100"/>
      <c r="AD1452" s="85">
        <f t="shared" si="178"/>
        <v>0</v>
      </c>
      <c r="AE1452" s="86">
        <f>+AC1452*Analisis!$J$7</f>
        <v>0</v>
      </c>
      <c r="AF1452" s="308">
        <f>+H1452*0.0254*I1452*0.0254*2*(1+[3]Analisis!$G$2)</f>
        <v>0.65052450539999984</v>
      </c>
      <c r="AG1452" s="86">
        <f>+AF1452*Analisis!$J$8</f>
        <v>69.3118371825</v>
      </c>
      <c r="AH1452" s="309">
        <f t="shared" si="179"/>
        <v>383.4364839117261</v>
      </c>
      <c r="AI1452" s="86">
        <f>+AH1452/(1-Analisis!G1163)</f>
        <v>383.4364839117261</v>
      </c>
      <c r="AJ1452" s="86">
        <f t="shared" si="180"/>
        <v>412.29729452873778</v>
      </c>
      <c r="AK1452" s="86">
        <f t="shared" si="181"/>
        <v>0</v>
      </c>
      <c r="AL1452" s="310" t="e">
        <f>+VLOOKUP(B1452,#REF!,2,FALSE)</f>
        <v>#REF!</v>
      </c>
      <c r="AM1452" s="311" t="e">
        <f t="shared" si="183"/>
        <v>#REF!</v>
      </c>
      <c r="AN1452" s="312" t="e">
        <f t="shared" si="182"/>
        <v>#REF!</v>
      </c>
    </row>
    <row r="1453" spans="1:40" s="73" customFormat="1" x14ac:dyDescent="0.25">
      <c r="A1453" s="396">
        <v>27</v>
      </c>
      <c r="B1453" s="304" t="s">
        <v>2009</v>
      </c>
      <c r="D1453" s="74">
        <f>IFERROR(VLOOKUP(B1453,'REQ. PINTADO'!B:C,2,0),0)</f>
        <v>0</v>
      </c>
      <c r="E1453" s="305">
        <f t="shared" si="172"/>
        <v>628.43975639459927</v>
      </c>
      <c r="F1453" s="397" t="s">
        <v>163</v>
      </c>
      <c r="G1453" s="75" t="s">
        <v>147</v>
      </c>
      <c r="H1453" s="90">
        <v>16.035</v>
      </c>
      <c r="I1453" s="90">
        <v>43.7</v>
      </c>
      <c r="J1453" s="76">
        <v>0.105</v>
      </c>
      <c r="K1453" s="306">
        <v>16.38</v>
      </c>
      <c r="L1453" s="78">
        <f t="shared" si="173"/>
        <v>35.32747899947389</v>
      </c>
      <c r="M1453" s="58">
        <f>+VLOOKUP(F1453,Material!$H$2:$M$17,6,FALSE)*H1453*I1453*(1+Material!$K$14)</f>
        <v>263.02913909608282</v>
      </c>
      <c r="N1453" s="79" t="str">
        <f t="shared" si="401"/>
        <v>T5.0</v>
      </c>
      <c r="O1453" s="80">
        <f>+VLOOKUP(N1453,[3]Material!$A$3:$B$58,2,FALSE)</f>
        <v>5000</v>
      </c>
      <c r="P1453" s="79" t="s">
        <v>42</v>
      </c>
      <c r="Q1453" s="79" t="str">
        <f>+VLOOKUP(F1453,[3]Material!$C$2:$E$12,2,FALSE)</f>
        <v>Cal 12</v>
      </c>
      <c r="R1453" s="81">
        <f>+IF(P1453="ACERO A36",VLOOKUP(Q1453,'[3]Velocidades Std 1500 w'!$B$2:$F$15,5,FALSE),IF(P1453="INOXIDABLE",VLOOKUP(Q1453,'[3]Velocidades Std 1500 w'!$B$17:$F$28,5,FALSE),IF(P1453="ALUMINIO",VLOOKUP(Q1453,'[3]Velocidades Std 1500 w'!$B$30:$F$38,5,FALSE))))</f>
        <v>4.3859649122807014E-6</v>
      </c>
      <c r="S1453" s="82">
        <f t="shared" si="174"/>
        <v>2.1929824561403508E-2</v>
      </c>
      <c r="T1453" s="83">
        <f t="shared" si="175"/>
        <v>61.679287894736831</v>
      </c>
      <c r="U1453" s="307">
        <f t="shared" si="171"/>
        <v>3906.3548999999998</v>
      </c>
      <c r="V1453" s="80">
        <f t="shared" si="153"/>
        <v>85.665677631578944</v>
      </c>
      <c r="W1453" s="98">
        <v>18</v>
      </c>
      <c r="X1453" s="84">
        <f>+IF(P1453="ACERO A36",VLOOKUP(Q1453,'[3]Tiempo Objeto'!$B$2:$C$12,2,FALSE),IF(P1453="INOXIDABLE",VLOOKUP(Q1453,'[3]Tiempo Objeto'!$B$14:$C$22,2,FALSE),IF(P1453="ALUMINIO",VLOOKUP(Q1453,'[3]Tiempo Objeto'!$B$24:$C$32,2,FALSE))))</f>
        <v>0.6133333333333334</v>
      </c>
      <c r="Y1453" s="84">
        <f t="shared" si="176"/>
        <v>11.040000000000001</v>
      </c>
      <c r="Z1453" s="80">
        <f t="shared" si="177"/>
        <v>15.333333333333336</v>
      </c>
      <c r="AA1453" s="100">
        <v>4</v>
      </c>
      <c r="AB1453" s="86">
        <f>+AA1453*Analisis!$J$6</f>
        <v>100</v>
      </c>
      <c r="AC1453" s="100"/>
      <c r="AD1453" s="85">
        <f t="shared" si="178"/>
        <v>0</v>
      </c>
      <c r="AE1453" s="86">
        <f>+AC1453*Analisis!$J$7</f>
        <v>0</v>
      </c>
      <c r="AF1453" s="308">
        <f>+H1453*0.0254*I1453*0.0254*2*(1+[3]Analisis!$G$2)</f>
        <v>1.1302066105500002</v>
      </c>
      <c r="AG1453" s="86">
        <f>+AF1453*Analisis!$J$8</f>
        <v>120.42082338598219</v>
      </c>
      <c r="AH1453" s="309">
        <f t="shared" si="179"/>
        <v>584.44897344697733</v>
      </c>
      <c r="AI1453" s="86">
        <f>+AH1453/(1-Analisis!G1164)</f>
        <v>584.44897344697733</v>
      </c>
      <c r="AJ1453" s="86">
        <f t="shared" si="180"/>
        <v>628.43975639459927</v>
      </c>
      <c r="AK1453" s="86">
        <f t="shared" si="181"/>
        <v>0</v>
      </c>
      <c r="AL1453" s="310" t="e">
        <f>+VLOOKUP(B1453,#REF!,2,FALSE)</f>
        <v>#REF!</v>
      </c>
      <c r="AM1453" s="311" t="e">
        <f t="shared" si="183"/>
        <v>#REF!</v>
      </c>
      <c r="AN1453" s="312" t="e">
        <f t="shared" si="182"/>
        <v>#REF!</v>
      </c>
    </row>
    <row r="1454" spans="1:40" s="73" customFormat="1" x14ac:dyDescent="0.25">
      <c r="A1454" s="396">
        <v>28</v>
      </c>
      <c r="B1454" s="304" t="s">
        <v>2010</v>
      </c>
      <c r="D1454" s="74">
        <f>IFERROR(VLOOKUP(B1454,'REQ. PINTADO'!B:C,2,0),0)</f>
        <v>0</v>
      </c>
      <c r="E1454" s="305">
        <f t="shared" si="172"/>
        <v>628.43975639459927</v>
      </c>
      <c r="F1454" s="397" t="s">
        <v>163</v>
      </c>
      <c r="G1454" s="75" t="s">
        <v>147</v>
      </c>
      <c r="H1454" s="90">
        <v>16.035</v>
      </c>
      <c r="I1454" s="90">
        <v>43.7</v>
      </c>
      <c r="J1454" s="76">
        <v>0.105</v>
      </c>
      <c r="K1454" s="306">
        <v>16.38</v>
      </c>
      <c r="L1454" s="78">
        <f t="shared" si="173"/>
        <v>35.32747899947389</v>
      </c>
      <c r="M1454" s="58">
        <f>+VLOOKUP(F1454,Material!$H$2:$M$17,6,FALSE)*H1454*I1454*(1+Material!$K$14)</f>
        <v>263.02913909608282</v>
      </c>
      <c r="N1454" s="79" t="str">
        <f t="shared" si="401"/>
        <v>T5.0</v>
      </c>
      <c r="O1454" s="80">
        <f>+VLOOKUP(N1454,[3]Material!$A$3:$B$58,2,FALSE)</f>
        <v>5000</v>
      </c>
      <c r="P1454" s="79" t="s">
        <v>42</v>
      </c>
      <c r="Q1454" s="79" t="str">
        <f>+VLOOKUP(F1454,[3]Material!$C$2:$E$12,2,FALSE)</f>
        <v>Cal 12</v>
      </c>
      <c r="R1454" s="81">
        <f>+IF(P1454="ACERO A36",VLOOKUP(Q1454,'[3]Velocidades Std 1500 w'!$B$2:$F$15,5,FALSE),IF(P1454="INOXIDABLE",VLOOKUP(Q1454,'[3]Velocidades Std 1500 w'!$B$17:$F$28,5,FALSE),IF(P1454="ALUMINIO",VLOOKUP(Q1454,'[3]Velocidades Std 1500 w'!$B$30:$F$38,5,FALSE))))</f>
        <v>4.3859649122807014E-6</v>
      </c>
      <c r="S1454" s="82">
        <f t="shared" si="174"/>
        <v>2.1929824561403508E-2</v>
      </c>
      <c r="T1454" s="83">
        <f t="shared" si="175"/>
        <v>61.679287894736831</v>
      </c>
      <c r="U1454" s="307">
        <f t="shared" si="171"/>
        <v>3906.3548999999998</v>
      </c>
      <c r="V1454" s="80">
        <f t="shared" si="153"/>
        <v>85.665677631578944</v>
      </c>
      <c r="W1454" s="98">
        <v>18</v>
      </c>
      <c r="X1454" s="84">
        <f>+IF(P1454="ACERO A36",VLOOKUP(Q1454,'[3]Tiempo Objeto'!$B$2:$C$12,2,FALSE),IF(P1454="INOXIDABLE",VLOOKUP(Q1454,'[3]Tiempo Objeto'!$B$14:$C$22,2,FALSE),IF(P1454="ALUMINIO",VLOOKUP(Q1454,'[3]Tiempo Objeto'!$B$24:$C$32,2,FALSE))))</f>
        <v>0.6133333333333334</v>
      </c>
      <c r="Y1454" s="84">
        <f t="shared" si="176"/>
        <v>11.040000000000001</v>
      </c>
      <c r="Z1454" s="80">
        <f t="shared" si="177"/>
        <v>15.333333333333336</v>
      </c>
      <c r="AA1454" s="100">
        <v>4</v>
      </c>
      <c r="AB1454" s="86">
        <f>+AA1454*Analisis!$J$6</f>
        <v>100</v>
      </c>
      <c r="AC1454" s="100"/>
      <c r="AD1454" s="85">
        <f t="shared" si="178"/>
        <v>0</v>
      </c>
      <c r="AE1454" s="86">
        <f>+AC1454*Analisis!$J$7</f>
        <v>0</v>
      </c>
      <c r="AF1454" s="308">
        <f>+H1454*0.0254*I1454*0.0254*2*(1+[3]Analisis!$G$2)</f>
        <v>1.1302066105500002</v>
      </c>
      <c r="AG1454" s="86">
        <f>+AF1454*Analisis!$J$8</f>
        <v>120.42082338598219</v>
      </c>
      <c r="AH1454" s="309">
        <f t="shared" si="179"/>
        <v>584.44897344697733</v>
      </c>
      <c r="AI1454" s="86">
        <f>+AH1454/(1-Analisis!G1165)</f>
        <v>584.44897344697733</v>
      </c>
      <c r="AJ1454" s="86">
        <f t="shared" si="180"/>
        <v>628.43975639459927</v>
      </c>
      <c r="AK1454" s="86">
        <f t="shared" si="181"/>
        <v>0</v>
      </c>
      <c r="AL1454" s="310" t="e">
        <f>+VLOOKUP(B1454,#REF!,2,FALSE)</f>
        <v>#REF!</v>
      </c>
      <c r="AM1454" s="311" t="e">
        <f t="shared" si="183"/>
        <v>#REF!</v>
      </c>
      <c r="AN1454" s="312" t="e">
        <f t="shared" si="182"/>
        <v>#REF!</v>
      </c>
    </row>
    <row r="1455" spans="1:40" s="73" customFormat="1" x14ac:dyDescent="0.25">
      <c r="A1455" s="396">
        <v>29</v>
      </c>
      <c r="B1455" s="304" t="s">
        <v>2011</v>
      </c>
      <c r="D1455" s="74">
        <f>IFERROR(VLOOKUP(B1455,'REQ. PINTADO'!B:C,2,0),0)</f>
        <v>0</v>
      </c>
      <c r="E1455" s="305">
        <f t="shared" si="172"/>
        <v>198.96423103149581</v>
      </c>
      <c r="F1455" s="397" t="s">
        <v>166</v>
      </c>
      <c r="G1455" s="75" t="s">
        <v>147</v>
      </c>
      <c r="H1455" s="90">
        <v>30.093</v>
      </c>
      <c r="I1455" s="90">
        <v>6.22</v>
      </c>
      <c r="J1455" s="76">
        <v>0.105</v>
      </c>
      <c r="K1455" s="306">
        <v>16.38</v>
      </c>
      <c r="L1455" s="78">
        <f t="shared" si="173"/>
        <v>5.6979657535135999</v>
      </c>
      <c r="M1455" s="58">
        <f>+VLOOKUP(F1455,Material!$H$2:$M$17,6,FALSE)*H1455*I1455*(1+Material!$K$14)</f>
        <v>42.423945019342156</v>
      </c>
      <c r="N1455" s="79" t="str">
        <f t="shared" si="401"/>
        <v>T5.0</v>
      </c>
      <c r="O1455" s="80">
        <f>+VLOOKUP(N1455,[3]Material!$A$3:$B$58,2,FALSE)</f>
        <v>5000</v>
      </c>
      <c r="P1455" s="79" t="s">
        <v>42</v>
      </c>
      <c r="Q1455" s="79" t="str">
        <f>+VLOOKUP(F1455,[3]Material!$C$2:$E$12,2,FALSE)</f>
        <v>Cal 16</v>
      </c>
      <c r="R1455" s="81">
        <f>+IF(P1455="ACERO A36",VLOOKUP(Q1455,'[3]Velocidades Std 1500 w'!$B$2:$F$15,5,FALSE),IF(P1455="INOXIDABLE",VLOOKUP(Q1455,'[3]Velocidades Std 1500 w'!$B$17:$F$28,5,FALSE),IF(P1455="ALUMINIO",VLOOKUP(Q1455,'[3]Velocidades Std 1500 w'!$B$30:$F$38,5,FALSE))))</f>
        <v>9.1575091575091579E-7</v>
      </c>
      <c r="S1455" s="82">
        <f t="shared" si="174"/>
        <v>4.578754578754579E-3</v>
      </c>
      <c r="T1455" s="83">
        <f t="shared" si="175"/>
        <v>6.7811552307692313</v>
      </c>
      <c r="U1455" s="307">
        <f t="shared" si="171"/>
        <v>2056.9504200000001</v>
      </c>
      <c r="V1455" s="80">
        <f t="shared" si="153"/>
        <v>9.4182711538461543</v>
      </c>
      <c r="W1455" s="98">
        <v>3</v>
      </c>
      <c r="X1455" s="84">
        <f>+IF(P1455="ACERO A36",VLOOKUP(Q1455,'[3]Tiempo Objeto'!$B$2:$C$12,2,FALSE),IF(P1455="INOXIDABLE",VLOOKUP(Q1455,'[3]Tiempo Objeto'!$B$14:$C$22,2,FALSE),IF(P1455="ALUMINIO",VLOOKUP(Q1455,'[3]Tiempo Objeto'!$B$24:$C$32,2,FALSE))))</f>
        <v>0.24666666666666667</v>
      </c>
      <c r="Y1455" s="84">
        <f t="shared" si="176"/>
        <v>0.74</v>
      </c>
      <c r="Z1455" s="80">
        <f t="shared" si="177"/>
        <v>1.0277777777777777</v>
      </c>
      <c r="AA1455" s="100">
        <v>4</v>
      </c>
      <c r="AB1455" s="86">
        <f>+AA1455*Analisis!$J$6</f>
        <v>100</v>
      </c>
      <c r="AC1455" s="100"/>
      <c r="AD1455" s="85">
        <f t="shared" si="178"/>
        <v>0</v>
      </c>
      <c r="AE1455" s="86">
        <f>+AC1455*Analisis!$J$7</f>
        <v>0</v>
      </c>
      <c r="AF1455" s="308">
        <f>+H1455*0.0254*I1455*0.0254*2*(1+[3]Analisis!$G$2)</f>
        <v>0.30190013813399996</v>
      </c>
      <c r="AG1455" s="86">
        <f>+AF1455*Analisis!$J$8</f>
        <v>32.166740908325004</v>
      </c>
      <c r="AH1455" s="309">
        <f t="shared" si="179"/>
        <v>185.0367348592911</v>
      </c>
      <c r="AI1455" s="86">
        <f>+AH1455/(1-Analisis!G1166)</f>
        <v>185.0367348592911</v>
      </c>
      <c r="AJ1455" s="86">
        <f t="shared" si="180"/>
        <v>198.96423103149581</v>
      </c>
      <c r="AK1455" s="86">
        <f t="shared" si="181"/>
        <v>0</v>
      </c>
      <c r="AL1455" s="310" t="e">
        <f>+VLOOKUP(B1455,#REF!,2,FALSE)</f>
        <v>#REF!</v>
      </c>
      <c r="AM1455" s="311" t="e">
        <f t="shared" si="183"/>
        <v>#REF!</v>
      </c>
      <c r="AN1455" s="312" t="e">
        <f t="shared" si="182"/>
        <v>#REF!</v>
      </c>
    </row>
    <row r="1456" spans="1:40" s="73" customFormat="1" x14ac:dyDescent="0.25">
      <c r="A1456" s="396">
        <v>30</v>
      </c>
      <c r="B1456" s="304" t="s">
        <v>2012</v>
      </c>
      <c r="D1456" s="74">
        <f>IFERROR(VLOOKUP(B1456,'REQ. PINTADO'!B:C,2,0),0)</f>
        <v>0</v>
      </c>
      <c r="E1456" s="305">
        <f t="shared" si="172"/>
        <v>665.42392942344725</v>
      </c>
      <c r="F1456" s="397" t="s">
        <v>166</v>
      </c>
      <c r="G1456" s="75" t="s">
        <v>147</v>
      </c>
      <c r="H1456" s="90">
        <v>30.076000000000001</v>
      </c>
      <c r="I1456" s="90">
        <v>31.206</v>
      </c>
      <c r="J1456" s="76">
        <v>0.105</v>
      </c>
      <c r="K1456" s="306">
        <v>16.38</v>
      </c>
      <c r="L1456" s="78">
        <f t="shared" si="173"/>
        <v>28.570783164854955</v>
      </c>
      <c r="M1456" s="58">
        <f>+VLOOKUP(F1456,Material!$H$2:$M$17,6,FALSE)*H1456*I1456*(1+Material!$K$14)</f>
        <v>212.72246738196549</v>
      </c>
      <c r="N1456" s="79" t="str">
        <f t="shared" si="401"/>
        <v>T5.0</v>
      </c>
      <c r="O1456" s="80">
        <f>+VLOOKUP(N1456,[3]Material!$A$3:$B$58,2,FALSE)</f>
        <v>5000</v>
      </c>
      <c r="P1456" s="79" t="s">
        <v>42</v>
      </c>
      <c r="Q1456" s="79" t="str">
        <f>+VLOOKUP(F1456,[3]Material!$C$2:$E$12,2,FALSE)</f>
        <v>Cal 16</v>
      </c>
      <c r="R1456" s="81">
        <f>+IF(P1456="ACERO A36",VLOOKUP(Q1456,'[3]Velocidades Std 1500 w'!$B$2:$F$15,5,FALSE),IF(P1456="INOXIDABLE",VLOOKUP(Q1456,'[3]Velocidades Std 1500 w'!$B$17:$F$28,5,FALSE),IF(P1456="ALUMINIO",VLOOKUP(Q1456,'[3]Velocidades Std 1500 w'!$B$30:$F$38,5,FALSE))))</f>
        <v>9.1575091575091579E-7</v>
      </c>
      <c r="S1456" s="82">
        <f t="shared" si="174"/>
        <v>4.578754578754579E-3</v>
      </c>
      <c r="T1456" s="83">
        <f t="shared" si="175"/>
        <v>43.351703999999998</v>
      </c>
      <c r="U1456" s="307">
        <f t="shared" si="171"/>
        <v>13150.016879999999</v>
      </c>
      <c r="V1456" s="80">
        <f t="shared" si="153"/>
        <v>60.210700000000003</v>
      </c>
      <c r="W1456" s="98">
        <v>247</v>
      </c>
      <c r="X1456" s="84">
        <f>+IF(P1456="ACERO A36",VLOOKUP(Q1456,'[3]Tiempo Objeto'!$B$2:$C$12,2,FALSE),IF(P1456="INOXIDABLE",VLOOKUP(Q1456,'[3]Tiempo Objeto'!$B$14:$C$22,2,FALSE),IF(P1456="ALUMINIO",VLOOKUP(Q1456,'[3]Tiempo Objeto'!$B$24:$C$32,2,FALSE))))</f>
        <v>0.24666666666666667</v>
      </c>
      <c r="Y1456" s="84">
        <f t="shared" si="176"/>
        <v>60.926666666666669</v>
      </c>
      <c r="Z1456" s="80">
        <f t="shared" si="177"/>
        <v>84.620370370370381</v>
      </c>
      <c r="AA1456" s="100">
        <v>4</v>
      </c>
      <c r="AB1456" s="86">
        <f>+AA1456*Analisis!$J$6</f>
        <v>100</v>
      </c>
      <c r="AC1456" s="100"/>
      <c r="AD1456" s="85">
        <f t="shared" si="178"/>
        <v>0</v>
      </c>
      <c r="AE1456" s="86">
        <f>+AC1456*Analisis!$J$7</f>
        <v>0</v>
      </c>
      <c r="AF1456" s="308">
        <f>+H1456*0.0254*I1456*0.0254*2*(1+[3]Analisis!$G$2)</f>
        <v>1.5137899659623999</v>
      </c>
      <c r="AG1456" s="86">
        <f>+AF1456*Analisis!$J$8</f>
        <v>161.29071661147003</v>
      </c>
      <c r="AH1456" s="309">
        <f t="shared" si="179"/>
        <v>618.84425436380593</v>
      </c>
      <c r="AI1456" s="86">
        <f>+AH1456/(1-Analisis!G1167)</f>
        <v>618.84425436380593</v>
      </c>
      <c r="AJ1456" s="86">
        <f t="shared" si="180"/>
        <v>665.42392942344725</v>
      </c>
      <c r="AK1456" s="86">
        <f t="shared" si="181"/>
        <v>0</v>
      </c>
      <c r="AL1456" s="310" t="e">
        <f>+VLOOKUP(B1456,#REF!,2,FALSE)</f>
        <v>#REF!</v>
      </c>
      <c r="AM1456" s="311" t="e">
        <f t="shared" si="183"/>
        <v>#REF!</v>
      </c>
      <c r="AN1456" s="312" t="e">
        <f t="shared" si="182"/>
        <v>#REF!</v>
      </c>
    </row>
    <row r="1457" spans="1:40" s="73" customFormat="1" x14ac:dyDescent="0.25">
      <c r="A1457" s="396">
        <v>31</v>
      </c>
      <c r="B1457" s="304" t="s">
        <v>2013</v>
      </c>
      <c r="D1457" s="74">
        <f>IFERROR(VLOOKUP(B1457,'REQ. PINTADO'!B:C,2,0),0)</f>
        <v>0</v>
      </c>
      <c r="E1457" s="305">
        <f t="shared" si="172"/>
        <v>636.62485413711852</v>
      </c>
      <c r="F1457" s="397" t="s">
        <v>163</v>
      </c>
      <c r="G1457" s="75" t="s">
        <v>147</v>
      </c>
      <c r="H1457" s="90">
        <v>21.08</v>
      </c>
      <c r="I1457" s="90">
        <v>35.700000000000003</v>
      </c>
      <c r="J1457" s="76">
        <v>0.105</v>
      </c>
      <c r="K1457" s="306">
        <v>16.38</v>
      </c>
      <c r="L1457" s="78">
        <f t="shared" si="173"/>
        <v>37.940326882096535</v>
      </c>
      <c r="M1457" s="58">
        <f>+VLOOKUP(F1457,Material!$H$2:$M$17,6,FALSE)*H1457*I1457*(1+Material!$K$14)</f>
        <v>282.48297924033693</v>
      </c>
      <c r="N1457" s="79" t="str">
        <f t="shared" si="401"/>
        <v>T5.0</v>
      </c>
      <c r="O1457" s="80">
        <f>+VLOOKUP(N1457,[3]Material!$A$3:$B$58,2,FALSE)</f>
        <v>5000</v>
      </c>
      <c r="P1457" s="79" t="s">
        <v>42</v>
      </c>
      <c r="Q1457" s="79" t="str">
        <f>+VLOOKUP(F1457,[3]Material!$C$2:$E$12,2,FALSE)</f>
        <v>Cal 12</v>
      </c>
      <c r="R1457" s="81">
        <f>+IF(P1457="ACERO A36",VLOOKUP(Q1457,'[3]Velocidades Std 1500 w'!$B$2:$F$15,5,FALSE),IF(P1457="INOXIDABLE",VLOOKUP(Q1457,'[3]Velocidades Std 1500 w'!$B$17:$F$28,5,FALSE),IF(P1457="ALUMINIO",VLOOKUP(Q1457,'[3]Velocidades Std 1500 w'!$B$30:$F$38,5,FALSE))))</f>
        <v>4.3859649122807014E-6</v>
      </c>
      <c r="S1457" s="82">
        <f t="shared" si="174"/>
        <v>2.1929824561403508E-2</v>
      </c>
      <c r="T1457" s="83">
        <f t="shared" si="175"/>
        <v>52.873976842105257</v>
      </c>
      <c r="U1457" s="307">
        <f t="shared" si="171"/>
        <v>3348.6851999999999</v>
      </c>
      <c r="V1457" s="80">
        <f t="shared" si="153"/>
        <v>73.436078947368415</v>
      </c>
      <c r="W1457" s="98">
        <v>8</v>
      </c>
      <c r="X1457" s="84">
        <f>+IF(P1457="ACERO A36",VLOOKUP(Q1457,'[3]Tiempo Objeto'!$B$2:$C$12,2,FALSE),IF(P1457="INOXIDABLE",VLOOKUP(Q1457,'[3]Tiempo Objeto'!$B$14:$C$22,2,FALSE),IF(P1457="ALUMINIO",VLOOKUP(Q1457,'[3]Tiempo Objeto'!$B$24:$C$32,2,FALSE))))</f>
        <v>0.6133333333333334</v>
      </c>
      <c r="Y1457" s="84">
        <f t="shared" si="176"/>
        <v>4.9066666666666672</v>
      </c>
      <c r="Z1457" s="80">
        <f t="shared" si="177"/>
        <v>6.8148148148148158</v>
      </c>
      <c r="AA1457" s="100">
        <v>4</v>
      </c>
      <c r="AB1457" s="86">
        <f>+AA1457*Analisis!$J$6</f>
        <v>100</v>
      </c>
      <c r="AC1457" s="100"/>
      <c r="AD1457" s="85">
        <f t="shared" si="178"/>
        <v>0</v>
      </c>
      <c r="AE1457" s="86">
        <f>+AC1457*Analisis!$J$7</f>
        <v>0</v>
      </c>
      <c r="AF1457" s="308">
        <f>+H1457*0.0254*I1457*0.0254*2*(1+[3]Analisis!$G$2)</f>
        <v>1.2137975723999999</v>
      </c>
      <c r="AG1457" s="86">
        <f>+AF1457*Analisis!$J$8</f>
        <v>129.32724134500003</v>
      </c>
      <c r="AH1457" s="309">
        <f t="shared" si="179"/>
        <v>592.06111434752017</v>
      </c>
      <c r="AI1457" s="86">
        <f>+AH1457/(1-Analisis!G1168)</f>
        <v>592.06111434752017</v>
      </c>
      <c r="AJ1457" s="86">
        <f t="shared" si="180"/>
        <v>636.62485413711852</v>
      </c>
      <c r="AK1457" s="86">
        <f t="shared" si="181"/>
        <v>0</v>
      </c>
      <c r="AL1457" s="310" t="e">
        <f>+VLOOKUP(B1457,#REF!,2,FALSE)</f>
        <v>#REF!</v>
      </c>
      <c r="AM1457" s="311" t="e">
        <f t="shared" si="183"/>
        <v>#REF!</v>
      </c>
      <c r="AN1457" s="312" t="e">
        <f t="shared" si="182"/>
        <v>#REF!</v>
      </c>
    </row>
    <row r="1458" spans="1:40" s="73" customFormat="1" x14ac:dyDescent="0.25">
      <c r="A1458" s="396">
        <v>32</v>
      </c>
      <c r="B1458" s="304" t="s">
        <v>2014</v>
      </c>
      <c r="D1458" s="74">
        <f>IFERROR(VLOOKUP(B1458,'REQ. PINTADO'!B:C,2,0),0)</f>
        <v>0</v>
      </c>
      <c r="E1458" s="305">
        <f t="shared" si="172"/>
        <v>676.62863887792025</v>
      </c>
      <c r="F1458" s="397" t="s">
        <v>163</v>
      </c>
      <c r="G1458" s="75" t="s">
        <v>147</v>
      </c>
      <c r="H1458" s="90">
        <v>18.579999999999998</v>
      </c>
      <c r="I1458" s="90">
        <v>43.7</v>
      </c>
      <c r="J1458" s="76">
        <v>0.105</v>
      </c>
      <c r="K1458" s="306">
        <v>16.38</v>
      </c>
      <c r="L1458" s="78">
        <f t="shared" si="173"/>
        <v>40.934490789536937</v>
      </c>
      <c r="M1458" s="58">
        <f>+VLOOKUP(F1458,Material!$H$2:$M$17,6,FALSE)*H1458*I1458*(1+Material!$K$14)</f>
        <v>304.77589051482494</v>
      </c>
      <c r="N1458" s="79" t="str">
        <f t="shared" si="401"/>
        <v>T5.0</v>
      </c>
      <c r="O1458" s="80">
        <f>+VLOOKUP(N1458,[3]Material!$A$3:$B$58,2,FALSE)</f>
        <v>5000</v>
      </c>
      <c r="P1458" s="79" t="s">
        <v>42</v>
      </c>
      <c r="Q1458" s="79" t="str">
        <f>+VLOOKUP(F1458,[3]Material!$C$2:$E$12,2,FALSE)</f>
        <v>Cal 12</v>
      </c>
      <c r="R1458" s="81">
        <f>+IF(P1458="ACERO A36",VLOOKUP(Q1458,'[3]Velocidades Std 1500 w'!$B$2:$F$15,5,FALSE),IF(P1458="INOXIDABLE",VLOOKUP(Q1458,'[3]Velocidades Std 1500 w'!$B$17:$F$28,5,FALSE),IF(P1458="ALUMINIO",VLOOKUP(Q1458,'[3]Velocidades Std 1500 w'!$B$30:$F$38,5,FALSE))))</f>
        <v>4.3859649122807014E-6</v>
      </c>
      <c r="S1458" s="82">
        <f t="shared" si="174"/>
        <v>2.1929824561403508E-2</v>
      </c>
      <c r="T1458" s="83">
        <f t="shared" si="175"/>
        <v>56.874476842105253</v>
      </c>
      <c r="U1458" s="307">
        <f t="shared" si="171"/>
        <v>3602.0502000000001</v>
      </c>
      <c r="V1458" s="80">
        <f t="shared" si="153"/>
        <v>78.992328947368421</v>
      </c>
      <c r="W1458" s="98">
        <v>7</v>
      </c>
      <c r="X1458" s="84">
        <f>+IF(P1458="ACERO A36",VLOOKUP(Q1458,'[3]Tiempo Objeto'!$B$2:$C$12,2,FALSE),IF(P1458="INOXIDABLE",VLOOKUP(Q1458,'[3]Tiempo Objeto'!$B$14:$C$22,2,FALSE),IF(P1458="ALUMINIO",VLOOKUP(Q1458,'[3]Tiempo Objeto'!$B$24:$C$32,2,FALSE))))</f>
        <v>0.6133333333333334</v>
      </c>
      <c r="Y1458" s="84">
        <f t="shared" si="176"/>
        <v>4.2933333333333339</v>
      </c>
      <c r="Z1458" s="80">
        <f t="shared" si="177"/>
        <v>5.9629629629629637</v>
      </c>
      <c r="AA1458" s="100">
        <v>4</v>
      </c>
      <c r="AB1458" s="86">
        <f>+AA1458*Analisis!$J$6</f>
        <v>100</v>
      </c>
      <c r="AC1458" s="100"/>
      <c r="AD1458" s="85">
        <f t="shared" si="178"/>
        <v>0</v>
      </c>
      <c r="AE1458" s="86">
        <f>+AC1458*Analisis!$J$7</f>
        <v>0</v>
      </c>
      <c r="AF1458" s="308">
        <f>+H1458*0.0254*I1458*0.0254*2*(1+[3]Analisis!$G$2)</f>
        <v>1.3095877033999996</v>
      </c>
      <c r="AG1458" s="86">
        <f>+AF1458*Analisis!$J$8</f>
        <v>139.53345173130953</v>
      </c>
      <c r="AH1458" s="309">
        <f t="shared" si="179"/>
        <v>629.26463415646583</v>
      </c>
      <c r="AI1458" s="86">
        <f>+AH1458/(1-Analisis!G1169)</f>
        <v>629.26463415646583</v>
      </c>
      <c r="AJ1458" s="86">
        <f t="shared" si="180"/>
        <v>676.62863887792025</v>
      </c>
      <c r="AK1458" s="86">
        <f t="shared" si="181"/>
        <v>0</v>
      </c>
      <c r="AL1458" s="310" t="e">
        <f>+VLOOKUP(B1458,#REF!,2,FALSE)</f>
        <v>#REF!</v>
      </c>
      <c r="AM1458" s="311" t="e">
        <f t="shared" si="183"/>
        <v>#REF!</v>
      </c>
      <c r="AN1458" s="312" t="e">
        <f t="shared" si="182"/>
        <v>#REF!</v>
      </c>
    </row>
    <row r="1459" spans="1:40" s="73" customFormat="1" x14ac:dyDescent="0.25">
      <c r="A1459" s="396"/>
      <c r="B1459" s="304" t="s">
        <v>2100</v>
      </c>
      <c r="D1459" s="74">
        <f>IFERROR(VLOOKUP(B1459,'REQ. PINTADO'!B:C,2,0),0)</f>
        <v>0</v>
      </c>
      <c r="E1459" s="305">
        <f t="shared" si="172"/>
        <v>450.46037085438491</v>
      </c>
      <c r="F1459" s="397" t="s">
        <v>166</v>
      </c>
      <c r="G1459" s="75" t="s">
        <v>147</v>
      </c>
      <c r="H1459" s="90">
        <v>30.08</v>
      </c>
      <c r="I1459" s="90">
        <v>8.7100000000000009</v>
      </c>
      <c r="J1459" s="76">
        <v>0.105</v>
      </c>
      <c r="K1459" s="306">
        <v>16.38</v>
      </c>
      <c r="L1459" s="78">
        <f t="shared" si="173"/>
        <v>7.9755373237398794</v>
      </c>
      <c r="M1459" s="58">
        <f>+VLOOKUP(F1459,Material!$H$2:$M$17,6,FALSE)*H1459*I1459*(1+Material!$K$14)</f>
        <v>59.38150061948145</v>
      </c>
      <c r="N1459" s="79" t="str">
        <f t="shared" si="401"/>
        <v>T5.0</v>
      </c>
      <c r="O1459" s="80">
        <f>+VLOOKUP(N1459,[3]Material!$A$3:$B$58,2,FALSE)</f>
        <v>5000</v>
      </c>
      <c r="P1459" s="79" t="s">
        <v>42</v>
      </c>
      <c r="Q1459" s="79" t="str">
        <f>+VLOOKUP(F1459,[3]Material!$C$2:$E$12,2,FALSE)</f>
        <v>Cal 16</v>
      </c>
      <c r="R1459" s="81">
        <f>+IF(P1459="ACERO A36",VLOOKUP(Q1459,'[3]Velocidades Std 1500 w'!$B$2:$F$15,5,FALSE),IF(P1459="INOXIDABLE",VLOOKUP(Q1459,'[3]Velocidades Std 1500 w'!$B$17:$F$28,5,FALSE),IF(P1459="ALUMINIO",VLOOKUP(Q1459,'[3]Velocidades Std 1500 w'!$B$30:$F$38,5,FALSE))))</f>
        <v>9.1575091575091579E-7</v>
      </c>
      <c r="S1459" s="82">
        <f t="shared" si="174"/>
        <v>4.578754578754579E-3</v>
      </c>
      <c r="T1459" s="83">
        <f t="shared" si="175"/>
        <v>58.256072307692314</v>
      </c>
      <c r="U1459" s="307">
        <f t="shared" si="171"/>
        <v>17671.008600000001</v>
      </c>
      <c r="V1459" s="80">
        <f t="shared" si="153"/>
        <v>80.911211538461544</v>
      </c>
      <c r="W1459" s="98">
        <v>390</v>
      </c>
      <c r="X1459" s="84">
        <f>+IF(P1459="ACERO A36",VLOOKUP(Q1459,'[3]Tiempo Objeto'!$B$2:$C$12,2,FALSE),IF(P1459="INOXIDABLE",VLOOKUP(Q1459,'[3]Tiempo Objeto'!$B$14:$C$22,2,FALSE),IF(P1459="ALUMINIO",VLOOKUP(Q1459,'[3]Tiempo Objeto'!$B$24:$C$32,2,FALSE))))</f>
        <v>0.24666666666666667</v>
      </c>
      <c r="Y1459" s="84">
        <f t="shared" si="176"/>
        <v>96.2</v>
      </c>
      <c r="Z1459" s="80">
        <f t="shared" si="177"/>
        <v>133.61111111111111</v>
      </c>
      <c r="AA1459" s="100">
        <v>4</v>
      </c>
      <c r="AB1459" s="86">
        <f>+AA1459*Analisis!$J$6</f>
        <v>100</v>
      </c>
      <c r="AC1459" s="100"/>
      <c r="AD1459" s="85">
        <f t="shared" si="178"/>
        <v>0</v>
      </c>
      <c r="AE1459" s="86">
        <f>+AC1459*Analisis!$J$7</f>
        <v>0</v>
      </c>
      <c r="AF1459" s="308">
        <f>+H1459*0.0254*I1459*0.0254*2*(1+[3]Analisis!$G$2)</f>
        <v>0.42257463871999995</v>
      </c>
      <c r="AG1459" s="86">
        <f>+AF1459*Analisis!$J$8</f>
        <v>45.024321625523818</v>
      </c>
      <c r="AH1459" s="309">
        <f t="shared" si="179"/>
        <v>418.92814489457794</v>
      </c>
      <c r="AI1459" s="86">
        <f>+AH1459/(1-Analisis!G1170)</f>
        <v>418.92814489457794</v>
      </c>
      <c r="AJ1459" s="86">
        <f t="shared" si="180"/>
        <v>450.46037085438491</v>
      </c>
      <c r="AK1459" s="86">
        <f t="shared" si="181"/>
        <v>0</v>
      </c>
      <c r="AL1459" s="310" t="e">
        <f>+VLOOKUP(B1459,#REF!,2,FALSE)</f>
        <v>#REF!</v>
      </c>
      <c r="AM1459" s="311" t="e">
        <f t="shared" si="183"/>
        <v>#REF!</v>
      </c>
      <c r="AN1459" s="312" t="e">
        <f t="shared" si="182"/>
        <v>#REF!</v>
      </c>
    </row>
    <row r="1460" spans="1:40" s="73" customFormat="1" x14ac:dyDescent="0.25">
      <c r="A1460" s="396">
        <v>33</v>
      </c>
      <c r="B1460" s="304" t="s">
        <v>2015</v>
      </c>
      <c r="D1460" s="74">
        <f>IFERROR(VLOOKUP(B1460,'REQ. PINTADO'!B:C,2,0),0)</f>
        <v>0</v>
      </c>
      <c r="E1460" s="305">
        <f t="shared" ref="E1460:E1469" si="402">+AJ1460</f>
        <v>474.42920316895822</v>
      </c>
      <c r="F1460" s="397" t="s">
        <v>166</v>
      </c>
      <c r="G1460" s="75" t="s">
        <v>147</v>
      </c>
      <c r="H1460" s="90">
        <v>36.08</v>
      </c>
      <c r="I1460" s="90">
        <v>8.7100000000000009</v>
      </c>
      <c r="J1460" s="76">
        <v>0.105</v>
      </c>
      <c r="K1460" s="306">
        <v>16.38</v>
      </c>
      <c r="L1460" s="78">
        <f t="shared" ref="L1460:L1469" si="403">+M1460*2.2/K1460</f>
        <v>9.5664024814007593</v>
      </c>
      <c r="M1460" s="58">
        <f>+VLOOKUP(F1460,Material!$H$2:$M$17,6,FALSE)*H1460*I1460*(1+Material!$K$14)</f>
        <v>71.226214838792913</v>
      </c>
      <c r="N1460" s="79" t="str">
        <f t="shared" si="401"/>
        <v>T5.0</v>
      </c>
      <c r="O1460" s="80">
        <f>+VLOOKUP(N1460,[3]Material!$A$3:$B$58,2,FALSE)</f>
        <v>5000</v>
      </c>
      <c r="P1460" s="79" t="s">
        <v>42</v>
      </c>
      <c r="Q1460" s="79" t="str">
        <f>+VLOOKUP(F1460,[3]Material!$C$2:$E$12,2,FALSE)</f>
        <v>Cal 16</v>
      </c>
      <c r="R1460" s="81">
        <f>+IF(P1460="ACERO A36",VLOOKUP(Q1460,'[3]Velocidades Std 1500 w'!$B$2:$F$15,5,FALSE),IF(P1460="INOXIDABLE",VLOOKUP(Q1460,'[3]Velocidades Std 1500 w'!$B$17:$F$28,5,FALSE),IF(P1460="ALUMINIO",VLOOKUP(Q1460,'[3]Velocidades Std 1500 w'!$B$30:$F$38,5,FALSE))))</f>
        <v>9.1575091575091579E-7</v>
      </c>
      <c r="S1460" s="82">
        <f t="shared" ref="S1460:S1469" si="404">+R1460*O1460</f>
        <v>4.578754578754579E-3</v>
      </c>
      <c r="T1460" s="83">
        <f t="shared" ref="T1460:T1469" si="405">+R1460*U1460*3600</f>
        <v>59.311149230769225</v>
      </c>
      <c r="U1460" s="307">
        <f t="shared" ref="U1460:U1469" si="406">(+I1460*2+H1460*2+W1460*1.5)*25.4*1.05</f>
        <v>17991.048599999998</v>
      </c>
      <c r="V1460" s="80">
        <f t="shared" ref="V1460:V1469" si="407">+U1460*S1460</f>
        <v>82.376596153846151</v>
      </c>
      <c r="W1460" s="98">
        <v>390</v>
      </c>
      <c r="X1460" s="84">
        <f>+IF(P1460="ACERO A36",VLOOKUP(Q1460,'[3]Tiempo Objeto'!$B$2:$C$12,2,FALSE),IF(P1460="INOXIDABLE",VLOOKUP(Q1460,'[3]Tiempo Objeto'!$B$14:$C$22,2,FALSE),IF(P1460="ALUMINIO",VLOOKUP(Q1460,'[3]Tiempo Objeto'!$B$24:$C$32,2,FALSE))))</f>
        <v>0.24666666666666667</v>
      </c>
      <c r="Y1460" s="84">
        <f t="shared" ref="Y1460:Y1469" si="408">+X1460*W1460</f>
        <v>96.2</v>
      </c>
      <c r="Z1460" s="80">
        <f t="shared" ref="Z1460:Z1469" si="409">+Y1460*O1460/3600</f>
        <v>133.61111111111111</v>
      </c>
      <c r="AA1460" s="100">
        <v>4</v>
      </c>
      <c r="AB1460" s="86">
        <f>+AA1460*Analisis!$J$6</f>
        <v>100</v>
      </c>
      <c r="AC1460" s="100"/>
      <c r="AD1460" s="85">
        <f t="shared" ref="AD1460:AD1469" si="410">30*AC1460+AC1460*$D1460*1.5</f>
        <v>0</v>
      </c>
      <c r="AE1460" s="86">
        <f>+AC1460*Analisis!$J$7</f>
        <v>0</v>
      </c>
      <c r="AF1460" s="308">
        <f>+H1460*0.0254*I1460*0.0254*2*(1+[3]Analisis!$G$2)</f>
        <v>0.50686479271999996</v>
      </c>
      <c r="AG1460" s="86">
        <f>+AF1460*Analisis!$J$8</f>
        <v>54.005236843380963</v>
      </c>
      <c r="AH1460" s="309">
        <f t="shared" ref="AH1460:AH1469" si="411">+AE1460+AB1460+Z1460+V1460+M1460+AG1460</f>
        <v>441.21915894713112</v>
      </c>
      <c r="AI1460" s="86">
        <f>+AH1460/(1-Analisis!G1171)</f>
        <v>441.21915894713112</v>
      </c>
      <c r="AJ1460" s="86">
        <f t="shared" ref="AJ1460:AJ1469" si="412">+AI1460/(1-0.07)</f>
        <v>474.42920316895822</v>
      </c>
      <c r="AK1460" s="86">
        <f t="shared" ref="AK1460:AK1469" si="413">+AJ1460*D1460</f>
        <v>0</v>
      </c>
      <c r="AL1460" s="310" t="e">
        <f>+VLOOKUP(B1460,#REF!,2,FALSE)</f>
        <v>#REF!</v>
      </c>
      <c r="AM1460" s="311" t="e">
        <f t="shared" ref="AM1460:AM1469" si="414">+AL1460-E1460</f>
        <v>#REF!</v>
      </c>
      <c r="AN1460" s="312" t="e">
        <f t="shared" ref="AN1460:AN1469" si="415">+AM1460/AL1460</f>
        <v>#REF!</v>
      </c>
    </row>
    <row r="1461" spans="1:40" s="73" customFormat="1" x14ac:dyDescent="0.25">
      <c r="A1461" s="396"/>
      <c r="B1461" s="304" t="s">
        <v>2101</v>
      </c>
      <c r="D1461" s="74">
        <f>IFERROR(VLOOKUP(B1461,'REQ. PINTADO'!B:C,2,0),0)</f>
        <v>0</v>
      </c>
      <c r="E1461" s="305">
        <f t="shared" si="402"/>
        <v>506.38764625505604</v>
      </c>
      <c r="F1461" s="397" t="s">
        <v>166</v>
      </c>
      <c r="G1461" s="75" t="s">
        <v>147</v>
      </c>
      <c r="H1461" s="90">
        <v>44.08</v>
      </c>
      <c r="I1461" s="90">
        <v>8.7100000000000009</v>
      </c>
      <c r="J1461" s="76">
        <v>0.105</v>
      </c>
      <c r="K1461" s="306">
        <v>16.38</v>
      </c>
      <c r="L1461" s="78">
        <f t="shared" si="403"/>
        <v>11.687556024948597</v>
      </c>
      <c r="M1461" s="58">
        <f>+VLOOKUP(F1461,Material!$H$2:$M$17,6,FALSE)*H1461*I1461*(1+Material!$K$14)</f>
        <v>87.019167131208178</v>
      </c>
      <c r="N1461" s="79" t="str">
        <f t="shared" si="401"/>
        <v>T5.0</v>
      </c>
      <c r="O1461" s="80">
        <f>+VLOOKUP(N1461,[3]Material!$A$3:$B$58,2,FALSE)</f>
        <v>5000</v>
      </c>
      <c r="P1461" s="79" t="s">
        <v>42</v>
      </c>
      <c r="Q1461" s="79" t="str">
        <f>+VLOOKUP(F1461,[3]Material!$C$2:$E$12,2,FALSE)</f>
        <v>Cal 16</v>
      </c>
      <c r="R1461" s="81">
        <f>+IF(P1461="ACERO A36",VLOOKUP(Q1461,'[3]Velocidades Std 1500 w'!$B$2:$F$15,5,FALSE),IF(P1461="INOXIDABLE",VLOOKUP(Q1461,'[3]Velocidades Std 1500 w'!$B$17:$F$28,5,FALSE),IF(P1461="ALUMINIO",VLOOKUP(Q1461,'[3]Velocidades Std 1500 w'!$B$30:$F$38,5,FALSE))))</f>
        <v>9.1575091575091579E-7</v>
      </c>
      <c r="S1461" s="82">
        <f t="shared" si="404"/>
        <v>4.578754578754579E-3</v>
      </c>
      <c r="T1461" s="83">
        <f t="shared" si="405"/>
        <v>60.71791846153846</v>
      </c>
      <c r="U1461" s="307">
        <f t="shared" si="406"/>
        <v>18417.768599999999</v>
      </c>
      <c r="V1461" s="80">
        <f t="shared" si="407"/>
        <v>84.330442307692309</v>
      </c>
      <c r="W1461" s="98">
        <v>390</v>
      </c>
      <c r="X1461" s="84">
        <f>+IF(P1461="ACERO A36",VLOOKUP(Q1461,'[3]Tiempo Objeto'!$B$2:$C$12,2,FALSE),IF(P1461="INOXIDABLE",VLOOKUP(Q1461,'[3]Tiempo Objeto'!$B$14:$C$22,2,FALSE),IF(P1461="ALUMINIO",VLOOKUP(Q1461,'[3]Tiempo Objeto'!$B$24:$C$32,2,FALSE))))</f>
        <v>0.24666666666666667</v>
      </c>
      <c r="Y1461" s="84">
        <f t="shared" si="408"/>
        <v>96.2</v>
      </c>
      <c r="Z1461" s="80">
        <f t="shared" si="409"/>
        <v>133.61111111111111</v>
      </c>
      <c r="AA1461" s="100">
        <v>4</v>
      </c>
      <c r="AB1461" s="86">
        <f>+AA1461*Analisis!$J$6</f>
        <v>100</v>
      </c>
      <c r="AC1461" s="100"/>
      <c r="AD1461" s="85">
        <f t="shared" si="410"/>
        <v>0</v>
      </c>
      <c r="AE1461" s="86">
        <f>+AC1461*Analisis!$J$7</f>
        <v>0</v>
      </c>
      <c r="AF1461" s="308">
        <f>+H1461*0.0254*I1461*0.0254*2*(1+[3]Analisis!$G$2)</f>
        <v>0.61925166472000004</v>
      </c>
      <c r="AG1461" s="86">
        <f>+AF1461*Analisis!$J$8</f>
        <v>65.979790467190497</v>
      </c>
      <c r="AH1461" s="309">
        <f t="shared" si="411"/>
        <v>470.94051101720208</v>
      </c>
      <c r="AI1461" s="86">
        <f>+AH1461/(1-Analisis!G1172)</f>
        <v>470.94051101720208</v>
      </c>
      <c r="AJ1461" s="86">
        <f t="shared" si="412"/>
        <v>506.38764625505604</v>
      </c>
      <c r="AK1461" s="86">
        <f t="shared" si="413"/>
        <v>0</v>
      </c>
      <c r="AL1461" s="310" t="e">
        <f>+VLOOKUP(B1461,#REF!,2,FALSE)</f>
        <v>#REF!</v>
      </c>
      <c r="AM1461" s="311" t="e">
        <f t="shared" si="414"/>
        <v>#REF!</v>
      </c>
      <c r="AN1461" s="312" t="e">
        <f t="shared" si="415"/>
        <v>#REF!</v>
      </c>
    </row>
    <row r="1462" spans="1:40" s="73" customFormat="1" x14ac:dyDescent="0.25">
      <c r="A1462" s="396"/>
      <c r="B1462" s="304" t="s">
        <v>2102</v>
      </c>
      <c r="D1462" s="74">
        <f>IFERROR(VLOOKUP(B1462,'REQ. PINTADO'!B:C,2,0),0)</f>
        <v>0</v>
      </c>
      <c r="E1462" s="305">
        <f t="shared" si="402"/>
        <v>530.35647856962942</v>
      </c>
      <c r="F1462" s="397" t="s">
        <v>166</v>
      </c>
      <c r="G1462" s="75" t="s">
        <v>147</v>
      </c>
      <c r="H1462" s="90">
        <v>50.08</v>
      </c>
      <c r="I1462" s="90">
        <v>8.7100000000000009</v>
      </c>
      <c r="J1462" s="76">
        <v>0.105</v>
      </c>
      <c r="K1462" s="306">
        <v>16.38</v>
      </c>
      <c r="L1462" s="78">
        <f t="shared" si="403"/>
        <v>13.278421182609478</v>
      </c>
      <c r="M1462" s="58">
        <f>+VLOOKUP(F1462,Material!$H$2:$M$17,6,FALSE)*H1462*I1462*(1+Material!$K$14)</f>
        <v>98.863881350519648</v>
      </c>
      <c r="N1462" s="79" t="str">
        <f t="shared" si="401"/>
        <v>T5.0</v>
      </c>
      <c r="O1462" s="80">
        <f>+VLOOKUP(N1462,[3]Material!$A$3:$B$58,2,FALSE)</f>
        <v>5000</v>
      </c>
      <c r="P1462" s="79" t="s">
        <v>42</v>
      </c>
      <c r="Q1462" s="79" t="str">
        <f>+VLOOKUP(F1462,[3]Material!$C$2:$E$12,2,FALSE)</f>
        <v>Cal 16</v>
      </c>
      <c r="R1462" s="81">
        <f>+IF(P1462="ACERO A36",VLOOKUP(Q1462,'[3]Velocidades Std 1500 w'!$B$2:$F$15,5,FALSE),IF(P1462="INOXIDABLE",VLOOKUP(Q1462,'[3]Velocidades Std 1500 w'!$B$17:$F$28,5,FALSE),IF(P1462="ALUMINIO",VLOOKUP(Q1462,'[3]Velocidades Std 1500 w'!$B$30:$F$38,5,FALSE))))</f>
        <v>9.1575091575091579E-7</v>
      </c>
      <c r="S1462" s="82">
        <f t="shared" si="404"/>
        <v>4.578754578754579E-3</v>
      </c>
      <c r="T1462" s="83">
        <f t="shared" si="405"/>
        <v>61.772995384615385</v>
      </c>
      <c r="U1462" s="307">
        <f t="shared" si="406"/>
        <v>18737.8086</v>
      </c>
      <c r="V1462" s="80">
        <f t="shared" si="407"/>
        <v>85.79582692307693</v>
      </c>
      <c r="W1462" s="98">
        <v>390</v>
      </c>
      <c r="X1462" s="84">
        <f>+IF(P1462="ACERO A36",VLOOKUP(Q1462,'[3]Tiempo Objeto'!$B$2:$C$12,2,FALSE),IF(P1462="INOXIDABLE",VLOOKUP(Q1462,'[3]Tiempo Objeto'!$B$14:$C$22,2,FALSE),IF(P1462="ALUMINIO",VLOOKUP(Q1462,'[3]Tiempo Objeto'!$B$24:$C$32,2,FALSE))))</f>
        <v>0.24666666666666667</v>
      </c>
      <c r="Y1462" s="84">
        <f t="shared" si="408"/>
        <v>96.2</v>
      </c>
      <c r="Z1462" s="80">
        <f t="shared" si="409"/>
        <v>133.61111111111111</v>
      </c>
      <c r="AA1462" s="100">
        <v>4</v>
      </c>
      <c r="AB1462" s="86">
        <f>+AA1462*Analisis!$J$6</f>
        <v>100</v>
      </c>
      <c r="AC1462" s="100"/>
      <c r="AD1462" s="85">
        <f t="shared" si="410"/>
        <v>0</v>
      </c>
      <c r="AE1462" s="86">
        <f>+AC1462*Analisis!$J$7</f>
        <v>0</v>
      </c>
      <c r="AF1462" s="308">
        <f>+H1462*0.0254*I1462*0.0254*2*(1+[3]Analisis!$G$2)</f>
        <v>0.70354181871999999</v>
      </c>
      <c r="AG1462" s="86">
        <f>+AF1462*Analisis!$J$8</f>
        <v>74.960705685047643</v>
      </c>
      <c r="AH1462" s="309">
        <f t="shared" si="411"/>
        <v>493.23152506975532</v>
      </c>
      <c r="AI1462" s="86">
        <f>+AH1462/(1-Analisis!G1173)</f>
        <v>493.23152506975532</v>
      </c>
      <c r="AJ1462" s="86">
        <f t="shared" si="412"/>
        <v>530.35647856962942</v>
      </c>
      <c r="AK1462" s="86">
        <f t="shared" si="413"/>
        <v>0</v>
      </c>
      <c r="AL1462" s="310" t="e">
        <f>+VLOOKUP(B1462,#REF!,2,FALSE)</f>
        <v>#REF!</v>
      </c>
      <c r="AM1462" s="311" t="e">
        <f t="shared" si="414"/>
        <v>#REF!</v>
      </c>
      <c r="AN1462" s="312" t="e">
        <f t="shared" si="415"/>
        <v>#REF!</v>
      </c>
    </row>
    <row r="1463" spans="1:40" s="73" customFormat="1" x14ac:dyDescent="0.25">
      <c r="A1463" s="396"/>
      <c r="B1463" s="304" t="s">
        <v>2103</v>
      </c>
      <c r="D1463" s="74">
        <f>IFERROR(VLOOKUP(B1463,'REQ. PINTADO'!B:C,2,0),0)</f>
        <v>0</v>
      </c>
      <c r="E1463" s="305">
        <f t="shared" si="402"/>
        <v>514.37725702658054</v>
      </c>
      <c r="F1463" s="397" t="s">
        <v>166</v>
      </c>
      <c r="G1463" s="75" t="s">
        <v>147</v>
      </c>
      <c r="H1463" s="90">
        <v>46.08</v>
      </c>
      <c r="I1463" s="90">
        <v>8.7100000000000009</v>
      </c>
      <c r="J1463" s="76">
        <v>0.105</v>
      </c>
      <c r="K1463" s="306">
        <v>16.38</v>
      </c>
      <c r="L1463" s="78">
        <f t="shared" si="403"/>
        <v>12.217844410835557</v>
      </c>
      <c r="M1463" s="58">
        <f>+VLOOKUP(F1463,Material!$H$2:$M$17,6,FALSE)*H1463*I1463*(1+Material!$K$14)</f>
        <v>90.967405204312001</v>
      </c>
      <c r="N1463" s="79" t="str">
        <f t="shared" si="401"/>
        <v>T5.0</v>
      </c>
      <c r="O1463" s="80">
        <f>+VLOOKUP(N1463,[3]Material!$A$3:$B$58,2,FALSE)</f>
        <v>5000</v>
      </c>
      <c r="P1463" s="79" t="s">
        <v>42</v>
      </c>
      <c r="Q1463" s="79" t="str">
        <f>+VLOOKUP(F1463,[3]Material!$C$2:$E$12,2,FALSE)</f>
        <v>Cal 16</v>
      </c>
      <c r="R1463" s="81">
        <f>+IF(P1463="ACERO A36",VLOOKUP(Q1463,'[3]Velocidades Std 1500 w'!$B$2:$F$15,5,FALSE),IF(P1463="INOXIDABLE",VLOOKUP(Q1463,'[3]Velocidades Std 1500 w'!$B$17:$F$28,5,FALSE),IF(P1463="ALUMINIO",VLOOKUP(Q1463,'[3]Velocidades Std 1500 w'!$B$30:$F$38,5,FALSE))))</f>
        <v>9.1575091575091579E-7</v>
      </c>
      <c r="S1463" s="82">
        <f t="shared" si="404"/>
        <v>4.578754578754579E-3</v>
      </c>
      <c r="T1463" s="83">
        <f t="shared" si="405"/>
        <v>61.069610769230771</v>
      </c>
      <c r="U1463" s="307">
        <f t="shared" si="406"/>
        <v>18524.4486</v>
      </c>
      <c r="V1463" s="80">
        <f t="shared" si="407"/>
        <v>84.818903846153844</v>
      </c>
      <c r="W1463" s="98">
        <v>390</v>
      </c>
      <c r="X1463" s="84">
        <f>+IF(P1463="ACERO A36",VLOOKUP(Q1463,'[3]Tiempo Objeto'!$B$2:$C$12,2,FALSE),IF(P1463="INOXIDABLE",VLOOKUP(Q1463,'[3]Tiempo Objeto'!$B$14:$C$22,2,FALSE),IF(P1463="ALUMINIO",VLOOKUP(Q1463,'[3]Tiempo Objeto'!$B$24:$C$32,2,FALSE))))</f>
        <v>0.24666666666666667</v>
      </c>
      <c r="Y1463" s="84">
        <f t="shared" si="408"/>
        <v>96.2</v>
      </c>
      <c r="Z1463" s="80">
        <f t="shared" si="409"/>
        <v>133.61111111111111</v>
      </c>
      <c r="AA1463" s="100">
        <v>4</v>
      </c>
      <c r="AB1463" s="86">
        <f>+AA1463*Analisis!$J$6</f>
        <v>100</v>
      </c>
      <c r="AC1463" s="100"/>
      <c r="AD1463" s="85">
        <f t="shared" si="410"/>
        <v>0</v>
      </c>
      <c r="AE1463" s="86">
        <f>+AC1463*Analisis!$J$7</f>
        <v>0</v>
      </c>
      <c r="AF1463" s="308">
        <f>+H1463*0.0254*I1463*0.0254*2*(1+[3]Analisis!$G$2)</f>
        <v>0.64734838271999995</v>
      </c>
      <c r="AG1463" s="86">
        <f>+AF1463*Analisis!$J$8</f>
        <v>68.973428873142879</v>
      </c>
      <c r="AH1463" s="309">
        <f t="shared" si="411"/>
        <v>478.37084903471987</v>
      </c>
      <c r="AI1463" s="86">
        <f>+AH1463/(1-Analisis!G1174)</f>
        <v>478.37084903471987</v>
      </c>
      <c r="AJ1463" s="86">
        <f t="shared" si="412"/>
        <v>514.37725702658054</v>
      </c>
      <c r="AK1463" s="86">
        <f t="shared" si="413"/>
        <v>0</v>
      </c>
      <c r="AL1463" s="310" t="e">
        <f>+VLOOKUP(B1463,#REF!,2,FALSE)</f>
        <v>#REF!</v>
      </c>
      <c r="AM1463" s="311" t="e">
        <f t="shared" si="414"/>
        <v>#REF!</v>
      </c>
      <c r="AN1463" s="312" t="e">
        <f t="shared" si="415"/>
        <v>#REF!</v>
      </c>
    </row>
    <row r="1464" spans="1:40" s="73" customFormat="1" x14ac:dyDescent="0.25">
      <c r="A1464" s="396"/>
      <c r="B1464" s="304" t="s">
        <v>2104</v>
      </c>
      <c r="D1464" s="74">
        <f>IFERROR(VLOOKUP(B1464,'REQ. PINTADO'!B:C,2,0),0)</f>
        <v>0</v>
      </c>
      <c r="E1464" s="305">
        <f t="shared" si="402"/>
        <v>394.53309545371371</v>
      </c>
      <c r="F1464" s="397" t="s">
        <v>166</v>
      </c>
      <c r="G1464" s="75" t="s">
        <v>147</v>
      </c>
      <c r="H1464" s="90">
        <v>16.079999999999998</v>
      </c>
      <c r="I1464" s="90">
        <v>8.7100000000000009</v>
      </c>
      <c r="J1464" s="76">
        <v>0.105</v>
      </c>
      <c r="K1464" s="306">
        <v>16.38</v>
      </c>
      <c r="L1464" s="78">
        <f t="shared" si="403"/>
        <v>4.2635186225311585</v>
      </c>
      <c r="M1464" s="58">
        <f>+VLOOKUP(F1464,Material!$H$2:$M$17,6,FALSE)*H1464*I1464*(1+Material!$K$14)</f>
        <v>31.743834107754708</v>
      </c>
      <c r="N1464" s="79" t="str">
        <f t="shared" si="401"/>
        <v>T5.0</v>
      </c>
      <c r="O1464" s="80">
        <f>+VLOOKUP(N1464,[3]Material!$A$3:$B$58,2,FALSE)</f>
        <v>5000</v>
      </c>
      <c r="P1464" s="79" t="s">
        <v>42</v>
      </c>
      <c r="Q1464" s="79" t="str">
        <f>+VLOOKUP(F1464,[3]Material!$C$2:$E$12,2,FALSE)</f>
        <v>Cal 16</v>
      </c>
      <c r="R1464" s="81">
        <f>+IF(P1464="ACERO A36",VLOOKUP(Q1464,'[3]Velocidades Std 1500 w'!$B$2:$F$15,5,FALSE),IF(P1464="INOXIDABLE",VLOOKUP(Q1464,'[3]Velocidades Std 1500 w'!$B$17:$F$28,5,FALSE),IF(P1464="ALUMINIO",VLOOKUP(Q1464,'[3]Velocidades Std 1500 w'!$B$30:$F$38,5,FALSE))))</f>
        <v>9.1575091575091579E-7</v>
      </c>
      <c r="S1464" s="82">
        <f t="shared" si="404"/>
        <v>4.578754578754579E-3</v>
      </c>
      <c r="T1464" s="83">
        <f t="shared" si="405"/>
        <v>55.794226153846168</v>
      </c>
      <c r="U1464" s="307">
        <f t="shared" si="406"/>
        <v>16924.248600000003</v>
      </c>
      <c r="V1464" s="80">
        <f t="shared" si="407"/>
        <v>77.491980769230778</v>
      </c>
      <c r="W1464" s="98">
        <v>390</v>
      </c>
      <c r="X1464" s="84">
        <f>+IF(P1464="ACERO A36",VLOOKUP(Q1464,'[3]Tiempo Objeto'!$B$2:$C$12,2,FALSE),IF(P1464="INOXIDABLE",VLOOKUP(Q1464,'[3]Tiempo Objeto'!$B$14:$C$22,2,FALSE),IF(P1464="ALUMINIO",VLOOKUP(Q1464,'[3]Tiempo Objeto'!$B$24:$C$32,2,FALSE))))</f>
        <v>0.24666666666666667</v>
      </c>
      <c r="Y1464" s="84">
        <f t="shared" si="408"/>
        <v>96.2</v>
      </c>
      <c r="Z1464" s="80">
        <f t="shared" si="409"/>
        <v>133.61111111111111</v>
      </c>
      <c r="AA1464" s="100">
        <v>4</v>
      </c>
      <c r="AB1464" s="86">
        <f>+AA1464*Analisis!$J$6</f>
        <v>100</v>
      </c>
      <c r="AC1464" s="100"/>
      <c r="AD1464" s="85">
        <f t="shared" si="410"/>
        <v>0</v>
      </c>
      <c r="AE1464" s="86">
        <f>+AC1464*Analisis!$J$7</f>
        <v>0</v>
      </c>
      <c r="AF1464" s="308">
        <f>+H1464*0.0254*I1464*0.0254*2*(1+[3]Analisis!$G$2)</f>
        <v>0.22589761271999997</v>
      </c>
      <c r="AG1464" s="86">
        <f>+AF1464*Analisis!$J$8</f>
        <v>24.068852783857146</v>
      </c>
      <c r="AH1464" s="309">
        <f t="shared" si="411"/>
        <v>366.91577877195374</v>
      </c>
      <c r="AI1464" s="86">
        <f>+AH1464/(1-Analisis!G1175)</f>
        <v>366.91577877195374</v>
      </c>
      <c r="AJ1464" s="86">
        <f t="shared" si="412"/>
        <v>394.53309545371371</v>
      </c>
      <c r="AK1464" s="86">
        <f t="shared" si="413"/>
        <v>0</v>
      </c>
      <c r="AL1464" s="310" t="e">
        <f>+VLOOKUP(B1464,#REF!,2,FALSE)</f>
        <v>#REF!</v>
      </c>
      <c r="AM1464" s="311" t="e">
        <f t="shared" si="414"/>
        <v>#REF!</v>
      </c>
      <c r="AN1464" s="312" t="e">
        <f t="shared" si="415"/>
        <v>#REF!</v>
      </c>
    </row>
    <row r="1465" spans="1:40" s="73" customFormat="1" x14ac:dyDescent="0.25">
      <c r="A1465" s="396"/>
      <c r="B1465" s="304" t="s">
        <v>2105</v>
      </c>
      <c r="D1465" s="74">
        <f>IFERROR(VLOOKUP(B1465,'REQ. PINTADO'!B:C,2,0),0)</f>
        <v>0</v>
      </c>
      <c r="E1465" s="305">
        <f t="shared" si="402"/>
        <v>426.49153853981153</v>
      </c>
      <c r="F1465" s="397" t="s">
        <v>166</v>
      </c>
      <c r="G1465" s="75" t="s">
        <v>147</v>
      </c>
      <c r="H1465" s="90">
        <v>24.08</v>
      </c>
      <c r="I1465" s="90">
        <v>8.7100000000000009</v>
      </c>
      <c r="J1465" s="76">
        <v>0.105</v>
      </c>
      <c r="K1465" s="306">
        <v>16.38</v>
      </c>
      <c r="L1465" s="78">
        <f t="shared" si="403"/>
        <v>6.3846721660789978</v>
      </c>
      <c r="M1465" s="58">
        <f>+VLOOKUP(F1465,Material!$H$2:$M$17,6,FALSE)*H1465*I1465*(1+Material!$K$14)</f>
        <v>47.536786400169987</v>
      </c>
      <c r="N1465" s="79" t="str">
        <f t="shared" si="401"/>
        <v>T5.0</v>
      </c>
      <c r="O1465" s="80">
        <f>+VLOOKUP(N1465,[3]Material!$A$3:$B$58,2,FALSE)</f>
        <v>5000</v>
      </c>
      <c r="P1465" s="79" t="s">
        <v>42</v>
      </c>
      <c r="Q1465" s="79" t="str">
        <f>+VLOOKUP(F1465,[3]Material!$C$2:$E$12,2,FALSE)</f>
        <v>Cal 16</v>
      </c>
      <c r="R1465" s="81">
        <f>+IF(P1465="ACERO A36",VLOOKUP(Q1465,'[3]Velocidades Std 1500 w'!$B$2:$F$15,5,FALSE),IF(P1465="INOXIDABLE",VLOOKUP(Q1465,'[3]Velocidades Std 1500 w'!$B$17:$F$28,5,FALSE),IF(P1465="ALUMINIO",VLOOKUP(Q1465,'[3]Velocidades Std 1500 w'!$B$30:$F$38,5,FALSE))))</f>
        <v>9.1575091575091579E-7</v>
      </c>
      <c r="S1465" s="82">
        <f t="shared" si="404"/>
        <v>4.578754578754579E-3</v>
      </c>
      <c r="T1465" s="83">
        <f t="shared" si="405"/>
        <v>57.200995384615389</v>
      </c>
      <c r="U1465" s="307">
        <f t="shared" si="406"/>
        <v>17350.9686</v>
      </c>
      <c r="V1465" s="80">
        <f t="shared" si="407"/>
        <v>79.445826923076922</v>
      </c>
      <c r="W1465" s="98">
        <v>390</v>
      </c>
      <c r="X1465" s="84">
        <f>+IF(P1465="ACERO A36",VLOOKUP(Q1465,'[3]Tiempo Objeto'!$B$2:$C$12,2,FALSE),IF(P1465="INOXIDABLE",VLOOKUP(Q1465,'[3]Tiempo Objeto'!$B$14:$C$22,2,FALSE),IF(P1465="ALUMINIO",VLOOKUP(Q1465,'[3]Tiempo Objeto'!$B$24:$C$32,2,FALSE))))</f>
        <v>0.24666666666666667</v>
      </c>
      <c r="Y1465" s="84">
        <f t="shared" si="408"/>
        <v>96.2</v>
      </c>
      <c r="Z1465" s="80">
        <f t="shared" si="409"/>
        <v>133.61111111111111</v>
      </c>
      <c r="AA1465" s="100">
        <v>4</v>
      </c>
      <c r="AB1465" s="86">
        <f>+AA1465*Analisis!$J$6</f>
        <v>100</v>
      </c>
      <c r="AC1465" s="100"/>
      <c r="AD1465" s="85">
        <f t="shared" si="410"/>
        <v>0</v>
      </c>
      <c r="AE1465" s="86">
        <f>+AC1465*Analisis!$J$7</f>
        <v>0</v>
      </c>
      <c r="AF1465" s="308">
        <f>+H1465*0.0254*I1465*0.0254*2*(1+[3]Analisis!$G$2)</f>
        <v>0.33828448472</v>
      </c>
      <c r="AG1465" s="86">
        <f>+AF1465*Analisis!$J$8</f>
        <v>36.04340640766668</v>
      </c>
      <c r="AH1465" s="309">
        <f t="shared" si="411"/>
        <v>396.6371308420247</v>
      </c>
      <c r="AI1465" s="86">
        <f>+AH1465/(1-Analisis!G1176)</f>
        <v>396.6371308420247</v>
      </c>
      <c r="AJ1465" s="86">
        <f t="shared" si="412"/>
        <v>426.49153853981153</v>
      </c>
      <c r="AK1465" s="86">
        <f t="shared" si="413"/>
        <v>0</v>
      </c>
      <c r="AL1465" s="310" t="e">
        <f>+VLOOKUP(B1465,#REF!,2,FALSE)</f>
        <v>#REF!</v>
      </c>
      <c r="AM1465" s="311" t="e">
        <f t="shared" si="414"/>
        <v>#REF!</v>
      </c>
      <c r="AN1465" s="312" t="e">
        <f t="shared" si="415"/>
        <v>#REF!</v>
      </c>
    </row>
    <row r="1466" spans="1:40" s="73" customFormat="1" x14ac:dyDescent="0.25">
      <c r="A1466" s="396"/>
      <c r="B1466" s="304" t="s">
        <v>2106</v>
      </c>
      <c r="D1466" s="74">
        <f>IFERROR(VLOOKUP(B1466,'REQ. PINTADO'!B:C,2,0),0)</f>
        <v>0</v>
      </c>
      <c r="E1466" s="305">
        <f t="shared" si="402"/>
        <v>554.32531088420274</v>
      </c>
      <c r="F1466" s="397" t="s">
        <v>166</v>
      </c>
      <c r="G1466" s="75" t="s">
        <v>147</v>
      </c>
      <c r="H1466" s="90">
        <v>56.08</v>
      </c>
      <c r="I1466" s="90">
        <v>8.7100000000000009</v>
      </c>
      <c r="J1466" s="76">
        <v>0.105</v>
      </c>
      <c r="K1466" s="306">
        <v>16.38</v>
      </c>
      <c r="L1466" s="78">
        <f t="shared" si="403"/>
        <v>14.869286340270358</v>
      </c>
      <c r="M1466" s="58">
        <f>+VLOOKUP(F1466,Material!$H$2:$M$17,6,FALSE)*H1466*I1466*(1+Material!$K$14)</f>
        <v>110.7085955698311</v>
      </c>
      <c r="N1466" s="79" t="str">
        <f t="shared" si="401"/>
        <v>T5.0</v>
      </c>
      <c r="O1466" s="80">
        <f>+VLOOKUP(N1466,[3]Material!$A$3:$B$58,2,FALSE)</f>
        <v>5000</v>
      </c>
      <c r="P1466" s="79" t="s">
        <v>42</v>
      </c>
      <c r="Q1466" s="79" t="str">
        <f>+VLOOKUP(F1466,[3]Material!$C$2:$E$12,2,FALSE)</f>
        <v>Cal 16</v>
      </c>
      <c r="R1466" s="81">
        <f>+IF(P1466="ACERO A36",VLOOKUP(Q1466,'[3]Velocidades Std 1500 w'!$B$2:$F$15,5,FALSE),IF(P1466="INOXIDABLE",VLOOKUP(Q1466,'[3]Velocidades Std 1500 w'!$B$17:$F$28,5,FALSE),IF(P1466="ALUMINIO",VLOOKUP(Q1466,'[3]Velocidades Std 1500 w'!$B$30:$F$38,5,FALSE))))</f>
        <v>9.1575091575091579E-7</v>
      </c>
      <c r="S1466" s="82">
        <f t="shared" si="404"/>
        <v>4.578754578754579E-3</v>
      </c>
      <c r="T1466" s="83">
        <f t="shared" si="405"/>
        <v>62.828072307692302</v>
      </c>
      <c r="U1466" s="307">
        <f t="shared" si="406"/>
        <v>19057.848599999998</v>
      </c>
      <c r="V1466" s="80">
        <f t="shared" si="407"/>
        <v>87.261211538461538</v>
      </c>
      <c r="W1466" s="98">
        <v>390</v>
      </c>
      <c r="X1466" s="84">
        <f>+IF(P1466="ACERO A36",VLOOKUP(Q1466,'[3]Tiempo Objeto'!$B$2:$C$12,2,FALSE),IF(P1466="INOXIDABLE",VLOOKUP(Q1466,'[3]Tiempo Objeto'!$B$14:$C$22,2,FALSE),IF(P1466="ALUMINIO",VLOOKUP(Q1466,'[3]Tiempo Objeto'!$B$24:$C$32,2,FALSE))))</f>
        <v>0.24666666666666667</v>
      </c>
      <c r="Y1466" s="84">
        <f t="shared" si="408"/>
        <v>96.2</v>
      </c>
      <c r="Z1466" s="80">
        <f t="shared" si="409"/>
        <v>133.61111111111111</v>
      </c>
      <c r="AA1466" s="100">
        <v>4</v>
      </c>
      <c r="AB1466" s="86">
        <f>+AA1466*Analisis!$J$6</f>
        <v>100</v>
      </c>
      <c r="AC1466" s="100"/>
      <c r="AD1466" s="85">
        <f t="shared" si="410"/>
        <v>0</v>
      </c>
      <c r="AE1466" s="86">
        <f>+AC1466*Analisis!$J$7</f>
        <v>0</v>
      </c>
      <c r="AF1466" s="308">
        <f>+H1466*0.0254*I1466*0.0254*2*(1+[3]Analisis!$G$2)</f>
        <v>0.78783197271999994</v>
      </c>
      <c r="AG1466" s="86">
        <f>+AF1466*Analisis!$J$8</f>
        <v>83.941620902904774</v>
      </c>
      <c r="AH1466" s="309">
        <f t="shared" si="411"/>
        <v>515.52253912230856</v>
      </c>
      <c r="AI1466" s="86">
        <f>+AH1466/(1-Analisis!G1177)</f>
        <v>515.52253912230856</v>
      </c>
      <c r="AJ1466" s="86">
        <f t="shared" si="412"/>
        <v>554.32531088420274</v>
      </c>
      <c r="AK1466" s="86">
        <f t="shared" si="413"/>
        <v>0</v>
      </c>
      <c r="AL1466" s="310" t="e">
        <f>+VLOOKUP(B1466,#REF!,2,FALSE)</f>
        <v>#REF!</v>
      </c>
      <c r="AM1466" s="311" t="e">
        <f t="shared" si="414"/>
        <v>#REF!</v>
      </c>
      <c r="AN1466" s="312" t="e">
        <f t="shared" si="415"/>
        <v>#REF!</v>
      </c>
    </row>
    <row r="1467" spans="1:40" s="73" customFormat="1" x14ac:dyDescent="0.25">
      <c r="A1467" s="396"/>
      <c r="B1467" s="304" t="s">
        <v>2107</v>
      </c>
      <c r="D1467" s="74">
        <f>IFERROR(VLOOKUP(B1467,'REQ. PINTADO'!B:C,2,0),0)</f>
        <v>0</v>
      </c>
      <c r="E1467" s="305">
        <f t="shared" si="402"/>
        <v>378.55387391066478</v>
      </c>
      <c r="F1467" s="397" t="s">
        <v>166</v>
      </c>
      <c r="G1467" s="75" t="s">
        <v>147</v>
      </c>
      <c r="H1467" s="90">
        <v>12.08</v>
      </c>
      <c r="I1467" s="90">
        <v>8.7100000000000009</v>
      </c>
      <c r="J1467" s="76">
        <v>0.105</v>
      </c>
      <c r="K1467" s="306">
        <v>16.38</v>
      </c>
      <c r="L1467" s="78">
        <f t="shared" si="403"/>
        <v>3.2029418507572389</v>
      </c>
      <c r="M1467" s="58">
        <f>+VLOOKUP(F1467,Material!$H$2:$M$17,6,FALSE)*H1467*I1467*(1+Material!$K$14)</f>
        <v>23.847357961547075</v>
      </c>
      <c r="N1467" s="79" t="str">
        <f t="shared" si="401"/>
        <v>T5.0</v>
      </c>
      <c r="O1467" s="80">
        <f>+VLOOKUP(N1467,[3]Material!$A$3:$B$58,2,FALSE)</f>
        <v>5000</v>
      </c>
      <c r="P1467" s="79" t="s">
        <v>42</v>
      </c>
      <c r="Q1467" s="79" t="str">
        <f>+VLOOKUP(F1467,[3]Material!$C$2:$E$12,2,FALSE)</f>
        <v>Cal 16</v>
      </c>
      <c r="R1467" s="81">
        <f>+IF(P1467="ACERO A36",VLOOKUP(Q1467,'[3]Velocidades Std 1500 w'!$B$2:$F$15,5,FALSE),IF(P1467="INOXIDABLE",VLOOKUP(Q1467,'[3]Velocidades Std 1500 w'!$B$17:$F$28,5,FALSE),IF(P1467="ALUMINIO",VLOOKUP(Q1467,'[3]Velocidades Std 1500 w'!$B$30:$F$38,5,FALSE))))</f>
        <v>9.1575091575091579E-7</v>
      </c>
      <c r="S1467" s="82">
        <f t="shared" si="404"/>
        <v>4.578754578754579E-3</v>
      </c>
      <c r="T1467" s="83">
        <f t="shared" si="405"/>
        <v>55.090841538461547</v>
      </c>
      <c r="U1467" s="307">
        <f t="shared" si="406"/>
        <v>16710.888600000002</v>
      </c>
      <c r="V1467" s="80">
        <f t="shared" si="407"/>
        <v>76.515057692307707</v>
      </c>
      <c r="W1467" s="98">
        <v>390</v>
      </c>
      <c r="X1467" s="84">
        <f>+IF(P1467="ACERO A36",VLOOKUP(Q1467,'[3]Tiempo Objeto'!$B$2:$C$12,2,FALSE),IF(P1467="INOXIDABLE",VLOOKUP(Q1467,'[3]Tiempo Objeto'!$B$14:$C$22,2,FALSE),IF(P1467="ALUMINIO",VLOOKUP(Q1467,'[3]Tiempo Objeto'!$B$24:$C$32,2,FALSE))))</f>
        <v>0.24666666666666667</v>
      </c>
      <c r="Y1467" s="84">
        <f t="shared" si="408"/>
        <v>96.2</v>
      </c>
      <c r="Z1467" s="80">
        <f t="shared" si="409"/>
        <v>133.61111111111111</v>
      </c>
      <c r="AA1467" s="100">
        <v>4</v>
      </c>
      <c r="AB1467" s="86">
        <f>+AA1467*Analisis!$J$6</f>
        <v>100</v>
      </c>
      <c r="AC1467" s="100"/>
      <c r="AD1467" s="85">
        <f t="shared" si="410"/>
        <v>0</v>
      </c>
      <c r="AE1467" s="86">
        <f>+AC1467*Analisis!$J$7</f>
        <v>0</v>
      </c>
      <c r="AF1467" s="308">
        <f>+H1467*0.0254*I1467*0.0254*2*(1+[3]Analisis!$G$2)</f>
        <v>0.16970417672000002</v>
      </c>
      <c r="AG1467" s="86">
        <f>+AF1467*Analisis!$J$8</f>
        <v>18.08157597195239</v>
      </c>
      <c r="AH1467" s="309">
        <f t="shared" si="411"/>
        <v>352.05510273691823</v>
      </c>
      <c r="AI1467" s="86">
        <f>+AH1467/(1-Analisis!G1178)</f>
        <v>352.05510273691823</v>
      </c>
      <c r="AJ1467" s="86">
        <f t="shared" si="412"/>
        <v>378.55387391066478</v>
      </c>
      <c r="AK1467" s="86">
        <f t="shared" si="413"/>
        <v>0</v>
      </c>
      <c r="AL1467" s="310" t="e">
        <f>+VLOOKUP(B1467,#REF!,2,FALSE)</f>
        <v>#REF!</v>
      </c>
      <c r="AM1467" s="311" t="e">
        <f t="shared" si="414"/>
        <v>#REF!</v>
      </c>
      <c r="AN1467" s="312" t="e">
        <f t="shared" si="415"/>
        <v>#REF!</v>
      </c>
    </row>
    <row r="1468" spans="1:40" s="73" customFormat="1" x14ac:dyDescent="0.25">
      <c r="A1468" s="396"/>
      <c r="B1468" s="304" t="s">
        <v>2108</v>
      </c>
      <c r="D1468" s="74">
        <f>IFERROR(VLOOKUP(B1468,'REQ. PINTADO'!B:C,2,0),0)</f>
        <v>0</v>
      </c>
      <c r="E1468" s="305">
        <f t="shared" si="402"/>
        <v>402.52270622523815</v>
      </c>
      <c r="F1468" s="397" t="s">
        <v>166</v>
      </c>
      <c r="G1468" s="75" t="s">
        <v>147</v>
      </c>
      <c r="H1468" s="90">
        <v>18.079999999999998</v>
      </c>
      <c r="I1468" s="90">
        <v>8.7100000000000009</v>
      </c>
      <c r="J1468" s="76">
        <v>0.105</v>
      </c>
      <c r="K1468" s="306">
        <v>16.38</v>
      </c>
      <c r="L1468" s="78">
        <f t="shared" si="403"/>
        <v>4.7938070084181188</v>
      </c>
      <c r="M1468" s="58">
        <f>+VLOOKUP(F1468,Material!$H$2:$M$17,6,FALSE)*H1468*I1468*(1+Material!$K$14)</f>
        <v>35.692072180858531</v>
      </c>
      <c r="N1468" s="79" t="str">
        <f t="shared" si="401"/>
        <v>T5.0</v>
      </c>
      <c r="O1468" s="80">
        <f>+VLOOKUP(N1468,[3]Material!$A$3:$B$58,2,FALSE)</f>
        <v>5000</v>
      </c>
      <c r="P1468" s="79" t="s">
        <v>42</v>
      </c>
      <c r="Q1468" s="79" t="str">
        <f>+VLOOKUP(F1468,[3]Material!$C$2:$E$12,2,FALSE)</f>
        <v>Cal 16</v>
      </c>
      <c r="R1468" s="81">
        <f>+IF(P1468="ACERO A36",VLOOKUP(Q1468,'[3]Velocidades Std 1500 w'!$B$2:$F$15,5,FALSE),IF(P1468="INOXIDABLE",VLOOKUP(Q1468,'[3]Velocidades Std 1500 w'!$B$17:$F$28,5,FALSE),IF(P1468="ALUMINIO",VLOOKUP(Q1468,'[3]Velocidades Std 1500 w'!$B$30:$F$38,5,FALSE))))</f>
        <v>9.1575091575091579E-7</v>
      </c>
      <c r="S1468" s="82">
        <f t="shared" si="404"/>
        <v>4.578754578754579E-3</v>
      </c>
      <c r="T1468" s="83">
        <f t="shared" si="405"/>
        <v>56.145918461538471</v>
      </c>
      <c r="U1468" s="307">
        <f t="shared" si="406"/>
        <v>17030.928600000003</v>
      </c>
      <c r="V1468" s="80">
        <f t="shared" si="407"/>
        <v>77.980442307692329</v>
      </c>
      <c r="W1468" s="98">
        <v>390</v>
      </c>
      <c r="X1468" s="84">
        <f>+IF(P1468="ACERO A36",VLOOKUP(Q1468,'[3]Tiempo Objeto'!$B$2:$C$12,2,FALSE),IF(P1468="INOXIDABLE",VLOOKUP(Q1468,'[3]Tiempo Objeto'!$B$14:$C$22,2,FALSE),IF(P1468="ALUMINIO",VLOOKUP(Q1468,'[3]Tiempo Objeto'!$B$24:$C$32,2,FALSE))))</f>
        <v>0.24666666666666667</v>
      </c>
      <c r="Y1468" s="84">
        <f t="shared" si="408"/>
        <v>96.2</v>
      </c>
      <c r="Z1468" s="80">
        <f t="shared" si="409"/>
        <v>133.61111111111111</v>
      </c>
      <c r="AA1468" s="100">
        <v>4</v>
      </c>
      <c r="AB1468" s="86">
        <f>+AA1468*Analisis!$J$6</f>
        <v>100</v>
      </c>
      <c r="AC1468" s="100"/>
      <c r="AD1468" s="85">
        <f t="shared" si="410"/>
        <v>0</v>
      </c>
      <c r="AE1468" s="86">
        <f>+AC1468*Analisis!$J$7</f>
        <v>0</v>
      </c>
      <c r="AF1468" s="308">
        <f>+H1468*0.0254*I1468*0.0254*2*(1+[3]Analisis!$G$2)</f>
        <v>0.25399433071999994</v>
      </c>
      <c r="AG1468" s="86">
        <f>+AF1468*Analisis!$J$8</f>
        <v>27.062491189809524</v>
      </c>
      <c r="AH1468" s="309">
        <f t="shared" si="411"/>
        <v>374.34611678947147</v>
      </c>
      <c r="AI1468" s="86">
        <f>+AH1468/(1-Analisis!G1179)</f>
        <v>374.34611678947147</v>
      </c>
      <c r="AJ1468" s="86">
        <f t="shared" si="412"/>
        <v>402.52270622523815</v>
      </c>
      <c r="AK1468" s="86">
        <f t="shared" si="413"/>
        <v>0</v>
      </c>
      <c r="AL1468" s="310" t="e">
        <f>+VLOOKUP(B1468,#REF!,2,FALSE)</f>
        <v>#REF!</v>
      </c>
      <c r="AM1468" s="311" t="e">
        <f t="shared" si="414"/>
        <v>#REF!</v>
      </c>
      <c r="AN1468" s="312" t="e">
        <f t="shared" si="415"/>
        <v>#REF!</v>
      </c>
    </row>
    <row r="1469" spans="1:40" s="73" customFormat="1" x14ac:dyDescent="0.25">
      <c r="A1469" s="396"/>
      <c r="B1469" s="304" t="s">
        <v>2109</v>
      </c>
      <c r="D1469" s="74">
        <f>IFERROR(VLOOKUP(B1469,'REQ. PINTADO'!B:C,2,0),0)</f>
        <v>0</v>
      </c>
      <c r="E1469" s="305">
        <f t="shared" si="402"/>
        <v>434.48114931133597</v>
      </c>
      <c r="F1469" s="397" t="s">
        <v>166</v>
      </c>
      <c r="G1469" s="75" t="s">
        <v>147</v>
      </c>
      <c r="H1469" s="90">
        <v>26.08</v>
      </c>
      <c r="I1469" s="90">
        <v>8.7100000000000009</v>
      </c>
      <c r="J1469" s="76">
        <v>0.105</v>
      </c>
      <c r="K1469" s="306">
        <v>16.38</v>
      </c>
      <c r="L1469" s="78">
        <f t="shared" si="403"/>
        <v>6.9149605519659589</v>
      </c>
      <c r="M1469" s="58">
        <f>+VLOOKUP(F1469,Material!$H$2:$M$17,6,FALSE)*H1469*I1469*(1+Material!$K$14)</f>
        <v>51.48502447327381</v>
      </c>
      <c r="N1469" s="79" t="str">
        <f t="shared" si="401"/>
        <v>T5.0</v>
      </c>
      <c r="O1469" s="80">
        <f>+VLOOKUP(N1469,[3]Material!$A$3:$B$58,2,FALSE)</f>
        <v>5000</v>
      </c>
      <c r="P1469" s="79" t="s">
        <v>42</v>
      </c>
      <c r="Q1469" s="79" t="str">
        <f>+VLOOKUP(F1469,[3]Material!$C$2:$E$12,2,FALSE)</f>
        <v>Cal 16</v>
      </c>
      <c r="R1469" s="81">
        <f>+IF(P1469="ACERO A36",VLOOKUP(Q1469,'[3]Velocidades Std 1500 w'!$B$2:$F$15,5,FALSE),IF(P1469="INOXIDABLE",VLOOKUP(Q1469,'[3]Velocidades Std 1500 w'!$B$17:$F$28,5,FALSE),IF(P1469="ALUMINIO",VLOOKUP(Q1469,'[3]Velocidades Std 1500 w'!$B$30:$F$38,5,FALSE))))</f>
        <v>9.1575091575091579E-7</v>
      </c>
      <c r="S1469" s="82">
        <f t="shared" si="404"/>
        <v>4.578754578754579E-3</v>
      </c>
      <c r="T1469" s="83">
        <f t="shared" si="405"/>
        <v>57.5526876923077</v>
      </c>
      <c r="U1469" s="307">
        <f t="shared" si="406"/>
        <v>17457.6486</v>
      </c>
      <c r="V1469" s="80">
        <f t="shared" si="407"/>
        <v>79.934288461538472</v>
      </c>
      <c r="W1469" s="98">
        <v>390</v>
      </c>
      <c r="X1469" s="84">
        <f>+IF(P1469="ACERO A36",VLOOKUP(Q1469,'[3]Tiempo Objeto'!$B$2:$C$12,2,FALSE),IF(P1469="INOXIDABLE",VLOOKUP(Q1469,'[3]Tiempo Objeto'!$B$14:$C$22,2,FALSE),IF(P1469="ALUMINIO",VLOOKUP(Q1469,'[3]Tiempo Objeto'!$B$24:$C$32,2,FALSE))))</f>
        <v>0.24666666666666667</v>
      </c>
      <c r="Y1469" s="84">
        <f t="shared" si="408"/>
        <v>96.2</v>
      </c>
      <c r="Z1469" s="80">
        <f t="shared" si="409"/>
        <v>133.61111111111111</v>
      </c>
      <c r="AA1469" s="100">
        <v>4</v>
      </c>
      <c r="AB1469" s="86">
        <f>+AA1469*Analisis!$J$6</f>
        <v>100</v>
      </c>
      <c r="AC1469" s="100"/>
      <c r="AD1469" s="85">
        <f t="shared" si="410"/>
        <v>0</v>
      </c>
      <c r="AE1469" s="86">
        <f>+AC1469*Analisis!$J$7</f>
        <v>0</v>
      </c>
      <c r="AF1469" s="308">
        <f>+H1469*0.0254*I1469*0.0254*2*(1+[3]Analisis!$G$2)</f>
        <v>0.36638120271999997</v>
      </c>
      <c r="AG1469" s="86">
        <f>+AF1469*Analisis!$J$8</f>
        <v>39.037044813619055</v>
      </c>
      <c r="AH1469" s="309">
        <f t="shared" si="411"/>
        <v>404.06746885954243</v>
      </c>
      <c r="AI1469" s="86">
        <f>+AH1469/(1-Analisis!G1180)</f>
        <v>404.06746885954243</v>
      </c>
      <c r="AJ1469" s="86">
        <f t="shared" si="412"/>
        <v>434.48114931133597</v>
      </c>
      <c r="AK1469" s="86">
        <f t="shared" si="413"/>
        <v>0</v>
      </c>
      <c r="AL1469" s="310" t="e">
        <f>+VLOOKUP(B1469,#REF!,2,FALSE)</f>
        <v>#REF!</v>
      </c>
      <c r="AM1469" s="311" t="e">
        <f t="shared" si="414"/>
        <v>#REF!</v>
      </c>
      <c r="AN1469" s="312" t="e">
        <f t="shared" si="415"/>
        <v>#REF!</v>
      </c>
    </row>
    <row r="1470" spans="1:40" s="73" customFormat="1" x14ac:dyDescent="0.25">
      <c r="A1470" s="396"/>
      <c r="B1470" s="304" t="s">
        <v>2110</v>
      </c>
      <c r="D1470" s="74">
        <f>IFERROR(VLOOKUP(B1470,'REQ. PINTADO'!B:C,2,0),0)</f>
        <v>0</v>
      </c>
      <c r="E1470" s="305">
        <f t="shared" ref="E1470:E1471" si="416">+AJ1470</f>
        <v>466.43959239743378</v>
      </c>
      <c r="F1470" s="397" t="s">
        <v>166</v>
      </c>
      <c r="G1470" s="75" t="s">
        <v>147</v>
      </c>
      <c r="H1470" s="90">
        <v>34.08</v>
      </c>
      <c r="I1470" s="90">
        <v>8.7100000000000009</v>
      </c>
      <c r="J1470" s="76">
        <v>0.105</v>
      </c>
      <c r="K1470" s="306">
        <v>16.38</v>
      </c>
      <c r="L1470" s="78">
        <f t="shared" ref="L1470:L1471" si="417">+M1470*2.2/K1470</f>
        <v>9.0361140955137973</v>
      </c>
      <c r="M1470" s="58">
        <f>+VLOOKUP(F1470,Material!$H$2:$M$17,6,FALSE)*H1470*I1470*(1+Material!$K$14)</f>
        <v>67.27797676568909</v>
      </c>
      <c r="N1470" s="79" t="str">
        <f t="shared" si="401"/>
        <v>T5.0</v>
      </c>
      <c r="O1470" s="80">
        <f>+VLOOKUP(N1470,[3]Material!$A$3:$B$58,2,FALSE)</f>
        <v>5000</v>
      </c>
      <c r="P1470" s="79" t="s">
        <v>42</v>
      </c>
      <c r="Q1470" s="79" t="str">
        <f>+VLOOKUP(F1470,[3]Material!$C$2:$E$12,2,FALSE)</f>
        <v>Cal 16</v>
      </c>
      <c r="R1470" s="81">
        <f>+IF(P1470="ACERO A36",VLOOKUP(Q1470,'[3]Velocidades Std 1500 w'!$B$2:$F$15,5,FALSE),IF(P1470="INOXIDABLE",VLOOKUP(Q1470,'[3]Velocidades Std 1500 w'!$B$17:$F$28,5,FALSE),IF(P1470="ALUMINIO",VLOOKUP(Q1470,'[3]Velocidades Std 1500 w'!$B$30:$F$38,5,FALSE))))</f>
        <v>9.1575091575091579E-7</v>
      </c>
      <c r="S1470" s="82">
        <f t="shared" ref="S1470:S1471" si="418">+R1470*O1470</f>
        <v>4.578754578754579E-3</v>
      </c>
      <c r="T1470" s="83">
        <f t="shared" ref="T1470:T1471" si="419">+R1470*U1470*3600</f>
        <v>58.959456923076935</v>
      </c>
      <c r="U1470" s="307">
        <f t="shared" ref="U1470:U1471" si="420">(+I1470*2+H1470*2+W1470*1.5)*25.4*1.05</f>
        <v>17884.368600000002</v>
      </c>
      <c r="V1470" s="80">
        <f t="shared" ref="V1470:V1471" si="421">+U1470*S1470</f>
        <v>81.888134615384629</v>
      </c>
      <c r="W1470" s="98">
        <v>390</v>
      </c>
      <c r="X1470" s="84">
        <f>+IF(P1470="ACERO A36",VLOOKUP(Q1470,'[3]Tiempo Objeto'!$B$2:$C$12,2,FALSE),IF(P1470="INOXIDABLE",VLOOKUP(Q1470,'[3]Tiempo Objeto'!$B$14:$C$22,2,FALSE),IF(P1470="ALUMINIO",VLOOKUP(Q1470,'[3]Tiempo Objeto'!$B$24:$C$32,2,FALSE))))</f>
        <v>0.24666666666666667</v>
      </c>
      <c r="Y1470" s="84">
        <f t="shared" ref="Y1470:Y1471" si="422">+X1470*W1470</f>
        <v>96.2</v>
      </c>
      <c r="Z1470" s="80">
        <f t="shared" ref="Z1470:Z1471" si="423">+Y1470*O1470/3600</f>
        <v>133.61111111111111</v>
      </c>
      <c r="AA1470" s="100">
        <v>4</v>
      </c>
      <c r="AB1470" s="86">
        <f>+AA1470*Analisis!$J$6</f>
        <v>100</v>
      </c>
      <c r="AC1470" s="100"/>
      <c r="AD1470" s="85">
        <f t="shared" ref="AD1470:AD1471" si="424">30*AC1470+AC1470*$D1470*1.5</f>
        <v>0</v>
      </c>
      <c r="AE1470" s="86">
        <f>+AC1470*Analisis!$J$7</f>
        <v>0</v>
      </c>
      <c r="AF1470" s="308">
        <f>+H1470*0.0254*I1470*0.0254*2*(1+[3]Analisis!$G$2)</f>
        <v>0.47876807472000005</v>
      </c>
      <c r="AG1470" s="86">
        <f>+AF1470*Analisis!$J$8</f>
        <v>51.011598437428589</v>
      </c>
      <c r="AH1470" s="309">
        <f t="shared" ref="AH1470:AH1471" si="425">+AE1470+AB1470+Z1470+V1470+M1470+AG1470</f>
        <v>433.78882092961339</v>
      </c>
      <c r="AI1470" s="86">
        <f>+AH1470/(1-Analisis!G1181)</f>
        <v>433.78882092961339</v>
      </c>
      <c r="AJ1470" s="86">
        <f t="shared" ref="AJ1470:AJ1471" si="426">+AI1470/(1-0.07)</f>
        <v>466.43959239743378</v>
      </c>
      <c r="AK1470" s="86">
        <f t="shared" ref="AK1470:AK1471" si="427">+AJ1470*D1470</f>
        <v>0</v>
      </c>
      <c r="AL1470" s="310" t="e">
        <f>+VLOOKUP(B1470,#REF!,2,FALSE)</f>
        <v>#REF!</v>
      </c>
      <c r="AM1470" s="311" t="e">
        <f t="shared" ref="AM1470:AM1471" si="428">+AL1470-E1470</f>
        <v>#REF!</v>
      </c>
      <c r="AN1470" s="312" t="e">
        <f t="shared" ref="AN1470:AN1471" si="429">+AM1470/AL1470</f>
        <v>#REF!</v>
      </c>
    </row>
    <row r="1471" spans="1:40" s="73" customFormat="1" x14ac:dyDescent="0.25">
      <c r="A1471" s="396"/>
      <c r="B1471" s="304" t="s">
        <v>2111</v>
      </c>
      <c r="D1471" s="74">
        <f>IFERROR(VLOOKUP(B1471,'REQ. PINTADO'!B:C,2,0),0)</f>
        <v>0</v>
      </c>
      <c r="E1471" s="305">
        <f t="shared" si="416"/>
        <v>482.41881394048272</v>
      </c>
      <c r="F1471" s="397" t="s">
        <v>166</v>
      </c>
      <c r="G1471" s="75" t="s">
        <v>147</v>
      </c>
      <c r="H1471" s="90">
        <v>38.08</v>
      </c>
      <c r="I1471" s="90">
        <v>8.7100000000000009</v>
      </c>
      <c r="J1471" s="76">
        <v>0.105</v>
      </c>
      <c r="K1471" s="306">
        <v>16.38</v>
      </c>
      <c r="L1471" s="78">
        <f t="shared" si="417"/>
        <v>10.096690867287716</v>
      </c>
      <c r="M1471" s="58">
        <f>+VLOOKUP(F1471,Material!$H$2:$M$17,6,FALSE)*H1471*I1471*(1+Material!$K$14)</f>
        <v>75.174452911896722</v>
      </c>
      <c r="N1471" s="79" t="str">
        <f t="shared" si="401"/>
        <v>T5.0</v>
      </c>
      <c r="O1471" s="80">
        <f>+VLOOKUP(N1471,[3]Material!$A$3:$B$58,2,FALSE)</f>
        <v>5000</v>
      </c>
      <c r="P1471" s="79" t="s">
        <v>42</v>
      </c>
      <c r="Q1471" s="79" t="str">
        <f>+VLOOKUP(F1471,[3]Material!$C$2:$E$12,2,FALSE)</f>
        <v>Cal 16</v>
      </c>
      <c r="R1471" s="81">
        <f>+IF(P1471="ACERO A36",VLOOKUP(Q1471,'[3]Velocidades Std 1500 w'!$B$2:$F$15,5,FALSE),IF(P1471="INOXIDABLE",VLOOKUP(Q1471,'[3]Velocidades Std 1500 w'!$B$17:$F$28,5,FALSE),IF(P1471="ALUMINIO",VLOOKUP(Q1471,'[3]Velocidades Std 1500 w'!$B$30:$F$38,5,FALSE))))</f>
        <v>9.1575091575091579E-7</v>
      </c>
      <c r="S1471" s="82">
        <f t="shared" si="418"/>
        <v>4.578754578754579E-3</v>
      </c>
      <c r="T1471" s="83">
        <f t="shared" si="419"/>
        <v>59.662841538461549</v>
      </c>
      <c r="U1471" s="307">
        <f t="shared" si="420"/>
        <v>18097.728600000002</v>
      </c>
      <c r="V1471" s="80">
        <f t="shared" si="421"/>
        <v>82.865057692307701</v>
      </c>
      <c r="W1471" s="98">
        <v>390</v>
      </c>
      <c r="X1471" s="84">
        <f>+IF(P1471="ACERO A36",VLOOKUP(Q1471,'[3]Tiempo Objeto'!$B$2:$C$12,2,FALSE),IF(P1471="INOXIDABLE",VLOOKUP(Q1471,'[3]Tiempo Objeto'!$B$14:$C$22,2,FALSE),IF(P1471="ALUMINIO",VLOOKUP(Q1471,'[3]Tiempo Objeto'!$B$24:$C$32,2,FALSE))))</f>
        <v>0.24666666666666667</v>
      </c>
      <c r="Y1471" s="84">
        <f t="shared" si="422"/>
        <v>96.2</v>
      </c>
      <c r="Z1471" s="80">
        <f t="shared" si="423"/>
        <v>133.61111111111111</v>
      </c>
      <c r="AA1471" s="100">
        <v>4</v>
      </c>
      <c r="AB1471" s="86">
        <f>+AA1471*Analisis!$J$6</f>
        <v>100</v>
      </c>
      <c r="AC1471" s="100"/>
      <c r="AD1471" s="85">
        <f t="shared" si="424"/>
        <v>0</v>
      </c>
      <c r="AE1471" s="86">
        <f>+AC1471*Analisis!$J$7</f>
        <v>0</v>
      </c>
      <c r="AF1471" s="308">
        <f>+H1471*0.0254*I1471*0.0254*2*(1+[3]Analisis!$G$2)</f>
        <v>0.53496151071999998</v>
      </c>
      <c r="AG1471" s="86">
        <f>+AF1471*Analisis!$J$8</f>
        <v>56.998875249333345</v>
      </c>
      <c r="AH1471" s="309">
        <f t="shared" si="425"/>
        <v>448.6494969646489</v>
      </c>
      <c r="AI1471" s="86">
        <f>+AH1471/(1-Analisis!G1182)</f>
        <v>448.6494969646489</v>
      </c>
      <c r="AJ1471" s="86">
        <f t="shared" si="426"/>
        <v>482.41881394048272</v>
      </c>
      <c r="AK1471" s="86">
        <f t="shared" si="427"/>
        <v>0</v>
      </c>
      <c r="AL1471" s="310" t="e">
        <f>+VLOOKUP(B1471,#REF!,2,FALSE)</f>
        <v>#REF!</v>
      </c>
      <c r="AM1471" s="311" t="e">
        <f t="shared" si="428"/>
        <v>#REF!</v>
      </c>
      <c r="AN1471" s="312" t="e">
        <f t="shared" si="429"/>
        <v>#REF!</v>
      </c>
    </row>
    <row r="1472" spans="1:40" s="73" customFormat="1" x14ac:dyDescent="0.25">
      <c r="A1472" s="396"/>
      <c r="B1472" s="304" t="s">
        <v>2112</v>
      </c>
      <c r="D1472" s="74">
        <f>IFERROR(VLOOKUP(B1472,'REQ. PINTADO'!B:C,2,0),0)</f>
        <v>0</v>
      </c>
      <c r="E1472" s="305">
        <f t="shared" ref="E1472" si="430">+AJ1472</f>
        <v>594.27336474182505</v>
      </c>
      <c r="F1472" s="397" t="s">
        <v>166</v>
      </c>
      <c r="G1472" s="75" t="s">
        <v>147</v>
      </c>
      <c r="H1472" s="90">
        <v>66.08</v>
      </c>
      <c r="I1472" s="90">
        <v>8.7100000000000009</v>
      </c>
      <c r="J1472" s="76">
        <v>0.105</v>
      </c>
      <c r="K1472" s="306">
        <v>16.38</v>
      </c>
      <c r="L1472" s="78">
        <f t="shared" ref="L1472" si="431">+M1472*2.2/K1472</f>
        <v>17.52072826970516</v>
      </c>
      <c r="M1472" s="58">
        <f>+VLOOKUP(F1472,Material!$H$2:$M$17,6,FALSE)*H1472*I1472*(1+Material!$K$14)</f>
        <v>130.44978593535021</v>
      </c>
      <c r="N1472" s="79" t="str">
        <f t="shared" si="401"/>
        <v>T5.0</v>
      </c>
      <c r="O1472" s="80">
        <f>+VLOOKUP(N1472,[3]Material!$A$3:$B$58,2,FALSE)</f>
        <v>5000</v>
      </c>
      <c r="P1472" s="79" t="s">
        <v>42</v>
      </c>
      <c r="Q1472" s="79" t="str">
        <f>+VLOOKUP(F1472,[3]Material!$C$2:$E$12,2,FALSE)</f>
        <v>Cal 16</v>
      </c>
      <c r="R1472" s="81">
        <f>+IF(P1472="ACERO A36",VLOOKUP(Q1472,'[3]Velocidades Std 1500 w'!$B$2:$F$15,5,FALSE),IF(P1472="INOXIDABLE",VLOOKUP(Q1472,'[3]Velocidades Std 1500 w'!$B$17:$F$28,5,FALSE),IF(P1472="ALUMINIO",VLOOKUP(Q1472,'[3]Velocidades Std 1500 w'!$B$30:$F$38,5,FALSE))))</f>
        <v>9.1575091575091579E-7</v>
      </c>
      <c r="S1472" s="82">
        <f t="shared" ref="S1472" si="432">+R1472*O1472</f>
        <v>4.578754578754579E-3</v>
      </c>
      <c r="T1472" s="83">
        <f t="shared" ref="T1472" si="433">+R1472*U1472*3600</f>
        <v>64.586533846153856</v>
      </c>
      <c r="U1472" s="307">
        <f t="shared" ref="U1472" si="434">(+I1472*2+H1472*2+W1472*1.5)*25.4*1.05</f>
        <v>19591.248599999999</v>
      </c>
      <c r="V1472" s="80">
        <f t="shared" ref="V1472" si="435">+U1472*S1472</f>
        <v>89.703519230769231</v>
      </c>
      <c r="W1472" s="98">
        <v>390</v>
      </c>
      <c r="X1472" s="84">
        <f>+IF(P1472="ACERO A36",VLOOKUP(Q1472,'[3]Tiempo Objeto'!$B$2:$C$12,2,FALSE),IF(P1472="INOXIDABLE",VLOOKUP(Q1472,'[3]Tiempo Objeto'!$B$14:$C$22,2,FALSE),IF(P1472="ALUMINIO",VLOOKUP(Q1472,'[3]Tiempo Objeto'!$B$24:$C$32,2,FALSE))))</f>
        <v>0.24666666666666667</v>
      </c>
      <c r="Y1472" s="84">
        <f t="shared" ref="Y1472" si="436">+X1472*W1472</f>
        <v>96.2</v>
      </c>
      <c r="Z1472" s="80">
        <f t="shared" ref="Z1472" si="437">+Y1472*O1472/3600</f>
        <v>133.61111111111111</v>
      </c>
      <c r="AA1472" s="100">
        <v>4</v>
      </c>
      <c r="AB1472" s="86">
        <f>+AA1472*Analisis!$J$6</f>
        <v>100</v>
      </c>
      <c r="AC1472" s="100"/>
      <c r="AD1472" s="85">
        <f t="shared" ref="AD1472" si="438">30*AC1472+AC1472*$D1472*1.5</f>
        <v>0</v>
      </c>
      <c r="AE1472" s="86">
        <f>+AC1472*Analisis!$J$7</f>
        <v>0</v>
      </c>
      <c r="AF1472" s="308">
        <f>+H1472*0.0254*I1472*0.0254*2*(1+[3]Analisis!$G$2)</f>
        <v>0.92831556272000004</v>
      </c>
      <c r="AG1472" s="86">
        <f>+AF1472*Analisis!$J$8</f>
        <v>98.909812932666696</v>
      </c>
      <c r="AH1472" s="309">
        <f t="shared" ref="AH1472" si="439">+AE1472+AB1472+Z1472+V1472+M1472+AG1472</f>
        <v>552.67422920989725</v>
      </c>
      <c r="AI1472" s="86">
        <f>+AH1472/(1-Analisis!G1183)</f>
        <v>552.67422920989725</v>
      </c>
      <c r="AJ1472" s="86">
        <f t="shared" ref="AJ1472" si="440">+AI1472/(1-0.07)</f>
        <v>594.27336474182505</v>
      </c>
      <c r="AK1472" s="86">
        <f t="shared" ref="AK1472" si="441">+AJ1472*D1472</f>
        <v>0</v>
      </c>
      <c r="AL1472" s="310" t="e">
        <f>+VLOOKUP(B1472,#REF!,2,FALSE)</f>
        <v>#REF!</v>
      </c>
      <c r="AM1472" s="311" t="e">
        <f t="shared" ref="AM1472" si="442">+AL1472-E1472</f>
        <v>#REF!</v>
      </c>
      <c r="AN1472" s="312" t="e">
        <f t="shared" ref="AN1472" si="443">+AM1472/AL1472</f>
        <v>#REF!</v>
      </c>
    </row>
    <row r="1473" spans="1:40" s="73" customFormat="1" x14ac:dyDescent="0.25">
      <c r="A1473" s="396">
        <v>34</v>
      </c>
      <c r="B1473" s="304" t="s">
        <v>2016</v>
      </c>
      <c r="D1473" s="74">
        <f>IFERROR(VLOOKUP(B1473,'REQ. PINTADO'!B:C,2,0),0)</f>
        <v>0</v>
      </c>
      <c r="E1473" s="305">
        <f t="shared" si="172"/>
        <v>466.56794217097905</v>
      </c>
      <c r="F1473" s="397" t="s">
        <v>163</v>
      </c>
      <c r="G1473" s="75" t="s">
        <v>147</v>
      </c>
      <c r="H1473" s="90">
        <v>29.7</v>
      </c>
      <c r="I1473" s="90">
        <v>16.079999999999998</v>
      </c>
      <c r="J1473" s="76">
        <v>0.105</v>
      </c>
      <c r="K1473" s="306">
        <v>16.38</v>
      </c>
      <c r="L1473" s="78">
        <f t="shared" si="173"/>
        <v>24.077131204912508</v>
      </c>
      <c r="M1473" s="58">
        <f>+VLOOKUP(F1473,Material!$H$2:$M$17,6,FALSE)*H1473*I1473*(1+Material!$K$14)</f>
        <v>179.2651859711213</v>
      </c>
      <c r="N1473" s="79" t="str">
        <f t="shared" ref="N1473:N1480" si="444">+N1159</f>
        <v>T5.0</v>
      </c>
      <c r="O1473" s="80">
        <f>+VLOOKUP(N1473,[3]Material!$A$3:$B$58,2,FALSE)</f>
        <v>5000</v>
      </c>
      <c r="P1473" s="79" t="s">
        <v>42</v>
      </c>
      <c r="Q1473" s="79" t="str">
        <f>+VLOOKUP(F1473,[3]Material!$C$2:$E$12,2,FALSE)</f>
        <v>Cal 12</v>
      </c>
      <c r="R1473" s="81">
        <f>+IF(P1473="ACERO A36",VLOOKUP(Q1473,'[3]Velocidades Std 1500 w'!$B$2:$F$15,5,FALSE),IF(P1473="INOXIDABLE",VLOOKUP(Q1473,'[3]Velocidades Std 1500 w'!$B$17:$F$28,5,FALSE),IF(P1473="ALUMINIO",VLOOKUP(Q1473,'[3]Velocidades Std 1500 w'!$B$30:$F$38,5,FALSE))))</f>
        <v>4.3859649122807014E-6</v>
      </c>
      <c r="S1473" s="82">
        <f t="shared" si="174"/>
        <v>2.1929824561403508E-2</v>
      </c>
      <c r="T1473" s="83">
        <f t="shared" si="175"/>
        <v>45.5046347368421</v>
      </c>
      <c r="U1473" s="307">
        <f t="shared" si="171"/>
        <v>2881.9602</v>
      </c>
      <c r="V1473" s="80">
        <f t="shared" si="153"/>
        <v>63.200881578947367</v>
      </c>
      <c r="W1473" s="98">
        <v>11</v>
      </c>
      <c r="X1473" s="84">
        <f>+IF(P1473="ACERO A36",VLOOKUP(Q1473,'[3]Tiempo Objeto'!$B$2:$C$12,2,FALSE),IF(P1473="INOXIDABLE",VLOOKUP(Q1473,'[3]Tiempo Objeto'!$B$14:$C$22,2,FALSE),IF(P1473="ALUMINIO",VLOOKUP(Q1473,'[3]Tiempo Objeto'!$B$24:$C$32,2,FALSE))))</f>
        <v>0.6133333333333334</v>
      </c>
      <c r="Y1473" s="84">
        <f t="shared" si="176"/>
        <v>6.746666666666667</v>
      </c>
      <c r="Z1473" s="80">
        <f t="shared" si="177"/>
        <v>9.3703703703703702</v>
      </c>
      <c r="AA1473" s="100">
        <v>4</v>
      </c>
      <c r="AB1473" s="86">
        <f>+AA1473*Analisis!$J$6</f>
        <v>100</v>
      </c>
      <c r="AC1473" s="100"/>
      <c r="AD1473" s="85">
        <f t="shared" si="178"/>
        <v>0</v>
      </c>
      <c r="AE1473" s="86">
        <f>+AC1473*Analisis!$J$7</f>
        <v>0</v>
      </c>
      <c r="AF1473" s="308">
        <f>+H1473*0.0254*I1473*0.0254*2*(1+[3]Analisis!$G$2)</f>
        <v>0.77028233039999994</v>
      </c>
      <c r="AG1473" s="86">
        <f>+AF1473*Analisis!$J$8</f>
        <v>82.07174829857145</v>
      </c>
      <c r="AH1473" s="309">
        <f t="shared" si="179"/>
        <v>433.90818621901047</v>
      </c>
      <c r="AI1473" s="86">
        <f>+AH1473/(1-Analisis!G1171)</f>
        <v>433.90818621901047</v>
      </c>
      <c r="AJ1473" s="86">
        <f t="shared" si="180"/>
        <v>466.56794217097905</v>
      </c>
      <c r="AK1473" s="86">
        <f t="shared" si="181"/>
        <v>0</v>
      </c>
      <c r="AL1473" s="310" t="e">
        <f>+VLOOKUP(B1473,#REF!,2,FALSE)</f>
        <v>#REF!</v>
      </c>
      <c r="AM1473" s="311" t="e">
        <f t="shared" si="183"/>
        <v>#REF!</v>
      </c>
      <c r="AN1473" s="312" t="e">
        <f t="shared" si="182"/>
        <v>#REF!</v>
      </c>
    </row>
    <row r="1474" spans="1:40" s="73" customFormat="1" x14ac:dyDescent="0.25">
      <c r="A1474" s="396">
        <v>35</v>
      </c>
      <c r="B1474" s="304" t="s">
        <v>2017</v>
      </c>
      <c r="D1474" s="74">
        <f>IFERROR(VLOOKUP(B1474,'REQ. PINTADO'!B:C,2,0),0)</f>
        <v>0</v>
      </c>
      <c r="E1474" s="305">
        <f t="shared" si="172"/>
        <v>76.659571616035493</v>
      </c>
      <c r="F1474" s="397" t="s">
        <v>166</v>
      </c>
      <c r="G1474" s="75" t="s">
        <v>147</v>
      </c>
      <c r="H1474" s="90">
        <v>13.75</v>
      </c>
      <c r="I1474" s="90">
        <v>11.41</v>
      </c>
      <c r="J1474" s="76">
        <v>0.105</v>
      </c>
      <c r="K1474" s="306">
        <v>16.38</v>
      </c>
      <c r="L1474" s="78">
        <f t="shared" si="173"/>
        <v>4.7758679185327466</v>
      </c>
      <c r="M1474" s="58">
        <f>+VLOOKUP(F1474,Material!$H$2:$M$17,6,FALSE)*H1474*I1474*(1+Material!$K$14)</f>
        <v>35.558507502530169</v>
      </c>
      <c r="N1474" s="79" t="str">
        <f t="shared" si="444"/>
        <v>T5.0</v>
      </c>
      <c r="O1474" s="80">
        <f>+VLOOKUP(N1474,[3]Material!$A$3:$B$58,2,FALSE)</f>
        <v>5000</v>
      </c>
      <c r="P1474" s="79" t="s">
        <v>42</v>
      </c>
      <c r="Q1474" s="79" t="str">
        <f>+VLOOKUP(F1474,[3]Material!$C$2:$E$12,2,FALSE)</f>
        <v>Cal 16</v>
      </c>
      <c r="R1474" s="81">
        <f>+IF(P1474="ACERO A36",VLOOKUP(Q1474,'[3]Velocidades Std 1500 w'!$B$2:$F$15,5,FALSE),IF(P1474="INOXIDABLE",VLOOKUP(Q1474,'[3]Velocidades Std 1500 w'!$B$17:$F$28,5,FALSE),IF(P1474="ALUMINIO",VLOOKUP(Q1474,'[3]Velocidades Std 1500 w'!$B$30:$F$38,5,FALSE))))</f>
        <v>9.1575091575091579E-7</v>
      </c>
      <c r="S1474" s="82">
        <f t="shared" si="174"/>
        <v>4.578754578754579E-3</v>
      </c>
      <c r="T1474" s="83">
        <f t="shared" si="175"/>
        <v>5.0837123076923083</v>
      </c>
      <c r="U1474" s="307">
        <f t="shared" si="171"/>
        <v>1542.0594000000001</v>
      </c>
      <c r="V1474" s="80">
        <f t="shared" si="153"/>
        <v>7.0607115384615389</v>
      </c>
      <c r="W1474" s="98">
        <v>5</v>
      </c>
      <c r="X1474" s="84">
        <f>+IF(P1474="ACERO A36",VLOOKUP(Q1474,'[3]Tiempo Objeto'!$B$2:$C$12,2,FALSE),IF(P1474="INOXIDABLE",VLOOKUP(Q1474,'[3]Tiempo Objeto'!$B$14:$C$22,2,FALSE),IF(P1474="ALUMINIO",VLOOKUP(Q1474,'[3]Tiempo Objeto'!$B$24:$C$32,2,FALSE))))</f>
        <v>0.24666666666666667</v>
      </c>
      <c r="Y1474" s="84">
        <f t="shared" si="176"/>
        <v>1.2333333333333334</v>
      </c>
      <c r="Z1474" s="80">
        <f t="shared" si="177"/>
        <v>1.712962962962963</v>
      </c>
      <c r="AA1474" s="100">
        <v>0</v>
      </c>
      <c r="AB1474" s="86">
        <f>+AA1474*Analisis!$J$6</f>
        <v>0</v>
      </c>
      <c r="AC1474" s="100"/>
      <c r="AD1474" s="85">
        <f t="shared" si="178"/>
        <v>0</v>
      </c>
      <c r="AE1474" s="86">
        <f>+AC1474*Analisis!$J$7</f>
        <v>0</v>
      </c>
      <c r="AF1474" s="308">
        <f>+H1474*0.0254*I1474*0.0254*2*(1+[3]Analisis!$G$2)</f>
        <v>0.25304384875000002</v>
      </c>
      <c r="AG1474" s="86">
        <f>+AF1474*Analisis!$J$8</f>
        <v>26.961219598958344</v>
      </c>
      <c r="AH1474" s="309">
        <f t="shared" si="179"/>
        <v>71.293401602913008</v>
      </c>
      <c r="AI1474" s="86">
        <f>+AH1474/(1-Analisis!G1172)</f>
        <v>71.293401602913008</v>
      </c>
      <c r="AJ1474" s="86">
        <f t="shared" si="180"/>
        <v>76.659571616035493</v>
      </c>
      <c r="AK1474" s="86">
        <f t="shared" si="181"/>
        <v>0</v>
      </c>
      <c r="AL1474" s="310" t="e">
        <f>+VLOOKUP(B1474,#REF!,2,FALSE)</f>
        <v>#REF!</v>
      </c>
      <c r="AM1474" s="311" t="e">
        <f t="shared" si="183"/>
        <v>#REF!</v>
      </c>
      <c r="AN1474" s="312" t="e">
        <f t="shared" si="182"/>
        <v>#REF!</v>
      </c>
    </row>
    <row r="1475" spans="1:40" s="73" customFormat="1" x14ac:dyDescent="0.25">
      <c r="A1475" s="396">
        <v>36</v>
      </c>
      <c r="B1475" s="304" t="s">
        <v>2018</v>
      </c>
      <c r="D1475" s="74">
        <f>IFERROR(VLOOKUP(B1475,'REQ. PINTADO'!B:C,2,0),0)</f>
        <v>0</v>
      </c>
      <c r="E1475" s="305">
        <f t="shared" si="172"/>
        <v>144.03954342855786</v>
      </c>
      <c r="F1475" s="397" t="s">
        <v>165</v>
      </c>
      <c r="G1475" s="75" t="s">
        <v>147</v>
      </c>
      <c r="H1475" s="90">
        <v>13.026999999999999</v>
      </c>
      <c r="I1475" s="90">
        <v>14.996</v>
      </c>
      <c r="J1475" s="76">
        <v>0.105</v>
      </c>
      <c r="K1475" s="306">
        <v>16.38</v>
      </c>
      <c r="L1475" s="78">
        <f t="shared" si="173"/>
        <v>10.905116033119658</v>
      </c>
      <c r="M1475" s="58">
        <f>+VLOOKUP(F1475,Material!$H$2:$M$17,6,FALSE)*H1475*I1475*(1+Material!$K$14)</f>
        <v>81.193545737499988</v>
      </c>
      <c r="N1475" s="79" t="str">
        <f t="shared" si="444"/>
        <v>T5.0</v>
      </c>
      <c r="O1475" s="80">
        <f>+VLOOKUP(N1475,[3]Material!$A$3:$B$58,2,FALSE)</f>
        <v>5000</v>
      </c>
      <c r="P1475" s="79" t="s">
        <v>42</v>
      </c>
      <c r="Q1475" s="79" t="str">
        <f>+VLOOKUP(F1475,[3]Material!$C$2:$E$12,2,FALSE)</f>
        <v>Cal 14</v>
      </c>
      <c r="R1475" s="81">
        <f>+IF(P1475="ACERO A36",VLOOKUP(Q1475,'[3]Velocidades Std 1500 w'!$B$2:$F$15,5,FALSE),IF(P1475="INOXIDABLE",VLOOKUP(Q1475,'[3]Velocidades Std 1500 w'!$B$17:$F$28,5,FALSE),IF(P1475="ALUMINIO",VLOOKUP(Q1475,'[3]Velocidades Std 1500 w'!$B$30:$F$38,5,FALSE))))</f>
        <v>2.0080321285140564E-6</v>
      </c>
      <c r="S1475" s="82">
        <f t="shared" si="174"/>
        <v>1.0040160642570283E-2</v>
      </c>
      <c r="T1475" s="83">
        <f t="shared" si="175"/>
        <v>12.251362554216868</v>
      </c>
      <c r="U1475" s="307">
        <f t="shared" si="171"/>
        <v>1694.7718199999999</v>
      </c>
      <c r="V1475" s="80">
        <f t="shared" si="153"/>
        <v>17.015781325301209</v>
      </c>
      <c r="W1475" s="98">
        <v>5</v>
      </c>
      <c r="X1475" s="84">
        <f>+IF(P1475="ACERO A36",VLOOKUP(Q1475,'[3]Tiempo Objeto'!$B$2:$C$12,2,FALSE),IF(P1475="INOXIDABLE",VLOOKUP(Q1475,'[3]Tiempo Objeto'!$B$14:$C$22,2,FALSE),IF(P1475="ALUMINIO",VLOOKUP(Q1475,'[3]Tiempo Objeto'!$B$24:$C$32,2,FALSE))))</f>
        <v>0.3133333333333333</v>
      </c>
      <c r="Y1475" s="84">
        <f t="shared" si="176"/>
        <v>1.5666666666666664</v>
      </c>
      <c r="Z1475" s="80">
        <f t="shared" si="177"/>
        <v>2.1759259259259256</v>
      </c>
      <c r="AA1475" s="100">
        <v>0</v>
      </c>
      <c r="AB1475" s="86">
        <f>+AA1475*Analisis!$J$6</f>
        <v>0</v>
      </c>
      <c r="AC1475" s="100"/>
      <c r="AD1475" s="85">
        <f t="shared" si="178"/>
        <v>0</v>
      </c>
      <c r="AE1475" s="86">
        <f>+AC1475*Analisis!$J$7</f>
        <v>0</v>
      </c>
      <c r="AF1475" s="308">
        <f>+H1475*0.0254*I1475*0.0254*2*(1+[3]Analisis!$G$2)</f>
        <v>0.31508467950679997</v>
      </c>
      <c r="AG1475" s="86">
        <f>+AF1475*Analisis!$J$8</f>
        <v>33.571522399831672</v>
      </c>
      <c r="AH1475" s="309">
        <f t="shared" si="179"/>
        <v>133.95677538855881</v>
      </c>
      <c r="AI1475" s="86">
        <f>+AH1475/(1-Analisis!G1173)</f>
        <v>133.95677538855881</v>
      </c>
      <c r="AJ1475" s="86">
        <f t="shared" si="180"/>
        <v>144.03954342855786</v>
      </c>
      <c r="AK1475" s="86">
        <f t="shared" si="181"/>
        <v>0</v>
      </c>
      <c r="AL1475" s="310" t="e">
        <f>+VLOOKUP(B1475,#REF!,2,FALSE)</f>
        <v>#REF!</v>
      </c>
      <c r="AM1475" s="311" t="e">
        <f t="shared" si="183"/>
        <v>#REF!</v>
      </c>
      <c r="AN1475" s="312" t="e">
        <f t="shared" si="182"/>
        <v>#REF!</v>
      </c>
    </row>
    <row r="1476" spans="1:40" s="73" customFormat="1" x14ac:dyDescent="0.25">
      <c r="A1476" s="396">
        <v>37</v>
      </c>
      <c r="B1476" s="304" t="s">
        <v>2019</v>
      </c>
      <c r="D1476" s="74">
        <f>IFERROR(VLOOKUP(B1476,'REQ. PINTADO'!B:C,2,0),0)</f>
        <v>0</v>
      </c>
      <c r="E1476" s="305">
        <f t="shared" si="172"/>
        <v>2102.0775035236438</v>
      </c>
      <c r="F1476" s="397" t="s">
        <v>172</v>
      </c>
      <c r="G1476" s="75" t="s">
        <v>147</v>
      </c>
      <c r="H1476" s="90">
        <v>35.96</v>
      </c>
      <c r="I1476" s="90">
        <v>31.03</v>
      </c>
      <c r="J1476" s="76">
        <v>0.105</v>
      </c>
      <c r="K1476" s="306">
        <v>16.38</v>
      </c>
      <c r="L1476" s="78">
        <f t="shared" si="173"/>
        <v>207.63026103988611</v>
      </c>
      <c r="M1476" s="58">
        <f>+VLOOKUP(F1476,Material!$H$2:$M$17,6,FALSE)*H1476*I1476*(1+Material!$K$14)</f>
        <v>1545.9016708333336</v>
      </c>
      <c r="N1476" s="79" t="str">
        <f t="shared" si="444"/>
        <v>T5.0</v>
      </c>
      <c r="O1476" s="80">
        <f>+VLOOKUP(N1476,[3]Material!$A$3:$B$58,2,FALSE)</f>
        <v>5000</v>
      </c>
      <c r="P1476" s="79" t="s">
        <v>42</v>
      </c>
      <c r="Q1476" s="79" t="str">
        <f>+VLOOKUP(F1476,[3]Material!$C$2:$E$12,2,FALSE)</f>
        <v>1/8"</v>
      </c>
      <c r="R1476" s="81">
        <f>+IF(P1476="ACERO A36",VLOOKUP(Q1476,'[3]Velocidades Std 1500 w'!$B$2:$F$15,5,FALSE),IF(P1476="INOXIDABLE",VLOOKUP(Q1476,'[3]Velocidades Std 1500 w'!$B$17:$F$28,5,FALSE),IF(P1476="ALUMINIO",VLOOKUP(Q1476,'[3]Velocidades Std 1500 w'!$B$30:$F$38,5,FALSE))))</f>
        <v>5.7471264367816091E-6</v>
      </c>
      <c r="S1476" s="82">
        <f t="shared" si="174"/>
        <v>2.8735632183908046E-2</v>
      </c>
      <c r="T1476" s="83">
        <f t="shared" si="175"/>
        <v>79.723067586206909</v>
      </c>
      <c r="U1476" s="307">
        <f t="shared" si="171"/>
        <v>3853.2816000000007</v>
      </c>
      <c r="V1476" s="80">
        <f t="shared" si="153"/>
        <v>110.7264827586207</v>
      </c>
      <c r="W1476" s="98">
        <v>7</v>
      </c>
      <c r="X1476" s="84">
        <f>+IF(P1476="ACERO A36",VLOOKUP(Q1476,'[3]Tiempo Objeto'!$B$2:$C$12,2,FALSE),IF(P1476="INOXIDABLE",VLOOKUP(Q1476,'[3]Tiempo Objeto'!$B$14:$C$22,2,FALSE),IF(P1476="ALUMINIO",VLOOKUP(Q1476,'[3]Tiempo Objeto'!$B$24:$C$32,2,FALSE))))</f>
        <v>0.67333333333333334</v>
      </c>
      <c r="Y1476" s="84">
        <f t="shared" si="176"/>
        <v>4.7133333333333329</v>
      </c>
      <c r="Z1476" s="80">
        <f t="shared" si="177"/>
        <v>6.5462962962962958</v>
      </c>
      <c r="AA1476" s="100">
        <v>4</v>
      </c>
      <c r="AB1476" s="86">
        <f>+AA1476*Analisis!$J$6</f>
        <v>100</v>
      </c>
      <c r="AC1476" s="100"/>
      <c r="AD1476" s="85">
        <f t="shared" si="178"/>
        <v>0</v>
      </c>
      <c r="AE1476" s="86">
        <f>+AC1476*Analisis!$J$7</f>
        <v>0</v>
      </c>
      <c r="AF1476" s="308">
        <f>+H1476*0.0254*I1476*0.0254*2*(1+[3]Analisis!$G$2)</f>
        <v>1.7997364005200001</v>
      </c>
      <c r="AG1476" s="86">
        <f>+AF1476*Analisis!$J$8</f>
        <v>191.75762838873817</v>
      </c>
      <c r="AH1476" s="309">
        <f t="shared" si="179"/>
        <v>1954.9320782769887</v>
      </c>
      <c r="AI1476" s="86">
        <f>+AH1476/(1-Analisis!G1174)</f>
        <v>1954.9320782769887</v>
      </c>
      <c r="AJ1476" s="86">
        <f t="shared" si="180"/>
        <v>2102.0775035236438</v>
      </c>
      <c r="AK1476" s="86">
        <f t="shared" si="181"/>
        <v>0</v>
      </c>
      <c r="AL1476" s="310" t="e">
        <f>+VLOOKUP(B1476,#REF!,2,FALSE)</f>
        <v>#REF!</v>
      </c>
      <c r="AM1476" s="311" t="e">
        <f t="shared" si="183"/>
        <v>#REF!</v>
      </c>
      <c r="AN1476" s="312" t="e">
        <f t="shared" si="182"/>
        <v>#REF!</v>
      </c>
    </row>
    <row r="1477" spans="1:40" s="73" customFormat="1" x14ac:dyDescent="0.25">
      <c r="A1477" s="396">
        <v>37</v>
      </c>
      <c r="B1477" s="304" t="s">
        <v>2020</v>
      </c>
      <c r="D1477" s="74">
        <f>IFERROR(VLOOKUP(B1477,'REQ. PINTADO'!B:C,2,0),0)</f>
        <v>0</v>
      </c>
      <c r="E1477" s="305">
        <f t="shared" ref="E1477:E1480" si="445">+AJ1477</f>
        <v>2530.9356850687468</v>
      </c>
      <c r="F1477" s="397" t="s">
        <v>172</v>
      </c>
      <c r="G1477" s="75" t="s">
        <v>147</v>
      </c>
      <c r="H1477" s="90">
        <v>43.96</v>
      </c>
      <c r="I1477" s="90">
        <v>31.03</v>
      </c>
      <c r="J1477" s="76">
        <v>0.105</v>
      </c>
      <c r="K1477" s="306">
        <v>16.38</v>
      </c>
      <c r="L1477" s="78">
        <f t="shared" ref="L1477:L1480" si="446">+M1477*2.2/K1477</f>
        <v>253.8216428062679</v>
      </c>
      <c r="M1477" s="58">
        <f>+VLOOKUP(F1477,Material!$H$2:$M$17,6,FALSE)*H1477*I1477*(1+Material!$K$14)</f>
        <v>1889.817504166667</v>
      </c>
      <c r="N1477" s="79" t="str">
        <f t="shared" si="444"/>
        <v>T5.0</v>
      </c>
      <c r="O1477" s="80">
        <f>+VLOOKUP(N1477,[3]Material!$A$3:$B$58,2,FALSE)</f>
        <v>5000</v>
      </c>
      <c r="P1477" s="79" t="s">
        <v>42</v>
      </c>
      <c r="Q1477" s="79" t="str">
        <f>+VLOOKUP(F1477,[3]Material!$C$2:$E$12,2,FALSE)</f>
        <v>1/8"</v>
      </c>
      <c r="R1477" s="81">
        <f>+IF(P1477="ACERO A36",VLOOKUP(Q1477,'[3]Velocidades Std 1500 w'!$B$2:$F$15,5,FALSE),IF(P1477="INOXIDABLE",VLOOKUP(Q1477,'[3]Velocidades Std 1500 w'!$B$17:$F$28,5,FALSE),IF(P1477="ALUMINIO",VLOOKUP(Q1477,'[3]Velocidades Std 1500 w'!$B$30:$F$38,5,FALSE))))</f>
        <v>5.7471264367816091E-6</v>
      </c>
      <c r="S1477" s="82">
        <f t="shared" ref="S1477:S1480" si="447">+R1477*O1477</f>
        <v>2.8735632183908046E-2</v>
      </c>
      <c r="T1477" s="83">
        <f t="shared" ref="T1477:T1480" si="448">+R1477*U1477*3600</f>
        <v>88.55175724137932</v>
      </c>
      <c r="U1477" s="307">
        <f t="shared" ref="U1477:U1480" si="449">(+I1477*2+H1477*2+W1477*1.5)*25.4*1.05</f>
        <v>4280.0016000000005</v>
      </c>
      <c r="V1477" s="80">
        <f t="shared" ref="V1477:V1480" si="450">+U1477*S1477</f>
        <v>122.98855172413795</v>
      </c>
      <c r="W1477" s="98">
        <v>7</v>
      </c>
      <c r="X1477" s="84">
        <f>+IF(P1477="ACERO A36",VLOOKUP(Q1477,'[3]Tiempo Objeto'!$B$2:$C$12,2,FALSE),IF(P1477="INOXIDABLE",VLOOKUP(Q1477,'[3]Tiempo Objeto'!$B$14:$C$22,2,FALSE),IF(P1477="ALUMINIO",VLOOKUP(Q1477,'[3]Tiempo Objeto'!$B$24:$C$32,2,FALSE))))</f>
        <v>0.67333333333333334</v>
      </c>
      <c r="Y1477" s="84">
        <f t="shared" ref="Y1477:Y1480" si="451">+X1477*W1477</f>
        <v>4.7133333333333329</v>
      </c>
      <c r="Z1477" s="80">
        <f t="shared" ref="Z1477:Z1480" si="452">+Y1477*O1477/3600</f>
        <v>6.5462962962962958</v>
      </c>
      <c r="AA1477" s="100">
        <v>4</v>
      </c>
      <c r="AB1477" s="86">
        <f>+AA1477*Analisis!$J$6</f>
        <v>100</v>
      </c>
      <c r="AC1477" s="100"/>
      <c r="AD1477" s="85">
        <f t="shared" ref="AD1477:AD1480" si="453">30*AC1477+AC1477*$D1477*1.5</f>
        <v>0</v>
      </c>
      <c r="AE1477" s="86">
        <f>+AC1477*Analisis!$J$7</f>
        <v>0</v>
      </c>
      <c r="AF1477" s="308">
        <f>+H1477*0.0254*I1477*0.0254*2*(1+[3]Analisis!$G$2)</f>
        <v>2.2001226965199998</v>
      </c>
      <c r="AG1477" s="86">
        <f>+AF1477*Analisis!$J$8</f>
        <v>234.41783492683339</v>
      </c>
      <c r="AH1477" s="309">
        <f t="shared" ref="AH1477:AH1480" si="454">+AE1477+AB1477+Z1477+V1477+M1477+AG1477</f>
        <v>2353.7701871139343</v>
      </c>
      <c r="AI1477" s="86">
        <f>+AH1477/(1-Analisis!G1175)</f>
        <v>2353.7701871139343</v>
      </c>
      <c r="AJ1477" s="86">
        <f t="shared" ref="AJ1477:AJ1480" si="455">+AI1477/(1-0.07)</f>
        <v>2530.9356850687468</v>
      </c>
      <c r="AK1477" s="86">
        <f t="shared" ref="AK1477:AK1480" si="456">+AJ1477*D1477</f>
        <v>0</v>
      </c>
      <c r="AL1477" s="310" t="e">
        <f>+VLOOKUP(B1477,#REF!,2,FALSE)</f>
        <v>#REF!</v>
      </c>
      <c r="AM1477" s="311" t="e">
        <f t="shared" ref="AM1477:AM1480" si="457">+AL1477-E1477</f>
        <v>#REF!</v>
      </c>
      <c r="AN1477" s="312" t="e">
        <f t="shared" ref="AN1477:AN1480" si="458">+AM1477/AL1477</f>
        <v>#REF!</v>
      </c>
    </row>
    <row r="1478" spans="1:40" s="73" customFormat="1" x14ac:dyDescent="0.25">
      <c r="A1478" s="396">
        <v>37</v>
      </c>
      <c r="B1478" s="304" t="s">
        <v>1946</v>
      </c>
      <c r="D1478" s="74">
        <f>IFERROR(VLOOKUP(B1478,'REQ. PINTADO'!B:C,2,0),0)</f>
        <v>0</v>
      </c>
      <c r="E1478" s="305">
        <f t="shared" si="445"/>
        <v>2852.5793212275748</v>
      </c>
      <c r="F1478" s="397" t="s">
        <v>172</v>
      </c>
      <c r="G1478" s="75" t="s">
        <v>147</v>
      </c>
      <c r="H1478" s="90">
        <v>49.96</v>
      </c>
      <c r="I1478" s="90">
        <v>31.03</v>
      </c>
      <c r="J1478" s="76">
        <v>0.105</v>
      </c>
      <c r="K1478" s="306">
        <v>16.38</v>
      </c>
      <c r="L1478" s="78">
        <f t="shared" si="446"/>
        <v>288.46517913105424</v>
      </c>
      <c r="M1478" s="58">
        <f>+VLOOKUP(F1478,Material!$H$2:$M$17,6,FALSE)*H1478*I1478*(1+Material!$K$14)</f>
        <v>2147.7543791666671</v>
      </c>
      <c r="N1478" s="79" t="str">
        <f t="shared" si="444"/>
        <v>T5.0</v>
      </c>
      <c r="O1478" s="80">
        <f>+VLOOKUP(N1478,[3]Material!$A$3:$B$58,2,FALSE)</f>
        <v>5000</v>
      </c>
      <c r="P1478" s="79" t="s">
        <v>42</v>
      </c>
      <c r="Q1478" s="79" t="str">
        <f>+VLOOKUP(F1478,[3]Material!$C$2:$E$12,2,FALSE)</f>
        <v>1/8"</v>
      </c>
      <c r="R1478" s="81">
        <f>+IF(P1478="ACERO A36",VLOOKUP(Q1478,'[3]Velocidades Std 1500 w'!$B$2:$F$15,5,FALSE),IF(P1478="INOXIDABLE",VLOOKUP(Q1478,'[3]Velocidades Std 1500 w'!$B$17:$F$28,5,FALSE),IF(P1478="ALUMINIO",VLOOKUP(Q1478,'[3]Velocidades Std 1500 w'!$B$30:$F$38,5,FALSE))))</f>
        <v>5.7471264367816091E-6</v>
      </c>
      <c r="S1478" s="82">
        <f t="shared" si="447"/>
        <v>2.8735632183908046E-2</v>
      </c>
      <c r="T1478" s="83">
        <f t="shared" si="448"/>
        <v>95.173274482758629</v>
      </c>
      <c r="U1478" s="307">
        <f t="shared" si="449"/>
        <v>4600.0416000000005</v>
      </c>
      <c r="V1478" s="80">
        <f t="shared" si="450"/>
        <v>132.18510344827587</v>
      </c>
      <c r="W1478" s="98">
        <v>7</v>
      </c>
      <c r="X1478" s="84">
        <f>+IF(P1478="ACERO A36",VLOOKUP(Q1478,'[3]Tiempo Objeto'!$B$2:$C$12,2,FALSE),IF(P1478="INOXIDABLE",VLOOKUP(Q1478,'[3]Tiempo Objeto'!$B$14:$C$22,2,FALSE),IF(P1478="ALUMINIO",VLOOKUP(Q1478,'[3]Tiempo Objeto'!$B$24:$C$32,2,FALSE))))</f>
        <v>0.67333333333333334</v>
      </c>
      <c r="Y1478" s="84">
        <f t="shared" si="451"/>
        <v>4.7133333333333329</v>
      </c>
      <c r="Z1478" s="80">
        <f t="shared" si="452"/>
        <v>6.5462962962962958</v>
      </c>
      <c r="AA1478" s="100">
        <v>4</v>
      </c>
      <c r="AB1478" s="86">
        <f>+AA1478*Analisis!$J$6</f>
        <v>100</v>
      </c>
      <c r="AC1478" s="100"/>
      <c r="AD1478" s="85">
        <f t="shared" si="453"/>
        <v>0</v>
      </c>
      <c r="AE1478" s="86">
        <f>+AC1478*Analisis!$J$7</f>
        <v>0</v>
      </c>
      <c r="AF1478" s="308">
        <f>+H1478*0.0254*I1478*0.0254*2*(1+[3]Analisis!$G$2)</f>
        <v>2.5004124185199998</v>
      </c>
      <c r="AG1478" s="86">
        <f>+AF1478*Analisis!$J$8</f>
        <v>266.4129898304048</v>
      </c>
      <c r="AH1478" s="309">
        <f t="shared" si="454"/>
        <v>2652.8987687416443</v>
      </c>
      <c r="AI1478" s="86">
        <f>+AH1478/(1-Analisis!G1176)</f>
        <v>2652.8987687416443</v>
      </c>
      <c r="AJ1478" s="86">
        <f t="shared" si="455"/>
        <v>2852.5793212275748</v>
      </c>
      <c r="AK1478" s="86">
        <f t="shared" si="456"/>
        <v>0</v>
      </c>
      <c r="AL1478" s="310" t="e">
        <f>+VLOOKUP(B1478,#REF!,2,FALSE)</f>
        <v>#REF!</v>
      </c>
      <c r="AM1478" s="311" t="e">
        <f t="shared" si="457"/>
        <v>#REF!</v>
      </c>
      <c r="AN1478" s="312" t="e">
        <f t="shared" si="458"/>
        <v>#REF!</v>
      </c>
    </row>
    <row r="1479" spans="1:40" s="73" customFormat="1" x14ac:dyDescent="0.25">
      <c r="A1479" s="396">
        <v>37</v>
      </c>
      <c r="B1479" s="304" t="s">
        <v>2123</v>
      </c>
      <c r="D1479" s="74">
        <f>IFERROR(VLOOKUP(B1479,'REQ. PINTADO'!B:C,2,0),0)</f>
        <v>0</v>
      </c>
      <c r="E1479" s="305">
        <f t="shared" si="445"/>
        <v>3174.2229573864015</v>
      </c>
      <c r="F1479" s="397" t="s">
        <v>172</v>
      </c>
      <c r="G1479" s="75" t="s">
        <v>147</v>
      </c>
      <c r="H1479" s="90">
        <v>55.96</v>
      </c>
      <c r="I1479" s="90">
        <v>31.03</v>
      </c>
      <c r="J1479" s="76">
        <v>0.105</v>
      </c>
      <c r="K1479" s="306">
        <v>16.38</v>
      </c>
      <c r="L1479" s="78">
        <f t="shared" si="446"/>
        <v>323.10871545584052</v>
      </c>
      <c r="M1479" s="58">
        <f>+VLOOKUP(F1479,Material!$H$2:$M$17,6,FALSE)*H1479*I1479*(1+Material!$K$14)</f>
        <v>2405.691254166667</v>
      </c>
      <c r="N1479" s="79" t="str">
        <f t="shared" si="444"/>
        <v>T5.0</v>
      </c>
      <c r="O1479" s="80">
        <f>+VLOOKUP(N1479,[3]Material!$A$3:$B$58,2,FALSE)</f>
        <v>5000</v>
      </c>
      <c r="P1479" s="79" t="s">
        <v>42</v>
      </c>
      <c r="Q1479" s="79" t="str">
        <f>+VLOOKUP(F1479,[3]Material!$C$2:$E$12,2,FALSE)</f>
        <v>1/8"</v>
      </c>
      <c r="R1479" s="81">
        <f>+IF(P1479="ACERO A36",VLOOKUP(Q1479,'[3]Velocidades Std 1500 w'!$B$2:$F$15,5,FALSE),IF(P1479="INOXIDABLE",VLOOKUP(Q1479,'[3]Velocidades Std 1500 w'!$B$17:$F$28,5,FALSE),IF(P1479="ALUMINIO",VLOOKUP(Q1479,'[3]Velocidades Std 1500 w'!$B$30:$F$38,5,FALSE))))</f>
        <v>5.7471264367816091E-6</v>
      </c>
      <c r="S1479" s="82">
        <f t="shared" si="447"/>
        <v>2.8735632183908046E-2</v>
      </c>
      <c r="T1479" s="83">
        <f t="shared" si="448"/>
        <v>101.79479172413794</v>
      </c>
      <c r="U1479" s="307">
        <f t="shared" si="449"/>
        <v>4920.0816000000004</v>
      </c>
      <c r="V1479" s="80">
        <f t="shared" si="450"/>
        <v>141.38165517241382</v>
      </c>
      <c r="W1479" s="98">
        <v>7</v>
      </c>
      <c r="X1479" s="84">
        <f>+IF(P1479="ACERO A36",VLOOKUP(Q1479,'[3]Tiempo Objeto'!$B$2:$C$12,2,FALSE),IF(P1479="INOXIDABLE",VLOOKUP(Q1479,'[3]Tiempo Objeto'!$B$14:$C$22,2,FALSE),IF(P1479="ALUMINIO",VLOOKUP(Q1479,'[3]Tiempo Objeto'!$B$24:$C$32,2,FALSE))))</f>
        <v>0.67333333333333334</v>
      </c>
      <c r="Y1479" s="84">
        <f t="shared" si="451"/>
        <v>4.7133333333333329</v>
      </c>
      <c r="Z1479" s="80">
        <f t="shared" si="452"/>
        <v>6.5462962962962958</v>
      </c>
      <c r="AA1479" s="100">
        <v>4</v>
      </c>
      <c r="AB1479" s="86">
        <f>+AA1479*Analisis!$J$6</f>
        <v>100</v>
      </c>
      <c r="AC1479" s="100"/>
      <c r="AD1479" s="85">
        <f t="shared" si="453"/>
        <v>0</v>
      </c>
      <c r="AE1479" s="86">
        <f>+AC1479*Analisis!$J$7</f>
        <v>0</v>
      </c>
      <c r="AF1479" s="308">
        <f>+H1479*0.0254*I1479*0.0254*2*(1+[3]Analisis!$G$2)</f>
        <v>2.8007021405199999</v>
      </c>
      <c r="AG1479" s="86">
        <f>+AF1479*Analisis!$J$8</f>
        <v>298.40814473397626</v>
      </c>
      <c r="AH1479" s="309">
        <f t="shared" si="454"/>
        <v>2952.0273503693534</v>
      </c>
      <c r="AI1479" s="86">
        <f>+AH1479/(1-Analisis!G1177)</f>
        <v>2952.0273503693534</v>
      </c>
      <c r="AJ1479" s="86">
        <f t="shared" si="455"/>
        <v>3174.2229573864015</v>
      </c>
      <c r="AK1479" s="86">
        <f t="shared" si="456"/>
        <v>0</v>
      </c>
      <c r="AL1479" s="310" t="e">
        <f>+VLOOKUP(B1479,#REF!,2,FALSE)</f>
        <v>#REF!</v>
      </c>
      <c r="AM1479" s="311" t="e">
        <f t="shared" si="457"/>
        <v>#REF!</v>
      </c>
      <c r="AN1479" s="312" t="e">
        <f t="shared" si="458"/>
        <v>#REF!</v>
      </c>
    </row>
    <row r="1480" spans="1:40" s="73" customFormat="1" x14ac:dyDescent="0.25">
      <c r="A1480" s="396">
        <v>37</v>
      </c>
      <c r="B1480" s="304" t="s">
        <v>2021</v>
      </c>
      <c r="D1480" s="74">
        <f>IFERROR(VLOOKUP(B1480,'REQ. PINTADO'!B:C,2,0),0)</f>
        <v>0</v>
      </c>
      <c r="E1480" s="305">
        <f t="shared" si="445"/>
        <v>1137.146595047162</v>
      </c>
      <c r="F1480" s="397" t="s">
        <v>172</v>
      </c>
      <c r="G1480" s="75" t="s">
        <v>147</v>
      </c>
      <c r="H1480" s="90">
        <v>17.96</v>
      </c>
      <c r="I1480" s="90">
        <v>31.03</v>
      </c>
      <c r="J1480" s="76">
        <v>0.105</v>
      </c>
      <c r="K1480" s="306">
        <v>16.38</v>
      </c>
      <c r="L1480" s="78">
        <f t="shared" si="446"/>
        <v>103.6996520655271</v>
      </c>
      <c r="M1480" s="58">
        <f>+VLOOKUP(F1480,Material!$H$2:$M$17,6,FALSE)*H1480*I1480*(1+Material!$K$14)</f>
        <v>772.09104583333351</v>
      </c>
      <c r="N1480" s="79" t="str">
        <f t="shared" si="444"/>
        <v>T5.0</v>
      </c>
      <c r="O1480" s="80">
        <f>+VLOOKUP(N1480,[3]Material!$A$3:$B$58,2,FALSE)</f>
        <v>5000</v>
      </c>
      <c r="P1480" s="79" t="s">
        <v>42</v>
      </c>
      <c r="Q1480" s="79" t="str">
        <f>+VLOOKUP(F1480,[3]Material!$C$2:$E$12,2,FALSE)</f>
        <v>1/8"</v>
      </c>
      <c r="R1480" s="81">
        <f>+IF(P1480="ACERO A36",VLOOKUP(Q1480,'[3]Velocidades Std 1500 w'!$B$2:$F$15,5,FALSE),IF(P1480="INOXIDABLE",VLOOKUP(Q1480,'[3]Velocidades Std 1500 w'!$B$17:$F$28,5,FALSE),IF(P1480="ALUMINIO",VLOOKUP(Q1480,'[3]Velocidades Std 1500 w'!$B$30:$F$38,5,FALSE))))</f>
        <v>5.7471264367816091E-6</v>
      </c>
      <c r="S1480" s="82">
        <f t="shared" si="447"/>
        <v>2.8735632183908046E-2</v>
      </c>
      <c r="T1480" s="83">
        <f t="shared" si="448"/>
        <v>59.85851586206897</v>
      </c>
      <c r="U1480" s="307">
        <f t="shared" si="449"/>
        <v>2893.1615999999999</v>
      </c>
      <c r="V1480" s="80">
        <f t="shared" si="450"/>
        <v>83.136827586206891</v>
      </c>
      <c r="W1480" s="98">
        <v>7</v>
      </c>
      <c r="X1480" s="84">
        <f>+IF(P1480="ACERO A36",VLOOKUP(Q1480,'[3]Tiempo Objeto'!$B$2:$C$12,2,FALSE),IF(P1480="INOXIDABLE",VLOOKUP(Q1480,'[3]Tiempo Objeto'!$B$14:$C$22,2,FALSE),IF(P1480="ALUMINIO",VLOOKUP(Q1480,'[3]Tiempo Objeto'!$B$24:$C$32,2,FALSE))))</f>
        <v>0.67333333333333334</v>
      </c>
      <c r="Y1480" s="84">
        <f t="shared" si="451"/>
        <v>4.7133333333333329</v>
      </c>
      <c r="Z1480" s="80">
        <f t="shared" si="452"/>
        <v>6.5462962962962958</v>
      </c>
      <c r="AA1480" s="100">
        <v>4</v>
      </c>
      <c r="AB1480" s="86">
        <f>+AA1480*Analisis!$J$6</f>
        <v>100</v>
      </c>
      <c r="AC1480" s="100"/>
      <c r="AD1480" s="85">
        <f t="shared" si="453"/>
        <v>0</v>
      </c>
      <c r="AE1480" s="86">
        <f>+AC1480*Analisis!$J$7</f>
        <v>0</v>
      </c>
      <c r="AF1480" s="308">
        <f>+H1480*0.0254*I1480*0.0254*2*(1+[3]Analisis!$G$2)</f>
        <v>0.89886723451999995</v>
      </c>
      <c r="AG1480" s="86">
        <f>+AF1480*Analisis!$J$8</f>
        <v>95.77216367802383</v>
      </c>
      <c r="AH1480" s="309">
        <f t="shared" si="454"/>
        <v>1057.5463333938606</v>
      </c>
      <c r="AI1480" s="86">
        <f>+AH1480/(1-Analisis!G1178)</f>
        <v>1057.5463333938606</v>
      </c>
      <c r="AJ1480" s="86">
        <f t="shared" si="455"/>
        <v>1137.146595047162</v>
      </c>
      <c r="AK1480" s="86">
        <f t="shared" si="456"/>
        <v>0</v>
      </c>
      <c r="AL1480" s="310" t="e">
        <f>+VLOOKUP(B1480,#REF!,2,FALSE)</f>
        <v>#REF!</v>
      </c>
      <c r="AM1480" s="311" t="e">
        <f t="shared" si="457"/>
        <v>#REF!</v>
      </c>
      <c r="AN1480" s="312" t="e">
        <f t="shared" si="458"/>
        <v>#REF!</v>
      </c>
    </row>
    <row r="1481" spans="1:40" s="73" customFormat="1" x14ac:dyDescent="0.25">
      <c r="A1481" s="396">
        <v>38</v>
      </c>
      <c r="B1481" s="304" t="s">
        <v>1959</v>
      </c>
      <c r="D1481" s="74">
        <f>IFERROR(VLOOKUP(B1481,'REQ. PINTADO'!B:C,2,0),0)</f>
        <v>0</v>
      </c>
      <c r="E1481" s="305">
        <f t="shared" si="172"/>
        <v>1780.4338673648167</v>
      </c>
      <c r="F1481" s="397" t="s">
        <v>172</v>
      </c>
      <c r="G1481" s="75" t="s">
        <v>147</v>
      </c>
      <c r="H1481" s="90">
        <v>29.96</v>
      </c>
      <c r="I1481" s="90">
        <v>31.03</v>
      </c>
      <c r="J1481" s="76">
        <v>0.105</v>
      </c>
      <c r="K1481" s="306">
        <v>16.38</v>
      </c>
      <c r="L1481" s="78">
        <f t="shared" si="173"/>
        <v>172.98672471509974</v>
      </c>
      <c r="M1481" s="58">
        <f>+VLOOKUP(F1481,Material!$H$2:$M$17,6,FALSE)*H1481*I1481*(1+Material!$K$14)</f>
        <v>1287.9647958333335</v>
      </c>
      <c r="N1481" s="79" t="str">
        <f>+N1163</f>
        <v>T5.0</v>
      </c>
      <c r="O1481" s="80">
        <f>+VLOOKUP(N1481,[3]Material!$A$3:$B$58,2,FALSE)</f>
        <v>5000</v>
      </c>
      <c r="P1481" s="79" t="s">
        <v>42</v>
      </c>
      <c r="Q1481" s="79" t="str">
        <f>+VLOOKUP(F1481,[3]Material!$C$2:$E$12,2,FALSE)</f>
        <v>1/8"</v>
      </c>
      <c r="R1481" s="81">
        <f>+IF(P1481="ACERO A36",VLOOKUP(Q1481,'[3]Velocidades Std 1500 w'!$B$2:$F$15,5,FALSE),IF(P1481="INOXIDABLE",VLOOKUP(Q1481,'[3]Velocidades Std 1500 w'!$B$17:$F$28,5,FALSE),IF(P1481="ALUMINIO",VLOOKUP(Q1481,'[3]Velocidades Std 1500 w'!$B$30:$F$38,5,FALSE))))</f>
        <v>5.7471264367816091E-6</v>
      </c>
      <c r="S1481" s="82">
        <f t="shared" si="174"/>
        <v>2.8735632183908046E-2</v>
      </c>
      <c r="T1481" s="83">
        <f t="shared" si="175"/>
        <v>73.101550344827587</v>
      </c>
      <c r="U1481" s="307">
        <f t="shared" si="171"/>
        <v>3533.2416000000003</v>
      </c>
      <c r="V1481" s="80">
        <f t="shared" si="153"/>
        <v>101.52993103448277</v>
      </c>
      <c r="W1481" s="98">
        <v>7</v>
      </c>
      <c r="X1481" s="84">
        <f>+IF(P1481="ACERO A36",VLOOKUP(Q1481,'[3]Tiempo Objeto'!$B$2:$C$12,2,FALSE),IF(P1481="INOXIDABLE",VLOOKUP(Q1481,'[3]Tiempo Objeto'!$B$14:$C$22,2,FALSE),IF(P1481="ALUMINIO",VLOOKUP(Q1481,'[3]Tiempo Objeto'!$B$24:$C$32,2,FALSE))))</f>
        <v>0.67333333333333334</v>
      </c>
      <c r="Y1481" s="84">
        <f t="shared" si="176"/>
        <v>4.7133333333333329</v>
      </c>
      <c r="Z1481" s="80">
        <f t="shared" si="177"/>
        <v>6.5462962962962958</v>
      </c>
      <c r="AA1481" s="100">
        <v>4</v>
      </c>
      <c r="AB1481" s="86">
        <f>+AA1481*Analisis!$J$6</f>
        <v>100</v>
      </c>
      <c r="AC1481" s="100"/>
      <c r="AD1481" s="85">
        <f t="shared" si="178"/>
        <v>0</v>
      </c>
      <c r="AE1481" s="86">
        <f>+AC1481*Analisis!$J$7</f>
        <v>0</v>
      </c>
      <c r="AF1481" s="308">
        <f>+H1481*0.0254*I1481*0.0254*2*(1+[3]Analisis!$G$2)</f>
        <v>1.49944667852</v>
      </c>
      <c r="AG1481" s="86">
        <f>+AF1481*Analisis!$J$8</f>
        <v>159.76247348516671</v>
      </c>
      <c r="AH1481" s="309">
        <f t="shared" si="179"/>
        <v>1655.8034966492794</v>
      </c>
      <c r="AI1481" s="86">
        <f>+AH1481/(1-Analisis!G1175)</f>
        <v>1655.8034966492794</v>
      </c>
      <c r="AJ1481" s="86">
        <f t="shared" si="180"/>
        <v>1780.4338673648167</v>
      </c>
      <c r="AK1481" s="86">
        <f t="shared" si="181"/>
        <v>0</v>
      </c>
      <c r="AL1481" s="310" t="e">
        <f>+VLOOKUP(B1481,#REF!,2,FALSE)</f>
        <v>#REF!</v>
      </c>
      <c r="AM1481" s="311" t="e">
        <f t="shared" si="183"/>
        <v>#REF!</v>
      </c>
      <c r="AN1481" s="312" t="e">
        <f t="shared" si="182"/>
        <v>#REF!</v>
      </c>
    </row>
    <row r="1482" spans="1:40" s="73" customFormat="1" x14ac:dyDescent="0.25">
      <c r="A1482" s="396">
        <v>40</v>
      </c>
      <c r="B1482" s="304" t="s">
        <v>2022</v>
      </c>
      <c r="D1482" s="74">
        <f>IFERROR(VLOOKUP(B1482,'REQ. PINTADO'!B:C,2,0),0)</f>
        <v>0</v>
      </c>
      <c r="E1482" s="305">
        <f t="shared" si="172"/>
        <v>2915.804123636527</v>
      </c>
      <c r="F1482" s="397" t="s">
        <v>172</v>
      </c>
      <c r="G1482" s="75" t="s">
        <v>147</v>
      </c>
      <c r="H1482" s="90">
        <v>35.96</v>
      </c>
      <c r="I1482" s="90">
        <v>31.03</v>
      </c>
      <c r="J1482" s="76">
        <v>0.105</v>
      </c>
      <c r="K1482" s="306">
        <v>16.38</v>
      </c>
      <c r="L1482" s="78">
        <f t="shared" si="173"/>
        <v>207.63026103988611</v>
      </c>
      <c r="M1482" s="58">
        <f>+VLOOKUP(F1482,Material!$H$2:$M$17,6,FALSE)*H1482*I1482*(1+Material!$K$14)</f>
        <v>1545.9016708333336</v>
      </c>
      <c r="N1482" s="79" t="str">
        <f>+N1165</f>
        <v>T5.0</v>
      </c>
      <c r="O1482" s="80">
        <f>+VLOOKUP(N1482,[3]Material!$A$3:$B$58,2,FALSE)</f>
        <v>5000</v>
      </c>
      <c r="P1482" s="79" t="s">
        <v>42</v>
      </c>
      <c r="Q1482" s="79" t="str">
        <f>+VLOOKUP(F1482,[3]Material!$C$2:$E$12,2,FALSE)</f>
        <v>1/8"</v>
      </c>
      <c r="R1482" s="81">
        <f>+IF(P1482="ACERO A36",VLOOKUP(Q1482,'[3]Velocidades Std 1500 w'!$B$2:$F$15,5,FALSE),IF(P1482="INOXIDABLE",VLOOKUP(Q1482,'[3]Velocidades Std 1500 w'!$B$17:$F$28,5,FALSE),IF(P1482="ALUMINIO",VLOOKUP(Q1482,'[3]Velocidades Std 1500 w'!$B$30:$F$38,5,FALSE))))</f>
        <v>5.7471264367816091E-6</v>
      </c>
      <c r="S1482" s="82">
        <f t="shared" si="174"/>
        <v>2.8735632183908046E-2</v>
      </c>
      <c r="T1482" s="83">
        <f t="shared" si="175"/>
        <v>380.17441241379311</v>
      </c>
      <c r="U1482" s="307">
        <f t="shared" si="171"/>
        <v>18375.096600000001</v>
      </c>
      <c r="V1482" s="80">
        <f t="shared" si="153"/>
        <v>528.02001724137938</v>
      </c>
      <c r="W1482" s="98">
        <v>370</v>
      </c>
      <c r="X1482" s="84">
        <f>+IF(P1482="ACERO A36",VLOOKUP(Q1482,'[3]Tiempo Objeto'!$B$2:$C$12,2,FALSE),IF(P1482="INOXIDABLE",VLOOKUP(Q1482,'[3]Tiempo Objeto'!$B$14:$C$22,2,FALSE),IF(P1482="ALUMINIO",VLOOKUP(Q1482,'[3]Tiempo Objeto'!$B$24:$C$32,2,FALSE))))</f>
        <v>0.67333333333333334</v>
      </c>
      <c r="Y1482" s="84">
        <f t="shared" si="176"/>
        <v>249.13333333333333</v>
      </c>
      <c r="Z1482" s="80">
        <f t="shared" si="177"/>
        <v>346.01851851851853</v>
      </c>
      <c r="AA1482" s="100">
        <v>4</v>
      </c>
      <c r="AB1482" s="86">
        <f>+AA1482*Analisis!$J$6</f>
        <v>100</v>
      </c>
      <c r="AC1482" s="100"/>
      <c r="AD1482" s="85">
        <f t="shared" si="178"/>
        <v>0</v>
      </c>
      <c r="AE1482" s="86">
        <f>+AC1482*Analisis!$J$7</f>
        <v>0</v>
      </c>
      <c r="AF1482" s="308">
        <f>+H1482*0.0254*I1482*0.0254*2*(1+[3]Analisis!$G$2)</f>
        <v>1.7997364005200001</v>
      </c>
      <c r="AG1482" s="86">
        <f>+AF1482*Analisis!$J$8</f>
        <v>191.75762838873817</v>
      </c>
      <c r="AH1482" s="309">
        <f t="shared" si="179"/>
        <v>2711.6978349819701</v>
      </c>
      <c r="AI1482" s="86">
        <f>+AH1482/(1-Analisis!G1177)</f>
        <v>2711.6978349819701</v>
      </c>
      <c r="AJ1482" s="86">
        <f t="shared" si="180"/>
        <v>2915.804123636527</v>
      </c>
      <c r="AK1482" s="86">
        <f t="shared" si="181"/>
        <v>0</v>
      </c>
      <c r="AL1482" s="310" t="e">
        <f>+VLOOKUP(B1482,#REF!,2,FALSE)</f>
        <v>#REF!</v>
      </c>
      <c r="AM1482" s="311" t="e">
        <f t="shared" si="183"/>
        <v>#REF!</v>
      </c>
      <c r="AN1482" s="312" t="e">
        <f t="shared" si="182"/>
        <v>#REF!</v>
      </c>
    </row>
    <row r="1483" spans="1:40" s="73" customFormat="1" x14ac:dyDescent="0.25">
      <c r="A1483" s="396">
        <v>40</v>
      </c>
      <c r="B1483" s="304" t="s">
        <v>2023</v>
      </c>
      <c r="D1483" s="74">
        <f>IFERROR(VLOOKUP(B1483,'REQ. PINTADO'!B:C,2,0),0)</f>
        <v>0</v>
      </c>
      <c r="E1483" s="305">
        <f t="shared" ref="E1483:E1485" si="459">+AJ1483</f>
        <v>3344.6623051816296</v>
      </c>
      <c r="F1483" s="397" t="s">
        <v>172</v>
      </c>
      <c r="G1483" s="75" t="s">
        <v>147</v>
      </c>
      <c r="H1483" s="90">
        <v>43.96</v>
      </c>
      <c r="I1483" s="90">
        <v>31.03</v>
      </c>
      <c r="J1483" s="76">
        <v>0.105</v>
      </c>
      <c r="K1483" s="306">
        <v>16.38</v>
      </c>
      <c r="L1483" s="78">
        <f t="shared" ref="L1483:L1485" si="460">+M1483*2.2/K1483</f>
        <v>253.8216428062679</v>
      </c>
      <c r="M1483" s="58">
        <f>+VLOOKUP(F1483,Material!$H$2:$M$17,6,FALSE)*H1483*I1483*(1+Material!$K$14)</f>
        <v>1889.817504166667</v>
      </c>
      <c r="N1483" s="79" t="str">
        <f>+N1166</f>
        <v>T5.0</v>
      </c>
      <c r="O1483" s="80">
        <f>+VLOOKUP(N1483,[3]Material!$A$3:$B$58,2,FALSE)</f>
        <v>5000</v>
      </c>
      <c r="P1483" s="79" t="s">
        <v>42</v>
      </c>
      <c r="Q1483" s="79" t="str">
        <f>+VLOOKUP(F1483,[3]Material!$C$2:$E$12,2,FALSE)</f>
        <v>1/8"</v>
      </c>
      <c r="R1483" s="81">
        <f>+IF(P1483="ACERO A36",VLOOKUP(Q1483,'[3]Velocidades Std 1500 w'!$B$2:$F$15,5,FALSE),IF(P1483="INOXIDABLE",VLOOKUP(Q1483,'[3]Velocidades Std 1500 w'!$B$17:$F$28,5,FALSE),IF(P1483="ALUMINIO",VLOOKUP(Q1483,'[3]Velocidades Std 1500 w'!$B$30:$F$38,5,FALSE))))</f>
        <v>5.7471264367816091E-6</v>
      </c>
      <c r="S1483" s="82">
        <f t="shared" ref="S1483:S1485" si="461">+R1483*O1483</f>
        <v>2.8735632183908046E-2</v>
      </c>
      <c r="T1483" s="83">
        <f t="shared" ref="T1483:T1485" si="462">+R1483*U1483*3600</f>
        <v>389.00310206896546</v>
      </c>
      <c r="U1483" s="307">
        <f t="shared" ref="U1483:U1485" si="463">(+I1483*2+H1483*2+W1483*1.5)*25.4*1.05</f>
        <v>18801.816599999998</v>
      </c>
      <c r="V1483" s="80">
        <f t="shared" ref="V1483:V1485" si="464">+U1483*S1483</f>
        <v>540.28208620689645</v>
      </c>
      <c r="W1483" s="98">
        <v>370</v>
      </c>
      <c r="X1483" s="84">
        <f>+IF(P1483="ACERO A36",VLOOKUP(Q1483,'[3]Tiempo Objeto'!$B$2:$C$12,2,FALSE),IF(P1483="INOXIDABLE",VLOOKUP(Q1483,'[3]Tiempo Objeto'!$B$14:$C$22,2,FALSE),IF(P1483="ALUMINIO",VLOOKUP(Q1483,'[3]Tiempo Objeto'!$B$24:$C$32,2,FALSE))))</f>
        <v>0.67333333333333334</v>
      </c>
      <c r="Y1483" s="84">
        <f t="shared" ref="Y1483:Y1485" si="465">+X1483*W1483</f>
        <v>249.13333333333333</v>
      </c>
      <c r="Z1483" s="80">
        <f t="shared" ref="Z1483:Z1485" si="466">+Y1483*O1483/3600</f>
        <v>346.01851851851853</v>
      </c>
      <c r="AA1483" s="100">
        <v>4</v>
      </c>
      <c r="AB1483" s="86">
        <f>+AA1483*Analisis!$J$6</f>
        <v>100</v>
      </c>
      <c r="AC1483" s="100"/>
      <c r="AD1483" s="85">
        <f t="shared" ref="AD1483:AD1485" si="467">30*AC1483+AC1483*$D1483*1.5</f>
        <v>0</v>
      </c>
      <c r="AE1483" s="86">
        <f>+AC1483*Analisis!$J$7</f>
        <v>0</v>
      </c>
      <c r="AF1483" s="308">
        <f>+H1483*0.0254*I1483*0.0254*2*(1+[3]Analisis!$G$2)</f>
        <v>2.2001226965199998</v>
      </c>
      <c r="AG1483" s="86">
        <f>+AF1483*Analisis!$J$8</f>
        <v>234.41783492683339</v>
      </c>
      <c r="AH1483" s="309">
        <f t="shared" ref="AH1483:AH1485" si="468">+AE1483+AB1483+Z1483+V1483+M1483+AG1483</f>
        <v>3110.5359438189153</v>
      </c>
      <c r="AI1483" s="86">
        <f>+AH1483/(1-Analisis!G1178)</f>
        <v>3110.5359438189153</v>
      </c>
      <c r="AJ1483" s="86">
        <f t="shared" ref="AJ1483:AJ1485" si="469">+AI1483/(1-0.07)</f>
        <v>3344.6623051816296</v>
      </c>
      <c r="AK1483" s="86">
        <f t="shared" ref="AK1483:AK1485" si="470">+AJ1483*D1483</f>
        <v>0</v>
      </c>
      <c r="AL1483" s="310" t="e">
        <f>+VLOOKUP(B1483,#REF!,2,FALSE)</f>
        <v>#REF!</v>
      </c>
      <c r="AM1483" s="311" t="e">
        <f t="shared" ref="AM1483:AM1485" si="471">+AL1483-E1483</f>
        <v>#REF!</v>
      </c>
      <c r="AN1483" s="312" t="e">
        <f t="shared" ref="AN1483:AN1485" si="472">+AM1483/AL1483</f>
        <v>#REF!</v>
      </c>
    </row>
    <row r="1484" spans="1:40" s="73" customFormat="1" x14ac:dyDescent="0.25">
      <c r="A1484" s="396">
        <v>40</v>
      </c>
      <c r="B1484" s="304" t="s">
        <v>2124</v>
      </c>
      <c r="D1484" s="74">
        <f>IFERROR(VLOOKUP(B1484,'REQ. PINTADO'!B:C,2,0),0)</f>
        <v>0</v>
      </c>
      <c r="E1484" s="305">
        <f t="shared" si="459"/>
        <v>3451.8768505679059</v>
      </c>
      <c r="F1484" s="397" t="s">
        <v>172</v>
      </c>
      <c r="G1484" s="75" t="s">
        <v>147</v>
      </c>
      <c r="H1484" s="90">
        <v>45.96</v>
      </c>
      <c r="I1484" s="90">
        <v>31.03</v>
      </c>
      <c r="J1484" s="76">
        <v>0.105</v>
      </c>
      <c r="K1484" s="306">
        <v>16.38</v>
      </c>
      <c r="L1484" s="78">
        <f t="shared" si="460"/>
        <v>265.36948824786333</v>
      </c>
      <c r="M1484" s="58">
        <f>+VLOOKUP(F1484,Material!$H$2:$M$17,6,FALSE)*H1484*I1484*(1+Material!$K$14)</f>
        <v>1975.7964625000004</v>
      </c>
      <c r="N1484" s="79" t="str">
        <f>+N1167</f>
        <v>T5.0</v>
      </c>
      <c r="O1484" s="80">
        <f>+VLOOKUP(N1484,[3]Material!$A$3:$B$58,2,FALSE)</f>
        <v>5000</v>
      </c>
      <c r="P1484" s="79" t="s">
        <v>42</v>
      </c>
      <c r="Q1484" s="79" t="str">
        <f>+VLOOKUP(F1484,[3]Material!$C$2:$E$12,2,FALSE)</f>
        <v>1/8"</v>
      </c>
      <c r="R1484" s="81">
        <f>+IF(P1484="ACERO A36",VLOOKUP(Q1484,'[3]Velocidades Std 1500 w'!$B$2:$F$15,5,FALSE),IF(P1484="INOXIDABLE",VLOOKUP(Q1484,'[3]Velocidades Std 1500 w'!$B$17:$F$28,5,FALSE),IF(P1484="ALUMINIO",VLOOKUP(Q1484,'[3]Velocidades Std 1500 w'!$B$30:$F$38,5,FALSE))))</f>
        <v>5.7471264367816091E-6</v>
      </c>
      <c r="S1484" s="82">
        <f t="shared" si="461"/>
        <v>2.8735632183908046E-2</v>
      </c>
      <c r="T1484" s="83">
        <f t="shared" si="462"/>
        <v>391.21027448275868</v>
      </c>
      <c r="U1484" s="307">
        <f t="shared" si="463"/>
        <v>18908.496600000002</v>
      </c>
      <c r="V1484" s="80">
        <f t="shared" si="464"/>
        <v>543.34760344827589</v>
      </c>
      <c r="W1484" s="98">
        <v>370</v>
      </c>
      <c r="X1484" s="84">
        <f>+IF(P1484="ACERO A36",VLOOKUP(Q1484,'[3]Tiempo Objeto'!$B$2:$C$12,2,FALSE),IF(P1484="INOXIDABLE",VLOOKUP(Q1484,'[3]Tiempo Objeto'!$B$14:$C$22,2,FALSE),IF(P1484="ALUMINIO",VLOOKUP(Q1484,'[3]Tiempo Objeto'!$B$24:$C$32,2,FALSE))))</f>
        <v>0.67333333333333334</v>
      </c>
      <c r="Y1484" s="84">
        <f t="shared" si="465"/>
        <v>249.13333333333333</v>
      </c>
      <c r="Z1484" s="80">
        <f t="shared" si="466"/>
        <v>346.01851851851853</v>
      </c>
      <c r="AA1484" s="100">
        <v>4</v>
      </c>
      <c r="AB1484" s="86">
        <f>+AA1484*Analisis!$J$6</f>
        <v>100</v>
      </c>
      <c r="AC1484" s="100"/>
      <c r="AD1484" s="85">
        <f t="shared" si="467"/>
        <v>0</v>
      </c>
      <c r="AE1484" s="86">
        <f>+AC1484*Analisis!$J$7</f>
        <v>0</v>
      </c>
      <c r="AF1484" s="308">
        <f>+H1484*0.0254*I1484*0.0254*2*(1+[3]Analisis!$G$2)</f>
        <v>2.30021927052</v>
      </c>
      <c r="AG1484" s="86">
        <f>+AF1484*Analisis!$J$8</f>
        <v>245.08288656135721</v>
      </c>
      <c r="AH1484" s="309">
        <f t="shared" si="468"/>
        <v>3210.2454710281522</v>
      </c>
      <c r="AI1484" s="86">
        <f>+AH1484/(1-Analisis!G1179)</f>
        <v>3210.2454710281522</v>
      </c>
      <c r="AJ1484" s="86">
        <f t="shared" si="469"/>
        <v>3451.8768505679059</v>
      </c>
      <c r="AK1484" s="86">
        <f t="shared" si="470"/>
        <v>0</v>
      </c>
      <c r="AL1484" s="310" t="e">
        <f>+VLOOKUP(B1484,#REF!,2,FALSE)</f>
        <v>#REF!</v>
      </c>
      <c r="AM1484" s="311" t="e">
        <f t="shared" si="471"/>
        <v>#REF!</v>
      </c>
      <c r="AN1484" s="312" t="e">
        <f t="shared" si="472"/>
        <v>#REF!</v>
      </c>
    </row>
    <row r="1485" spans="1:40" s="73" customFormat="1" x14ac:dyDescent="0.25">
      <c r="A1485" s="396">
        <v>40</v>
      </c>
      <c r="B1485" s="304" t="s">
        <v>2125</v>
      </c>
      <c r="D1485" s="74">
        <f>IFERROR(VLOOKUP(B1485,'REQ. PINTADO'!B:C,2,0),0)</f>
        <v>0</v>
      </c>
      <c r="E1485" s="305">
        <f t="shared" si="459"/>
        <v>3666.3059413404576</v>
      </c>
      <c r="F1485" s="397" t="s">
        <v>172</v>
      </c>
      <c r="G1485" s="75" t="s">
        <v>147</v>
      </c>
      <c r="H1485" s="90">
        <v>49.96</v>
      </c>
      <c r="I1485" s="90">
        <v>31.03</v>
      </c>
      <c r="J1485" s="76">
        <v>0.105</v>
      </c>
      <c r="K1485" s="306">
        <v>16.38</v>
      </c>
      <c r="L1485" s="78">
        <f t="shared" si="460"/>
        <v>288.46517913105424</v>
      </c>
      <c r="M1485" s="58">
        <f>+VLOOKUP(F1485,Material!$H$2:$M$17,6,FALSE)*H1485*I1485*(1+Material!$K$14)</f>
        <v>2147.7543791666671</v>
      </c>
      <c r="N1485" s="79" t="str">
        <f>+N1168</f>
        <v>T5.0</v>
      </c>
      <c r="O1485" s="80">
        <f>+VLOOKUP(N1485,[3]Material!$A$3:$B$58,2,FALSE)</f>
        <v>5000</v>
      </c>
      <c r="P1485" s="79" t="s">
        <v>42</v>
      </c>
      <c r="Q1485" s="79" t="str">
        <f>+VLOOKUP(F1485,[3]Material!$C$2:$E$12,2,FALSE)</f>
        <v>1/8"</v>
      </c>
      <c r="R1485" s="81">
        <f>+IF(P1485="ACERO A36",VLOOKUP(Q1485,'[3]Velocidades Std 1500 w'!$B$2:$F$15,5,FALSE),IF(P1485="INOXIDABLE",VLOOKUP(Q1485,'[3]Velocidades Std 1500 w'!$B$17:$F$28,5,FALSE),IF(P1485="ALUMINIO",VLOOKUP(Q1485,'[3]Velocidades Std 1500 w'!$B$30:$F$38,5,FALSE))))</f>
        <v>5.7471264367816091E-6</v>
      </c>
      <c r="S1485" s="82">
        <f t="shared" si="461"/>
        <v>2.8735632183908046E-2</v>
      </c>
      <c r="T1485" s="83">
        <f t="shared" si="462"/>
        <v>395.62461931034477</v>
      </c>
      <c r="U1485" s="307">
        <f t="shared" si="463"/>
        <v>19121.856599999999</v>
      </c>
      <c r="V1485" s="80">
        <f t="shared" si="464"/>
        <v>549.47863793103443</v>
      </c>
      <c r="W1485" s="98">
        <v>370</v>
      </c>
      <c r="X1485" s="84">
        <f>+IF(P1485="ACERO A36",VLOOKUP(Q1485,'[3]Tiempo Objeto'!$B$2:$C$12,2,FALSE),IF(P1485="INOXIDABLE",VLOOKUP(Q1485,'[3]Tiempo Objeto'!$B$14:$C$22,2,FALSE),IF(P1485="ALUMINIO",VLOOKUP(Q1485,'[3]Tiempo Objeto'!$B$24:$C$32,2,FALSE))))</f>
        <v>0.67333333333333334</v>
      </c>
      <c r="Y1485" s="84">
        <f t="shared" si="465"/>
        <v>249.13333333333333</v>
      </c>
      <c r="Z1485" s="80">
        <f t="shared" si="466"/>
        <v>346.01851851851853</v>
      </c>
      <c r="AA1485" s="100">
        <v>4</v>
      </c>
      <c r="AB1485" s="86">
        <f>+AA1485*Analisis!$J$6</f>
        <v>100</v>
      </c>
      <c r="AC1485" s="100"/>
      <c r="AD1485" s="85">
        <f t="shared" si="467"/>
        <v>0</v>
      </c>
      <c r="AE1485" s="86">
        <f>+AC1485*Analisis!$J$7</f>
        <v>0</v>
      </c>
      <c r="AF1485" s="308">
        <f>+H1485*0.0254*I1485*0.0254*2*(1+[3]Analisis!$G$2)</f>
        <v>2.5004124185199998</v>
      </c>
      <c r="AG1485" s="86">
        <f>+AF1485*Analisis!$J$8</f>
        <v>266.4129898304048</v>
      </c>
      <c r="AH1485" s="309">
        <f t="shared" si="468"/>
        <v>3409.6645254466252</v>
      </c>
      <c r="AI1485" s="86">
        <f>+AH1485/(1-Analisis!G1180)</f>
        <v>3409.6645254466252</v>
      </c>
      <c r="AJ1485" s="86">
        <f t="shared" si="469"/>
        <v>3666.3059413404576</v>
      </c>
      <c r="AK1485" s="86">
        <f t="shared" si="470"/>
        <v>0</v>
      </c>
      <c r="AL1485" s="310" t="e">
        <f>+VLOOKUP(B1485,#REF!,2,FALSE)</f>
        <v>#REF!</v>
      </c>
      <c r="AM1485" s="311" t="e">
        <f t="shared" si="471"/>
        <v>#REF!</v>
      </c>
      <c r="AN1485" s="312" t="e">
        <f t="shared" si="472"/>
        <v>#REF!</v>
      </c>
    </row>
    <row r="1486" spans="1:40" s="73" customFormat="1" x14ac:dyDescent="0.25">
      <c r="A1486" s="396">
        <v>42</v>
      </c>
      <c r="B1486" s="304" t="s">
        <v>2024</v>
      </c>
      <c r="D1486" s="74">
        <f>IFERROR(VLOOKUP(B1486,'REQ. PINTADO'!B:C,2,0),0)</f>
        <v>0</v>
      </c>
      <c r="E1486" s="305">
        <f t="shared" si="172"/>
        <v>1026.3201004224529</v>
      </c>
      <c r="F1486" s="397" t="s">
        <v>165</v>
      </c>
      <c r="G1486" s="75" t="s">
        <v>147</v>
      </c>
      <c r="H1486" s="90">
        <v>11.81</v>
      </c>
      <c r="I1486" s="90">
        <v>90</v>
      </c>
      <c r="J1486" s="76">
        <v>0.105</v>
      </c>
      <c r="K1486" s="306">
        <v>16.38</v>
      </c>
      <c r="L1486" s="78">
        <f t="shared" si="173"/>
        <v>59.333894230769246</v>
      </c>
      <c r="M1486" s="58">
        <f>+VLOOKUP(F1486,Material!$H$2:$M$17,6,FALSE)*H1486*I1486*(1+Material!$K$14)</f>
        <v>441.76781250000005</v>
      </c>
      <c r="N1486" s="79" t="str">
        <f>+N1167</f>
        <v>T5.0</v>
      </c>
      <c r="O1486" s="80">
        <f>+VLOOKUP(N1486,[3]Material!$A$3:$B$58,2,FALSE)</f>
        <v>5000</v>
      </c>
      <c r="P1486" s="79" t="s">
        <v>42</v>
      </c>
      <c r="Q1486" s="79" t="str">
        <f>+VLOOKUP(F1486,[3]Material!$C$2:$E$12,2,FALSE)</f>
        <v>Cal 14</v>
      </c>
      <c r="R1486" s="81">
        <f>+IF(P1486="ACERO A36",VLOOKUP(Q1486,'[3]Velocidades Std 1500 w'!$B$2:$F$15,5,FALSE),IF(P1486="INOXIDABLE",VLOOKUP(Q1486,'[3]Velocidades Std 1500 w'!$B$17:$F$28,5,FALSE),IF(P1486="ALUMINIO",VLOOKUP(Q1486,'[3]Velocidades Std 1500 w'!$B$30:$F$38,5,FALSE))))</f>
        <v>2.0080321285140564E-6</v>
      </c>
      <c r="S1486" s="82">
        <f t="shared" si="174"/>
        <v>1.0040160642570283E-2</v>
      </c>
      <c r="T1486" s="83">
        <f t="shared" si="175"/>
        <v>82.635870361445797</v>
      </c>
      <c r="U1486" s="307">
        <f t="shared" si="171"/>
        <v>11431.295400000001</v>
      </c>
      <c r="V1486" s="80">
        <f t="shared" si="153"/>
        <v>114.77204216867473</v>
      </c>
      <c r="W1486" s="98">
        <v>150</v>
      </c>
      <c r="X1486" s="84">
        <f>+IF(P1486="ACERO A36",VLOOKUP(Q1486,'[3]Tiempo Objeto'!$B$2:$C$12,2,FALSE),IF(P1486="INOXIDABLE",VLOOKUP(Q1486,'[3]Tiempo Objeto'!$B$14:$C$22,2,FALSE),IF(P1486="ALUMINIO",VLOOKUP(Q1486,'[3]Tiempo Objeto'!$B$24:$C$32,2,FALSE))))</f>
        <v>0.3133333333333333</v>
      </c>
      <c r="Y1486" s="84">
        <f t="shared" si="176"/>
        <v>46.999999999999993</v>
      </c>
      <c r="Z1486" s="80">
        <f t="shared" si="177"/>
        <v>65.277777777777771</v>
      </c>
      <c r="AA1486" s="100">
        <v>6</v>
      </c>
      <c r="AB1486" s="86">
        <f>+AA1486*Analisis!$J$6</f>
        <v>150</v>
      </c>
      <c r="AC1486" s="100"/>
      <c r="AD1486" s="85">
        <f t="shared" si="178"/>
        <v>0</v>
      </c>
      <c r="AE1486" s="86">
        <f>+AC1486*Analisis!$J$7</f>
        <v>0</v>
      </c>
      <c r="AF1486" s="308">
        <f>+H1486*0.0254*I1486*0.0254*2*(1+[3]Analisis!$G$2)</f>
        <v>1.7143514100000001</v>
      </c>
      <c r="AG1486" s="86">
        <f>+AF1486*Analisis!$J$8</f>
        <v>182.66006094642864</v>
      </c>
      <c r="AH1486" s="309">
        <f t="shared" si="179"/>
        <v>954.47769339288118</v>
      </c>
      <c r="AI1486" s="86">
        <f>+AH1486/(1-Analisis!G1179)</f>
        <v>954.47769339288118</v>
      </c>
      <c r="AJ1486" s="86">
        <f t="shared" si="180"/>
        <v>1026.3201004224529</v>
      </c>
      <c r="AK1486" s="86">
        <f t="shared" si="181"/>
        <v>0</v>
      </c>
      <c r="AL1486" s="310" t="e">
        <f>+VLOOKUP(B1486,#REF!,2,FALSE)</f>
        <v>#REF!</v>
      </c>
      <c r="AM1486" s="311" t="e">
        <f t="shared" si="183"/>
        <v>#REF!</v>
      </c>
      <c r="AN1486" s="312" t="e">
        <f t="shared" si="182"/>
        <v>#REF!</v>
      </c>
    </row>
    <row r="1487" spans="1:40" s="73" customFormat="1" x14ac:dyDescent="0.25">
      <c r="A1487" s="396">
        <v>42</v>
      </c>
      <c r="B1487" s="304" t="s">
        <v>2113</v>
      </c>
      <c r="D1487" s="74">
        <f>IFERROR(VLOOKUP(B1487,'REQ. PINTADO'!B:C,2,0),0)</f>
        <v>0</v>
      </c>
      <c r="E1487" s="305">
        <f t="shared" ref="E1487:E1488" si="473">+AJ1487</f>
        <v>720.79258286947083</v>
      </c>
      <c r="F1487" s="397" t="s">
        <v>165</v>
      </c>
      <c r="G1487" s="75" t="s">
        <v>147</v>
      </c>
      <c r="H1487" s="90">
        <v>9.18</v>
      </c>
      <c r="I1487" s="90">
        <v>70</v>
      </c>
      <c r="J1487" s="76">
        <v>0.105</v>
      </c>
      <c r="K1487" s="306">
        <v>16.38</v>
      </c>
      <c r="L1487" s="78">
        <f t="shared" ref="L1487:L1488" si="474">+M1487*2.2/K1487</f>
        <v>35.871634615384622</v>
      </c>
      <c r="M1487" s="58">
        <f>+VLOOKUP(F1487,Material!$H$2:$M$17,6,FALSE)*H1487*I1487*(1+Material!$K$14)</f>
        <v>267.080625</v>
      </c>
      <c r="N1487" s="79" t="str">
        <f>+N1168</f>
        <v>T5.0</v>
      </c>
      <c r="O1487" s="80">
        <f>+VLOOKUP(N1487,[3]Material!$A$3:$B$58,2,FALSE)</f>
        <v>5000</v>
      </c>
      <c r="P1487" s="79" t="s">
        <v>42</v>
      </c>
      <c r="Q1487" s="79" t="str">
        <f>+VLOOKUP(F1487,[3]Material!$C$2:$E$12,2,FALSE)</f>
        <v>Cal 14</v>
      </c>
      <c r="R1487" s="81">
        <f>+IF(P1487="ACERO A36",VLOOKUP(Q1487,'[3]Velocidades Std 1500 w'!$B$2:$F$15,5,FALSE),IF(P1487="INOXIDABLE",VLOOKUP(Q1487,'[3]Velocidades Std 1500 w'!$B$17:$F$28,5,FALSE),IF(P1487="ALUMINIO",VLOOKUP(Q1487,'[3]Velocidades Std 1500 w'!$B$30:$F$38,5,FALSE))))</f>
        <v>2.0080321285140564E-6</v>
      </c>
      <c r="S1487" s="82">
        <f t="shared" ref="S1487:S1488" si="475">+R1487*O1487</f>
        <v>1.0040160642570283E-2</v>
      </c>
      <c r="T1487" s="83">
        <f t="shared" ref="T1487:T1488" si="476">+R1487*U1487*3600</f>
        <v>65.234177349397598</v>
      </c>
      <c r="U1487" s="307">
        <f t="shared" ref="U1487:U1488" si="477">(+I1487*2+H1487*2+W1487*1.5)*25.4*1.05</f>
        <v>9024.0612000000001</v>
      </c>
      <c r="V1487" s="80">
        <f t="shared" ref="V1487:V1488" si="478">+U1487*S1487</f>
        <v>90.603024096385553</v>
      </c>
      <c r="W1487" s="98">
        <v>120</v>
      </c>
      <c r="X1487" s="84">
        <f>+IF(P1487="ACERO A36",VLOOKUP(Q1487,'[3]Tiempo Objeto'!$B$2:$C$12,2,FALSE),IF(P1487="INOXIDABLE",VLOOKUP(Q1487,'[3]Tiempo Objeto'!$B$14:$C$22,2,FALSE),IF(P1487="ALUMINIO",VLOOKUP(Q1487,'[3]Tiempo Objeto'!$B$24:$C$32,2,FALSE))))</f>
        <v>0.3133333333333333</v>
      </c>
      <c r="Y1487" s="84">
        <f t="shared" ref="Y1487:Y1488" si="479">+X1487*W1487</f>
        <v>37.599999999999994</v>
      </c>
      <c r="Z1487" s="80">
        <f t="shared" ref="Z1487:Z1488" si="480">+Y1487*O1487/3600</f>
        <v>52.222222222222214</v>
      </c>
      <c r="AA1487" s="100">
        <v>6</v>
      </c>
      <c r="AB1487" s="86">
        <f>+AA1487*Analisis!$J$6</f>
        <v>150</v>
      </c>
      <c r="AC1487" s="100"/>
      <c r="AD1487" s="85">
        <f t="shared" ref="AD1487:AD1488" si="481">30*AC1487+AC1487*$D1487*1.5</f>
        <v>0</v>
      </c>
      <c r="AE1487" s="86">
        <f>+AC1487*Analisis!$J$7</f>
        <v>0</v>
      </c>
      <c r="AF1487" s="308">
        <f>+H1487*0.0254*I1487*0.0254*2*(1+[3]Analisis!$G$2)</f>
        <v>1.0364495399999998</v>
      </c>
      <c r="AG1487" s="86">
        <f>+AF1487*Analisis!$J$8</f>
        <v>110.43123075000001</v>
      </c>
      <c r="AH1487" s="309">
        <f t="shared" ref="AH1487:AH1488" si="482">+AE1487+AB1487+Z1487+V1487+M1487+AG1487</f>
        <v>670.33710206860781</v>
      </c>
      <c r="AI1487" s="86">
        <f>+AH1487/(1-Analisis!G1180)</f>
        <v>670.33710206860781</v>
      </c>
      <c r="AJ1487" s="86">
        <f t="shared" ref="AJ1487:AJ1488" si="483">+AI1487/(1-0.07)</f>
        <v>720.79258286947083</v>
      </c>
      <c r="AK1487" s="86">
        <f t="shared" ref="AK1487:AK1488" si="484">+AJ1487*D1487</f>
        <v>0</v>
      </c>
      <c r="AL1487" s="310" t="e">
        <f>+VLOOKUP(B1487,#REF!,2,FALSE)</f>
        <v>#REF!</v>
      </c>
      <c r="AM1487" s="311" t="e">
        <f t="shared" ref="AM1487:AM1488" si="485">+AL1487-E1487</f>
        <v>#REF!</v>
      </c>
      <c r="AN1487" s="312" t="e">
        <f t="shared" ref="AN1487:AN1488" si="486">+AM1487/AL1487</f>
        <v>#REF!</v>
      </c>
    </row>
    <row r="1488" spans="1:40" s="73" customFormat="1" x14ac:dyDescent="0.25">
      <c r="A1488" s="396">
        <v>42</v>
      </c>
      <c r="B1488" s="304" t="s">
        <v>2114</v>
      </c>
      <c r="D1488" s="74">
        <f>IFERROR(VLOOKUP(B1488,'REQ. PINTADO'!B:C,2,0),0)</f>
        <v>0</v>
      </c>
      <c r="E1488" s="305">
        <f t="shared" si="473"/>
        <v>537.94859936560556</v>
      </c>
      <c r="F1488" s="397" t="s">
        <v>165</v>
      </c>
      <c r="G1488" s="75" t="s">
        <v>147</v>
      </c>
      <c r="H1488" s="90">
        <v>7.22</v>
      </c>
      <c r="I1488" s="90">
        <v>55</v>
      </c>
      <c r="J1488" s="76">
        <v>0.105</v>
      </c>
      <c r="K1488" s="306">
        <v>16.38</v>
      </c>
      <c r="L1488" s="78">
        <f t="shared" si="474"/>
        <v>22.16717414529915</v>
      </c>
      <c r="M1488" s="58">
        <f>+VLOOKUP(F1488,Material!$H$2:$M$17,6,FALSE)*H1488*I1488*(1+Material!$K$14)</f>
        <v>165.04468750000001</v>
      </c>
      <c r="N1488" s="79" t="str">
        <f>+N1169</f>
        <v>T5.0</v>
      </c>
      <c r="O1488" s="80">
        <f>+VLOOKUP(N1488,[3]Material!$A$3:$B$58,2,FALSE)</f>
        <v>5000</v>
      </c>
      <c r="P1488" s="79" t="s">
        <v>42</v>
      </c>
      <c r="Q1488" s="79" t="str">
        <f>+VLOOKUP(F1488,[3]Material!$C$2:$E$12,2,FALSE)</f>
        <v>Cal 14</v>
      </c>
      <c r="R1488" s="81">
        <f>+IF(P1488="ACERO A36",VLOOKUP(Q1488,'[3]Velocidades Std 1500 w'!$B$2:$F$15,5,FALSE),IF(P1488="INOXIDABLE",VLOOKUP(Q1488,'[3]Velocidades Std 1500 w'!$B$17:$F$28,5,FALSE),IF(P1488="ALUMINIO",VLOOKUP(Q1488,'[3]Velocidades Std 1500 w'!$B$30:$F$38,5,FALSE))))</f>
        <v>2.0080321285140564E-6</v>
      </c>
      <c r="S1488" s="82">
        <f t="shared" si="475"/>
        <v>1.0040160642570283E-2</v>
      </c>
      <c r="T1488" s="83">
        <f t="shared" si="476"/>
        <v>52.910709397590367</v>
      </c>
      <c r="U1488" s="307">
        <f t="shared" si="477"/>
        <v>7319.3148000000001</v>
      </c>
      <c r="V1488" s="80">
        <f t="shared" si="478"/>
        <v>73.487096385542188</v>
      </c>
      <c r="W1488" s="98">
        <v>100</v>
      </c>
      <c r="X1488" s="84">
        <f>+IF(P1488="ACERO A36",VLOOKUP(Q1488,'[3]Tiempo Objeto'!$B$2:$C$12,2,FALSE),IF(P1488="INOXIDABLE",VLOOKUP(Q1488,'[3]Tiempo Objeto'!$B$14:$C$22,2,FALSE),IF(P1488="ALUMINIO",VLOOKUP(Q1488,'[3]Tiempo Objeto'!$B$24:$C$32,2,FALSE))))</f>
        <v>0.3133333333333333</v>
      </c>
      <c r="Y1488" s="84">
        <f t="shared" si="479"/>
        <v>31.333333333333329</v>
      </c>
      <c r="Z1488" s="80">
        <f t="shared" si="480"/>
        <v>43.518518518518519</v>
      </c>
      <c r="AA1488" s="100">
        <v>6</v>
      </c>
      <c r="AB1488" s="86">
        <f>+AA1488*Analisis!$J$6</f>
        <v>150</v>
      </c>
      <c r="AC1488" s="100"/>
      <c r="AD1488" s="85">
        <f t="shared" si="481"/>
        <v>0</v>
      </c>
      <c r="AE1488" s="86">
        <f>+AC1488*Analisis!$J$7</f>
        <v>0</v>
      </c>
      <c r="AF1488" s="308">
        <f>+H1488*0.0254*I1488*0.0254*2*(1+[3]Analisis!$G$2)</f>
        <v>0.64048258999999996</v>
      </c>
      <c r="AG1488" s="86">
        <f>+AF1488*Analisis!$J$8</f>
        <v>68.241895005952401</v>
      </c>
      <c r="AH1488" s="309">
        <f t="shared" si="482"/>
        <v>500.29219741001316</v>
      </c>
      <c r="AI1488" s="86">
        <f>+AH1488/(1-Analisis!G1181)</f>
        <v>500.29219741001316</v>
      </c>
      <c r="AJ1488" s="86">
        <f t="shared" si="483"/>
        <v>537.94859936560556</v>
      </c>
      <c r="AK1488" s="86">
        <f t="shared" si="484"/>
        <v>0</v>
      </c>
      <c r="AL1488" s="310" t="e">
        <f>+VLOOKUP(B1488,#REF!,2,FALSE)</f>
        <v>#REF!</v>
      </c>
      <c r="AM1488" s="311" t="e">
        <f t="shared" si="485"/>
        <v>#REF!</v>
      </c>
      <c r="AN1488" s="312" t="e">
        <f t="shared" si="486"/>
        <v>#REF!</v>
      </c>
    </row>
    <row r="1489" spans="1:40" s="73" customFormat="1" x14ac:dyDescent="0.25">
      <c r="A1489" s="396">
        <v>43</v>
      </c>
      <c r="B1489" s="304" t="s">
        <v>2115</v>
      </c>
      <c r="D1489" s="74">
        <f>IFERROR(VLOOKUP(B1489,'REQ. PINTADO'!B:C,2,0),0)</f>
        <v>0</v>
      </c>
      <c r="E1489" s="305">
        <f t="shared" si="172"/>
        <v>891.58270789867095</v>
      </c>
      <c r="F1489" s="397" t="s">
        <v>165</v>
      </c>
      <c r="G1489" s="75" t="s">
        <v>147</v>
      </c>
      <c r="H1489" s="90">
        <v>10.4</v>
      </c>
      <c r="I1489" s="90">
        <v>90</v>
      </c>
      <c r="J1489" s="76">
        <v>0.105</v>
      </c>
      <c r="K1489" s="306">
        <v>16.38</v>
      </c>
      <c r="L1489" s="78">
        <f t="shared" si="173"/>
        <v>52.250000000000014</v>
      </c>
      <c r="M1489" s="58">
        <f>+VLOOKUP(F1489,Material!$H$2:$M$17,6,FALSE)*H1489*I1489*(1+Material!$K$14)</f>
        <v>389.02500000000003</v>
      </c>
      <c r="N1489" s="79" t="str">
        <f t="shared" ref="N1489:N1497" si="487">+N1168</f>
        <v>T5.0</v>
      </c>
      <c r="O1489" s="80">
        <f>+VLOOKUP(N1489,[3]Material!$A$3:$B$58,2,FALSE)</f>
        <v>5000</v>
      </c>
      <c r="P1489" s="79" t="s">
        <v>42</v>
      </c>
      <c r="Q1489" s="79" t="str">
        <f>+VLOOKUP(F1489,[3]Material!$C$2:$E$12,2,FALSE)</f>
        <v>Cal 14</v>
      </c>
      <c r="R1489" s="81">
        <f>+IF(P1489="ACERO A36",VLOOKUP(Q1489,'[3]Velocidades Std 1500 w'!$B$2:$F$15,5,FALSE),IF(P1489="INOXIDABLE",VLOOKUP(Q1489,'[3]Velocidades Std 1500 w'!$B$17:$F$28,5,FALSE),IF(P1489="ALUMINIO",VLOOKUP(Q1489,'[3]Velocidades Std 1500 w'!$B$30:$F$38,5,FALSE))))</f>
        <v>2.0080321285140564E-6</v>
      </c>
      <c r="S1489" s="82">
        <f t="shared" si="174"/>
        <v>1.0040160642570283E-2</v>
      </c>
      <c r="T1489" s="83">
        <f t="shared" si="175"/>
        <v>82.092187951807233</v>
      </c>
      <c r="U1489" s="307">
        <f t="shared" si="171"/>
        <v>11356.085999999999</v>
      </c>
      <c r="V1489" s="80">
        <f t="shared" si="153"/>
        <v>114.01692771084339</v>
      </c>
      <c r="W1489" s="98">
        <v>150</v>
      </c>
      <c r="X1489" s="84">
        <f>+IF(P1489="ACERO A36",VLOOKUP(Q1489,'[3]Tiempo Objeto'!$B$2:$C$12,2,FALSE),IF(P1489="INOXIDABLE",VLOOKUP(Q1489,'[3]Tiempo Objeto'!$B$14:$C$22,2,FALSE),IF(P1489="ALUMINIO",VLOOKUP(Q1489,'[3]Tiempo Objeto'!$B$24:$C$32,2,FALSE))))</f>
        <v>0.3133333333333333</v>
      </c>
      <c r="Y1489" s="84">
        <f t="shared" si="176"/>
        <v>46.999999999999993</v>
      </c>
      <c r="Z1489" s="80">
        <f t="shared" si="177"/>
        <v>65.277777777777771</v>
      </c>
      <c r="AA1489" s="100">
        <v>4</v>
      </c>
      <c r="AB1489" s="86">
        <f>+AA1489*Analisis!$J$6</f>
        <v>100</v>
      </c>
      <c r="AC1489" s="100"/>
      <c r="AD1489" s="85">
        <f t="shared" si="178"/>
        <v>0</v>
      </c>
      <c r="AE1489" s="86">
        <f>+AC1489*Analisis!$J$7</f>
        <v>0</v>
      </c>
      <c r="AF1489" s="308">
        <f>+H1489*0.0254*I1489*0.0254*2*(1+[3]Analisis!$G$2)</f>
        <v>1.5096743999999997</v>
      </c>
      <c r="AG1489" s="86">
        <f>+AF1489*Analisis!$J$8</f>
        <v>160.85221285714289</v>
      </c>
      <c r="AH1489" s="309">
        <f t="shared" si="179"/>
        <v>829.17191834576397</v>
      </c>
      <c r="AI1489" s="86">
        <f>+AH1489/(1-Analisis!G1180)</f>
        <v>829.17191834576397</v>
      </c>
      <c r="AJ1489" s="86">
        <f t="shared" si="180"/>
        <v>891.58270789867095</v>
      </c>
      <c r="AK1489" s="86">
        <f t="shared" si="181"/>
        <v>0</v>
      </c>
      <c r="AL1489" s="310" t="e">
        <f>+VLOOKUP(B1489,#REF!,2,FALSE)</f>
        <v>#REF!</v>
      </c>
      <c r="AM1489" s="311" t="e">
        <f t="shared" si="183"/>
        <v>#REF!</v>
      </c>
      <c r="AN1489" s="312" t="e">
        <f t="shared" si="182"/>
        <v>#REF!</v>
      </c>
    </row>
    <row r="1490" spans="1:40" s="73" customFormat="1" x14ac:dyDescent="0.25">
      <c r="A1490" s="396">
        <v>43</v>
      </c>
      <c r="B1490" s="304" t="s">
        <v>2116</v>
      </c>
      <c r="D1490" s="74">
        <f>IFERROR(VLOOKUP(B1490,'REQ. PINTADO'!B:C,2,0),0)</f>
        <v>0</v>
      </c>
      <c r="E1490" s="305">
        <f t="shared" ref="E1490:E1497" si="488">+AJ1490</f>
        <v>721.67837035597597</v>
      </c>
      <c r="F1490" s="397" t="s">
        <v>165</v>
      </c>
      <c r="G1490" s="75" t="s">
        <v>147</v>
      </c>
      <c r="H1490" s="90">
        <v>10.4</v>
      </c>
      <c r="I1490" s="90">
        <v>70</v>
      </c>
      <c r="J1490" s="76">
        <v>0.105</v>
      </c>
      <c r="K1490" s="306">
        <v>16.38</v>
      </c>
      <c r="L1490" s="78">
        <f t="shared" ref="L1490:L1497" si="489">+M1490*2.2/K1490</f>
        <v>40.638888888888893</v>
      </c>
      <c r="M1490" s="58">
        <f>+VLOOKUP(F1490,Material!$H$2:$M$17,6,FALSE)*H1490*I1490*(1+Material!$K$14)</f>
        <v>302.57499999999999</v>
      </c>
      <c r="N1490" s="79" t="str">
        <f t="shared" si="487"/>
        <v>T5.0</v>
      </c>
      <c r="O1490" s="80">
        <f>+VLOOKUP(N1490,[3]Material!$A$3:$B$58,2,FALSE)</f>
        <v>5000</v>
      </c>
      <c r="P1490" s="79" t="s">
        <v>42</v>
      </c>
      <c r="Q1490" s="79" t="str">
        <f>+VLOOKUP(F1490,[3]Material!$C$2:$E$12,2,FALSE)</f>
        <v>Cal 14</v>
      </c>
      <c r="R1490" s="81">
        <f>+IF(P1490="ACERO A36",VLOOKUP(Q1490,'[3]Velocidades Std 1500 w'!$B$2:$F$15,5,FALSE),IF(P1490="INOXIDABLE",VLOOKUP(Q1490,'[3]Velocidades Std 1500 w'!$B$17:$F$28,5,FALSE),IF(P1490="ALUMINIO",VLOOKUP(Q1490,'[3]Velocidades Std 1500 w'!$B$30:$F$38,5,FALSE))))</f>
        <v>2.0080321285140564E-6</v>
      </c>
      <c r="S1490" s="82">
        <f t="shared" ref="S1490:S1497" si="490">+R1490*O1490</f>
        <v>1.0040160642570283E-2</v>
      </c>
      <c r="T1490" s="83">
        <f t="shared" ref="T1490:T1497" si="491">+R1490*U1490*3600</f>
        <v>65.704597590361459</v>
      </c>
      <c r="U1490" s="307">
        <f t="shared" ref="U1490:U1497" si="492">(+I1490*2+H1490*2+W1490*1.5)*25.4*1.05</f>
        <v>9089.1360000000004</v>
      </c>
      <c r="V1490" s="80">
        <f t="shared" ref="V1490:V1497" si="493">+U1490*S1490</f>
        <v>91.256385542168701</v>
      </c>
      <c r="W1490" s="98">
        <v>120</v>
      </c>
      <c r="X1490" s="84">
        <f>+IF(P1490="ACERO A36",VLOOKUP(Q1490,'[3]Tiempo Objeto'!$B$2:$C$12,2,FALSE),IF(P1490="INOXIDABLE",VLOOKUP(Q1490,'[3]Tiempo Objeto'!$B$14:$C$22,2,FALSE),IF(P1490="ALUMINIO",VLOOKUP(Q1490,'[3]Tiempo Objeto'!$B$24:$C$32,2,FALSE))))</f>
        <v>0.3133333333333333</v>
      </c>
      <c r="Y1490" s="84">
        <f t="shared" ref="Y1490:Y1497" si="494">+X1490*W1490</f>
        <v>37.599999999999994</v>
      </c>
      <c r="Z1490" s="80">
        <f t="shared" ref="Z1490:Z1497" si="495">+Y1490*O1490/3600</f>
        <v>52.222222222222214</v>
      </c>
      <c r="AA1490" s="100">
        <v>4</v>
      </c>
      <c r="AB1490" s="86">
        <f>+AA1490*Analisis!$J$6</f>
        <v>100</v>
      </c>
      <c r="AC1490" s="100"/>
      <c r="AD1490" s="85">
        <f t="shared" ref="AD1490:AD1497" si="496">30*AC1490+AC1490*$D1490*1.5</f>
        <v>0</v>
      </c>
      <c r="AE1490" s="86">
        <f>+AC1490*Analisis!$J$7</f>
        <v>0</v>
      </c>
      <c r="AF1490" s="308">
        <f>+H1490*0.0254*I1490*0.0254*2*(1+[3]Analisis!$G$2)</f>
        <v>1.1741911999999999</v>
      </c>
      <c r="AG1490" s="86">
        <f>+AF1490*Analisis!$J$8</f>
        <v>125.10727666666669</v>
      </c>
      <c r="AH1490" s="309">
        <f t="shared" ref="AH1490:AH1497" si="497">+AE1490+AB1490+Z1490+V1490+M1490+AG1490</f>
        <v>671.16088443105764</v>
      </c>
      <c r="AI1490" s="86">
        <f>+AH1490/(1-Analisis!G1181)</f>
        <v>671.16088443105764</v>
      </c>
      <c r="AJ1490" s="86">
        <f t="shared" ref="AJ1490:AJ1497" si="498">+AI1490/(1-0.07)</f>
        <v>721.67837035597597</v>
      </c>
      <c r="AK1490" s="86">
        <f t="shared" ref="AK1490:AK1497" si="499">+AJ1490*D1490</f>
        <v>0</v>
      </c>
      <c r="AL1490" s="310" t="e">
        <f>+VLOOKUP(B1490,#REF!,2,FALSE)</f>
        <v>#REF!</v>
      </c>
      <c r="AM1490" s="311" t="e">
        <f t="shared" ref="AM1490:AM1497" si="500">+AL1490-E1490</f>
        <v>#REF!</v>
      </c>
      <c r="AN1490" s="312" t="e">
        <f t="shared" ref="AN1490:AN1497" si="501">+AM1490/AL1490</f>
        <v>#REF!</v>
      </c>
    </row>
    <row r="1491" spans="1:40" s="73" customFormat="1" x14ac:dyDescent="0.25">
      <c r="A1491" s="396">
        <v>43</v>
      </c>
      <c r="B1491" s="304" t="s">
        <v>2025</v>
      </c>
      <c r="D1491" s="74">
        <f>IFERROR(VLOOKUP(B1491,'REQ. PINTADO'!B:C,2,0),0)</f>
        <v>0</v>
      </c>
      <c r="E1491" s="305">
        <f t="shared" si="488"/>
        <v>623.96666906730877</v>
      </c>
      <c r="F1491" s="397" t="s">
        <v>165</v>
      </c>
      <c r="G1491" s="75" t="s">
        <v>147</v>
      </c>
      <c r="H1491" s="90">
        <v>5.74</v>
      </c>
      <c r="I1491" s="90">
        <v>90</v>
      </c>
      <c r="J1491" s="76">
        <v>0.105</v>
      </c>
      <c r="K1491" s="306">
        <v>16.38</v>
      </c>
      <c r="L1491" s="78">
        <f t="shared" si="489"/>
        <v>28.837980769230779</v>
      </c>
      <c r="M1491" s="58">
        <f>+VLOOKUP(F1491,Material!$H$2:$M$17,6,FALSE)*H1491*I1491*(1+Material!$K$14)</f>
        <v>214.71187500000005</v>
      </c>
      <c r="N1491" s="79" t="str">
        <f t="shared" si="487"/>
        <v>T5.0</v>
      </c>
      <c r="O1491" s="80">
        <f>+VLOOKUP(N1491,[3]Material!$A$3:$B$58,2,FALSE)</f>
        <v>5000</v>
      </c>
      <c r="P1491" s="79" t="s">
        <v>42</v>
      </c>
      <c r="Q1491" s="79" t="str">
        <f>+VLOOKUP(F1491,[3]Material!$C$2:$E$12,2,FALSE)</f>
        <v>Cal 14</v>
      </c>
      <c r="R1491" s="81">
        <f>+IF(P1491="ACERO A36",VLOOKUP(Q1491,'[3]Velocidades Std 1500 w'!$B$2:$F$15,5,FALSE),IF(P1491="INOXIDABLE",VLOOKUP(Q1491,'[3]Velocidades Std 1500 w'!$B$17:$F$28,5,FALSE),IF(P1491="ALUMINIO",VLOOKUP(Q1491,'[3]Velocidades Std 1500 w'!$B$30:$F$38,5,FALSE))))</f>
        <v>2.0080321285140564E-6</v>
      </c>
      <c r="S1491" s="82">
        <f t="shared" si="490"/>
        <v>1.0040160642570283E-2</v>
      </c>
      <c r="T1491" s="83">
        <f t="shared" si="491"/>
        <v>80.295336867469899</v>
      </c>
      <c r="U1491" s="307">
        <f t="shared" si="492"/>
        <v>11107.521600000002</v>
      </c>
      <c r="V1491" s="80">
        <f t="shared" si="493"/>
        <v>111.52130120481931</v>
      </c>
      <c r="W1491" s="98">
        <v>150</v>
      </c>
      <c r="X1491" s="84">
        <f>+IF(P1491="ACERO A36",VLOOKUP(Q1491,'[3]Tiempo Objeto'!$B$2:$C$12,2,FALSE),IF(P1491="INOXIDABLE",VLOOKUP(Q1491,'[3]Tiempo Objeto'!$B$14:$C$22,2,FALSE),IF(P1491="ALUMINIO",VLOOKUP(Q1491,'[3]Tiempo Objeto'!$B$24:$C$32,2,FALSE))))</f>
        <v>0.3133333333333333</v>
      </c>
      <c r="Y1491" s="84">
        <f t="shared" si="494"/>
        <v>46.999999999999993</v>
      </c>
      <c r="Z1491" s="80">
        <f t="shared" si="495"/>
        <v>65.277777777777771</v>
      </c>
      <c r="AA1491" s="100">
        <v>4</v>
      </c>
      <c r="AB1491" s="86">
        <f>+AA1491*Analisis!$J$6</f>
        <v>100</v>
      </c>
      <c r="AC1491" s="100"/>
      <c r="AD1491" s="85">
        <f t="shared" si="496"/>
        <v>0</v>
      </c>
      <c r="AE1491" s="86">
        <f>+AC1491*Analisis!$J$7</f>
        <v>0</v>
      </c>
      <c r="AF1491" s="308">
        <f>+H1491*0.0254*I1491*0.0254*2*(1+[3]Analisis!$G$2)</f>
        <v>0.83322414</v>
      </c>
      <c r="AG1491" s="86">
        <f>+AF1491*Analisis!$J$8</f>
        <v>88.778048250000026</v>
      </c>
      <c r="AH1491" s="309">
        <f t="shared" si="497"/>
        <v>580.28900223259711</v>
      </c>
      <c r="AI1491" s="86">
        <f>+AH1491/(1-Analisis!G1182)</f>
        <v>580.28900223259711</v>
      </c>
      <c r="AJ1491" s="86">
        <f t="shared" si="498"/>
        <v>623.96666906730877</v>
      </c>
      <c r="AK1491" s="86">
        <f t="shared" si="499"/>
        <v>0</v>
      </c>
      <c r="AL1491" s="310" t="e">
        <f>+VLOOKUP(B1491,#REF!,2,FALSE)</f>
        <v>#REF!</v>
      </c>
      <c r="AM1491" s="311" t="e">
        <f t="shared" si="500"/>
        <v>#REF!</v>
      </c>
      <c r="AN1491" s="312" t="e">
        <f t="shared" si="501"/>
        <v>#REF!</v>
      </c>
    </row>
    <row r="1492" spans="1:40" s="73" customFormat="1" x14ac:dyDescent="0.25">
      <c r="A1492" s="396">
        <v>43</v>
      </c>
      <c r="B1492" s="304" t="s">
        <v>2117</v>
      </c>
      <c r="D1492" s="74">
        <f>IFERROR(VLOOKUP(B1492,'REQ. PINTADO'!B:C,2,0),0)</f>
        <v>0</v>
      </c>
      <c r="E1492" s="305">
        <f t="shared" si="488"/>
        <v>512.93623585129058</v>
      </c>
      <c r="F1492" s="397" t="s">
        <v>165</v>
      </c>
      <c r="G1492" s="75" t="s">
        <v>147</v>
      </c>
      <c r="H1492" s="90">
        <v>5.74</v>
      </c>
      <c r="I1492" s="90">
        <v>70</v>
      </c>
      <c r="J1492" s="76">
        <v>0.105</v>
      </c>
      <c r="K1492" s="306">
        <v>16.38</v>
      </c>
      <c r="L1492" s="78">
        <f t="shared" si="489"/>
        <v>22.429540598290604</v>
      </c>
      <c r="M1492" s="58">
        <f>+VLOOKUP(F1492,Material!$H$2:$M$17,6,FALSE)*H1492*I1492*(1+Material!$K$14)</f>
        <v>166.99812500000002</v>
      </c>
      <c r="N1492" s="79" t="str">
        <f t="shared" si="487"/>
        <v>T5.0</v>
      </c>
      <c r="O1492" s="80">
        <f>+VLOOKUP(N1492,[3]Material!$A$3:$B$58,2,FALSE)</f>
        <v>5000</v>
      </c>
      <c r="P1492" s="79" t="s">
        <v>42</v>
      </c>
      <c r="Q1492" s="79" t="str">
        <f>+VLOOKUP(F1492,[3]Material!$C$2:$E$12,2,FALSE)</f>
        <v>Cal 14</v>
      </c>
      <c r="R1492" s="81">
        <f>+IF(P1492="ACERO A36",VLOOKUP(Q1492,'[3]Velocidades Std 1500 w'!$B$2:$F$15,5,FALSE),IF(P1492="INOXIDABLE",VLOOKUP(Q1492,'[3]Velocidades Std 1500 w'!$B$17:$F$28,5,FALSE),IF(P1492="ALUMINIO",VLOOKUP(Q1492,'[3]Velocidades Std 1500 w'!$B$30:$F$38,5,FALSE))))</f>
        <v>2.0080321285140564E-6</v>
      </c>
      <c r="S1492" s="82">
        <f t="shared" si="490"/>
        <v>1.0040160642570283E-2</v>
      </c>
      <c r="T1492" s="83">
        <f t="shared" si="491"/>
        <v>63.907746506024111</v>
      </c>
      <c r="U1492" s="307">
        <f t="shared" si="492"/>
        <v>8840.5716000000011</v>
      </c>
      <c r="V1492" s="80">
        <f t="shared" si="493"/>
        <v>88.760759036144606</v>
      </c>
      <c r="W1492" s="98">
        <v>120</v>
      </c>
      <c r="X1492" s="84">
        <f>+IF(P1492="ACERO A36",VLOOKUP(Q1492,'[3]Tiempo Objeto'!$B$2:$C$12,2,FALSE),IF(P1492="INOXIDABLE",VLOOKUP(Q1492,'[3]Tiempo Objeto'!$B$14:$C$22,2,FALSE),IF(P1492="ALUMINIO",VLOOKUP(Q1492,'[3]Tiempo Objeto'!$B$24:$C$32,2,FALSE))))</f>
        <v>0.3133333333333333</v>
      </c>
      <c r="Y1492" s="84">
        <f t="shared" si="494"/>
        <v>37.599999999999994</v>
      </c>
      <c r="Z1492" s="80">
        <f t="shared" si="495"/>
        <v>52.222222222222214</v>
      </c>
      <c r="AA1492" s="100">
        <v>4</v>
      </c>
      <c r="AB1492" s="86">
        <f>+AA1492*Analisis!$J$6</f>
        <v>100</v>
      </c>
      <c r="AC1492" s="100"/>
      <c r="AD1492" s="85">
        <f t="shared" si="496"/>
        <v>0</v>
      </c>
      <c r="AE1492" s="86">
        <f>+AC1492*Analisis!$J$7</f>
        <v>0</v>
      </c>
      <c r="AF1492" s="308">
        <f>+H1492*0.0254*I1492*0.0254*2*(1+[3]Analisis!$G$2)</f>
        <v>0.64806322000000005</v>
      </c>
      <c r="AG1492" s="86">
        <f>+AF1492*Analisis!$J$8</f>
        <v>69.049593083333363</v>
      </c>
      <c r="AH1492" s="309">
        <f t="shared" si="497"/>
        <v>477.0306993417002</v>
      </c>
      <c r="AI1492" s="86">
        <f>+AH1492/(1-Analisis!G1183)</f>
        <v>477.0306993417002</v>
      </c>
      <c r="AJ1492" s="86">
        <f t="shared" si="498"/>
        <v>512.93623585129058</v>
      </c>
      <c r="AK1492" s="86">
        <f t="shared" si="499"/>
        <v>0</v>
      </c>
      <c r="AL1492" s="310" t="e">
        <f>+VLOOKUP(B1492,#REF!,2,FALSE)</f>
        <v>#REF!</v>
      </c>
      <c r="AM1492" s="311" t="e">
        <f t="shared" si="500"/>
        <v>#REF!</v>
      </c>
      <c r="AN1492" s="312" t="e">
        <f t="shared" si="501"/>
        <v>#REF!</v>
      </c>
    </row>
    <row r="1493" spans="1:40" s="73" customFormat="1" x14ac:dyDescent="0.25">
      <c r="A1493" s="396">
        <v>43</v>
      </c>
      <c r="B1493" s="304" t="s">
        <v>2118</v>
      </c>
      <c r="D1493" s="74">
        <f>IFERROR(VLOOKUP(B1493,'REQ. PINTADO'!B:C,2,0),0)</f>
        <v>0</v>
      </c>
      <c r="E1493" s="305">
        <f t="shared" si="488"/>
        <v>170.84663715279279</v>
      </c>
      <c r="F1493" s="397" t="s">
        <v>165</v>
      </c>
      <c r="G1493" s="75" t="s">
        <v>147</v>
      </c>
      <c r="H1493" s="90">
        <v>5.74</v>
      </c>
      <c r="I1493" s="90">
        <v>10</v>
      </c>
      <c r="J1493" s="76">
        <v>0.105</v>
      </c>
      <c r="K1493" s="306">
        <v>16.38</v>
      </c>
      <c r="L1493" s="78">
        <f t="shared" si="489"/>
        <v>3.2042200854700864</v>
      </c>
      <c r="M1493" s="58">
        <f>+VLOOKUP(F1493,Material!$H$2:$M$17,6,FALSE)*H1493*I1493*(1+Material!$K$14)</f>
        <v>23.856875000000002</v>
      </c>
      <c r="N1493" s="79" t="str">
        <f t="shared" si="487"/>
        <v>T5.0</v>
      </c>
      <c r="O1493" s="80">
        <f>+VLOOKUP(N1493,[3]Material!$A$3:$B$58,2,FALSE)</f>
        <v>5000</v>
      </c>
      <c r="P1493" s="79" t="s">
        <v>42</v>
      </c>
      <c r="Q1493" s="79" t="str">
        <f>+VLOOKUP(F1493,[3]Material!$C$2:$E$12,2,FALSE)</f>
        <v>Cal 14</v>
      </c>
      <c r="R1493" s="81">
        <f>+IF(P1493="ACERO A36",VLOOKUP(Q1493,'[3]Velocidades Std 1500 w'!$B$2:$F$15,5,FALSE),IF(P1493="INOXIDABLE",VLOOKUP(Q1493,'[3]Velocidades Std 1500 w'!$B$17:$F$28,5,FALSE),IF(P1493="ALUMINIO",VLOOKUP(Q1493,'[3]Velocidades Std 1500 w'!$B$30:$F$38,5,FALSE))))</f>
        <v>2.0080321285140564E-6</v>
      </c>
      <c r="S1493" s="82">
        <f t="shared" si="490"/>
        <v>1.0040160642570283E-2</v>
      </c>
      <c r="T1493" s="83">
        <f t="shared" si="491"/>
        <v>11.853047710843375</v>
      </c>
      <c r="U1493" s="307">
        <f t="shared" si="492"/>
        <v>1639.6716000000001</v>
      </c>
      <c r="V1493" s="80">
        <f t="shared" si="493"/>
        <v>16.462566265060246</v>
      </c>
      <c r="W1493" s="98">
        <v>20</v>
      </c>
      <c r="X1493" s="84">
        <f>+IF(P1493="ACERO A36",VLOOKUP(Q1493,'[3]Tiempo Objeto'!$B$2:$C$12,2,FALSE),IF(P1493="INOXIDABLE",VLOOKUP(Q1493,'[3]Tiempo Objeto'!$B$14:$C$22,2,FALSE),IF(P1493="ALUMINIO",VLOOKUP(Q1493,'[3]Tiempo Objeto'!$B$24:$C$32,2,FALSE))))</f>
        <v>0.3133333333333333</v>
      </c>
      <c r="Y1493" s="84">
        <f t="shared" si="494"/>
        <v>6.2666666666666657</v>
      </c>
      <c r="Z1493" s="80">
        <f t="shared" si="495"/>
        <v>8.7037037037037024</v>
      </c>
      <c r="AA1493" s="100">
        <v>4</v>
      </c>
      <c r="AB1493" s="86">
        <f>+AA1493*Analisis!$J$6</f>
        <v>100</v>
      </c>
      <c r="AC1493" s="100"/>
      <c r="AD1493" s="85">
        <f t="shared" si="496"/>
        <v>0</v>
      </c>
      <c r="AE1493" s="86">
        <f>+AC1493*Analisis!$J$7</f>
        <v>0</v>
      </c>
      <c r="AF1493" s="308">
        <f>+H1493*0.0254*I1493*0.0254*2*(1+[3]Analisis!$G$2)</f>
        <v>9.2580460000000003E-2</v>
      </c>
      <c r="AG1493" s="86">
        <f>+AF1493*Analisis!$J$8</f>
        <v>9.8642275833333368</v>
      </c>
      <c r="AH1493" s="309">
        <f t="shared" si="497"/>
        <v>158.88737255209728</v>
      </c>
      <c r="AI1493" s="86">
        <f>+AH1493/(1-Analisis!G1184)</f>
        <v>158.88737255209728</v>
      </c>
      <c r="AJ1493" s="86">
        <f t="shared" si="498"/>
        <v>170.84663715279279</v>
      </c>
      <c r="AK1493" s="86">
        <f t="shared" si="499"/>
        <v>0</v>
      </c>
      <c r="AL1493" s="310" t="e">
        <f>+VLOOKUP(B1493,#REF!,2,FALSE)</f>
        <v>#REF!</v>
      </c>
      <c r="AM1493" s="311" t="e">
        <f t="shared" si="500"/>
        <v>#REF!</v>
      </c>
      <c r="AN1493" s="312" t="e">
        <f t="shared" si="501"/>
        <v>#REF!</v>
      </c>
    </row>
    <row r="1494" spans="1:40" s="73" customFormat="1" x14ac:dyDescent="0.25">
      <c r="A1494" s="396">
        <v>43</v>
      </c>
      <c r="B1494" s="304" t="s">
        <v>2119</v>
      </c>
      <c r="D1494" s="74">
        <f>IFERROR(VLOOKUP(B1494,'REQ. PINTADO'!B:C,2,0),0)</f>
        <v>0</v>
      </c>
      <c r="E1494" s="305">
        <f t="shared" si="488"/>
        <v>200.85382021940811</v>
      </c>
      <c r="F1494" s="397" t="s">
        <v>165</v>
      </c>
      <c r="G1494" s="75" t="s">
        <v>147</v>
      </c>
      <c r="H1494" s="90">
        <v>5.74</v>
      </c>
      <c r="I1494" s="90">
        <v>15</v>
      </c>
      <c r="J1494" s="76">
        <v>0.105</v>
      </c>
      <c r="K1494" s="306">
        <v>16.38</v>
      </c>
      <c r="L1494" s="78">
        <f t="shared" si="489"/>
        <v>4.8063301282051292</v>
      </c>
      <c r="M1494" s="58">
        <f>+VLOOKUP(F1494,Material!$H$2:$M$17,6,FALSE)*H1494*I1494*(1+Material!$K$14)</f>
        <v>35.785312500000003</v>
      </c>
      <c r="N1494" s="79" t="str">
        <f t="shared" si="487"/>
        <v>T5.0</v>
      </c>
      <c r="O1494" s="80">
        <f>+VLOOKUP(N1494,[3]Material!$A$3:$B$58,2,FALSE)</f>
        <v>5000</v>
      </c>
      <c r="P1494" s="79" t="s">
        <v>42</v>
      </c>
      <c r="Q1494" s="79" t="str">
        <f>+VLOOKUP(F1494,[3]Material!$C$2:$E$12,2,FALSE)</f>
        <v>Cal 14</v>
      </c>
      <c r="R1494" s="81">
        <f>+IF(P1494="ACERO A36",VLOOKUP(Q1494,'[3]Velocidades Std 1500 w'!$B$2:$F$15,5,FALSE),IF(P1494="INOXIDABLE",VLOOKUP(Q1494,'[3]Velocidades Std 1500 w'!$B$17:$F$28,5,FALSE),IF(P1494="ALUMINIO",VLOOKUP(Q1494,'[3]Velocidades Std 1500 w'!$B$30:$F$38,5,FALSE))))</f>
        <v>2.0080321285140564E-6</v>
      </c>
      <c r="S1494" s="82">
        <f t="shared" si="490"/>
        <v>1.0040160642570283E-2</v>
      </c>
      <c r="T1494" s="83">
        <f t="shared" si="491"/>
        <v>16.672927228915668</v>
      </c>
      <c r="U1494" s="307">
        <f t="shared" si="492"/>
        <v>2306.4216000000001</v>
      </c>
      <c r="V1494" s="80">
        <f t="shared" si="493"/>
        <v>23.156843373493981</v>
      </c>
      <c r="W1494" s="98">
        <v>30</v>
      </c>
      <c r="X1494" s="84">
        <f>+IF(P1494="ACERO A36",VLOOKUP(Q1494,'[3]Tiempo Objeto'!$B$2:$C$12,2,FALSE),IF(P1494="INOXIDABLE",VLOOKUP(Q1494,'[3]Tiempo Objeto'!$B$14:$C$22,2,FALSE),IF(P1494="ALUMINIO",VLOOKUP(Q1494,'[3]Tiempo Objeto'!$B$24:$C$32,2,FALSE))))</f>
        <v>0.3133333333333333</v>
      </c>
      <c r="Y1494" s="84">
        <f t="shared" si="494"/>
        <v>9.3999999999999986</v>
      </c>
      <c r="Z1494" s="80">
        <f t="shared" si="495"/>
        <v>13.055555555555554</v>
      </c>
      <c r="AA1494" s="100">
        <v>4</v>
      </c>
      <c r="AB1494" s="86">
        <f>+AA1494*Analisis!$J$6</f>
        <v>100</v>
      </c>
      <c r="AC1494" s="100"/>
      <c r="AD1494" s="85">
        <f t="shared" si="496"/>
        <v>0</v>
      </c>
      <c r="AE1494" s="86">
        <f>+AC1494*Analisis!$J$7</f>
        <v>0</v>
      </c>
      <c r="AF1494" s="308">
        <f>+H1494*0.0254*I1494*0.0254*2*(1+[3]Analisis!$G$2)</f>
        <v>0.13887069000000002</v>
      </c>
      <c r="AG1494" s="86">
        <f>+AF1494*Analisis!$J$8</f>
        <v>14.796341375000006</v>
      </c>
      <c r="AH1494" s="309">
        <f t="shared" si="497"/>
        <v>186.79405280404953</v>
      </c>
      <c r="AI1494" s="86">
        <f>+AH1494/(1-Analisis!G1185)</f>
        <v>186.79405280404953</v>
      </c>
      <c r="AJ1494" s="86">
        <f t="shared" si="498"/>
        <v>200.85382021940811</v>
      </c>
      <c r="AK1494" s="86">
        <f t="shared" si="499"/>
        <v>0</v>
      </c>
      <c r="AL1494" s="310" t="e">
        <f>+VLOOKUP(B1494,#REF!,2,FALSE)</f>
        <v>#REF!</v>
      </c>
      <c r="AM1494" s="311" t="e">
        <f t="shared" si="500"/>
        <v>#REF!</v>
      </c>
      <c r="AN1494" s="312" t="e">
        <f t="shared" si="501"/>
        <v>#REF!</v>
      </c>
    </row>
    <row r="1495" spans="1:40" s="73" customFormat="1" x14ac:dyDescent="0.25">
      <c r="A1495" s="396">
        <v>43</v>
      </c>
      <c r="B1495" s="304" t="s">
        <v>2120</v>
      </c>
      <c r="D1495" s="74">
        <f>IFERROR(VLOOKUP(B1495,'REQ. PINTADO'!B:C,2,0),0)</f>
        <v>0</v>
      </c>
      <c r="E1495" s="305">
        <f t="shared" si="488"/>
        <v>221.86270423558034</v>
      </c>
      <c r="F1495" s="397" t="s">
        <v>165</v>
      </c>
      <c r="G1495" s="75" t="s">
        <v>147</v>
      </c>
      <c r="H1495" s="90">
        <v>5.74</v>
      </c>
      <c r="I1495" s="90">
        <v>20</v>
      </c>
      <c r="J1495" s="76">
        <v>0.105</v>
      </c>
      <c r="K1495" s="306">
        <v>16.38</v>
      </c>
      <c r="L1495" s="78">
        <f t="shared" si="489"/>
        <v>6.4084401709401728</v>
      </c>
      <c r="M1495" s="58">
        <f>+VLOOKUP(F1495,Material!$H$2:$M$17,6,FALSE)*H1495*I1495*(1+Material!$K$14)</f>
        <v>47.713750000000005</v>
      </c>
      <c r="N1495" s="79" t="str">
        <f t="shared" si="487"/>
        <v>T5.0</v>
      </c>
      <c r="O1495" s="80">
        <f>+VLOOKUP(N1495,[3]Material!$A$3:$B$58,2,FALSE)</f>
        <v>5000</v>
      </c>
      <c r="P1495" s="79" t="s">
        <v>42</v>
      </c>
      <c r="Q1495" s="79" t="str">
        <f>+VLOOKUP(F1495,[3]Material!$C$2:$E$12,2,FALSE)</f>
        <v>Cal 14</v>
      </c>
      <c r="R1495" s="81">
        <f>+IF(P1495="ACERO A36",VLOOKUP(Q1495,'[3]Velocidades Std 1500 w'!$B$2:$F$15,5,FALSE),IF(P1495="INOXIDABLE",VLOOKUP(Q1495,'[3]Velocidades Std 1500 w'!$B$17:$F$28,5,FALSE),IF(P1495="ALUMINIO",VLOOKUP(Q1495,'[3]Velocidades Std 1500 w'!$B$30:$F$38,5,FALSE))))</f>
        <v>2.0080321285140564E-6</v>
      </c>
      <c r="S1495" s="82">
        <f t="shared" si="490"/>
        <v>1.0040160642570283E-2</v>
      </c>
      <c r="T1495" s="83">
        <f t="shared" si="491"/>
        <v>18.600879036144583</v>
      </c>
      <c r="U1495" s="307">
        <f t="shared" si="492"/>
        <v>2573.1216000000004</v>
      </c>
      <c r="V1495" s="80">
        <f t="shared" si="493"/>
        <v>25.834554216867478</v>
      </c>
      <c r="W1495" s="98">
        <v>30</v>
      </c>
      <c r="X1495" s="84">
        <f>+IF(P1495="ACERO A36",VLOOKUP(Q1495,'[3]Tiempo Objeto'!$B$2:$C$12,2,FALSE),IF(P1495="INOXIDABLE",VLOOKUP(Q1495,'[3]Tiempo Objeto'!$B$14:$C$22,2,FALSE),IF(P1495="ALUMINIO",VLOOKUP(Q1495,'[3]Tiempo Objeto'!$B$24:$C$32,2,FALSE))))</f>
        <v>0.3133333333333333</v>
      </c>
      <c r="Y1495" s="84">
        <f t="shared" si="494"/>
        <v>9.3999999999999986</v>
      </c>
      <c r="Z1495" s="80">
        <f t="shared" si="495"/>
        <v>13.055555555555554</v>
      </c>
      <c r="AA1495" s="100">
        <v>4</v>
      </c>
      <c r="AB1495" s="86">
        <f>+AA1495*Analisis!$J$6</f>
        <v>100</v>
      </c>
      <c r="AC1495" s="100"/>
      <c r="AD1495" s="85">
        <f t="shared" si="496"/>
        <v>0</v>
      </c>
      <c r="AE1495" s="86">
        <f>+AC1495*Analisis!$J$7</f>
        <v>0</v>
      </c>
      <c r="AF1495" s="308">
        <f>+H1495*0.0254*I1495*0.0254*2*(1+[3]Analisis!$G$2)</f>
        <v>0.18516092000000001</v>
      </c>
      <c r="AG1495" s="86">
        <f>+AF1495*Analisis!$J$8</f>
        <v>19.728455166666674</v>
      </c>
      <c r="AH1495" s="309">
        <f t="shared" si="497"/>
        <v>206.33231493908971</v>
      </c>
      <c r="AI1495" s="86">
        <f>+AH1495/(1-Analisis!G1186)</f>
        <v>206.33231493908971</v>
      </c>
      <c r="AJ1495" s="86">
        <f t="shared" si="498"/>
        <v>221.86270423558034</v>
      </c>
      <c r="AK1495" s="86">
        <f t="shared" si="499"/>
        <v>0</v>
      </c>
      <c r="AL1495" s="310" t="e">
        <f>+VLOOKUP(B1495,#REF!,2,FALSE)</f>
        <v>#REF!</v>
      </c>
      <c r="AM1495" s="311" t="e">
        <f t="shared" si="500"/>
        <v>#REF!</v>
      </c>
      <c r="AN1495" s="312" t="e">
        <f t="shared" si="501"/>
        <v>#REF!</v>
      </c>
    </row>
    <row r="1496" spans="1:40" s="73" customFormat="1" x14ac:dyDescent="0.25">
      <c r="A1496" s="396">
        <v>43</v>
      </c>
      <c r="B1496" s="304" t="s">
        <v>2121</v>
      </c>
      <c r="D1496" s="74">
        <f>IFERROR(VLOOKUP(B1496,'REQ. PINTADO'!B:C,2,0),0)</f>
        <v>0</v>
      </c>
      <c r="E1496" s="305">
        <f t="shared" si="488"/>
        <v>251.86988730219565</v>
      </c>
      <c r="F1496" s="397" t="s">
        <v>165</v>
      </c>
      <c r="G1496" s="75" t="s">
        <v>147</v>
      </c>
      <c r="H1496" s="90">
        <v>5.74</v>
      </c>
      <c r="I1496" s="90">
        <v>25</v>
      </c>
      <c r="J1496" s="76">
        <v>0.105</v>
      </c>
      <c r="K1496" s="306">
        <v>16.38</v>
      </c>
      <c r="L1496" s="78">
        <f t="shared" si="489"/>
        <v>8.0105502136752165</v>
      </c>
      <c r="M1496" s="58">
        <f>+VLOOKUP(F1496,Material!$H$2:$M$17,6,FALSE)*H1496*I1496*(1+Material!$K$14)</f>
        <v>59.642187500000013</v>
      </c>
      <c r="N1496" s="79" t="str">
        <f t="shared" si="487"/>
        <v>T5.0</v>
      </c>
      <c r="O1496" s="80">
        <f>+VLOOKUP(N1496,[3]Material!$A$3:$B$58,2,FALSE)</f>
        <v>5000</v>
      </c>
      <c r="P1496" s="79" t="s">
        <v>42</v>
      </c>
      <c r="Q1496" s="79" t="str">
        <f>+VLOOKUP(F1496,[3]Material!$C$2:$E$12,2,FALSE)</f>
        <v>Cal 14</v>
      </c>
      <c r="R1496" s="81">
        <f>+IF(P1496="ACERO A36",VLOOKUP(Q1496,'[3]Velocidades Std 1500 w'!$B$2:$F$15,5,FALSE),IF(P1496="INOXIDABLE",VLOOKUP(Q1496,'[3]Velocidades Std 1500 w'!$B$17:$F$28,5,FALSE),IF(P1496="ALUMINIO",VLOOKUP(Q1496,'[3]Velocidades Std 1500 w'!$B$30:$F$38,5,FALSE))))</f>
        <v>2.0080321285140564E-6</v>
      </c>
      <c r="S1496" s="82">
        <f t="shared" si="490"/>
        <v>1.0040160642570283E-2</v>
      </c>
      <c r="T1496" s="83">
        <f t="shared" si="491"/>
        <v>23.420758554216874</v>
      </c>
      <c r="U1496" s="307">
        <f t="shared" si="492"/>
        <v>3239.8716000000004</v>
      </c>
      <c r="V1496" s="80">
        <f t="shared" si="493"/>
        <v>32.528831325301212</v>
      </c>
      <c r="W1496" s="98">
        <v>40</v>
      </c>
      <c r="X1496" s="84">
        <f>+IF(P1496="ACERO A36",VLOOKUP(Q1496,'[3]Tiempo Objeto'!$B$2:$C$12,2,FALSE),IF(P1496="INOXIDABLE",VLOOKUP(Q1496,'[3]Tiempo Objeto'!$B$14:$C$22,2,FALSE),IF(P1496="ALUMINIO",VLOOKUP(Q1496,'[3]Tiempo Objeto'!$B$24:$C$32,2,FALSE))))</f>
        <v>0.3133333333333333</v>
      </c>
      <c r="Y1496" s="84">
        <f t="shared" si="494"/>
        <v>12.533333333333331</v>
      </c>
      <c r="Z1496" s="80">
        <f t="shared" si="495"/>
        <v>17.407407407407405</v>
      </c>
      <c r="AA1496" s="100">
        <v>4</v>
      </c>
      <c r="AB1496" s="86">
        <f>+AA1496*Analisis!$J$6</f>
        <v>100</v>
      </c>
      <c r="AC1496" s="100"/>
      <c r="AD1496" s="85">
        <f t="shared" si="496"/>
        <v>0</v>
      </c>
      <c r="AE1496" s="86">
        <f>+AC1496*Analisis!$J$7</f>
        <v>0</v>
      </c>
      <c r="AF1496" s="308">
        <f>+H1496*0.0254*I1496*0.0254*2*(1+[3]Analisis!$G$2)</f>
        <v>0.23145114999999999</v>
      </c>
      <c r="AG1496" s="86">
        <f>+AF1496*Analisis!$J$8</f>
        <v>24.660568958333339</v>
      </c>
      <c r="AH1496" s="309">
        <f t="shared" si="497"/>
        <v>234.23899519104194</v>
      </c>
      <c r="AI1496" s="86">
        <f>+AH1496/(1-Analisis!G1187)</f>
        <v>234.23899519104194</v>
      </c>
      <c r="AJ1496" s="86">
        <f t="shared" si="498"/>
        <v>251.86988730219565</v>
      </c>
      <c r="AK1496" s="86">
        <f t="shared" si="499"/>
        <v>0</v>
      </c>
      <c r="AL1496" s="310" t="e">
        <f>+VLOOKUP(B1496,#REF!,2,FALSE)</f>
        <v>#REF!</v>
      </c>
      <c r="AM1496" s="311" t="e">
        <f t="shared" si="500"/>
        <v>#REF!</v>
      </c>
      <c r="AN1496" s="312" t="e">
        <f t="shared" si="501"/>
        <v>#REF!</v>
      </c>
    </row>
    <row r="1497" spans="1:40" s="73" customFormat="1" x14ac:dyDescent="0.25">
      <c r="A1497" s="396">
        <v>43</v>
      </c>
      <c r="B1497" s="304" t="s">
        <v>2122</v>
      </c>
      <c r="D1497" s="74">
        <f>IFERROR(VLOOKUP(B1497,'REQ. PINTADO'!B:C,2,0),0)</f>
        <v>0</v>
      </c>
      <c r="E1497" s="305">
        <f t="shared" si="488"/>
        <v>281.87707036881102</v>
      </c>
      <c r="F1497" s="397" t="s">
        <v>165</v>
      </c>
      <c r="G1497" s="75" t="s">
        <v>147</v>
      </c>
      <c r="H1497" s="90">
        <v>5.74</v>
      </c>
      <c r="I1497" s="90">
        <v>30</v>
      </c>
      <c r="J1497" s="76">
        <v>0.105</v>
      </c>
      <c r="K1497" s="306">
        <v>16.38</v>
      </c>
      <c r="L1497" s="78">
        <f t="shared" si="489"/>
        <v>9.6126602564102583</v>
      </c>
      <c r="M1497" s="58">
        <f>+VLOOKUP(F1497,Material!$H$2:$M$17,6,FALSE)*H1497*I1497*(1+Material!$K$14)</f>
        <v>71.570625000000007</v>
      </c>
      <c r="N1497" s="79" t="str">
        <f t="shared" si="487"/>
        <v>T5.0</v>
      </c>
      <c r="O1497" s="80">
        <f>+VLOOKUP(N1497,[3]Material!$A$3:$B$58,2,FALSE)</f>
        <v>5000</v>
      </c>
      <c r="P1497" s="79" t="s">
        <v>42</v>
      </c>
      <c r="Q1497" s="79" t="str">
        <f>+VLOOKUP(F1497,[3]Material!$C$2:$E$12,2,FALSE)</f>
        <v>Cal 14</v>
      </c>
      <c r="R1497" s="81">
        <f>+IF(P1497="ACERO A36",VLOOKUP(Q1497,'[3]Velocidades Std 1500 w'!$B$2:$F$15,5,FALSE),IF(P1497="INOXIDABLE",VLOOKUP(Q1497,'[3]Velocidades Std 1500 w'!$B$17:$F$28,5,FALSE),IF(P1497="ALUMINIO",VLOOKUP(Q1497,'[3]Velocidades Std 1500 w'!$B$30:$F$38,5,FALSE))))</f>
        <v>2.0080321285140564E-6</v>
      </c>
      <c r="S1497" s="82">
        <f t="shared" si="490"/>
        <v>1.0040160642570283E-2</v>
      </c>
      <c r="T1497" s="83">
        <f t="shared" si="491"/>
        <v>28.240638072289158</v>
      </c>
      <c r="U1497" s="307">
        <f t="shared" si="492"/>
        <v>3906.6216000000004</v>
      </c>
      <c r="V1497" s="80">
        <f t="shared" si="493"/>
        <v>39.22310843373495</v>
      </c>
      <c r="W1497" s="98">
        <v>50</v>
      </c>
      <c r="X1497" s="84">
        <f>+IF(P1497="ACERO A36",VLOOKUP(Q1497,'[3]Tiempo Objeto'!$B$2:$C$12,2,FALSE),IF(P1497="INOXIDABLE",VLOOKUP(Q1497,'[3]Tiempo Objeto'!$B$14:$C$22,2,FALSE),IF(P1497="ALUMINIO",VLOOKUP(Q1497,'[3]Tiempo Objeto'!$B$24:$C$32,2,FALSE))))</f>
        <v>0.3133333333333333</v>
      </c>
      <c r="Y1497" s="84">
        <f t="shared" si="494"/>
        <v>15.666666666666664</v>
      </c>
      <c r="Z1497" s="80">
        <f t="shared" si="495"/>
        <v>21.75925925925926</v>
      </c>
      <c r="AA1497" s="100">
        <v>4</v>
      </c>
      <c r="AB1497" s="86">
        <f>+AA1497*Analisis!$J$6</f>
        <v>100</v>
      </c>
      <c r="AC1497" s="100"/>
      <c r="AD1497" s="85">
        <f t="shared" si="496"/>
        <v>0</v>
      </c>
      <c r="AE1497" s="86">
        <f>+AC1497*Analisis!$J$7</f>
        <v>0</v>
      </c>
      <c r="AF1497" s="308">
        <f>+H1497*0.0254*I1497*0.0254*2*(1+[3]Analisis!$G$2)</f>
        <v>0.27774138000000004</v>
      </c>
      <c r="AG1497" s="86">
        <f>+AF1497*Analisis!$J$8</f>
        <v>29.592682750000012</v>
      </c>
      <c r="AH1497" s="309">
        <f t="shared" si="497"/>
        <v>262.14567544299422</v>
      </c>
      <c r="AI1497" s="86">
        <f>+AH1497/(1-Analisis!G1188)</f>
        <v>262.14567544299422</v>
      </c>
      <c r="AJ1497" s="86">
        <f t="shared" si="498"/>
        <v>281.87707036881102</v>
      </c>
      <c r="AK1497" s="86">
        <f t="shared" si="499"/>
        <v>0</v>
      </c>
      <c r="AL1497" s="310" t="e">
        <f>+VLOOKUP(B1497,#REF!,2,FALSE)</f>
        <v>#REF!</v>
      </c>
      <c r="AM1497" s="311" t="e">
        <f t="shared" si="500"/>
        <v>#REF!</v>
      </c>
      <c r="AN1497" s="312" t="e">
        <f t="shared" si="501"/>
        <v>#REF!</v>
      </c>
    </row>
    <row r="1498" spans="1:40" s="73" customFormat="1" x14ac:dyDescent="0.25">
      <c r="A1498" s="313">
        <v>1</v>
      </c>
      <c r="B1498" s="314" t="s">
        <v>2158</v>
      </c>
      <c r="D1498" s="74">
        <f>IFERROR(VLOOKUP(B1498,'REQ. PINTADO'!B:C,2,0),0)</f>
        <v>48</v>
      </c>
      <c r="E1498" s="305">
        <f t="shared" si="172"/>
        <v>79.442203368984011</v>
      </c>
      <c r="F1498" s="397" t="s">
        <v>166</v>
      </c>
      <c r="G1498" s="75" t="s">
        <v>147</v>
      </c>
      <c r="H1498" s="90">
        <v>2.2599999999999998</v>
      </c>
      <c r="I1498" s="90">
        <v>19</v>
      </c>
      <c r="J1498" s="76">
        <v>0.105</v>
      </c>
      <c r="K1498" s="306">
        <v>16.38</v>
      </c>
      <c r="L1498" s="78">
        <f t="shared" si="173"/>
        <v>1.3071517388051699</v>
      </c>
      <c r="M1498" s="58">
        <f>+VLOOKUP(F1498,Material!$H$2:$M$17,6,FALSE)*H1498*I1498*(1+Material!$K$14)</f>
        <v>9.7323388552857644</v>
      </c>
      <c r="N1498" s="79" t="str">
        <f t="shared" ref="N1498:N1513" si="502">+N1178</f>
        <v>T5.0</v>
      </c>
      <c r="O1498" s="80">
        <f>+VLOOKUP(N1498,[3]Material!$A$3:$B$58,2,FALSE)</f>
        <v>5000</v>
      </c>
      <c r="P1498" s="79" t="s">
        <v>42</v>
      </c>
      <c r="Q1498" s="79" t="str">
        <f>+VLOOKUP(F1498,[3]Material!$C$2:$E$12,2,FALSE)</f>
        <v>Cal 16</v>
      </c>
      <c r="R1498" s="81">
        <f>+IF(P1498="ACERO A36",VLOOKUP(Q1498,'[3]Velocidades Std 1500 w'!$B$2:$F$15,5,FALSE),IF(P1498="INOXIDABLE",VLOOKUP(Q1498,'[3]Velocidades Std 1500 w'!$B$17:$F$28,5,FALSE),IF(P1498="ALUMINIO",VLOOKUP(Q1498,'[3]Velocidades Std 1500 w'!$B$30:$F$38,5,FALSE))))</f>
        <v>9.1575091575091579E-7</v>
      </c>
      <c r="S1498" s="82">
        <f t="shared" si="174"/>
        <v>4.578754578754579E-3</v>
      </c>
      <c r="T1498" s="83">
        <f t="shared" si="175"/>
        <v>4.1341430769230767</v>
      </c>
      <c r="U1498" s="307">
        <f t="shared" si="171"/>
        <v>1254.0233999999998</v>
      </c>
      <c r="V1498" s="80">
        <f t="shared" si="153"/>
        <v>5.7418653846153838</v>
      </c>
      <c r="W1498" s="98">
        <v>3</v>
      </c>
      <c r="X1498" s="84">
        <f>+IF(P1498="ACERO A36",VLOOKUP(Q1498,'[3]Tiempo Objeto'!$B$2:$C$12,2,FALSE),IF(P1498="INOXIDABLE",VLOOKUP(Q1498,'[3]Tiempo Objeto'!$B$14:$C$22,2,FALSE),IF(P1498="ALUMINIO",VLOOKUP(Q1498,'[3]Tiempo Objeto'!$B$24:$C$32,2,FALSE))))</f>
        <v>0.24666666666666667</v>
      </c>
      <c r="Y1498" s="84">
        <f t="shared" si="176"/>
        <v>0.74</v>
      </c>
      <c r="Z1498" s="80">
        <f t="shared" si="177"/>
        <v>1.0277777777777777</v>
      </c>
      <c r="AA1498" s="100">
        <v>2</v>
      </c>
      <c r="AB1498" s="86">
        <f>+AA1498*Analisis!$J$6</f>
        <v>50</v>
      </c>
      <c r="AC1498" s="100"/>
      <c r="AD1498" s="85">
        <f t="shared" si="178"/>
        <v>0</v>
      </c>
      <c r="AE1498" s="86">
        <f>+AC1498*Analisis!$J$7</f>
        <v>0</v>
      </c>
      <c r="AF1498" s="308">
        <f>+H1498*0.0254*I1498*0.0254*2*(1+[3]Analisis!$G$2)</f>
        <v>6.9257925999999984E-2</v>
      </c>
      <c r="AG1498" s="86">
        <f>+AF1498*Analisis!$J$8</f>
        <v>7.3792671154761909</v>
      </c>
      <c r="AH1498" s="309">
        <f t="shared" si="179"/>
        <v>73.881249133155123</v>
      </c>
      <c r="AI1498" s="86">
        <f>+AH1498/(1-Analisis!G1190)</f>
        <v>73.881249133155123</v>
      </c>
      <c r="AJ1498" s="86">
        <f t="shared" si="180"/>
        <v>79.442203368984011</v>
      </c>
      <c r="AK1498" s="86">
        <f t="shared" si="181"/>
        <v>3813.2257617112327</v>
      </c>
      <c r="AL1498" s="310" t="e">
        <f>+VLOOKUP(B1498,#REF!,2,FALSE)</f>
        <v>#REF!</v>
      </c>
      <c r="AM1498" s="311" t="e">
        <f t="shared" si="183"/>
        <v>#REF!</v>
      </c>
      <c r="AN1498" s="312" t="e">
        <f t="shared" si="182"/>
        <v>#REF!</v>
      </c>
    </row>
    <row r="1499" spans="1:40" s="73" customFormat="1" x14ac:dyDescent="0.25">
      <c r="A1499" s="313"/>
      <c r="B1499" s="314" t="s">
        <v>2170</v>
      </c>
      <c r="D1499" s="74">
        <f>IFERROR(VLOOKUP(B1499,'REQ. PINTADO'!B:C,2,0),0)</f>
        <v>0</v>
      </c>
      <c r="E1499" s="305">
        <f t="shared" ref="E1499:E1511" si="503">+AJ1499</f>
        <v>89.947227342021094</v>
      </c>
      <c r="F1499" s="397" t="s">
        <v>166</v>
      </c>
      <c r="G1499" s="75" t="s">
        <v>147</v>
      </c>
      <c r="H1499" s="90">
        <v>3.51</v>
      </c>
      <c r="I1499" s="90">
        <v>19</v>
      </c>
      <c r="J1499" s="76">
        <v>0.105</v>
      </c>
      <c r="K1499" s="306">
        <v>16.38</v>
      </c>
      <c r="L1499" s="78">
        <f t="shared" ref="L1499:L1511" si="504">+M1499*2.2/K1499</f>
        <v>2.0301338952239587</v>
      </c>
      <c r="M1499" s="58">
        <f>+VLOOKUP(F1499,Material!$H$2:$M$17,6,FALSE)*H1499*I1499*(1+Material!$K$14)</f>
        <v>15.115269638076562</v>
      </c>
      <c r="N1499" s="79" t="str">
        <f t="shared" si="502"/>
        <v>T5.0</v>
      </c>
      <c r="O1499" s="80">
        <f>+VLOOKUP(N1499,[3]Material!$A$3:$B$58,2,FALSE)</f>
        <v>5000</v>
      </c>
      <c r="P1499" s="79" t="s">
        <v>42</v>
      </c>
      <c r="Q1499" s="79" t="str">
        <f>+VLOOKUP(F1499,[3]Material!$C$2:$E$12,2,FALSE)</f>
        <v>Cal 16</v>
      </c>
      <c r="R1499" s="81">
        <f>+IF(P1499="ACERO A36",VLOOKUP(Q1499,'[3]Velocidades Std 1500 w'!$B$2:$F$15,5,FALSE),IF(P1499="INOXIDABLE",VLOOKUP(Q1499,'[3]Velocidades Std 1500 w'!$B$17:$F$28,5,FALSE),IF(P1499="ALUMINIO",VLOOKUP(Q1499,'[3]Velocidades Std 1500 w'!$B$30:$F$38,5,FALSE))))</f>
        <v>9.1575091575091579E-7</v>
      </c>
      <c r="S1499" s="82">
        <f t="shared" ref="S1499:S1511" si="505">+R1499*O1499</f>
        <v>4.578754578754579E-3</v>
      </c>
      <c r="T1499" s="83">
        <f t="shared" ref="T1499:T1511" si="506">+R1499*U1499*3600</f>
        <v>4.3539507692307682</v>
      </c>
      <c r="U1499" s="307">
        <f t="shared" ref="U1499:U1511" si="507">(+I1499*2+H1499*2+W1499*1.5)*25.4*1.05</f>
        <v>1320.6983999999998</v>
      </c>
      <c r="V1499" s="80">
        <f t="shared" ref="V1499:V1511" si="508">+U1499*S1499</f>
        <v>6.0471538461538454</v>
      </c>
      <c r="W1499" s="98">
        <v>3</v>
      </c>
      <c r="X1499" s="84">
        <f>+IF(P1499="ACERO A36",VLOOKUP(Q1499,'[3]Tiempo Objeto'!$B$2:$C$12,2,FALSE),IF(P1499="INOXIDABLE",VLOOKUP(Q1499,'[3]Tiempo Objeto'!$B$14:$C$22,2,FALSE),IF(P1499="ALUMINIO",VLOOKUP(Q1499,'[3]Tiempo Objeto'!$B$24:$C$32,2,FALSE))))</f>
        <v>0.24666666666666667</v>
      </c>
      <c r="Y1499" s="84">
        <f t="shared" ref="Y1499:Y1511" si="509">+X1499*W1499</f>
        <v>0.74</v>
      </c>
      <c r="Z1499" s="80">
        <f t="shared" ref="Z1499:Z1511" si="510">+Y1499*O1499/3600</f>
        <v>1.0277777777777777</v>
      </c>
      <c r="AA1499" s="100">
        <v>2</v>
      </c>
      <c r="AB1499" s="86">
        <f>+AA1499*Analisis!$J$6</f>
        <v>50</v>
      </c>
      <c r="AC1499" s="100"/>
      <c r="AD1499" s="85">
        <f t="shared" ref="AD1499:AD1511" si="511">30*AC1499+AC1499*$D1499*1.5</f>
        <v>0</v>
      </c>
      <c r="AE1499" s="86">
        <f>+AC1499*Analisis!$J$7</f>
        <v>0</v>
      </c>
      <c r="AF1499" s="308">
        <f>+H1499*0.0254*I1499*0.0254*2*(1+[3]Analisis!$G$2)</f>
        <v>0.107564301</v>
      </c>
      <c r="AG1499" s="86">
        <f>+AF1499*Analisis!$J$8</f>
        <v>11.460720166071432</v>
      </c>
      <c r="AH1499" s="309">
        <f t="shared" ref="AH1499:AH1511" si="512">+AE1499+AB1499+Z1499+V1499+M1499+AG1499</f>
        <v>83.650921428079613</v>
      </c>
      <c r="AI1499" s="86">
        <f>+AH1499/(1-Analisis!G1191)</f>
        <v>83.650921428079613</v>
      </c>
      <c r="AJ1499" s="86">
        <f t="shared" ref="AJ1499:AJ1511" si="513">+AI1499/(1-0.07)</f>
        <v>89.947227342021094</v>
      </c>
      <c r="AK1499" s="86">
        <f t="shared" ref="AK1499:AK1511" si="514">+AJ1499*D1499</f>
        <v>0</v>
      </c>
      <c r="AL1499" s="310" t="e">
        <f>+VLOOKUP(B1499,#REF!,2,FALSE)</f>
        <v>#REF!</v>
      </c>
      <c r="AM1499" s="311" t="e">
        <f t="shared" ref="AM1499:AM1511" si="515">+AL1499-E1499</f>
        <v>#REF!</v>
      </c>
      <c r="AN1499" s="312" t="e">
        <f t="shared" ref="AN1499:AN1511" si="516">+AM1499/AL1499</f>
        <v>#REF!</v>
      </c>
    </row>
    <row r="1500" spans="1:40" s="73" customFormat="1" x14ac:dyDescent="0.25">
      <c r="A1500" s="313"/>
      <c r="B1500" s="314" t="s">
        <v>1968</v>
      </c>
      <c r="D1500" s="74">
        <f>IFERROR(VLOOKUP(B1500,'REQ. PINTADO'!B:C,2,0),0)</f>
        <v>0</v>
      </c>
      <c r="E1500" s="305">
        <f t="shared" si="503"/>
        <v>110.9572752880953</v>
      </c>
      <c r="F1500" s="397" t="s">
        <v>166</v>
      </c>
      <c r="G1500" s="75" t="s">
        <v>147</v>
      </c>
      <c r="H1500" s="90">
        <v>6.01</v>
      </c>
      <c r="I1500" s="90">
        <v>19</v>
      </c>
      <c r="J1500" s="76">
        <v>0.105</v>
      </c>
      <c r="K1500" s="306">
        <v>16.38</v>
      </c>
      <c r="L1500" s="78">
        <f t="shared" si="504"/>
        <v>3.4760982080615359</v>
      </c>
      <c r="M1500" s="58">
        <f>+VLOOKUP(F1500,Material!$H$2:$M$17,6,FALSE)*H1500*I1500*(1+Material!$K$14)</f>
        <v>25.88113120365816</v>
      </c>
      <c r="N1500" s="79" t="str">
        <f t="shared" si="502"/>
        <v>T5.0</v>
      </c>
      <c r="O1500" s="80">
        <f>+VLOOKUP(N1500,[3]Material!$A$3:$B$58,2,FALSE)</f>
        <v>5000</v>
      </c>
      <c r="P1500" s="79" t="s">
        <v>42</v>
      </c>
      <c r="Q1500" s="79" t="str">
        <f>+VLOOKUP(F1500,[3]Material!$C$2:$E$12,2,FALSE)</f>
        <v>Cal 16</v>
      </c>
      <c r="R1500" s="81">
        <f>+IF(P1500="ACERO A36",VLOOKUP(Q1500,'[3]Velocidades Std 1500 w'!$B$2:$F$15,5,FALSE),IF(P1500="INOXIDABLE",VLOOKUP(Q1500,'[3]Velocidades Std 1500 w'!$B$17:$F$28,5,FALSE),IF(P1500="ALUMINIO",VLOOKUP(Q1500,'[3]Velocidades Std 1500 w'!$B$30:$F$38,5,FALSE))))</f>
        <v>9.1575091575091579E-7</v>
      </c>
      <c r="S1500" s="82">
        <f t="shared" si="505"/>
        <v>4.578754578754579E-3</v>
      </c>
      <c r="T1500" s="83">
        <f t="shared" si="506"/>
        <v>4.7935661538461538</v>
      </c>
      <c r="U1500" s="307">
        <f t="shared" si="507"/>
        <v>1454.0483999999999</v>
      </c>
      <c r="V1500" s="80">
        <f t="shared" si="508"/>
        <v>6.6577307692307688</v>
      </c>
      <c r="W1500" s="98">
        <v>3</v>
      </c>
      <c r="X1500" s="84">
        <f>+IF(P1500="ACERO A36",VLOOKUP(Q1500,'[3]Tiempo Objeto'!$B$2:$C$12,2,FALSE),IF(P1500="INOXIDABLE",VLOOKUP(Q1500,'[3]Tiempo Objeto'!$B$14:$C$22,2,FALSE),IF(P1500="ALUMINIO",VLOOKUP(Q1500,'[3]Tiempo Objeto'!$B$24:$C$32,2,FALSE))))</f>
        <v>0.24666666666666667</v>
      </c>
      <c r="Y1500" s="84">
        <f t="shared" si="509"/>
        <v>0.74</v>
      </c>
      <c r="Z1500" s="80">
        <f t="shared" si="510"/>
        <v>1.0277777777777777</v>
      </c>
      <c r="AA1500" s="100">
        <v>2</v>
      </c>
      <c r="AB1500" s="86">
        <f>+AA1500*Analisis!$J$6</f>
        <v>50</v>
      </c>
      <c r="AC1500" s="100"/>
      <c r="AD1500" s="85">
        <f t="shared" si="511"/>
        <v>0</v>
      </c>
      <c r="AE1500" s="86">
        <f>+AC1500*Analisis!$J$7</f>
        <v>0</v>
      </c>
      <c r="AF1500" s="308">
        <f>+H1500*0.0254*I1500*0.0254*2*(1+[3]Analisis!$G$2)</f>
        <v>0.18417705099999998</v>
      </c>
      <c r="AG1500" s="86">
        <f>+AF1500*Analisis!$J$8</f>
        <v>19.623626267261908</v>
      </c>
      <c r="AH1500" s="309">
        <f t="shared" si="512"/>
        <v>103.19026601792862</v>
      </c>
      <c r="AI1500" s="86">
        <f>+AH1500/(1-Analisis!G1192)</f>
        <v>103.19026601792862</v>
      </c>
      <c r="AJ1500" s="86">
        <f t="shared" si="513"/>
        <v>110.9572752880953</v>
      </c>
      <c r="AK1500" s="86">
        <f t="shared" si="514"/>
        <v>0</v>
      </c>
      <c r="AL1500" s="310" t="e">
        <f>+VLOOKUP(B1500,#REF!,2,FALSE)</f>
        <v>#REF!</v>
      </c>
      <c r="AM1500" s="311" t="e">
        <f t="shared" si="515"/>
        <v>#REF!</v>
      </c>
      <c r="AN1500" s="312" t="e">
        <f t="shared" si="516"/>
        <v>#REF!</v>
      </c>
    </row>
    <row r="1501" spans="1:40" s="73" customFormat="1" x14ac:dyDescent="0.25">
      <c r="A1501" s="313"/>
      <c r="B1501" s="314" t="s">
        <v>2171</v>
      </c>
      <c r="D1501" s="74">
        <f>IFERROR(VLOOKUP(B1501,'REQ. PINTADO'!B:C,2,0),0)</f>
        <v>0</v>
      </c>
      <c r="E1501" s="305">
        <f t="shared" si="503"/>
        <v>131.96732323416947</v>
      </c>
      <c r="F1501" s="397" t="s">
        <v>166</v>
      </c>
      <c r="G1501" s="75" t="s">
        <v>147</v>
      </c>
      <c r="H1501" s="90">
        <v>8.51</v>
      </c>
      <c r="I1501" s="90">
        <v>19</v>
      </c>
      <c r="J1501" s="76">
        <v>0.105</v>
      </c>
      <c r="K1501" s="306">
        <v>16.38</v>
      </c>
      <c r="L1501" s="78">
        <f t="shared" si="504"/>
        <v>4.9220625208991127</v>
      </c>
      <c r="M1501" s="58">
        <f>+VLOOKUP(F1501,Material!$H$2:$M$17,6,FALSE)*H1501*I1501*(1+Material!$K$14)</f>
        <v>36.646992769239752</v>
      </c>
      <c r="N1501" s="79" t="str">
        <f t="shared" si="502"/>
        <v>T5.0</v>
      </c>
      <c r="O1501" s="80">
        <f>+VLOOKUP(N1501,[3]Material!$A$3:$B$58,2,FALSE)</f>
        <v>5000</v>
      </c>
      <c r="P1501" s="79" t="s">
        <v>42</v>
      </c>
      <c r="Q1501" s="79" t="str">
        <f>+VLOOKUP(F1501,[3]Material!$C$2:$E$12,2,FALSE)</f>
        <v>Cal 16</v>
      </c>
      <c r="R1501" s="81">
        <f>+IF(P1501="ACERO A36",VLOOKUP(Q1501,'[3]Velocidades Std 1500 w'!$B$2:$F$15,5,FALSE),IF(P1501="INOXIDABLE",VLOOKUP(Q1501,'[3]Velocidades Std 1500 w'!$B$17:$F$28,5,FALSE),IF(P1501="ALUMINIO",VLOOKUP(Q1501,'[3]Velocidades Std 1500 w'!$B$30:$F$38,5,FALSE))))</f>
        <v>9.1575091575091579E-7</v>
      </c>
      <c r="S1501" s="82">
        <f t="shared" si="505"/>
        <v>4.578754578754579E-3</v>
      </c>
      <c r="T1501" s="83">
        <f t="shared" si="506"/>
        <v>5.2331815384615377</v>
      </c>
      <c r="U1501" s="307">
        <f t="shared" si="507"/>
        <v>1587.3983999999998</v>
      </c>
      <c r="V1501" s="80">
        <f t="shared" si="508"/>
        <v>7.2683076923076921</v>
      </c>
      <c r="W1501" s="98">
        <v>3</v>
      </c>
      <c r="X1501" s="84">
        <f>+IF(P1501="ACERO A36",VLOOKUP(Q1501,'[3]Tiempo Objeto'!$B$2:$C$12,2,FALSE),IF(P1501="INOXIDABLE",VLOOKUP(Q1501,'[3]Tiempo Objeto'!$B$14:$C$22,2,FALSE),IF(P1501="ALUMINIO",VLOOKUP(Q1501,'[3]Tiempo Objeto'!$B$24:$C$32,2,FALSE))))</f>
        <v>0.24666666666666667</v>
      </c>
      <c r="Y1501" s="84">
        <f t="shared" si="509"/>
        <v>0.74</v>
      </c>
      <c r="Z1501" s="80">
        <f t="shared" si="510"/>
        <v>1.0277777777777777</v>
      </c>
      <c r="AA1501" s="100">
        <v>2</v>
      </c>
      <c r="AB1501" s="86">
        <f>+AA1501*Analisis!$J$6</f>
        <v>50</v>
      </c>
      <c r="AC1501" s="100"/>
      <c r="AD1501" s="85">
        <f t="shared" si="511"/>
        <v>0</v>
      </c>
      <c r="AE1501" s="86">
        <f>+AC1501*Analisis!$J$7</f>
        <v>0</v>
      </c>
      <c r="AF1501" s="308">
        <f>+H1501*0.0254*I1501*0.0254*2*(1+[3]Analisis!$G$2)</f>
        <v>0.26078980099999993</v>
      </c>
      <c r="AG1501" s="86">
        <f>+AF1501*Analisis!$J$8</f>
        <v>27.786532368452381</v>
      </c>
      <c r="AH1501" s="309">
        <f t="shared" si="512"/>
        <v>122.7296106077776</v>
      </c>
      <c r="AI1501" s="86">
        <f>+AH1501/(1-Analisis!G1193)</f>
        <v>122.7296106077776</v>
      </c>
      <c r="AJ1501" s="86">
        <f t="shared" si="513"/>
        <v>131.96732323416947</v>
      </c>
      <c r="AK1501" s="86">
        <f t="shared" si="514"/>
        <v>0</v>
      </c>
      <c r="AL1501" s="310" t="e">
        <f>+VLOOKUP(B1501,#REF!,2,FALSE)</f>
        <v>#REF!</v>
      </c>
      <c r="AM1501" s="311" t="e">
        <f t="shared" si="515"/>
        <v>#REF!</v>
      </c>
      <c r="AN1501" s="312" t="e">
        <f t="shared" si="516"/>
        <v>#REF!</v>
      </c>
    </row>
    <row r="1502" spans="1:40" s="73" customFormat="1" x14ac:dyDescent="0.25">
      <c r="A1502" s="313"/>
      <c r="B1502" s="314" t="s">
        <v>2172</v>
      </c>
      <c r="D1502" s="74">
        <f>IFERROR(VLOOKUP(B1502,'REQ. PINTADO'!B:C,2,0),0)</f>
        <v>0</v>
      </c>
      <c r="E1502" s="305">
        <f t="shared" si="503"/>
        <v>152.97737118024367</v>
      </c>
      <c r="F1502" s="397" t="s">
        <v>166</v>
      </c>
      <c r="G1502" s="75" t="s">
        <v>147</v>
      </c>
      <c r="H1502" s="90">
        <v>11.01</v>
      </c>
      <c r="I1502" s="90">
        <v>19</v>
      </c>
      <c r="J1502" s="76">
        <v>0.105</v>
      </c>
      <c r="K1502" s="306">
        <v>16.38</v>
      </c>
      <c r="L1502" s="78">
        <f t="shared" si="504"/>
        <v>6.3680268337366908</v>
      </c>
      <c r="M1502" s="58">
        <f>+VLOOKUP(F1502,Material!$H$2:$M$17,6,FALSE)*H1502*I1502*(1+Material!$K$14)</f>
        <v>47.412854334821354</v>
      </c>
      <c r="N1502" s="79" t="str">
        <f t="shared" si="502"/>
        <v>T5.0</v>
      </c>
      <c r="O1502" s="80">
        <f>+VLOOKUP(N1502,[3]Material!$A$3:$B$58,2,FALSE)</f>
        <v>5000</v>
      </c>
      <c r="P1502" s="79" t="s">
        <v>42</v>
      </c>
      <c r="Q1502" s="79" t="str">
        <f>+VLOOKUP(F1502,[3]Material!$C$2:$E$12,2,FALSE)</f>
        <v>Cal 16</v>
      </c>
      <c r="R1502" s="81">
        <f>+IF(P1502="ACERO A36",VLOOKUP(Q1502,'[3]Velocidades Std 1500 w'!$B$2:$F$15,5,FALSE),IF(P1502="INOXIDABLE",VLOOKUP(Q1502,'[3]Velocidades Std 1500 w'!$B$17:$F$28,5,FALSE),IF(P1502="ALUMINIO",VLOOKUP(Q1502,'[3]Velocidades Std 1500 w'!$B$30:$F$38,5,FALSE))))</f>
        <v>9.1575091575091579E-7</v>
      </c>
      <c r="S1502" s="82">
        <f t="shared" si="505"/>
        <v>4.578754578754579E-3</v>
      </c>
      <c r="T1502" s="83">
        <f t="shared" si="506"/>
        <v>5.6727969230769224</v>
      </c>
      <c r="U1502" s="307">
        <f t="shared" si="507"/>
        <v>1720.7483999999997</v>
      </c>
      <c r="V1502" s="80">
        <f t="shared" si="508"/>
        <v>7.8788846153846146</v>
      </c>
      <c r="W1502" s="98">
        <v>3</v>
      </c>
      <c r="X1502" s="84">
        <f>+IF(P1502="ACERO A36",VLOOKUP(Q1502,'[3]Tiempo Objeto'!$B$2:$C$12,2,FALSE),IF(P1502="INOXIDABLE",VLOOKUP(Q1502,'[3]Tiempo Objeto'!$B$14:$C$22,2,FALSE),IF(P1502="ALUMINIO",VLOOKUP(Q1502,'[3]Tiempo Objeto'!$B$24:$C$32,2,FALSE))))</f>
        <v>0.24666666666666667</v>
      </c>
      <c r="Y1502" s="84">
        <f t="shared" si="509"/>
        <v>0.74</v>
      </c>
      <c r="Z1502" s="80">
        <f t="shared" si="510"/>
        <v>1.0277777777777777</v>
      </c>
      <c r="AA1502" s="100">
        <v>2</v>
      </c>
      <c r="AB1502" s="86">
        <f>+AA1502*Analisis!$J$6</f>
        <v>50</v>
      </c>
      <c r="AC1502" s="100"/>
      <c r="AD1502" s="85">
        <f t="shared" si="511"/>
        <v>0</v>
      </c>
      <c r="AE1502" s="86">
        <f>+AC1502*Analisis!$J$7</f>
        <v>0</v>
      </c>
      <c r="AF1502" s="308">
        <f>+H1502*0.0254*I1502*0.0254*2*(1+[3]Analisis!$G$2)</f>
        <v>0.33740255099999994</v>
      </c>
      <c r="AG1502" s="86">
        <f>+AF1502*Analisis!$J$8</f>
        <v>35.949438469642864</v>
      </c>
      <c r="AH1502" s="309">
        <f t="shared" si="512"/>
        <v>142.26895519762661</v>
      </c>
      <c r="AI1502" s="86">
        <f>+AH1502/(1-Analisis!G1194)</f>
        <v>142.26895519762661</v>
      </c>
      <c r="AJ1502" s="86">
        <f t="shared" si="513"/>
        <v>152.97737118024367</v>
      </c>
      <c r="AK1502" s="86">
        <f t="shared" si="514"/>
        <v>0</v>
      </c>
      <c r="AL1502" s="310" t="e">
        <f>+VLOOKUP(B1502,#REF!,2,FALSE)</f>
        <v>#REF!</v>
      </c>
      <c r="AM1502" s="311" t="e">
        <f t="shared" si="515"/>
        <v>#REF!</v>
      </c>
      <c r="AN1502" s="312" t="e">
        <f t="shared" si="516"/>
        <v>#REF!</v>
      </c>
    </row>
    <row r="1503" spans="1:40" s="73" customFormat="1" x14ac:dyDescent="0.25">
      <c r="A1503" s="313"/>
      <c r="B1503" s="314" t="s">
        <v>2173</v>
      </c>
      <c r="D1503" s="74">
        <f>IFERROR(VLOOKUP(B1503,'REQ. PINTADO'!B:C,2,0),0)</f>
        <v>0</v>
      </c>
      <c r="E1503" s="305">
        <f t="shared" si="503"/>
        <v>173.98741912631789</v>
      </c>
      <c r="F1503" s="397" t="s">
        <v>166</v>
      </c>
      <c r="G1503" s="75" t="s">
        <v>147</v>
      </c>
      <c r="H1503" s="90">
        <v>13.51</v>
      </c>
      <c r="I1503" s="90">
        <v>19</v>
      </c>
      <c r="J1503" s="76">
        <v>0.105</v>
      </c>
      <c r="K1503" s="306">
        <v>16.38</v>
      </c>
      <c r="L1503" s="78">
        <f t="shared" si="504"/>
        <v>7.8139911465742671</v>
      </c>
      <c r="M1503" s="58">
        <f>+VLOOKUP(F1503,Material!$H$2:$M$17,6,FALSE)*H1503*I1503*(1+Material!$K$14)</f>
        <v>58.178715900402949</v>
      </c>
      <c r="N1503" s="79" t="str">
        <f t="shared" si="502"/>
        <v>T5.0</v>
      </c>
      <c r="O1503" s="80">
        <f>+VLOOKUP(N1503,[3]Material!$A$3:$B$58,2,FALSE)</f>
        <v>5000</v>
      </c>
      <c r="P1503" s="79" t="s">
        <v>42</v>
      </c>
      <c r="Q1503" s="79" t="str">
        <f>+VLOOKUP(F1503,[3]Material!$C$2:$E$12,2,FALSE)</f>
        <v>Cal 16</v>
      </c>
      <c r="R1503" s="81">
        <f>+IF(P1503="ACERO A36",VLOOKUP(Q1503,'[3]Velocidades Std 1500 w'!$B$2:$F$15,5,FALSE),IF(P1503="INOXIDABLE",VLOOKUP(Q1503,'[3]Velocidades Std 1500 w'!$B$17:$F$28,5,FALSE),IF(P1503="ALUMINIO",VLOOKUP(Q1503,'[3]Velocidades Std 1500 w'!$B$30:$F$38,5,FALSE))))</f>
        <v>9.1575091575091579E-7</v>
      </c>
      <c r="S1503" s="82">
        <f t="shared" si="505"/>
        <v>4.578754578754579E-3</v>
      </c>
      <c r="T1503" s="83">
        <f t="shared" si="506"/>
        <v>6.112412307692308</v>
      </c>
      <c r="U1503" s="307">
        <f t="shared" si="507"/>
        <v>1854.0983999999999</v>
      </c>
      <c r="V1503" s="80">
        <f t="shared" si="508"/>
        <v>8.4894615384615388</v>
      </c>
      <c r="W1503" s="98">
        <v>3</v>
      </c>
      <c r="X1503" s="84">
        <f>+IF(P1503="ACERO A36",VLOOKUP(Q1503,'[3]Tiempo Objeto'!$B$2:$C$12,2,FALSE),IF(P1503="INOXIDABLE",VLOOKUP(Q1503,'[3]Tiempo Objeto'!$B$14:$C$22,2,FALSE),IF(P1503="ALUMINIO",VLOOKUP(Q1503,'[3]Tiempo Objeto'!$B$24:$C$32,2,FALSE))))</f>
        <v>0.24666666666666667</v>
      </c>
      <c r="Y1503" s="84">
        <f t="shared" si="509"/>
        <v>0.74</v>
      </c>
      <c r="Z1503" s="80">
        <f t="shared" si="510"/>
        <v>1.0277777777777777</v>
      </c>
      <c r="AA1503" s="100">
        <v>2</v>
      </c>
      <c r="AB1503" s="86">
        <f>+AA1503*Analisis!$J$6</f>
        <v>50</v>
      </c>
      <c r="AC1503" s="100"/>
      <c r="AD1503" s="85">
        <f t="shared" si="511"/>
        <v>0</v>
      </c>
      <c r="AE1503" s="86">
        <f>+AC1503*Analisis!$J$7</f>
        <v>0</v>
      </c>
      <c r="AF1503" s="308">
        <f>+H1503*0.0254*I1503*0.0254*2*(1+[3]Analisis!$G$2)</f>
        <v>0.41401530099999995</v>
      </c>
      <c r="AG1503" s="86">
        <f>+AF1503*Analisis!$J$8</f>
        <v>44.112344570833343</v>
      </c>
      <c r="AH1503" s="309">
        <f t="shared" si="512"/>
        <v>161.80829978747562</v>
      </c>
      <c r="AI1503" s="86">
        <f>+AH1503/(1-Analisis!G1195)</f>
        <v>161.80829978747562</v>
      </c>
      <c r="AJ1503" s="86">
        <f t="shared" si="513"/>
        <v>173.98741912631789</v>
      </c>
      <c r="AK1503" s="86">
        <f t="shared" si="514"/>
        <v>0</v>
      </c>
      <c r="AL1503" s="310" t="e">
        <f>+VLOOKUP(B1503,#REF!,2,FALSE)</f>
        <v>#REF!</v>
      </c>
      <c r="AM1503" s="311" t="e">
        <f t="shared" si="515"/>
        <v>#REF!</v>
      </c>
      <c r="AN1503" s="312" t="e">
        <f t="shared" si="516"/>
        <v>#REF!</v>
      </c>
    </row>
    <row r="1504" spans="1:40" s="73" customFormat="1" x14ac:dyDescent="0.25">
      <c r="A1504" s="313"/>
      <c r="B1504" s="314" t="s">
        <v>2174</v>
      </c>
      <c r="D1504" s="74">
        <f>IFERROR(VLOOKUP(B1504,'REQ. PINTADO'!B:C,2,0),0)</f>
        <v>0</v>
      </c>
      <c r="E1504" s="305">
        <f t="shared" si="503"/>
        <v>194.99746707239206</v>
      </c>
      <c r="F1504" s="397" t="s">
        <v>166</v>
      </c>
      <c r="G1504" s="75" t="s">
        <v>147</v>
      </c>
      <c r="H1504" s="90">
        <v>16.010000000000002</v>
      </c>
      <c r="I1504" s="90">
        <v>19</v>
      </c>
      <c r="J1504" s="76">
        <v>0.105</v>
      </c>
      <c r="K1504" s="306">
        <v>16.38</v>
      </c>
      <c r="L1504" s="78">
        <f t="shared" si="504"/>
        <v>9.2599554594118452</v>
      </c>
      <c r="M1504" s="58">
        <f>+VLOOKUP(F1504,Material!$H$2:$M$17,6,FALSE)*H1504*I1504*(1+Material!$K$14)</f>
        <v>68.944577465984551</v>
      </c>
      <c r="N1504" s="79" t="str">
        <f t="shared" si="502"/>
        <v>T5.0</v>
      </c>
      <c r="O1504" s="80">
        <f>+VLOOKUP(N1504,[3]Material!$A$3:$B$58,2,FALSE)</f>
        <v>5000</v>
      </c>
      <c r="P1504" s="79" t="s">
        <v>42</v>
      </c>
      <c r="Q1504" s="79" t="str">
        <f>+VLOOKUP(F1504,[3]Material!$C$2:$E$12,2,FALSE)</f>
        <v>Cal 16</v>
      </c>
      <c r="R1504" s="81">
        <f>+IF(P1504="ACERO A36",VLOOKUP(Q1504,'[3]Velocidades Std 1500 w'!$B$2:$F$15,5,FALSE),IF(P1504="INOXIDABLE",VLOOKUP(Q1504,'[3]Velocidades Std 1500 w'!$B$17:$F$28,5,FALSE),IF(P1504="ALUMINIO",VLOOKUP(Q1504,'[3]Velocidades Std 1500 w'!$B$30:$F$38,5,FALSE))))</f>
        <v>9.1575091575091579E-7</v>
      </c>
      <c r="S1504" s="82">
        <f t="shared" si="505"/>
        <v>4.578754578754579E-3</v>
      </c>
      <c r="T1504" s="83">
        <f t="shared" si="506"/>
        <v>6.5520276923076928</v>
      </c>
      <c r="U1504" s="307">
        <f t="shared" si="507"/>
        <v>1987.4484000000002</v>
      </c>
      <c r="V1504" s="80">
        <f t="shared" si="508"/>
        <v>9.1000384615384622</v>
      </c>
      <c r="W1504" s="98">
        <v>3</v>
      </c>
      <c r="X1504" s="84">
        <f>+IF(P1504="ACERO A36",VLOOKUP(Q1504,'[3]Tiempo Objeto'!$B$2:$C$12,2,FALSE),IF(P1504="INOXIDABLE",VLOOKUP(Q1504,'[3]Tiempo Objeto'!$B$14:$C$22,2,FALSE),IF(P1504="ALUMINIO",VLOOKUP(Q1504,'[3]Tiempo Objeto'!$B$24:$C$32,2,FALSE))))</f>
        <v>0.24666666666666667</v>
      </c>
      <c r="Y1504" s="84">
        <f t="shared" si="509"/>
        <v>0.74</v>
      </c>
      <c r="Z1504" s="80">
        <f t="shared" si="510"/>
        <v>1.0277777777777777</v>
      </c>
      <c r="AA1504" s="100">
        <v>2</v>
      </c>
      <c r="AB1504" s="86">
        <f>+AA1504*Analisis!$J$6</f>
        <v>50</v>
      </c>
      <c r="AC1504" s="100"/>
      <c r="AD1504" s="85">
        <f t="shared" si="511"/>
        <v>0</v>
      </c>
      <c r="AE1504" s="86">
        <f>+AC1504*Analisis!$J$7</f>
        <v>0</v>
      </c>
      <c r="AF1504" s="308">
        <f>+H1504*0.0254*I1504*0.0254*2*(1+[3]Analisis!$G$2)</f>
        <v>0.49062805099999995</v>
      </c>
      <c r="AG1504" s="86">
        <f>+AF1504*Analisis!$J$8</f>
        <v>52.275250672023823</v>
      </c>
      <c r="AH1504" s="309">
        <f t="shared" si="512"/>
        <v>181.3476443773246</v>
      </c>
      <c r="AI1504" s="86">
        <f>+AH1504/(1-Analisis!G1196)</f>
        <v>181.3476443773246</v>
      </c>
      <c r="AJ1504" s="86">
        <f t="shared" si="513"/>
        <v>194.99746707239206</v>
      </c>
      <c r="AK1504" s="86">
        <f t="shared" si="514"/>
        <v>0</v>
      </c>
      <c r="AL1504" s="310" t="e">
        <f>+VLOOKUP(B1504,#REF!,2,FALSE)</f>
        <v>#REF!</v>
      </c>
      <c r="AM1504" s="311" t="e">
        <f t="shared" si="515"/>
        <v>#REF!</v>
      </c>
      <c r="AN1504" s="312" t="e">
        <f t="shared" si="516"/>
        <v>#REF!</v>
      </c>
    </row>
    <row r="1505" spans="1:40" s="73" customFormat="1" x14ac:dyDescent="0.25">
      <c r="A1505" s="313"/>
      <c r="B1505" s="314" t="s">
        <v>2175</v>
      </c>
      <c r="D1505" s="74">
        <f>IFERROR(VLOOKUP(B1505,'REQ. PINTADO'!B:C,2,0),0)</f>
        <v>0</v>
      </c>
      <c r="E1505" s="305">
        <f t="shared" si="503"/>
        <v>100.45225131505819</v>
      </c>
      <c r="F1505" s="397" t="s">
        <v>166</v>
      </c>
      <c r="G1505" s="75" t="s">
        <v>147</v>
      </c>
      <c r="H1505" s="90">
        <v>4.76</v>
      </c>
      <c r="I1505" s="90">
        <v>19</v>
      </c>
      <c r="J1505" s="76">
        <v>0.105</v>
      </c>
      <c r="K1505" s="306">
        <v>16.38</v>
      </c>
      <c r="L1505" s="78">
        <f t="shared" si="504"/>
        <v>2.7531160516427478</v>
      </c>
      <c r="M1505" s="58">
        <f>+VLOOKUP(F1505,Material!$H$2:$M$17,6,FALSE)*H1505*I1505*(1+Material!$K$14)</f>
        <v>20.498200420867363</v>
      </c>
      <c r="N1505" s="79" t="str">
        <f t="shared" si="502"/>
        <v>T5.0</v>
      </c>
      <c r="O1505" s="80">
        <f>+VLOOKUP(N1505,[3]Material!$A$3:$B$58,2,FALSE)</f>
        <v>5000</v>
      </c>
      <c r="P1505" s="79" t="s">
        <v>42</v>
      </c>
      <c r="Q1505" s="79" t="str">
        <f>+VLOOKUP(F1505,[3]Material!$C$2:$E$12,2,FALSE)</f>
        <v>Cal 16</v>
      </c>
      <c r="R1505" s="81">
        <f>+IF(P1505="ACERO A36",VLOOKUP(Q1505,'[3]Velocidades Std 1500 w'!$B$2:$F$15,5,FALSE),IF(P1505="INOXIDABLE",VLOOKUP(Q1505,'[3]Velocidades Std 1500 w'!$B$17:$F$28,5,FALSE),IF(P1505="ALUMINIO",VLOOKUP(Q1505,'[3]Velocidades Std 1500 w'!$B$30:$F$38,5,FALSE))))</f>
        <v>9.1575091575091579E-7</v>
      </c>
      <c r="S1505" s="82">
        <f t="shared" si="505"/>
        <v>4.578754578754579E-3</v>
      </c>
      <c r="T1505" s="83">
        <f t="shared" si="506"/>
        <v>4.5737584615384606</v>
      </c>
      <c r="U1505" s="307">
        <f t="shared" si="507"/>
        <v>1387.3733999999997</v>
      </c>
      <c r="V1505" s="80">
        <f t="shared" si="508"/>
        <v>6.3524423076923071</v>
      </c>
      <c r="W1505" s="98">
        <v>3</v>
      </c>
      <c r="X1505" s="84">
        <f>+IF(P1505="ACERO A36",VLOOKUP(Q1505,'[3]Tiempo Objeto'!$B$2:$C$12,2,FALSE),IF(P1505="INOXIDABLE",VLOOKUP(Q1505,'[3]Tiempo Objeto'!$B$14:$C$22,2,FALSE),IF(P1505="ALUMINIO",VLOOKUP(Q1505,'[3]Tiempo Objeto'!$B$24:$C$32,2,FALSE))))</f>
        <v>0.24666666666666667</v>
      </c>
      <c r="Y1505" s="84">
        <f t="shared" si="509"/>
        <v>0.74</v>
      </c>
      <c r="Z1505" s="80">
        <f t="shared" si="510"/>
        <v>1.0277777777777777</v>
      </c>
      <c r="AA1505" s="100">
        <v>2</v>
      </c>
      <c r="AB1505" s="86">
        <f>+AA1505*Analisis!$J$6</f>
        <v>50</v>
      </c>
      <c r="AC1505" s="100"/>
      <c r="AD1505" s="85">
        <f t="shared" si="511"/>
        <v>0</v>
      </c>
      <c r="AE1505" s="86">
        <f>+AC1505*Analisis!$J$7</f>
        <v>0</v>
      </c>
      <c r="AF1505" s="308">
        <f>+H1505*0.0254*I1505*0.0254*2*(1+[3]Analisis!$G$2)</f>
        <v>0.14587067599999998</v>
      </c>
      <c r="AG1505" s="86">
        <f>+AF1505*Analisis!$J$8</f>
        <v>15.542173216666669</v>
      </c>
      <c r="AH1505" s="309">
        <f t="shared" si="512"/>
        <v>93.420593723004117</v>
      </c>
      <c r="AI1505" s="86">
        <f>+AH1505/(1-Analisis!G1197)</f>
        <v>93.420593723004117</v>
      </c>
      <c r="AJ1505" s="86">
        <f t="shared" si="513"/>
        <v>100.45225131505819</v>
      </c>
      <c r="AK1505" s="86">
        <f t="shared" si="514"/>
        <v>0</v>
      </c>
      <c r="AL1505" s="310" t="e">
        <f>+VLOOKUP(B1505,#REF!,2,FALSE)</f>
        <v>#REF!</v>
      </c>
      <c r="AM1505" s="311" t="e">
        <f t="shared" si="515"/>
        <v>#REF!</v>
      </c>
      <c r="AN1505" s="312" t="e">
        <f t="shared" si="516"/>
        <v>#REF!</v>
      </c>
    </row>
    <row r="1506" spans="1:40" s="73" customFormat="1" x14ac:dyDescent="0.25">
      <c r="A1506" s="313"/>
      <c r="B1506" s="314" t="s">
        <v>2167</v>
      </c>
      <c r="D1506" s="74">
        <f>IFERROR(VLOOKUP(B1506,'REQ. PINTADO'!B:C,2,0),0)</f>
        <v>48</v>
      </c>
      <c r="E1506" s="305">
        <f t="shared" si="503"/>
        <v>121.46229926113239</v>
      </c>
      <c r="F1506" s="397" t="s">
        <v>166</v>
      </c>
      <c r="G1506" s="75" t="s">
        <v>147</v>
      </c>
      <c r="H1506" s="90">
        <v>7.26</v>
      </c>
      <c r="I1506" s="90">
        <v>19</v>
      </c>
      <c r="J1506" s="76">
        <v>0.105</v>
      </c>
      <c r="K1506" s="306">
        <v>16.38</v>
      </c>
      <c r="L1506" s="78">
        <f t="shared" si="504"/>
        <v>4.1990803644803245</v>
      </c>
      <c r="M1506" s="58">
        <f>+VLOOKUP(F1506,Material!$H$2:$M$17,6,FALSE)*H1506*I1506*(1+Material!$K$14)</f>
        <v>31.264061986448958</v>
      </c>
      <c r="N1506" s="79" t="str">
        <f t="shared" si="502"/>
        <v>T5.0</v>
      </c>
      <c r="O1506" s="80">
        <f>+VLOOKUP(N1506,[3]Material!$A$3:$B$58,2,FALSE)</f>
        <v>5000</v>
      </c>
      <c r="P1506" s="79" t="s">
        <v>42</v>
      </c>
      <c r="Q1506" s="79" t="str">
        <f>+VLOOKUP(F1506,[3]Material!$C$2:$E$12,2,FALSE)</f>
        <v>Cal 16</v>
      </c>
      <c r="R1506" s="81">
        <f>+IF(P1506="ACERO A36",VLOOKUP(Q1506,'[3]Velocidades Std 1500 w'!$B$2:$F$15,5,FALSE),IF(P1506="INOXIDABLE",VLOOKUP(Q1506,'[3]Velocidades Std 1500 w'!$B$17:$F$28,5,FALSE),IF(P1506="ALUMINIO",VLOOKUP(Q1506,'[3]Velocidades Std 1500 w'!$B$30:$F$38,5,FALSE))))</f>
        <v>9.1575091575091579E-7</v>
      </c>
      <c r="S1506" s="82">
        <f t="shared" si="505"/>
        <v>4.578754578754579E-3</v>
      </c>
      <c r="T1506" s="83">
        <f t="shared" si="506"/>
        <v>5.0133738461538462</v>
      </c>
      <c r="U1506" s="307">
        <f t="shared" si="507"/>
        <v>1520.7233999999999</v>
      </c>
      <c r="V1506" s="80">
        <f t="shared" si="508"/>
        <v>6.9630192307692305</v>
      </c>
      <c r="W1506" s="98">
        <v>3</v>
      </c>
      <c r="X1506" s="84">
        <f>+IF(P1506="ACERO A36",VLOOKUP(Q1506,'[3]Tiempo Objeto'!$B$2:$C$12,2,FALSE),IF(P1506="INOXIDABLE",VLOOKUP(Q1506,'[3]Tiempo Objeto'!$B$14:$C$22,2,FALSE),IF(P1506="ALUMINIO",VLOOKUP(Q1506,'[3]Tiempo Objeto'!$B$24:$C$32,2,FALSE))))</f>
        <v>0.24666666666666667</v>
      </c>
      <c r="Y1506" s="84">
        <f t="shared" si="509"/>
        <v>0.74</v>
      </c>
      <c r="Z1506" s="80">
        <f t="shared" si="510"/>
        <v>1.0277777777777777</v>
      </c>
      <c r="AA1506" s="100">
        <v>2</v>
      </c>
      <c r="AB1506" s="86">
        <f>+AA1506*Analisis!$J$6</f>
        <v>50</v>
      </c>
      <c r="AC1506" s="100"/>
      <c r="AD1506" s="85">
        <f t="shared" si="511"/>
        <v>0</v>
      </c>
      <c r="AE1506" s="86">
        <f>+AC1506*Analisis!$J$7</f>
        <v>0</v>
      </c>
      <c r="AF1506" s="308">
        <f>+H1506*0.0254*I1506*0.0254*2*(1+[3]Analisis!$G$2)</f>
        <v>0.22248342599999996</v>
      </c>
      <c r="AG1506" s="86">
        <f>+AF1506*Analisis!$J$8</f>
        <v>23.705079317857145</v>
      </c>
      <c r="AH1506" s="309">
        <f t="shared" si="512"/>
        <v>112.95993831285311</v>
      </c>
      <c r="AI1506" s="86">
        <f>+AH1506/(1-Analisis!G1198)</f>
        <v>112.95993831285311</v>
      </c>
      <c r="AJ1506" s="86">
        <f t="shared" si="513"/>
        <v>121.46229926113239</v>
      </c>
      <c r="AK1506" s="86">
        <f t="shared" si="514"/>
        <v>5830.1903645343546</v>
      </c>
      <c r="AL1506" s="310" t="e">
        <f>+VLOOKUP(B1506,#REF!,2,FALSE)</f>
        <v>#REF!</v>
      </c>
      <c r="AM1506" s="311" t="e">
        <f t="shared" si="515"/>
        <v>#REF!</v>
      </c>
      <c r="AN1506" s="312" t="e">
        <f t="shared" si="516"/>
        <v>#REF!</v>
      </c>
    </row>
    <row r="1507" spans="1:40" s="73" customFormat="1" x14ac:dyDescent="0.25">
      <c r="A1507" s="313"/>
      <c r="B1507" s="314" t="s">
        <v>2176</v>
      </c>
      <c r="D1507" s="74">
        <f>IFERROR(VLOOKUP(B1507,'REQ. PINTADO'!B:C,2,0),0)</f>
        <v>0</v>
      </c>
      <c r="E1507" s="305">
        <f t="shared" si="503"/>
        <v>142.47234720720661</v>
      </c>
      <c r="F1507" s="397" t="s">
        <v>166</v>
      </c>
      <c r="G1507" s="75" t="s">
        <v>147</v>
      </c>
      <c r="H1507" s="90">
        <v>9.76</v>
      </c>
      <c r="I1507" s="90">
        <v>19</v>
      </c>
      <c r="J1507" s="76">
        <v>0.105</v>
      </c>
      <c r="K1507" s="306">
        <v>16.38</v>
      </c>
      <c r="L1507" s="78">
        <f t="shared" si="504"/>
        <v>5.6450446773179026</v>
      </c>
      <c r="M1507" s="58">
        <f>+VLOOKUP(F1507,Material!$H$2:$M$17,6,FALSE)*H1507*I1507*(1+Material!$K$14)</f>
        <v>42.02992355203056</v>
      </c>
      <c r="N1507" s="79" t="str">
        <f t="shared" si="502"/>
        <v>T5.0</v>
      </c>
      <c r="O1507" s="80">
        <f>+VLOOKUP(N1507,[3]Material!$A$3:$B$58,2,FALSE)</f>
        <v>5000</v>
      </c>
      <c r="P1507" s="79" t="s">
        <v>42</v>
      </c>
      <c r="Q1507" s="79" t="str">
        <f>+VLOOKUP(F1507,[3]Material!$C$2:$E$12,2,FALSE)</f>
        <v>Cal 16</v>
      </c>
      <c r="R1507" s="81">
        <f>+IF(P1507="ACERO A36",VLOOKUP(Q1507,'[3]Velocidades Std 1500 w'!$B$2:$F$15,5,FALSE),IF(P1507="INOXIDABLE",VLOOKUP(Q1507,'[3]Velocidades Std 1500 w'!$B$17:$F$28,5,FALSE),IF(P1507="ALUMINIO",VLOOKUP(Q1507,'[3]Velocidades Std 1500 w'!$B$30:$F$38,5,FALSE))))</f>
        <v>9.1575091575091579E-7</v>
      </c>
      <c r="S1507" s="82">
        <f t="shared" si="505"/>
        <v>4.578754578754579E-3</v>
      </c>
      <c r="T1507" s="83">
        <f t="shared" si="506"/>
        <v>5.45298923076923</v>
      </c>
      <c r="U1507" s="307">
        <f t="shared" si="507"/>
        <v>1654.0733999999998</v>
      </c>
      <c r="V1507" s="80">
        <f t="shared" si="508"/>
        <v>7.5735961538461529</v>
      </c>
      <c r="W1507" s="98">
        <v>3</v>
      </c>
      <c r="X1507" s="84">
        <f>+IF(P1507="ACERO A36",VLOOKUP(Q1507,'[3]Tiempo Objeto'!$B$2:$C$12,2,FALSE),IF(P1507="INOXIDABLE",VLOOKUP(Q1507,'[3]Tiempo Objeto'!$B$14:$C$22,2,FALSE),IF(P1507="ALUMINIO",VLOOKUP(Q1507,'[3]Tiempo Objeto'!$B$24:$C$32,2,FALSE))))</f>
        <v>0.24666666666666667</v>
      </c>
      <c r="Y1507" s="84">
        <f t="shared" si="509"/>
        <v>0.74</v>
      </c>
      <c r="Z1507" s="80">
        <f t="shared" si="510"/>
        <v>1.0277777777777777</v>
      </c>
      <c r="AA1507" s="100">
        <v>2</v>
      </c>
      <c r="AB1507" s="86">
        <f>+AA1507*Analisis!$J$6</f>
        <v>50</v>
      </c>
      <c r="AC1507" s="100"/>
      <c r="AD1507" s="85">
        <f t="shared" si="511"/>
        <v>0</v>
      </c>
      <c r="AE1507" s="86">
        <f>+AC1507*Analisis!$J$7</f>
        <v>0</v>
      </c>
      <c r="AF1507" s="308">
        <f>+H1507*0.0254*I1507*0.0254*2*(1+[3]Analisis!$G$2)</f>
        <v>0.29909617599999999</v>
      </c>
      <c r="AG1507" s="86">
        <f>+AF1507*Analisis!$J$8</f>
        <v>31.867985419047628</v>
      </c>
      <c r="AH1507" s="309">
        <f t="shared" si="512"/>
        <v>132.49928290270213</v>
      </c>
      <c r="AI1507" s="86">
        <f>+AH1507/(1-Analisis!G1199)</f>
        <v>132.49928290270213</v>
      </c>
      <c r="AJ1507" s="86">
        <f t="shared" si="513"/>
        <v>142.47234720720661</v>
      </c>
      <c r="AK1507" s="86">
        <f t="shared" si="514"/>
        <v>0</v>
      </c>
      <c r="AL1507" s="310" t="e">
        <f>+VLOOKUP(B1507,#REF!,2,FALSE)</f>
        <v>#REF!</v>
      </c>
      <c r="AM1507" s="311" t="e">
        <f t="shared" si="515"/>
        <v>#REF!</v>
      </c>
      <c r="AN1507" s="312" t="e">
        <f t="shared" si="516"/>
        <v>#REF!</v>
      </c>
    </row>
    <row r="1508" spans="1:40" s="73" customFormat="1" x14ac:dyDescent="0.25">
      <c r="A1508" s="313"/>
      <c r="B1508" s="314" t="s">
        <v>2177</v>
      </c>
      <c r="D1508" s="74">
        <f>IFERROR(VLOOKUP(B1508,'REQ. PINTADO'!B:C,2,0),0)</f>
        <v>0</v>
      </c>
      <c r="E1508" s="305">
        <f t="shared" si="503"/>
        <v>163.48239515328078</v>
      </c>
      <c r="F1508" s="397" t="s">
        <v>166</v>
      </c>
      <c r="G1508" s="75" t="s">
        <v>147</v>
      </c>
      <c r="H1508" s="90">
        <v>12.26</v>
      </c>
      <c r="I1508" s="90">
        <v>19</v>
      </c>
      <c r="J1508" s="76">
        <v>0.105</v>
      </c>
      <c r="K1508" s="306">
        <v>16.38</v>
      </c>
      <c r="L1508" s="78">
        <f t="shared" si="504"/>
        <v>7.0910089901554798</v>
      </c>
      <c r="M1508" s="58">
        <f>+VLOOKUP(F1508,Material!$H$2:$M$17,6,FALSE)*H1508*I1508*(1+Material!$K$14)</f>
        <v>52.795785117612155</v>
      </c>
      <c r="N1508" s="79" t="str">
        <f t="shared" si="502"/>
        <v>T5.0</v>
      </c>
      <c r="O1508" s="80">
        <f>+VLOOKUP(N1508,[3]Material!$A$3:$B$58,2,FALSE)</f>
        <v>5000</v>
      </c>
      <c r="P1508" s="79" t="s">
        <v>42</v>
      </c>
      <c r="Q1508" s="79" t="str">
        <f>+VLOOKUP(F1508,[3]Material!$C$2:$E$12,2,FALSE)</f>
        <v>Cal 16</v>
      </c>
      <c r="R1508" s="81">
        <f>+IF(P1508="ACERO A36",VLOOKUP(Q1508,'[3]Velocidades Std 1500 w'!$B$2:$F$15,5,FALSE),IF(P1508="INOXIDABLE",VLOOKUP(Q1508,'[3]Velocidades Std 1500 w'!$B$17:$F$28,5,FALSE),IF(P1508="ALUMINIO",VLOOKUP(Q1508,'[3]Velocidades Std 1500 w'!$B$30:$F$38,5,FALSE))))</f>
        <v>9.1575091575091579E-7</v>
      </c>
      <c r="S1508" s="82">
        <f t="shared" si="505"/>
        <v>4.578754578754579E-3</v>
      </c>
      <c r="T1508" s="83">
        <f t="shared" si="506"/>
        <v>5.8926046153846157</v>
      </c>
      <c r="U1508" s="307">
        <f t="shared" si="507"/>
        <v>1787.4233999999999</v>
      </c>
      <c r="V1508" s="80">
        <f t="shared" si="508"/>
        <v>8.1841730769230772</v>
      </c>
      <c r="W1508" s="98">
        <v>3</v>
      </c>
      <c r="X1508" s="84">
        <f>+IF(P1508="ACERO A36",VLOOKUP(Q1508,'[3]Tiempo Objeto'!$B$2:$C$12,2,FALSE),IF(P1508="INOXIDABLE",VLOOKUP(Q1508,'[3]Tiempo Objeto'!$B$14:$C$22,2,FALSE),IF(P1508="ALUMINIO",VLOOKUP(Q1508,'[3]Tiempo Objeto'!$B$24:$C$32,2,FALSE))))</f>
        <v>0.24666666666666667</v>
      </c>
      <c r="Y1508" s="84">
        <f t="shared" si="509"/>
        <v>0.74</v>
      </c>
      <c r="Z1508" s="80">
        <f t="shared" si="510"/>
        <v>1.0277777777777777</v>
      </c>
      <c r="AA1508" s="100">
        <v>2</v>
      </c>
      <c r="AB1508" s="86">
        <f>+AA1508*Analisis!$J$6</f>
        <v>50</v>
      </c>
      <c r="AC1508" s="100"/>
      <c r="AD1508" s="85">
        <f t="shared" si="511"/>
        <v>0</v>
      </c>
      <c r="AE1508" s="86">
        <f>+AC1508*Analisis!$J$7</f>
        <v>0</v>
      </c>
      <c r="AF1508" s="308">
        <f>+H1508*0.0254*I1508*0.0254*2*(1+[3]Analisis!$G$2)</f>
        <v>0.37570892599999989</v>
      </c>
      <c r="AG1508" s="86">
        <f>+AF1508*Analisis!$J$8</f>
        <v>40.030891520238093</v>
      </c>
      <c r="AH1508" s="309">
        <f t="shared" si="512"/>
        <v>152.03862749255111</v>
      </c>
      <c r="AI1508" s="86">
        <f>+AH1508/(1-Analisis!G1200)</f>
        <v>152.03862749255111</v>
      </c>
      <c r="AJ1508" s="86">
        <f t="shared" si="513"/>
        <v>163.48239515328078</v>
      </c>
      <c r="AK1508" s="86">
        <f t="shared" si="514"/>
        <v>0</v>
      </c>
      <c r="AL1508" s="310" t="e">
        <f>+VLOOKUP(B1508,#REF!,2,FALSE)</f>
        <v>#REF!</v>
      </c>
      <c r="AM1508" s="311" t="e">
        <f t="shared" si="515"/>
        <v>#REF!</v>
      </c>
      <c r="AN1508" s="312" t="e">
        <f t="shared" si="516"/>
        <v>#REF!</v>
      </c>
    </row>
    <row r="1509" spans="1:40" s="73" customFormat="1" x14ac:dyDescent="0.25">
      <c r="A1509" s="313"/>
      <c r="B1509" s="314" t="s">
        <v>2178</v>
      </c>
      <c r="D1509" s="74">
        <f>IFERROR(VLOOKUP(B1509,'REQ. PINTADO'!B:C,2,0),0)</f>
        <v>0</v>
      </c>
      <c r="E1509" s="305">
        <f t="shared" si="503"/>
        <v>205.5024910454292</v>
      </c>
      <c r="F1509" s="397" t="s">
        <v>166</v>
      </c>
      <c r="G1509" s="75" t="s">
        <v>147</v>
      </c>
      <c r="H1509" s="90">
        <v>17.260000000000002</v>
      </c>
      <c r="I1509" s="90">
        <v>19</v>
      </c>
      <c r="J1509" s="76">
        <v>0.105</v>
      </c>
      <c r="K1509" s="306">
        <v>16.38</v>
      </c>
      <c r="L1509" s="78">
        <f t="shared" si="504"/>
        <v>9.982937615830636</v>
      </c>
      <c r="M1509" s="58">
        <f>+VLOOKUP(F1509,Material!$H$2:$M$17,6,FALSE)*H1509*I1509*(1+Material!$K$14)</f>
        <v>74.327508248775359</v>
      </c>
      <c r="N1509" s="79" t="str">
        <f t="shared" si="502"/>
        <v>T5.0</v>
      </c>
      <c r="O1509" s="80">
        <f>+VLOOKUP(N1509,[3]Material!$A$3:$B$58,2,FALSE)</f>
        <v>5000</v>
      </c>
      <c r="P1509" s="79" t="s">
        <v>42</v>
      </c>
      <c r="Q1509" s="79" t="str">
        <f>+VLOOKUP(F1509,[3]Material!$C$2:$E$12,2,FALSE)</f>
        <v>Cal 16</v>
      </c>
      <c r="R1509" s="81">
        <f>+IF(P1509="ACERO A36",VLOOKUP(Q1509,'[3]Velocidades Std 1500 w'!$B$2:$F$15,5,FALSE),IF(P1509="INOXIDABLE",VLOOKUP(Q1509,'[3]Velocidades Std 1500 w'!$B$17:$F$28,5,FALSE),IF(P1509="ALUMINIO",VLOOKUP(Q1509,'[3]Velocidades Std 1500 w'!$B$30:$F$38,5,FALSE))))</f>
        <v>9.1575091575091579E-7</v>
      </c>
      <c r="S1509" s="82">
        <f t="shared" si="505"/>
        <v>4.578754578754579E-3</v>
      </c>
      <c r="T1509" s="83">
        <f t="shared" si="506"/>
        <v>6.771835384615386</v>
      </c>
      <c r="U1509" s="307">
        <f t="shared" si="507"/>
        <v>2054.1234000000004</v>
      </c>
      <c r="V1509" s="80">
        <f t="shared" si="508"/>
        <v>9.4053269230769256</v>
      </c>
      <c r="W1509" s="98">
        <v>3</v>
      </c>
      <c r="X1509" s="84">
        <f>+IF(P1509="ACERO A36",VLOOKUP(Q1509,'[3]Tiempo Objeto'!$B$2:$C$12,2,FALSE),IF(P1509="INOXIDABLE",VLOOKUP(Q1509,'[3]Tiempo Objeto'!$B$14:$C$22,2,FALSE),IF(P1509="ALUMINIO",VLOOKUP(Q1509,'[3]Tiempo Objeto'!$B$24:$C$32,2,FALSE))))</f>
        <v>0.24666666666666667</v>
      </c>
      <c r="Y1509" s="84">
        <f t="shared" si="509"/>
        <v>0.74</v>
      </c>
      <c r="Z1509" s="80">
        <f t="shared" si="510"/>
        <v>1.0277777777777777</v>
      </c>
      <c r="AA1509" s="100">
        <v>2</v>
      </c>
      <c r="AB1509" s="86">
        <f>+AA1509*Analisis!$J$6</f>
        <v>50</v>
      </c>
      <c r="AC1509" s="100"/>
      <c r="AD1509" s="85">
        <f t="shared" si="511"/>
        <v>0</v>
      </c>
      <c r="AE1509" s="86">
        <f>+AC1509*Analisis!$J$7</f>
        <v>0</v>
      </c>
      <c r="AF1509" s="308">
        <f>+H1509*0.0254*I1509*0.0254*2*(1+[3]Analisis!$G$2)</f>
        <v>0.52893442600000007</v>
      </c>
      <c r="AG1509" s="86">
        <f>+AF1509*Analisis!$J$8</f>
        <v>56.356703722619073</v>
      </c>
      <c r="AH1509" s="309">
        <f t="shared" si="512"/>
        <v>191.11731667224913</v>
      </c>
      <c r="AI1509" s="86">
        <f>+AH1509/(1-Analisis!G1201)</f>
        <v>191.11731667224913</v>
      </c>
      <c r="AJ1509" s="86">
        <f t="shared" si="513"/>
        <v>205.5024910454292</v>
      </c>
      <c r="AK1509" s="86">
        <f t="shared" si="514"/>
        <v>0</v>
      </c>
      <c r="AL1509" s="310" t="e">
        <f>+VLOOKUP(B1509,#REF!,2,FALSE)</f>
        <v>#REF!</v>
      </c>
      <c r="AM1509" s="311" t="e">
        <f t="shared" si="515"/>
        <v>#REF!</v>
      </c>
      <c r="AN1509" s="312" t="e">
        <f t="shared" si="516"/>
        <v>#REF!</v>
      </c>
    </row>
    <row r="1510" spans="1:40" s="73" customFormat="1" x14ac:dyDescent="0.25">
      <c r="A1510" s="313"/>
      <c r="B1510" s="314" t="s">
        <v>2179</v>
      </c>
      <c r="D1510" s="74">
        <f>IFERROR(VLOOKUP(B1510,'REQ. PINTADO'!B:C,2,0),0)</f>
        <v>0</v>
      </c>
      <c r="E1510" s="305">
        <f t="shared" si="503"/>
        <v>216.00751501846625</v>
      </c>
      <c r="F1510" s="397" t="s">
        <v>166</v>
      </c>
      <c r="G1510" s="75" t="s">
        <v>147</v>
      </c>
      <c r="H1510" s="90">
        <v>18.510000000000002</v>
      </c>
      <c r="I1510" s="90">
        <v>19</v>
      </c>
      <c r="J1510" s="76">
        <v>0.105</v>
      </c>
      <c r="K1510" s="306">
        <v>16.38</v>
      </c>
      <c r="L1510" s="78">
        <f t="shared" si="504"/>
        <v>10.705919772249423</v>
      </c>
      <c r="M1510" s="58">
        <f>+VLOOKUP(F1510,Material!$H$2:$M$17,6,FALSE)*H1510*I1510*(1+Material!$K$14)</f>
        <v>79.710439031566139</v>
      </c>
      <c r="N1510" s="79" t="str">
        <f t="shared" si="502"/>
        <v>T5.0</v>
      </c>
      <c r="O1510" s="80">
        <f>+VLOOKUP(N1510,[3]Material!$A$3:$B$58,2,FALSE)</f>
        <v>5000</v>
      </c>
      <c r="P1510" s="79" t="s">
        <v>42</v>
      </c>
      <c r="Q1510" s="79" t="str">
        <f>+VLOOKUP(F1510,[3]Material!$C$2:$E$12,2,FALSE)</f>
        <v>Cal 16</v>
      </c>
      <c r="R1510" s="81">
        <f>+IF(P1510="ACERO A36",VLOOKUP(Q1510,'[3]Velocidades Std 1500 w'!$B$2:$F$15,5,FALSE),IF(P1510="INOXIDABLE",VLOOKUP(Q1510,'[3]Velocidades Std 1500 w'!$B$17:$F$28,5,FALSE),IF(P1510="ALUMINIO",VLOOKUP(Q1510,'[3]Velocidades Std 1500 w'!$B$30:$F$38,5,FALSE))))</f>
        <v>9.1575091575091579E-7</v>
      </c>
      <c r="S1510" s="82">
        <f t="shared" si="505"/>
        <v>4.578754578754579E-3</v>
      </c>
      <c r="T1510" s="83">
        <f t="shared" si="506"/>
        <v>6.9916430769230775</v>
      </c>
      <c r="U1510" s="307">
        <f t="shared" si="507"/>
        <v>2120.7984000000001</v>
      </c>
      <c r="V1510" s="80">
        <f t="shared" si="508"/>
        <v>9.7106153846153855</v>
      </c>
      <c r="W1510" s="98">
        <v>3</v>
      </c>
      <c r="X1510" s="84">
        <f>+IF(P1510="ACERO A36",VLOOKUP(Q1510,'[3]Tiempo Objeto'!$B$2:$C$12,2,FALSE),IF(P1510="INOXIDABLE",VLOOKUP(Q1510,'[3]Tiempo Objeto'!$B$14:$C$22,2,FALSE),IF(P1510="ALUMINIO",VLOOKUP(Q1510,'[3]Tiempo Objeto'!$B$24:$C$32,2,FALSE))))</f>
        <v>0.24666666666666667</v>
      </c>
      <c r="Y1510" s="84">
        <f t="shared" si="509"/>
        <v>0.74</v>
      </c>
      <c r="Z1510" s="80">
        <f t="shared" si="510"/>
        <v>1.0277777777777777</v>
      </c>
      <c r="AA1510" s="100">
        <v>2</v>
      </c>
      <c r="AB1510" s="86">
        <f>+AA1510*Analisis!$J$6</f>
        <v>50</v>
      </c>
      <c r="AC1510" s="100"/>
      <c r="AD1510" s="85">
        <f t="shared" si="511"/>
        <v>0</v>
      </c>
      <c r="AE1510" s="86">
        <f>+AC1510*Analisis!$J$7</f>
        <v>0</v>
      </c>
      <c r="AF1510" s="308">
        <f>+H1510*0.0254*I1510*0.0254*2*(1+[3]Analisis!$G$2)</f>
        <v>0.56724080099999996</v>
      </c>
      <c r="AG1510" s="86">
        <f>+AF1510*Analisis!$J$8</f>
        <v>60.438156773214303</v>
      </c>
      <c r="AH1510" s="309">
        <f t="shared" si="512"/>
        <v>200.88698896717361</v>
      </c>
      <c r="AI1510" s="86">
        <f>+AH1510/(1-Analisis!G1202)</f>
        <v>200.88698896717361</v>
      </c>
      <c r="AJ1510" s="86">
        <f t="shared" si="513"/>
        <v>216.00751501846625</v>
      </c>
      <c r="AK1510" s="86">
        <f t="shared" si="514"/>
        <v>0</v>
      </c>
      <c r="AL1510" s="310" t="e">
        <f>+VLOOKUP(B1510,#REF!,2,FALSE)</f>
        <v>#REF!</v>
      </c>
      <c r="AM1510" s="311" t="e">
        <f t="shared" si="515"/>
        <v>#REF!</v>
      </c>
      <c r="AN1510" s="312" t="e">
        <f t="shared" si="516"/>
        <v>#REF!</v>
      </c>
    </row>
    <row r="1511" spans="1:40" s="73" customFormat="1" x14ac:dyDescent="0.25">
      <c r="A1511" s="313"/>
      <c r="B1511" s="314" t="s">
        <v>2180</v>
      </c>
      <c r="D1511" s="74">
        <f>IFERROR(VLOOKUP(B1511,'REQ. PINTADO'!B:C,2,0),0)</f>
        <v>0</v>
      </c>
      <c r="E1511" s="305">
        <f t="shared" si="503"/>
        <v>237.01756296454047</v>
      </c>
      <c r="F1511" s="397" t="s">
        <v>166</v>
      </c>
      <c r="G1511" s="75" t="s">
        <v>147</v>
      </c>
      <c r="H1511" s="90">
        <v>21.01</v>
      </c>
      <c r="I1511" s="90">
        <v>19</v>
      </c>
      <c r="J1511" s="76">
        <v>0.105</v>
      </c>
      <c r="K1511" s="306">
        <v>16.38</v>
      </c>
      <c r="L1511" s="78">
        <f t="shared" si="504"/>
        <v>12.151884085087001</v>
      </c>
      <c r="M1511" s="58">
        <f>+VLOOKUP(F1511,Material!$H$2:$M$17,6,FALSE)*H1511*I1511*(1+Material!$K$14)</f>
        <v>90.476300597147755</v>
      </c>
      <c r="N1511" s="79" t="str">
        <f t="shared" si="502"/>
        <v>T5.0</v>
      </c>
      <c r="O1511" s="80">
        <f>+VLOOKUP(N1511,[3]Material!$A$3:$B$58,2,FALSE)</f>
        <v>5000</v>
      </c>
      <c r="P1511" s="79" t="s">
        <v>42</v>
      </c>
      <c r="Q1511" s="79" t="str">
        <f>+VLOOKUP(F1511,[3]Material!$C$2:$E$12,2,FALSE)</f>
        <v>Cal 16</v>
      </c>
      <c r="R1511" s="81">
        <f>+IF(P1511="ACERO A36",VLOOKUP(Q1511,'[3]Velocidades Std 1500 w'!$B$2:$F$15,5,FALSE),IF(P1511="INOXIDABLE",VLOOKUP(Q1511,'[3]Velocidades Std 1500 w'!$B$17:$F$28,5,FALSE),IF(P1511="ALUMINIO",VLOOKUP(Q1511,'[3]Velocidades Std 1500 w'!$B$30:$F$38,5,FALSE))))</f>
        <v>9.1575091575091579E-7</v>
      </c>
      <c r="S1511" s="82">
        <f t="shared" si="505"/>
        <v>4.578754578754579E-3</v>
      </c>
      <c r="T1511" s="83">
        <f t="shared" si="506"/>
        <v>7.4312584615384614</v>
      </c>
      <c r="U1511" s="307">
        <f t="shared" si="507"/>
        <v>2254.1484</v>
      </c>
      <c r="V1511" s="80">
        <f t="shared" si="508"/>
        <v>10.321192307692309</v>
      </c>
      <c r="W1511" s="98">
        <v>3</v>
      </c>
      <c r="X1511" s="84">
        <f>+IF(P1511="ACERO A36",VLOOKUP(Q1511,'[3]Tiempo Objeto'!$B$2:$C$12,2,FALSE),IF(P1511="INOXIDABLE",VLOOKUP(Q1511,'[3]Tiempo Objeto'!$B$14:$C$22,2,FALSE),IF(P1511="ALUMINIO",VLOOKUP(Q1511,'[3]Tiempo Objeto'!$B$24:$C$32,2,FALSE))))</f>
        <v>0.24666666666666667</v>
      </c>
      <c r="Y1511" s="84">
        <f t="shared" si="509"/>
        <v>0.74</v>
      </c>
      <c r="Z1511" s="80">
        <f t="shared" si="510"/>
        <v>1.0277777777777777</v>
      </c>
      <c r="AA1511" s="100">
        <v>2</v>
      </c>
      <c r="AB1511" s="86">
        <f>+AA1511*Analisis!$J$6</f>
        <v>50</v>
      </c>
      <c r="AC1511" s="100"/>
      <c r="AD1511" s="85">
        <f t="shared" si="511"/>
        <v>0</v>
      </c>
      <c r="AE1511" s="86">
        <f>+AC1511*Analisis!$J$7</f>
        <v>0</v>
      </c>
      <c r="AF1511" s="308">
        <f>+H1511*0.0254*I1511*0.0254*2*(1+[3]Analisis!$G$2)</f>
        <v>0.64385355100000008</v>
      </c>
      <c r="AG1511" s="86">
        <f>+AF1511*Analisis!$J$8</f>
        <v>68.601062874404789</v>
      </c>
      <c r="AH1511" s="309">
        <f t="shared" si="512"/>
        <v>220.42633355702262</v>
      </c>
      <c r="AI1511" s="86">
        <f>+AH1511/(1-Analisis!G1203)</f>
        <v>220.42633355702262</v>
      </c>
      <c r="AJ1511" s="86">
        <f t="shared" si="513"/>
        <v>237.01756296454047</v>
      </c>
      <c r="AK1511" s="86">
        <f t="shared" si="514"/>
        <v>0</v>
      </c>
      <c r="AL1511" s="310" t="e">
        <f>+VLOOKUP(B1511,#REF!,2,FALSE)</f>
        <v>#REF!</v>
      </c>
      <c r="AM1511" s="311" t="e">
        <f t="shared" si="515"/>
        <v>#REF!</v>
      </c>
      <c r="AN1511" s="312" t="e">
        <f t="shared" si="516"/>
        <v>#REF!</v>
      </c>
    </row>
    <row r="1512" spans="1:40" s="73" customFormat="1" x14ac:dyDescent="0.25">
      <c r="A1512" s="313"/>
      <c r="B1512" s="314" t="s">
        <v>2181</v>
      </c>
      <c r="D1512" s="74">
        <f>IFERROR(VLOOKUP(B1512,'REQ. PINTADO'!B:C,2,0),0)</f>
        <v>0</v>
      </c>
      <c r="E1512" s="305">
        <f t="shared" ref="E1512:E1513" si="517">+AJ1512</f>
        <v>258.02761091061473</v>
      </c>
      <c r="F1512" s="397" t="s">
        <v>166</v>
      </c>
      <c r="G1512" s="75" t="s">
        <v>147</v>
      </c>
      <c r="H1512" s="90">
        <v>23.51</v>
      </c>
      <c r="I1512" s="90">
        <v>19</v>
      </c>
      <c r="J1512" s="76">
        <v>0.105</v>
      </c>
      <c r="K1512" s="306">
        <v>16.38</v>
      </c>
      <c r="L1512" s="78">
        <f t="shared" ref="L1512:L1513" si="518">+M1512*2.2/K1512</f>
        <v>13.597848397924579</v>
      </c>
      <c r="M1512" s="58">
        <f>+VLOOKUP(F1512,Material!$H$2:$M$17,6,FALSE)*H1512*I1512*(1+Material!$K$14)</f>
        <v>101.24216216272936</v>
      </c>
      <c r="N1512" s="79" t="str">
        <f t="shared" si="502"/>
        <v>T5.0</v>
      </c>
      <c r="O1512" s="80">
        <f>+VLOOKUP(N1512,[3]Material!$A$3:$B$58,2,FALSE)</f>
        <v>5000</v>
      </c>
      <c r="P1512" s="79" t="s">
        <v>42</v>
      </c>
      <c r="Q1512" s="79" t="str">
        <f>+VLOOKUP(F1512,[3]Material!$C$2:$E$12,2,FALSE)</f>
        <v>Cal 16</v>
      </c>
      <c r="R1512" s="81">
        <f>+IF(P1512="ACERO A36",VLOOKUP(Q1512,'[3]Velocidades Std 1500 w'!$B$2:$F$15,5,FALSE),IF(P1512="INOXIDABLE",VLOOKUP(Q1512,'[3]Velocidades Std 1500 w'!$B$17:$F$28,5,FALSE),IF(P1512="ALUMINIO",VLOOKUP(Q1512,'[3]Velocidades Std 1500 w'!$B$30:$F$38,5,FALSE))))</f>
        <v>9.1575091575091579E-7</v>
      </c>
      <c r="S1512" s="82">
        <f t="shared" ref="S1512:S1513" si="519">+R1512*O1512</f>
        <v>4.578754578754579E-3</v>
      </c>
      <c r="T1512" s="83">
        <f t="shared" ref="T1512:T1513" si="520">+R1512*U1512*3600</f>
        <v>7.8708738461538461</v>
      </c>
      <c r="U1512" s="307">
        <f t="shared" ref="U1512:U1513" si="521">(+I1512*2+H1512*2+W1512*1.5)*25.4*1.05</f>
        <v>2387.4983999999999</v>
      </c>
      <c r="V1512" s="80">
        <f t="shared" ref="V1512:V1513" si="522">+U1512*S1512</f>
        <v>10.93176923076923</v>
      </c>
      <c r="W1512" s="98">
        <v>3</v>
      </c>
      <c r="X1512" s="84">
        <f>+IF(P1512="ACERO A36",VLOOKUP(Q1512,'[3]Tiempo Objeto'!$B$2:$C$12,2,FALSE),IF(P1512="INOXIDABLE",VLOOKUP(Q1512,'[3]Tiempo Objeto'!$B$14:$C$22,2,FALSE),IF(P1512="ALUMINIO",VLOOKUP(Q1512,'[3]Tiempo Objeto'!$B$24:$C$32,2,FALSE))))</f>
        <v>0.24666666666666667</v>
      </c>
      <c r="Y1512" s="84">
        <f t="shared" ref="Y1512:Y1513" si="523">+X1512*W1512</f>
        <v>0.74</v>
      </c>
      <c r="Z1512" s="80">
        <f t="shared" ref="Z1512:Z1513" si="524">+Y1512*O1512/3600</f>
        <v>1.0277777777777777</v>
      </c>
      <c r="AA1512" s="100">
        <v>2</v>
      </c>
      <c r="AB1512" s="86">
        <f>+AA1512*Analisis!$J$6</f>
        <v>50</v>
      </c>
      <c r="AC1512" s="100"/>
      <c r="AD1512" s="85">
        <f t="shared" ref="AD1512:AD1513" si="525">30*AC1512+AC1512*$D1512*1.5</f>
        <v>0</v>
      </c>
      <c r="AE1512" s="86">
        <f>+AC1512*Analisis!$J$7</f>
        <v>0</v>
      </c>
      <c r="AF1512" s="308">
        <f>+H1512*0.0254*I1512*0.0254*2*(1+[3]Analisis!$G$2)</f>
        <v>0.72046630099999998</v>
      </c>
      <c r="AG1512" s="86">
        <f>+AF1512*Analisis!$J$8</f>
        <v>76.763968975595262</v>
      </c>
      <c r="AH1512" s="309">
        <f t="shared" ref="AH1512:AH1513" si="526">+AE1512+AB1512+Z1512+V1512+M1512+AG1512</f>
        <v>239.96567814687165</v>
      </c>
      <c r="AI1512" s="86">
        <f>+AH1512/(1-Analisis!G1204)</f>
        <v>239.96567814687165</v>
      </c>
      <c r="AJ1512" s="86">
        <f t="shared" ref="AJ1512:AJ1513" si="527">+AI1512/(1-0.07)</f>
        <v>258.02761091061473</v>
      </c>
      <c r="AK1512" s="86">
        <f t="shared" ref="AK1512:AK1513" si="528">+AJ1512*D1512</f>
        <v>0</v>
      </c>
      <c r="AL1512" s="310" t="e">
        <f>+VLOOKUP(B1512,#REF!,2,FALSE)</f>
        <v>#REF!</v>
      </c>
      <c r="AM1512" s="311" t="e">
        <f t="shared" ref="AM1512:AM1513" si="529">+AL1512-E1512</f>
        <v>#REF!</v>
      </c>
      <c r="AN1512" s="312" t="e">
        <f t="shared" ref="AN1512:AN1513" si="530">+AM1512/AL1512</f>
        <v>#REF!</v>
      </c>
    </row>
    <row r="1513" spans="1:40" s="73" customFormat="1" x14ac:dyDescent="0.25">
      <c r="A1513" s="313"/>
      <c r="B1513" s="314" t="s">
        <v>2182</v>
      </c>
      <c r="D1513" s="74">
        <f>IFERROR(VLOOKUP(B1513,'REQ. PINTADO'!B:C,2,0),0)</f>
        <v>0</v>
      </c>
      <c r="E1513" s="305">
        <f t="shared" si="517"/>
        <v>321.05775474883717</v>
      </c>
      <c r="F1513" s="397" t="s">
        <v>166</v>
      </c>
      <c r="G1513" s="75" t="s">
        <v>147</v>
      </c>
      <c r="H1513" s="90">
        <v>31.01</v>
      </c>
      <c r="I1513" s="90">
        <v>19</v>
      </c>
      <c r="J1513" s="76">
        <v>0.105</v>
      </c>
      <c r="K1513" s="306">
        <v>16.38</v>
      </c>
      <c r="L1513" s="78">
        <f t="shared" si="518"/>
        <v>17.935741336437314</v>
      </c>
      <c r="M1513" s="58">
        <f>+VLOOKUP(F1513,Material!$H$2:$M$17,6,FALSE)*H1513*I1513*(1+Material!$K$14)</f>
        <v>133.53974685947415</v>
      </c>
      <c r="N1513" s="79" t="str">
        <f t="shared" si="502"/>
        <v>T5.0</v>
      </c>
      <c r="O1513" s="80">
        <f>+VLOOKUP(N1513,[3]Material!$A$3:$B$58,2,FALSE)</f>
        <v>5000</v>
      </c>
      <c r="P1513" s="79" t="s">
        <v>42</v>
      </c>
      <c r="Q1513" s="79" t="str">
        <f>+VLOOKUP(F1513,[3]Material!$C$2:$E$12,2,FALSE)</f>
        <v>Cal 16</v>
      </c>
      <c r="R1513" s="81">
        <f>+IF(P1513="ACERO A36",VLOOKUP(Q1513,'[3]Velocidades Std 1500 w'!$B$2:$F$15,5,FALSE),IF(P1513="INOXIDABLE",VLOOKUP(Q1513,'[3]Velocidades Std 1500 w'!$B$17:$F$28,5,FALSE),IF(P1513="ALUMINIO",VLOOKUP(Q1513,'[3]Velocidades Std 1500 w'!$B$30:$F$38,5,FALSE))))</f>
        <v>9.1575091575091579E-7</v>
      </c>
      <c r="S1513" s="82">
        <f t="shared" si="519"/>
        <v>4.578754578754579E-3</v>
      </c>
      <c r="T1513" s="83">
        <f t="shared" si="520"/>
        <v>9.1897200000000012</v>
      </c>
      <c r="U1513" s="307">
        <f t="shared" si="521"/>
        <v>2787.5484000000001</v>
      </c>
      <c r="V1513" s="80">
        <f t="shared" si="522"/>
        <v>12.763500000000001</v>
      </c>
      <c r="W1513" s="98">
        <v>3</v>
      </c>
      <c r="X1513" s="84">
        <f>+IF(P1513="ACERO A36",VLOOKUP(Q1513,'[3]Tiempo Objeto'!$B$2:$C$12,2,FALSE),IF(P1513="INOXIDABLE",VLOOKUP(Q1513,'[3]Tiempo Objeto'!$B$14:$C$22,2,FALSE),IF(P1513="ALUMINIO",VLOOKUP(Q1513,'[3]Tiempo Objeto'!$B$24:$C$32,2,FALSE))))</f>
        <v>0.24666666666666667</v>
      </c>
      <c r="Y1513" s="84">
        <f t="shared" si="523"/>
        <v>0.74</v>
      </c>
      <c r="Z1513" s="80">
        <f t="shared" si="524"/>
        <v>1.0277777777777777</v>
      </c>
      <c r="AA1513" s="100">
        <v>2</v>
      </c>
      <c r="AB1513" s="86">
        <f>+AA1513*Analisis!$J$6</f>
        <v>50</v>
      </c>
      <c r="AC1513" s="100"/>
      <c r="AD1513" s="85">
        <f t="shared" si="525"/>
        <v>0</v>
      </c>
      <c r="AE1513" s="86">
        <f>+AC1513*Analisis!$J$7</f>
        <v>0</v>
      </c>
      <c r="AF1513" s="308">
        <f>+H1513*0.0254*I1513*0.0254*2*(1+[3]Analisis!$G$2)</f>
        <v>0.95030455099999989</v>
      </c>
      <c r="AG1513" s="86">
        <f>+AF1513*Analisis!$J$8</f>
        <v>101.25268727916668</v>
      </c>
      <c r="AH1513" s="309">
        <f t="shared" si="526"/>
        <v>298.58371191641857</v>
      </c>
      <c r="AI1513" s="86">
        <f>+AH1513/(1-Analisis!G1205)</f>
        <v>298.58371191641857</v>
      </c>
      <c r="AJ1513" s="86">
        <f t="shared" si="527"/>
        <v>321.05775474883717</v>
      </c>
      <c r="AK1513" s="86">
        <f t="shared" si="528"/>
        <v>0</v>
      </c>
      <c r="AL1513" s="310" t="e">
        <f>+VLOOKUP(B1513,#REF!,2,FALSE)</f>
        <v>#REF!</v>
      </c>
      <c r="AM1513" s="311" t="e">
        <f t="shared" si="529"/>
        <v>#REF!</v>
      </c>
      <c r="AN1513" s="312" t="e">
        <f t="shared" si="530"/>
        <v>#REF!</v>
      </c>
    </row>
    <row r="1514" spans="1:40" s="73" customFormat="1" x14ac:dyDescent="0.25">
      <c r="A1514" s="313">
        <v>2</v>
      </c>
      <c r="B1514" s="314" t="s">
        <v>2159</v>
      </c>
      <c r="D1514" s="74">
        <f>IFERROR(VLOOKUP(B1514,'REQ. PINTADO'!B:C,2,0),0)</f>
        <v>48</v>
      </c>
      <c r="E1514" s="305">
        <f t="shared" si="172"/>
        <v>126.86357298164693</v>
      </c>
      <c r="F1514" s="397" t="s">
        <v>166</v>
      </c>
      <c r="G1514" s="75" t="s">
        <v>147</v>
      </c>
      <c r="H1514" s="90">
        <v>7.23</v>
      </c>
      <c r="I1514" s="90">
        <v>19</v>
      </c>
      <c r="J1514" s="76">
        <v>0.105</v>
      </c>
      <c r="K1514" s="306">
        <v>16.38</v>
      </c>
      <c r="L1514" s="78">
        <f t="shared" si="173"/>
        <v>4.1817287927262745</v>
      </c>
      <c r="M1514" s="58">
        <f>+VLOOKUP(F1514,Material!$H$2:$M$17,6,FALSE)*H1514*I1514*(1+Material!$K$14)</f>
        <v>31.134871647661985</v>
      </c>
      <c r="N1514" s="79" t="str">
        <f>+N1179</f>
        <v>T5.0</v>
      </c>
      <c r="O1514" s="80">
        <f>+VLOOKUP(N1514,[3]Material!$A$3:$B$58,2,FALSE)</f>
        <v>5000</v>
      </c>
      <c r="P1514" s="79" t="s">
        <v>42</v>
      </c>
      <c r="Q1514" s="79" t="str">
        <f>+VLOOKUP(F1514,[3]Material!$C$2:$E$12,2,FALSE)</f>
        <v>Cal 16</v>
      </c>
      <c r="R1514" s="81">
        <f>+IF(P1514="ACERO A36",VLOOKUP(Q1514,'[3]Velocidades Std 1500 w'!$B$2:$F$15,5,FALSE),IF(P1514="INOXIDABLE",VLOOKUP(Q1514,'[3]Velocidades Std 1500 w'!$B$17:$F$28,5,FALSE),IF(P1514="ALUMINIO",VLOOKUP(Q1514,'[3]Velocidades Std 1500 w'!$B$30:$F$38,5,FALSE))))</f>
        <v>9.1575091575091579E-7</v>
      </c>
      <c r="S1514" s="82">
        <f t="shared" si="174"/>
        <v>4.578754578754579E-3</v>
      </c>
      <c r="T1514" s="83">
        <f t="shared" si="175"/>
        <v>6.3269446153846163</v>
      </c>
      <c r="U1514" s="307">
        <f t="shared" si="171"/>
        <v>1919.1732000000002</v>
      </c>
      <c r="V1514" s="80">
        <f t="shared" si="153"/>
        <v>8.7874230769230781</v>
      </c>
      <c r="W1514" s="98">
        <v>13</v>
      </c>
      <c r="X1514" s="84">
        <f>+IF(P1514="ACERO A36",VLOOKUP(Q1514,'[3]Tiempo Objeto'!$B$2:$C$12,2,FALSE),IF(P1514="INOXIDABLE",VLOOKUP(Q1514,'[3]Tiempo Objeto'!$B$14:$C$22,2,FALSE),IF(P1514="ALUMINIO",VLOOKUP(Q1514,'[3]Tiempo Objeto'!$B$24:$C$32,2,FALSE))))</f>
        <v>0.24666666666666667</v>
      </c>
      <c r="Y1514" s="84">
        <f t="shared" si="176"/>
        <v>3.2066666666666666</v>
      </c>
      <c r="Z1514" s="80">
        <f t="shared" si="177"/>
        <v>4.4537037037037033</v>
      </c>
      <c r="AA1514" s="100">
        <v>2</v>
      </c>
      <c r="AB1514" s="86">
        <f>+AA1514*Analisis!$J$6</f>
        <v>50</v>
      </c>
      <c r="AC1514" s="100"/>
      <c r="AD1514" s="85">
        <f t="shared" si="178"/>
        <v>0</v>
      </c>
      <c r="AE1514" s="86">
        <f>+AC1514*Analisis!$J$7</f>
        <v>0</v>
      </c>
      <c r="AF1514" s="308">
        <f>+H1514*0.0254*I1514*0.0254*2*(1+[3]Analisis!$G$2)</f>
        <v>0.221564073</v>
      </c>
      <c r="AG1514" s="86">
        <f>+AF1514*Analisis!$J$8</f>
        <v>23.607124444642864</v>
      </c>
      <c r="AH1514" s="309">
        <f t="shared" si="179"/>
        <v>117.98312287293163</v>
      </c>
      <c r="AI1514" s="86">
        <f>+AH1514/(1-Analisis!G1191)</f>
        <v>117.98312287293163</v>
      </c>
      <c r="AJ1514" s="86">
        <f t="shared" si="180"/>
        <v>126.86357298164693</v>
      </c>
      <c r="AK1514" s="86">
        <f t="shared" si="181"/>
        <v>6089.4515031190522</v>
      </c>
      <c r="AL1514" s="310" t="e">
        <f>+VLOOKUP(B1514,#REF!,2,FALSE)</f>
        <v>#REF!</v>
      </c>
      <c r="AM1514" s="311" t="e">
        <f t="shared" si="183"/>
        <v>#REF!</v>
      </c>
      <c r="AN1514" s="312" t="e">
        <f t="shared" si="182"/>
        <v>#REF!</v>
      </c>
    </row>
    <row r="1515" spans="1:40" s="73" customFormat="1" x14ac:dyDescent="0.25">
      <c r="A1515" s="313"/>
      <c r="B1515" s="314" t="s">
        <v>2183</v>
      </c>
      <c r="D1515" s="74">
        <f>IFERROR(VLOOKUP(B1515,'REQ. PINTADO'!B:C,2,0),0)</f>
        <v>0</v>
      </c>
      <c r="E1515" s="305">
        <f t="shared" ref="E1515" si="531">+AJ1515</f>
        <v>126.86357298164693</v>
      </c>
      <c r="F1515" s="397" t="s">
        <v>166</v>
      </c>
      <c r="G1515" s="75" t="s">
        <v>147</v>
      </c>
      <c r="H1515" s="90">
        <v>7.23</v>
      </c>
      <c r="I1515" s="90">
        <v>19</v>
      </c>
      <c r="J1515" s="76">
        <v>0.105</v>
      </c>
      <c r="K1515" s="306">
        <v>16.38</v>
      </c>
      <c r="L1515" s="78">
        <f t="shared" ref="L1515" si="532">+M1515*2.2/K1515</f>
        <v>4.1817287927262745</v>
      </c>
      <c r="M1515" s="58">
        <f>+VLOOKUP(F1515,Material!$H$2:$M$17,6,FALSE)*H1515*I1515*(1+Material!$K$14)</f>
        <v>31.134871647661985</v>
      </c>
      <c r="N1515" s="79" t="str">
        <f>+N1180</f>
        <v>T5.0</v>
      </c>
      <c r="O1515" s="80">
        <f>+VLOOKUP(N1515,[3]Material!$A$3:$B$58,2,FALSE)</f>
        <v>5000</v>
      </c>
      <c r="P1515" s="79" t="s">
        <v>42</v>
      </c>
      <c r="Q1515" s="79" t="str">
        <f>+VLOOKUP(F1515,[3]Material!$C$2:$E$12,2,FALSE)</f>
        <v>Cal 16</v>
      </c>
      <c r="R1515" s="81">
        <f>+IF(P1515="ACERO A36",VLOOKUP(Q1515,'[3]Velocidades Std 1500 w'!$B$2:$F$15,5,FALSE),IF(P1515="INOXIDABLE",VLOOKUP(Q1515,'[3]Velocidades Std 1500 w'!$B$17:$F$28,5,FALSE),IF(P1515="ALUMINIO",VLOOKUP(Q1515,'[3]Velocidades Std 1500 w'!$B$30:$F$38,5,FALSE))))</f>
        <v>9.1575091575091579E-7</v>
      </c>
      <c r="S1515" s="82">
        <f t="shared" ref="S1515" si="533">+R1515*O1515</f>
        <v>4.578754578754579E-3</v>
      </c>
      <c r="T1515" s="83">
        <f t="shared" ref="T1515" si="534">+R1515*U1515*3600</f>
        <v>6.3269446153846163</v>
      </c>
      <c r="U1515" s="307">
        <f t="shared" ref="U1515" si="535">(+I1515*2+H1515*2+W1515*1.5)*25.4*1.05</f>
        <v>1919.1732000000002</v>
      </c>
      <c r="V1515" s="80">
        <f t="shared" ref="V1515" si="536">+U1515*S1515</f>
        <v>8.7874230769230781</v>
      </c>
      <c r="W1515" s="98">
        <v>13</v>
      </c>
      <c r="X1515" s="84">
        <f>+IF(P1515="ACERO A36",VLOOKUP(Q1515,'[3]Tiempo Objeto'!$B$2:$C$12,2,FALSE),IF(P1515="INOXIDABLE",VLOOKUP(Q1515,'[3]Tiempo Objeto'!$B$14:$C$22,2,FALSE),IF(P1515="ALUMINIO",VLOOKUP(Q1515,'[3]Tiempo Objeto'!$B$24:$C$32,2,FALSE))))</f>
        <v>0.24666666666666667</v>
      </c>
      <c r="Y1515" s="84">
        <f t="shared" ref="Y1515" si="537">+X1515*W1515</f>
        <v>3.2066666666666666</v>
      </c>
      <c r="Z1515" s="80">
        <f t="shared" ref="Z1515" si="538">+Y1515*O1515/3600</f>
        <v>4.4537037037037033</v>
      </c>
      <c r="AA1515" s="100">
        <v>2</v>
      </c>
      <c r="AB1515" s="86">
        <f>+AA1515*Analisis!$J$6</f>
        <v>50</v>
      </c>
      <c r="AC1515" s="100"/>
      <c r="AD1515" s="85">
        <f t="shared" ref="AD1515" si="539">30*AC1515+AC1515*$D1515*1.5</f>
        <v>0</v>
      </c>
      <c r="AE1515" s="86">
        <f>+AC1515*Analisis!$J$7</f>
        <v>0</v>
      </c>
      <c r="AF1515" s="308">
        <f>+H1515*0.0254*I1515*0.0254*2*(1+[3]Analisis!$G$2)</f>
        <v>0.221564073</v>
      </c>
      <c r="AG1515" s="86">
        <f>+AF1515*Analisis!$J$8</f>
        <v>23.607124444642864</v>
      </c>
      <c r="AH1515" s="309">
        <f t="shared" ref="AH1515" si="540">+AE1515+AB1515+Z1515+V1515+M1515+AG1515</f>
        <v>117.98312287293163</v>
      </c>
      <c r="AI1515" s="86">
        <f>+AH1515/(1-Analisis!G1192)</f>
        <v>117.98312287293163</v>
      </c>
      <c r="AJ1515" s="86">
        <f t="shared" ref="AJ1515" si="541">+AI1515/(1-0.07)</f>
        <v>126.86357298164693</v>
      </c>
      <c r="AK1515" s="86">
        <f t="shared" ref="AK1515" si="542">+AJ1515*D1515</f>
        <v>0</v>
      </c>
      <c r="AL1515" s="310" t="e">
        <f>+VLOOKUP(B1515,#REF!,2,FALSE)</f>
        <v>#REF!</v>
      </c>
      <c r="AM1515" s="311" t="e">
        <f t="shared" ref="AM1515" si="543">+AL1515-E1515</f>
        <v>#REF!</v>
      </c>
      <c r="AN1515" s="312" t="e">
        <f t="shared" ref="AN1515" si="544">+AM1515/AL1515</f>
        <v>#REF!</v>
      </c>
    </row>
    <row r="1516" spans="1:40" s="73" customFormat="1" x14ac:dyDescent="0.25">
      <c r="A1516" s="313">
        <v>3</v>
      </c>
      <c r="B1516" s="314" t="s">
        <v>2184</v>
      </c>
      <c r="D1516" s="74">
        <f>IFERROR(VLOOKUP(B1516,'REQ. PINTADO'!B:C,2,0),0)</f>
        <v>0</v>
      </c>
      <c r="E1516" s="305">
        <f t="shared" si="172"/>
        <v>123.55557659591078</v>
      </c>
      <c r="F1516" s="397" t="s">
        <v>166</v>
      </c>
      <c r="G1516" s="75" t="s">
        <v>147</v>
      </c>
      <c r="H1516" s="90">
        <v>19</v>
      </c>
      <c r="I1516" s="90">
        <v>7.24</v>
      </c>
      <c r="J1516" s="76">
        <v>0.105</v>
      </c>
      <c r="K1516" s="306">
        <v>16.38</v>
      </c>
      <c r="L1516" s="78">
        <f t="shared" si="173"/>
        <v>4.1875126499776245</v>
      </c>
      <c r="M1516" s="58">
        <f>+VLOOKUP(F1516,Material!$H$2:$M$17,6,FALSE)*H1516*I1516*(1+Material!$K$14)</f>
        <v>31.177935093924308</v>
      </c>
      <c r="N1516" s="79" t="str">
        <f>+N1180</f>
        <v>T5.0</v>
      </c>
      <c r="O1516" s="80">
        <f>+VLOOKUP(N1516,[3]Material!$A$3:$B$58,2,FALSE)</f>
        <v>5000</v>
      </c>
      <c r="P1516" s="79" t="s">
        <v>42</v>
      </c>
      <c r="Q1516" s="79" t="str">
        <f>+VLOOKUP(F1516,[3]Material!$C$2:$E$12,2,FALSE)</f>
        <v>Cal 16</v>
      </c>
      <c r="R1516" s="81">
        <f>+IF(P1516="ACERO A36",VLOOKUP(Q1516,'[3]Velocidades Std 1500 w'!$B$2:$F$15,5,FALSE),IF(P1516="INOXIDABLE",VLOOKUP(Q1516,'[3]Velocidades Std 1500 w'!$B$17:$F$28,5,FALSE),IF(P1516="ALUMINIO",VLOOKUP(Q1516,'[3]Velocidades Std 1500 w'!$B$30:$F$38,5,FALSE))))</f>
        <v>9.1575091575091579E-7</v>
      </c>
      <c r="S1516" s="82">
        <f t="shared" si="174"/>
        <v>4.578754578754579E-3</v>
      </c>
      <c r="T1516" s="83">
        <f t="shared" si="175"/>
        <v>5.5373953846153849</v>
      </c>
      <c r="U1516" s="307">
        <f t="shared" si="171"/>
        <v>1679.6766</v>
      </c>
      <c r="V1516" s="80">
        <f t="shared" si="153"/>
        <v>7.6908269230769237</v>
      </c>
      <c r="W1516" s="98">
        <v>7</v>
      </c>
      <c r="X1516" s="84">
        <f>+IF(P1516="ACERO A36",VLOOKUP(Q1516,'[3]Tiempo Objeto'!$B$2:$C$12,2,FALSE),IF(P1516="INOXIDABLE",VLOOKUP(Q1516,'[3]Tiempo Objeto'!$B$14:$C$22,2,FALSE),IF(P1516="ALUMINIO",VLOOKUP(Q1516,'[3]Tiempo Objeto'!$B$24:$C$32,2,FALSE))))</f>
        <v>0.24666666666666667</v>
      </c>
      <c r="Y1516" s="84">
        <f t="shared" si="176"/>
        <v>1.7266666666666668</v>
      </c>
      <c r="Z1516" s="80">
        <f t="shared" si="177"/>
        <v>2.3981481481481484</v>
      </c>
      <c r="AA1516" s="100">
        <v>2</v>
      </c>
      <c r="AB1516" s="86">
        <f>+AA1516*Analisis!$J$6</f>
        <v>50</v>
      </c>
      <c r="AC1516" s="100"/>
      <c r="AD1516" s="85">
        <f t="shared" si="178"/>
        <v>0</v>
      </c>
      <c r="AE1516" s="86">
        <f>+AC1516*Analisis!$J$7</f>
        <v>0</v>
      </c>
      <c r="AF1516" s="308">
        <f>+H1516*0.0254*I1516*0.0254*2*(1+[3]Analisis!$G$2)</f>
        <v>0.22187052400000001</v>
      </c>
      <c r="AG1516" s="86">
        <f>+AF1516*Analisis!$J$8</f>
        <v>23.639776069047628</v>
      </c>
      <c r="AH1516" s="309">
        <f t="shared" si="179"/>
        <v>114.90668623419701</v>
      </c>
      <c r="AI1516" s="86">
        <f>+AH1516/(1-Analisis!G1192)</f>
        <v>114.90668623419701</v>
      </c>
      <c r="AJ1516" s="86">
        <f t="shared" si="180"/>
        <v>123.55557659591078</v>
      </c>
      <c r="AK1516" s="86">
        <f t="shared" si="181"/>
        <v>0</v>
      </c>
      <c r="AL1516" s="310" t="e">
        <f>+VLOOKUP(B1516,#REF!,2,FALSE)</f>
        <v>#REF!</v>
      </c>
      <c r="AM1516" s="311" t="e">
        <f t="shared" si="183"/>
        <v>#REF!</v>
      </c>
      <c r="AN1516" s="312" t="e">
        <f t="shared" si="182"/>
        <v>#REF!</v>
      </c>
    </row>
    <row r="1517" spans="1:40" s="73" customFormat="1" x14ac:dyDescent="0.25">
      <c r="A1517" s="313"/>
      <c r="B1517" s="314" t="s">
        <v>2160</v>
      </c>
      <c r="D1517" s="74">
        <f>IFERROR(VLOOKUP(B1517,'REQ. PINTADO'!B:C,2,0),0)</f>
        <v>96</v>
      </c>
      <c r="E1517" s="305">
        <f t="shared" ref="E1517" si="545">+AJ1517</f>
        <v>123.55557659591078</v>
      </c>
      <c r="F1517" s="397" t="s">
        <v>166</v>
      </c>
      <c r="G1517" s="75" t="s">
        <v>147</v>
      </c>
      <c r="H1517" s="90">
        <v>19</v>
      </c>
      <c r="I1517" s="90">
        <v>7.24</v>
      </c>
      <c r="J1517" s="76">
        <v>0.105</v>
      </c>
      <c r="K1517" s="306">
        <v>16.38</v>
      </c>
      <c r="L1517" s="78">
        <f t="shared" ref="L1517" si="546">+M1517*2.2/K1517</f>
        <v>4.1875126499776245</v>
      </c>
      <c r="M1517" s="58">
        <f>+VLOOKUP(F1517,Material!$H$2:$M$17,6,FALSE)*H1517*I1517*(1+Material!$K$14)</f>
        <v>31.177935093924308</v>
      </c>
      <c r="N1517" s="79" t="str">
        <f>+N1181</f>
        <v>T5.0</v>
      </c>
      <c r="O1517" s="80">
        <f>+VLOOKUP(N1517,[3]Material!$A$3:$B$58,2,FALSE)</f>
        <v>5000</v>
      </c>
      <c r="P1517" s="79" t="s">
        <v>42</v>
      </c>
      <c r="Q1517" s="79" t="str">
        <f>+VLOOKUP(F1517,[3]Material!$C$2:$E$12,2,FALSE)</f>
        <v>Cal 16</v>
      </c>
      <c r="R1517" s="81">
        <f>+IF(P1517="ACERO A36",VLOOKUP(Q1517,'[3]Velocidades Std 1500 w'!$B$2:$F$15,5,FALSE),IF(P1517="INOXIDABLE",VLOOKUP(Q1517,'[3]Velocidades Std 1500 w'!$B$17:$F$28,5,FALSE),IF(P1517="ALUMINIO",VLOOKUP(Q1517,'[3]Velocidades Std 1500 w'!$B$30:$F$38,5,FALSE))))</f>
        <v>9.1575091575091579E-7</v>
      </c>
      <c r="S1517" s="82">
        <f t="shared" ref="S1517" si="547">+R1517*O1517</f>
        <v>4.578754578754579E-3</v>
      </c>
      <c r="T1517" s="83">
        <f t="shared" ref="T1517" si="548">+R1517*U1517*3600</f>
        <v>5.5373953846153849</v>
      </c>
      <c r="U1517" s="307">
        <f t="shared" ref="U1517" si="549">(+I1517*2+H1517*2+W1517*1.5)*25.4*1.05</f>
        <v>1679.6766</v>
      </c>
      <c r="V1517" s="80">
        <f t="shared" ref="V1517" si="550">+U1517*S1517</f>
        <v>7.6908269230769237</v>
      </c>
      <c r="W1517" s="98">
        <v>7</v>
      </c>
      <c r="X1517" s="84">
        <f>+IF(P1517="ACERO A36",VLOOKUP(Q1517,'[3]Tiempo Objeto'!$B$2:$C$12,2,FALSE),IF(P1517="INOXIDABLE",VLOOKUP(Q1517,'[3]Tiempo Objeto'!$B$14:$C$22,2,FALSE),IF(P1517="ALUMINIO",VLOOKUP(Q1517,'[3]Tiempo Objeto'!$B$24:$C$32,2,FALSE))))</f>
        <v>0.24666666666666667</v>
      </c>
      <c r="Y1517" s="84">
        <f t="shared" ref="Y1517" si="551">+X1517*W1517</f>
        <v>1.7266666666666668</v>
      </c>
      <c r="Z1517" s="80">
        <f t="shared" ref="Z1517" si="552">+Y1517*O1517/3600</f>
        <v>2.3981481481481484</v>
      </c>
      <c r="AA1517" s="100">
        <v>2</v>
      </c>
      <c r="AB1517" s="86">
        <f>+AA1517*Analisis!$J$6</f>
        <v>50</v>
      </c>
      <c r="AC1517" s="100"/>
      <c r="AD1517" s="85">
        <f t="shared" ref="AD1517" si="553">30*AC1517+AC1517*$D1517*1.5</f>
        <v>0</v>
      </c>
      <c r="AE1517" s="86">
        <f>+AC1517*Analisis!$J$7</f>
        <v>0</v>
      </c>
      <c r="AF1517" s="308">
        <f>+H1517*0.0254*I1517*0.0254*2*(1+[3]Analisis!$G$2)</f>
        <v>0.22187052400000001</v>
      </c>
      <c r="AG1517" s="86">
        <f>+AF1517*Analisis!$J$8</f>
        <v>23.639776069047628</v>
      </c>
      <c r="AH1517" s="309">
        <f t="shared" ref="AH1517" si="554">+AE1517+AB1517+Z1517+V1517+M1517+AG1517</f>
        <v>114.90668623419701</v>
      </c>
      <c r="AI1517" s="86">
        <f>+AH1517/(1-Analisis!G1193)</f>
        <v>114.90668623419701</v>
      </c>
      <c r="AJ1517" s="86">
        <f t="shared" ref="AJ1517" si="555">+AI1517/(1-0.07)</f>
        <v>123.55557659591078</v>
      </c>
      <c r="AK1517" s="86">
        <f t="shared" ref="AK1517" si="556">+AJ1517*D1517</f>
        <v>11861.335353207434</v>
      </c>
      <c r="AL1517" s="310" t="e">
        <f>+VLOOKUP(B1517,#REF!,2,FALSE)</f>
        <v>#REF!</v>
      </c>
      <c r="AM1517" s="311" t="e">
        <f t="shared" ref="AM1517" si="557">+AL1517-E1517</f>
        <v>#REF!</v>
      </c>
      <c r="AN1517" s="312" t="e">
        <f t="shared" ref="AN1517" si="558">+AM1517/AL1517</f>
        <v>#REF!</v>
      </c>
    </row>
    <row r="1518" spans="1:40" s="73" customFormat="1" x14ac:dyDescent="0.25">
      <c r="A1518" s="313">
        <v>4</v>
      </c>
      <c r="B1518" s="314" t="s">
        <v>2161</v>
      </c>
      <c r="D1518" s="74">
        <f>IFERROR(VLOOKUP(B1518,'REQ. PINTADO'!B:C,2,0),0)</f>
        <v>48</v>
      </c>
      <c r="E1518" s="305">
        <f t="shared" si="172"/>
        <v>72.078845753343671</v>
      </c>
      <c r="F1518" s="397" t="s">
        <v>166</v>
      </c>
      <c r="G1518" s="75" t="s">
        <v>147</v>
      </c>
      <c r="H1518" s="90">
        <v>5.9</v>
      </c>
      <c r="I1518" s="90">
        <v>5.4</v>
      </c>
      <c r="J1518" s="76">
        <v>0.105</v>
      </c>
      <c r="K1518" s="306">
        <v>16.38</v>
      </c>
      <c r="L1518" s="78">
        <f t="shared" si="173"/>
        <v>0.96986153698958355</v>
      </c>
      <c r="M1518" s="58">
        <f>+VLOOKUP(F1518,Material!$H$2:$M$17,6,FALSE)*H1518*I1518*(1+Material!$K$14)</f>
        <v>7.2210599890406257</v>
      </c>
      <c r="N1518" s="79" t="str">
        <f>+N1181</f>
        <v>T5.0</v>
      </c>
      <c r="O1518" s="80">
        <f>+VLOOKUP(N1518,[3]Material!$A$3:$B$58,2,FALSE)</f>
        <v>5000</v>
      </c>
      <c r="P1518" s="79" t="s">
        <v>42</v>
      </c>
      <c r="Q1518" s="79" t="str">
        <f>+VLOOKUP(F1518,[3]Material!$C$2:$E$12,2,FALSE)</f>
        <v>Cal 16</v>
      </c>
      <c r="R1518" s="81">
        <f>+IF(P1518="ACERO A36",VLOOKUP(Q1518,'[3]Velocidades Std 1500 w'!$B$2:$F$15,5,FALSE),IF(P1518="INOXIDABLE",VLOOKUP(Q1518,'[3]Velocidades Std 1500 w'!$B$17:$F$28,5,FALSE),IF(P1518="ALUMINIO",VLOOKUP(Q1518,'[3]Velocidades Std 1500 w'!$B$30:$F$38,5,FALSE))))</f>
        <v>9.1575091575091579E-7</v>
      </c>
      <c r="S1518" s="82">
        <f t="shared" si="174"/>
        <v>4.578754578754579E-3</v>
      </c>
      <c r="T1518" s="83">
        <f t="shared" si="175"/>
        <v>2.3827153846153846</v>
      </c>
      <c r="U1518" s="307">
        <f t="shared" si="171"/>
        <v>722.75700000000006</v>
      </c>
      <c r="V1518" s="80">
        <f t="shared" si="153"/>
        <v>3.3093269230769233</v>
      </c>
      <c r="W1518" s="98">
        <v>3</v>
      </c>
      <c r="X1518" s="84">
        <f>+IF(P1518="ACERO A36",VLOOKUP(Q1518,'[3]Tiempo Objeto'!$B$2:$C$12,2,FALSE),IF(P1518="INOXIDABLE",VLOOKUP(Q1518,'[3]Tiempo Objeto'!$B$14:$C$22,2,FALSE),IF(P1518="ALUMINIO",VLOOKUP(Q1518,'[3]Tiempo Objeto'!$B$24:$C$32,2,FALSE))))</f>
        <v>0.24666666666666667</v>
      </c>
      <c r="Y1518" s="84">
        <f t="shared" si="176"/>
        <v>0.74</v>
      </c>
      <c r="Z1518" s="80">
        <f t="shared" si="177"/>
        <v>1.0277777777777777</v>
      </c>
      <c r="AA1518" s="100">
        <v>2</v>
      </c>
      <c r="AB1518" s="86">
        <f>+AA1518*Analisis!$J$6</f>
        <v>50</v>
      </c>
      <c r="AC1518" s="100"/>
      <c r="AD1518" s="85">
        <f t="shared" si="178"/>
        <v>0</v>
      </c>
      <c r="AE1518" s="86">
        <f>+AC1518*Analisis!$J$7</f>
        <v>0</v>
      </c>
      <c r="AF1518" s="308">
        <f>+H1518*0.0254*I1518*0.0254*2*(1+[3]Analisis!$G$2)</f>
        <v>5.1386993999999991E-2</v>
      </c>
      <c r="AG1518" s="86">
        <f>+AF1518*Analisis!$J$8</f>
        <v>5.4751618607142865</v>
      </c>
      <c r="AH1518" s="309">
        <f t="shared" si="179"/>
        <v>67.033326550609615</v>
      </c>
      <c r="AI1518" s="86">
        <f>+AH1518/(1-Analisis!G1193)</f>
        <v>67.033326550609615</v>
      </c>
      <c r="AJ1518" s="86">
        <f t="shared" si="180"/>
        <v>72.078845753343671</v>
      </c>
      <c r="AK1518" s="86">
        <f t="shared" si="181"/>
        <v>3459.7845961604962</v>
      </c>
      <c r="AL1518" s="310" t="e">
        <f>+VLOOKUP(B1518,#REF!,2,FALSE)</f>
        <v>#REF!</v>
      </c>
      <c r="AM1518" s="311" t="e">
        <f t="shared" si="183"/>
        <v>#REF!</v>
      </c>
      <c r="AN1518" s="312" t="e">
        <f t="shared" si="182"/>
        <v>#REF!</v>
      </c>
    </row>
    <row r="1519" spans="1:40" s="73" customFormat="1" x14ac:dyDescent="0.25">
      <c r="A1519" s="313"/>
      <c r="B1519" s="314" t="s">
        <v>2185</v>
      </c>
      <c r="D1519" s="74">
        <f>IFERROR(VLOOKUP(B1519,'REQ. PINTADO'!B:C,2,0),0)</f>
        <v>0</v>
      </c>
      <c r="E1519" s="305">
        <f t="shared" si="172"/>
        <v>155.92813001068814</v>
      </c>
      <c r="F1519" s="397" t="s">
        <v>166</v>
      </c>
      <c r="G1519" s="75" t="s">
        <v>147</v>
      </c>
      <c r="H1519" s="90">
        <v>17.489999999999998</v>
      </c>
      <c r="I1519" s="90">
        <v>8.5299999999999994</v>
      </c>
      <c r="J1519" s="76">
        <v>0.105</v>
      </c>
      <c r="K1519" s="306">
        <v>16.38</v>
      </c>
      <c r="L1519" s="78">
        <f t="shared" si="173"/>
        <v>4.5415364640619851</v>
      </c>
      <c r="M1519" s="58">
        <f>+VLOOKUP(F1519,Material!$H$2:$M$17,6,FALSE)*H1519*I1519*(1+Material!$K$14)</f>
        <v>33.813803309697867</v>
      </c>
      <c r="N1519" s="79" t="str">
        <f>+N1182</f>
        <v>T5.0</v>
      </c>
      <c r="O1519" s="80">
        <f>+VLOOKUP(N1519,[3]Material!$A$3:$B$58,2,FALSE)</f>
        <v>5000</v>
      </c>
      <c r="P1519" s="79" t="s">
        <v>42</v>
      </c>
      <c r="Q1519" s="79" t="str">
        <f>+VLOOKUP(F1519,[3]Material!$C$2:$E$12,2,FALSE)</f>
        <v>Cal 16</v>
      </c>
      <c r="R1519" s="81">
        <f>+IF(P1519="ACERO A36",VLOOKUP(Q1519,'[3]Velocidades Std 1500 w'!$B$2:$F$15,5,FALSE),IF(P1519="INOXIDABLE",VLOOKUP(Q1519,'[3]Velocidades Std 1500 w'!$B$17:$F$28,5,FALSE),IF(P1519="ALUMINIO",VLOOKUP(Q1519,'[3]Velocidades Std 1500 w'!$B$30:$F$38,5,FALSE))))</f>
        <v>9.1575091575091579E-7</v>
      </c>
      <c r="S1519" s="82">
        <f t="shared" si="174"/>
        <v>4.578754578754579E-3</v>
      </c>
      <c r="T1519" s="83">
        <f t="shared" si="175"/>
        <v>5.630593846153845</v>
      </c>
      <c r="U1519" s="307">
        <f t="shared" si="171"/>
        <v>1707.9467999999997</v>
      </c>
      <c r="V1519" s="80">
        <f t="shared" ref="V1519:V1589" si="559">+U1519*S1519</f>
        <v>7.8202692307692301</v>
      </c>
      <c r="W1519" s="98">
        <v>8</v>
      </c>
      <c r="X1519" s="84">
        <f>+IF(P1519="ACERO A36",VLOOKUP(Q1519,'[3]Tiempo Objeto'!$B$2:$C$12,2,FALSE),IF(P1519="INOXIDABLE",VLOOKUP(Q1519,'[3]Tiempo Objeto'!$B$14:$C$22,2,FALSE),IF(P1519="ALUMINIO",VLOOKUP(Q1519,'[3]Tiempo Objeto'!$B$24:$C$32,2,FALSE))))</f>
        <v>0.24666666666666667</v>
      </c>
      <c r="Y1519" s="84">
        <f t="shared" si="176"/>
        <v>1.9733333333333334</v>
      </c>
      <c r="Z1519" s="80">
        <f t="shared" si="177"/>
        <v>2.7407407407407405</v>
      </c>
      <c r="AA1519" s="100">
        <v>3</v>
      </c>
      <c r="AB1519" s="86">
        <f>+AA1519*Analisis!$J$6</f>
        <v>75</v>
      </c>
      <c r="AC1519" s="100"/>
      <c r="AD1519" s="85">
        <f t="shared" si="178"/>
        <v>0</v>
      </c>
      <c r="AE1519" s="86">
        <f>+AC1519*Analisis!$J$7</f>
        <v>0</v>
      </c>
      <c r="AF1519" s="308">
        <f>+H1519*0.0254*I1519*0.0254*2*(1+[3]Analisis!$G$2)</f>
        <v>0.2406280671299999</v>
      </c>
      <c r="AG1519" s="86">
        <f>+AF1519*Analisis!$J$8</f>
        <v>25.638347628732141</v>
      </c>
      <c r="AH1519" s="309">
        <f t="shared" si="179"/>
        <v>145.01316090993996</v>
      </c>
      <c r="AI1519" s="86">
        <f>+AH1519/(1-Analisis!G1194)</f>
        <v>145.01316090993996</v>
      </c>
      <c r="AJ1519" s="86">
        <f t="shared" si="180"/>
        <v>155.92813001068814</v>
      </c>
      <c r="AK1519" s="86">
        <f t="shared" si="181"/>
        <v>0</v>
      </c>
      <c r="AL1519" s="310" t="e">
        <f>+VLOOKUP(B1519,#REF!,2,FALSE)</f>
        <v>#REF!</v>
      </c>
      <c r="AM1519" s="311" t="e">
        <f t="shared" si="183"/>
        <v>#REF!</v>
      </c>
      <c r="AN1519" s="312" t="e">
        <f t="shared" si="182"/>
        <v>#REF!</v>
      </c>
    </row>
    <row r="1520" spans="1:40" s="73" customFormat="1" x14ac:dyDescent="0.25">
      <c r="A1520" s="313"/>
      <c r="B1520" s="314" t="s">
        <v>2186</v>
      </c>
      <c r="D1520" s="74">
        <f>IFERROR(VLOOKUP(B1520,'REQ. PINTADO'!B:C,2,0),0)</f>
        <v>0</v>
      </c>
      <c r="E1520" s="305">
        <f t="shared" ref="E1520:E1543" si="560">+AJ1520</f>
        <v>175.32060924273711</v>
      </c>
      <c r="F1520" s="397" t="s">
        <v>166</v>
      </c>
      <c r="G1520" s="75" t="s">
        <v>147</v>
      </c>
      <c r="H1520" s="90">
        <v>17.489999999999998</v>
      </c>
      <c r="I1520" s="90">
        <v>11.03</v>
      </c>
      <c r="J1520" s="76">
        <v>0.105</v>
      </c>
      <c r="K1520" s="306">
        <v>16.38</v>
      </c>
      <c r="L1520" s="78">
        <f t="shared" ref="L1520:L1543" si="561">+M1520*2.2/K1520</f>
        <v>5.8725846657214182</v>
      </c>
      <c r="M1520" s="58">
        <f>+VLOOKUP(F1520,Material!$H$2:$M$17,6,FALSE)*H1520*I1520*(1+Material!$K$14)</f>
        <v>43.724062192962187</v>
      </c>
      <c r="N1520" s="79" t="str">
        <f t="shared" ref="N1520:N1556" si="562">+N1183</f>
        <v>T5.0</v>
      </c>
      <c r="O1520" s="80">
        <f>+VLOOKUP(N1520,[3]Material!$A$3:$B$58,2,FALSE)</f>
        <v>5000</v>
      </c>
      <c r="P1520" s="79" t="s">
        <v>42</v>
      </c>
      <c r="Q1520" s="79" t="str">
        <f>+VLOOKUP(F1520,[3]Material!$C$2:$E$12,2,FALSE)</f>
        <v>Cal 16</v>
      </c>
      <c r="R1520" s="81">
        <f>+IF(P1520="ACERO A36",VLOOKUP(Q1520,'[3]Velocidades Std 1500 w'!$B$2:$F$15,5,FALSE),IF(P1520="INOXIDABLE",VLOOKUP(Q1520,'[3]Velocidades Std 1500 w'!$B$17:$F$28,5,FALSE),IF(P1520="ALUMINIO",VLOOKUP(Q1520,'[3]Velocidades Std 1500 w'!$B$30:$F$38,5,FALSE))))</f>
        <v>9.1575091575091579E-7</v>
      </c>
      <c r="S1520" s="82">
        <f t="shared" ref="S1520:S1543" si="563">+R1520*O1520</f>
        <v>4.578754578754579E-3</v>
      </c>
      <c r="T1520" s="83">
        <f t="shared" ref="T1520:T1543" si="564">+R1520*U1520*3600</f>
        <v>6.0702092307692306</v>
      </c>
      <c r="U1520" s="307">
        <f t="shared" ref="U1520:U1543" si="565">(+I1520*2+H1520*2+W1520*1.5)*25.4*1.05</f>
        <v>1841.2967999999998</v>
      </c>
      <c r="V1520" s="80">
        <f t="shared" ref="V1520:V1543" si="566">+U1520*S1520</f>
        <v>8.4308461538461543</v>
      </c>
      <c r="W1520" s="98">
        <v>8</v>
      </c>
      <c r="X1520" s="84">
        <f>+IF(P1520="ACERO A36",VLOOKUP(Q1520,'[3]Tiempo Objeto'!$B$2:$C$12,2,FALSE),IF(P1520="INOXIDABLE",VLOOKUP(Q1520,'[3]Tiempo Objeto'!$B$14:$C$22,2,FALSE),IF(P1520="ALUMINIO",VLOOKUP(Q1520,'[3]Tiempo Objeto'!$B$24:$C$32,2,FALSE))))</f>
        <v>0.24666666666666667</v>
      </c>
      <c r="Y1520" s="84">
        <f t="shared" ref="Y1520:Y1543" si="567">+X1520*W1520</f>
        <v>1.9733333333333334</v>
      </c>
      <c r="Z1520" s="80">
        <f t="shared" ref="Z1520:Z1543" si="568">+Y1520*O1520/3600</f>
        <v>2.7407407407407405</v>
      </c>
      <c r="AA1520" s="100">
        <v>3</v>
      </c>
      <c r="AB1520" s="86">
        <f>+AA1520*Analisis!$J$6</f>
        <v>75</v>
      </c>
      <c r="AC1520" s="100"/>
      <c r="AD1520" s="85">
        <f t="shared" ref="AD1520:AD1543" si="569">30*AC1520+AC1520*$D1520*1.5</f>
        <v>0</v>
      </c>
      <c r="AE1520" s="86">
        <f>+AC1520*Analisis!$J$7</f>
        <v>0</v>
      </c>
      <c r="AF1520" s="308">
        <f>+H1520*0.0254*I1520*0.0254*2*(1+[3]Analisis!$G$2)</f>
        <v>0.31115211962999995</v>
      </c>
      <c r="AG1520" s="86">
        <f>+AF1520*Analisis!$J$8</f>
        <v>33.152517508196432</v>
      </c>
      <c r="AH1520" s="309">
        <f t="shared" ref="AH1520:AH1543" si="570">+AE1520+AB1520+Z1520+V1520+M1520+AG1520</f>
        <v>163.0481665957455</v>
      </c>
      <c r="AI1520" s="86">
        <f>+AH1520/(1-Analisis!G1195)</f>
        <v>163.0481665957455</v>
      </c>
      <c r="AJ1520" s="86">
        <f t="shared" ref="AJ1520:AJ1543" si="571">+AI1520/(1-0.07)</f>
        <v>175.32060924273711</v>
      </c>
      <c r="AK1520" s="86">
        <f t="shared" ref="AK1520:AK1543" si="572">+AJ1520*D1520</f>
        <v>0</v>
      </c>
      <c r="AL1520" s="310" t="e">
        <f>+VLOOKUP(B1520,#REF!,2,FALSE)</f>
        <v>#REF!</v>
      </c>
      <c r="AM1520" s="311" t="e">
        <f t="shared" ref="AM1520:AM1543" si="573">+AL1520-E1520</f>
        <v>#REF!</v>
      </c>
      <c r="AN1520" s="312" t="e">
        <f t="shared" ref="AN1520:AN1543" si="574">+AM1520/AL1520</f>
        <v>#REF!</v>
      </c>
    </row>
    <row r="1521" spans="1:40" s="73" customFormat="1" x14ac:dyDescent="0.25">
      <c r="A1521" s="313">
        <v>5</v>
      </c>
      <c r="B1521" s="314" t="s">
        <v>2162</v>
      </c>
      <c r="D1521" s="74">
        <f>IFERROR(VLOOKUP(B1521,'REQ. PINTADO'!B:C,2,0),0)</f>
        <v>48</v>
      </c>
      <c r="E1521" s="305">
        <f t="shared" si="560"/>
        <v>214.10556770683505</v>
      </c>
      <c r="F1521" s="397" t="s">
        <v>166</v>
      </c>
      <c r="G1521" s="75" t="s">
        <v>147</v>
      </c>
      <c r="H1521" s="90">
        <v>17.489999999999998</v>
      </c>
      <c r="I1521" s="90">
        <v>16.03</v>
      </c>
      <c r="J1521" s="76">
        <v>0.105</v>
      </c>
      <c r="K1521" s="306">
        <v>16.38</v>
      </c>
      <c r="L1521" s="78">
        <f t="shared" si="561"/>
        <v>8.5346810690402855</v>
      </c>
      <c r="M1521" s="58">
        <f>+VLOOKUP(F1521,Material!$H$2:$M$17,6,FALSE)*H1521*I1521*(1+Material!$K$14)</f>
        <v>63.544579959490846</v>
      </c>
      <c r="N1521" s="79" t="str">
        <f t="shared" si="562"/>
        <v>T5.0</v>
      </c>
      <c r="O1521" s="80">
        <f>+VLOOKUP(N1521,[3]Material!$A$3:$B$58,2,FALSE)</f>
        <v>5000</v>
      </c>
      <c r="P1521" s="79" t="s">
        <v>42</v>
      </c>
      <c r="Q1521" s="79" t="str">
        <f>+VLOOKUP(F1521,[3]Material!$C$2:$E$12,2,FALSE)</f>
        <v>Cal 16</v>
      </c>
      <c r="R1521" s="81">
        <f>+IF(P1521="ACERO A36",VLOOKUP(Q1521,'[3]Velocidades Std 1500 w'!$B$2:$F$15,5,FALSE),IF(P1521="INOXIDABLE",VLOOKUP(Q1521,'[3]Velocidades Std 1500 w'!$B$17:$F$28,5,FALSE),IF(P1521="ALUMINIO",VLOOKUP(Q1521,'[3]Velocidades Std 1500 w'!$B$30:$F$38,5,FALSE))))</f>
        <v>9.1575091575091579E-7</v>
      </c>
      <c r="S1521" s="82">
        <f t="shared" si="563"/>
        <v>4.578754578754579E-3</v>
      </c>
      <c r="T1521" s="83">
        <f t="shared" si="564"/>
        <v>6.9494400000000001</v>
      </c>
      <c r="U1521" s="307">
        <f t="shared" si="565"/>
        <v>2107.9967999999999</v>
      </c>
      <c r="V1521" s="80">
        <f t="shared" si="566"/>
        <v>9.6519999999999992</v>
      </c>
      <c r="W1521" s="98">
        <v>8</v>
      </c>
      <c r="X1521" s="84">
        <f>+IF(P1521="ACERO A36",VLOOKUP(Q1521,'[3]Tiempo Objeto'!$B$2:$C$12,2,FALSE),IF(P1521="INOXIDABLE",VLOOKUP(Q1521,'[3]Tiempo Objeto'!$B$14:$C$22,2,FALSE),IF(P1521="ALUMINIO",VLOOKUP(Q1521,'[3]Tiempo Objeto'!$B$24:$C$32,2,FALSE))))</f>
        <v>0.24666666666666667</v>
      </c>
      <c r="Y1521" s="84">
        <f t="shared" si="567"/>
        <v>1.9733333333333334</v>
      </c>
      <c r="Z1521" s="80">
        <f t="shared" si="568"/>
        <v>2.7407407407407405</v>
      </c>
      <c r="AA1521" s="100">
        <v>3</v>
      </c>
      <c r="AB1521" s="86">
        <f>+AA1521*Analisis!$J$6</f>
        <v>75</v>
      </c>
      <c r="AC1521" s="100"/>
      <c r="AD1521" s="85">
        <f t="shared" si="569"/>
        <v>0</v>
      </c>
      <c r="AE1521" s="86">
        <f>+AC1521*Analisis!$J$7</f>
        <v>0</v>
      </c>
      <c r="AF1521" s="308">
        <f>+H1521*0.0254*I1521*0.0254*2*(1+[3]Analisis!$G$2)</f>
        <v>0.45220022462999993</v>
      </c>
      <c r="AG1521" s="86">
        <f>+AF1521*Analisis!$J$8</f>
        <v>48.180857267125006</v>
      </c>
      <c r="AH1521" s="309">
        <f t="shared" si="570"/>
        <v>199.11817796735659</v>
      </c>
      <c r="AI1521" s="86">
        <f>+AH1521/(1-Analisis!G1196)</f>
        <v>199.11817796735659</v>
      </c>
      <c r="AJ1521" s="86">
        <f t="shared" si="571"/>
        <v>214.10556770683505</v>
      </c>
      <c r="AK1521" s="86">
        <f t="shared" si="572"/>
        <v>10277.067249928083</v>
      </c>
      <c r="AL1521" s="310" t="e">
        <f>+VLOOKUP(B1521,#REF!,2,FALSE)</f>
        <v>#REF!</v>
      </c>
      <c r="AM1521" s="311" t="e">
        <f t="shared" si="573"/>
        <v>#REF!</v>
      </c>
      <c r="AN1521" s="312" t="e">
        <f t="shared" si="574"/>
        <v>#REF!</v>
      </c>
    </row>
    <row r="1522" spans="1:40" s="73" customFormat="1" x14ac:dyDescent="0.25">
      <c r="A1522" s="313"/>
      <c r="B1522" s="314" t="s">
        <v>2187</v>
      </c>
      <c r="D1522" s="74">
        <f>IFERROR(VLOOKUP(B1522,'REQ. PINTADO'!B:C,2,0),0)</f>
        <v>0</v>
      </c>
      <c r="E1522" s="305">
        <f t="shared" si="560"/>
        <v>272.28300540298193</v>
      </c>
      <c r="F1522" s="397" t="s">
        <v>166</v>
      </c>
      <c r="G1522" s="75" t="s">
        <v>147</v>
      </c>
      <c r="H1522" s="90">
        <v>17.489999999999998</v>
      </c>
      <c r="I1522" s="90">
        <v>23.53</v>
      </c>
      <c r="J1522" s="76">
        <v>0.105</v>
      </c>
      <c r="K1522" s="306">
        <v>16.38</v>
      </c>
      <c r="L1522" s="78">
        <f t="shared" si="561"/>
        <v>12.527825674018583</v>
      </c>
      <c r="M1522" s="58">
        <f>+VLOOKUP(F1522,Material!$H$2:$M$17,6,FALSE)*H1522*I1522*(1+Material!$K$14)</f>
        <v>93.275356609283804</v>
      </c>
      <c r="N1522" s="79" t="str">
        <f t="shared" si="562"/>
        <v>T5.0</v>
      </c>
      <c r="O1522" s="80">
        <f>+VLOOKUP(N1522,[3]Material!$A$3:$B$58,2,FALSE)</f>
        <v>5000</v>
      </c>
      <c r="P1522" s="79" t="s">
        <v>42</v>
      </c>
      <c r="Q1522" s="79" t="str">
        <f>+VLOOKUP(F1522,[3]Material!$C$2:$E$12,2,FALSE)</f>
        <v>Cal 16</v>
      </c>
      <c r="R1522" s="81">
        <f>+IF(P1522="ACERO A36",VLOOKUP(Q1522,'[3]Velocidades Std 1500 w'!$B$2:$F$15,5,FALSE),IF(P1522="INOXIDABLE",VLOOKUP(Q1522,'[3]Velocidades Std 1500 w'!$B$17:$F$28,5,FALSE),IF(P1522="ALUMINIO",VLOOKUP(Q1522,'[3]Velocidades Std 1500 w'!$B$30:$F$38,5,FALSE))))</f>
        <v>9.1575091575091579E-7</v>
      </c>
      <c r="S1522" s="82">
        <f t="shared" si="563"/>
        <v>4.578754578754579E-3</v>
      </c>
      <c r="T1522" s="83">
        <f t="shared" si="564"/>
        <v>8.2682861538461534</v>
      </c>
      <c r="U1522" s="307">
        <f t="shared" si="565"/>
        <v>2508.0467999999996</v>
      </c>
      <c r="V1522" s="80">
        <f t="shared" si="566"/>
        <v>11.483730769230768</v>
      </c>
      <c r="W1522" s="98">
        <v>8</v>
      </c>
      <c r="X1522" s="84">
        <f>+IF(P1522="ACERO A36",VLOOKUP(Q1522,'[3]Tiempo Objeto'!$B$2:$C$12,2,FALSE),IF(P1522="INOXIDABLE",VLOOKUP(Q1522,'[3]Tiempo Objeto'!$B$14:$C$22,2,FALSE),IF(P1522="ALUMINIO",VLOOKUP(Q1522,'[3]Tiempo Objeto'!$B$24:$C$32,2,FALSE))))</f>
        <v>0.24666666666666667</v>
      </c>
      <c r="Y1522" s="84">
        <f t="shared" si="567"/>
        <v>1.9733333333333334</v>
      </c>
      <c r="Z1522" s="80">
        <f t="shared" si="568"/>
        <v>2.7407407407407405</v>
      </c>
      <c r="AA1522" s="100">
        <v>3</v>
      </c>
      <c r="AB1522" s="86">
        <f>+AA1522*Analisis!$J$6</f>
        <v>75</v>
      </c>
      <c r="AC1522" s="100"/>
      <c r="AD1522" s="85">
        <f t="shared" si="569"/>
        <v>0</v>
      </c>
      <c r="AE1522" s="86">
        <f>+AC1522*Analisis!$J$7</f>
        <v>0</v>
      </c>
      <c r="AF1522" s="308">
        <f>+H1522*0.0254*I1522*0.0254*2*(1+[3]Analisis!$G$2)</f>
        <v>0.66377238212999989</v>
      </c>
      <c r="AG1522" s="86">
        <f>+AF1522*Analisis!$J$8</f>
        <v>70.723366905517864</v>
      </c>
      <c r="AH1522" s="309">
        <f t="shared" si="570"/>
        <v>253.22319502477319</v>
      </c>
      <c r="AI1522" s="86">
        <f>+AH1522/(1-Analisis!G1197)</f>
        <v>253.22319502477319</v>
      </c>
      <c r="AJ1522" s="86">
        <f t="shared" si="571"/>
        <v>272.28300540298193</v>
      </c>
      <c r="AK1522" s="86">
        <f t="shared" si="572"/>
        <v>0</v>
      </c>
      <c r="AL1522" s="310" t="e">
        <f>+VLOOKUP(B1522,#REF!,2,FALSE)</f>
        <v>#REF!</v>
      </c>
      <c r="AM1522" s="311" t="e">
        <f t="shared" si="573"/>
        <v>#REF!</v>
      </c>
      <c r="AN1522" s="312" t="e">
        <f t="shared" si="574"/>
        <v>#REF!</v>
      </c>
    </row>
    <row r="1523" spans="1:40" s="73" customFormat="1" x14ac:dyDescent="0.25">
      <c r="A1523" s="313"/>
      <c r="B1523" s="314" t="s">
        <v>2188</v>
      </c>
      <c r="D1523" s="74">
        <f>IFERROR(VLOOKUP(B1523,'REQ. PINTADO'!B:C,2,0),0)</f>
        <v>0</v>
      </c>
      <c r="E1523" s="305">
        <f t="shared" si="560"/>
        <v>155.92813001068814</v>
      </c>
      <c r="F1523" s="397" t="s">
        <v>166</v>
      </c>
      <c r="G1523" s="75" t="s">
        <v>147</v>
      </c>
      <c r="H1523" s="90">
        <v>17.489999999999998</v>
      </c>
      <c r="I1523" s="90">
        <v>8.5299999999999994</v>
      </c>
      <c r="J1523" s="76">
        <v>0.105</v>
      </c>
      <c r="K1523" s="306">
        <v>16.38</v>
      </c>
      <c r="L1523" s="78">
        <f t="shared" si="561"/>
        <v>4.5415364640619851</v>
      </c>
      <c r="M1523" s="58">
        <f>+VLOOKUP(F1523,Material!$H$2:$M$17,6,FALSE)*H1523*I1523*(1+Material!$K$14)</f>
        <v>33.813803309697867</v>
      </c>
      <c r="N1523" s="79" t="str">
        <f t="shared" si="562"/>
        <v>T5.0</v>
      </c>
      <c r="O1523" s="80">
        <f>+VLOOKUP(N1523,[3]Material!$A$3:$B$58,2,FALSE)</f>
        <v>5000</v>
      </c>
      <c r="P1523" s="79" t="s">
        <v>42</v>
      </c>
      <c r="Q1523" s="79" t="str">
        <f>+VLOOKUP(F1523,[3]Material!$C$2:$E$12,2,FALSE)</f>
        <v>Cal 16</v>
      </c>
      <c r="R1523" s="81">
        <f>+IF(P1523="ACERO A36",VLOOKUP(Q1523,'[3]Velocidades Std 1500 w'!$B$2:$F$15,5,FALSE),IF(P1523="INOXIDABLE",VLOOKUP(Q1523,'[3]Velocidades Std 1500 w'!$B$17:$F$28,5,FALSE),IF(P1523="ALUMINIO",VLOOKUP(Q1523,'[3]Velocidades Std 1500 w'!$B$30:$F$38,5,FALSE))))</f>
        <v>9.1575091575091579E-7</v>
      </c>
      <c r="S1523" s="82">
        <f t="shared" si="563"/>
        <v>4.578754578754579E-3</v>
      </c>
      <c r="T1523" s="83">
        <f t="shared" si="564"/>
        <v>5.630593846153845</v>
      </c>
      <c r="U1523" s="307">
        <f t="shared" si="565"/>
        <v>1707.9467999999997</v>
      </c>
      <c r="V1523" s="80">
        <f t="shared" si="566"/>
        <v>7.8202692307692301</v>
      </c>
      <c r="W1523" s="98">
        <v>8</v>
      </c>
      <c r="X1523" s="84">
        <f>+IF(P1523="ACERO A36",VLOOKUP(Q1523,'[3]Tiempo Objeto'!$B$2:$C$12,2,FALSE),IF(P1523="INOXIDABLE",VLOOKUP(Q1523,'[3]Tiempo Objeto'!$B$14:$C$22,2,FALSE),IF(P1523="ALUMINIO",VLOOKUP(Q1523,'[3]Tiempo Objeto'!$B$24:$C$32,2,FALSE))))</f>
        <v>0.24666666666666667</v>
      </c>
      <c r="Y1523" s="84">
        <f t="shared" si="567"/>
        <v>1.9733333333333334</v>
      </c>
      <c r="Z1523" s="80">
        <f t="shared" si="568"/>
        <v>2.7407407407407405</v>
      </c>
      <c r="AA1523" s="100">
        <v>3</v>
      </c>
      <c r="AB1523" s="86">
        <f>+AA1523*Analisis!$J$6</f>
        <v>75</v>
      </c>
      <c r="AC1523" s="100"/>
      <c r="AD1523" s="85">
        <f t="shared" si="569"/>
        <v>0</v>
      </c>
      <c r="AE1523" s="86">
        <f>+AC1523*Analisis!$J$7</f>
        <v>0</v>
      </c>
      <c r="AF1523" s="308">
        <f>+H1523*0.0254*I1523*0.0254*2*(1+[3]Analisis!$G$2)</f>
        <v>0.2406280671299999</v>
      </c>
      <c r="AG1523" s="86">
        <f>+AF1523*Analisis!$J$8</f>
        <v>25.638347628732141</v>
      </c>
      <c r="AH1523" s="309">
        <f t="shared" si="570"/>
        <v>145.01316090993996</v>
      </c>
      <c r="AI1523" s="86">
        <f>+AH1523/(1-Analisis!G1198)</f>
        <v>145.01316090993996</v>
      </c>
      <c r="AJ1523" s="86">
        <f t="shared" si="571"/>
        <v>155.92813001068814</v>
      </c>
      <c r="AK1523" s="86">
        <f t="shared" si="572"/>
        <v>0</v>
      </c>
      <c r="AL1523" s="310" t="e">
        <f>+VLOOKUP(B1523,#REF!,2,FALSE)</f>
        <v>#REF!</v>
      </c>
      <c r="AM1523" s="311" t="e">
        <f t="shared" si="573"/>
        <v>#REF!</v>
      </c>
      <c r="AN1523" s="312" t="e">
        <f t="shared" si="574"/>
        <v>#REF!</v>
      </c>
    </row>
    <row r="1524" spans="1:40" s="73" customFormat="1" x14ac:dyDescent="0.25">
      <c r="A1524" s="313"/>
      <c r="B1524" s="314" t="s">
        <v>2189</v>
      </c>
      <c r="D1524" s="74">
        <f>IFERROR(VLOOKUP(B1524,'REQ. PINTADO'!B:C,2,0),0)</f>
        <v>0</v>
      </c>
      <c r="E1524" s="305">
        <f t="shared" si="560"/>
        <v>175.32060924273711</v>
      </c>
      <c r="F1524" s="397" t="s">
        <v>166</v>
      </c>
      <c r="G1524" s="75" t="s">
        <v>147</v>
      </c>
      <c r="H1524" s="90">
        <v>17.489999999999998</v>
      </c>
      <c r="I1524" s="90">
        <v>11.03</v>
      </c>
      <c r="J1524" s="76">
        <v>0.105</v>
      </c>
      <c r="K1524" s="306">
        <v>16.38</v>
      </c>
      <c r="L1524" s="78">
        <f t="shared" si="561"/>
        <v>5.8725846657214182</v>
      </c>
      <c r="M1524" s="58">
        <f>+VLOOKUP(F1524,Material!$H$2:$M$17,6,FALSE)*H1524*I1524*(1+Material!$K$14)</f>
        <v>43.724062192962187</v>
      </c>
      <c r="N1524" s="79" t="str">
        <f t="shared" si="562"/>
        <v>T5.0</v>
      </c>
      <c r="O1524" s="80">
        <f>+VLOOKUP(N1524,[3]Material!$A$3:$B$58,2,FALSE)</f>
        <v>5000</v>
      </c>
      <c r="P1524" s="79" t="s">
        <v>42</v>
      </c>
      <c r="Q1524" s="79" t="str">
        <f>+VLOOKUP(F1524,[3]Material!$C$2:$E$12,2,FALSE)</f>
        <v>Cal 16</v>
      </c>
      <c r="R1524" s="81">
        <f>+IF(P1524="ACERO A36",VLOOKUP(Q1524,'[3]Velocidades Std 1500 w'!$B$2:$F$15,5,FALSE),IF(P1524="INOXIDABLE",VLOOKUP(Q1524,'[3]Velocidades Std 1500 w'!$B$17:$F$28,5,FALSE),IF(P1524="ALUMINIO",VLOOKUP(Q1524,'[3]Velocidades Std 1500 w'!$B$30:$F$38,5,FALSE))))</f>
        <v>9.1575091575091579E-7</v>
      </c>
      <c r="S1524" s="82">
        <f t="shared" si="563"/>
        <v>4.578754578754579E-3</v>
      </c>
      <c r="T1524" s="83">
        <f t="shared" si="564"/>
        <v>6.0702092307692306</v>
      </c>
      <c r="U1524" s="307">
        <f t="shared" si="565"/>
        <v>1841.2967999999998</v>
      </c>
      <c r="V1524" s="80">
        <f t="shared" si="566"/>
        <v>8.4308461538461543</v>
      </c>
      <c r="W1524" s="98">
        <v>8</v>
      </c>
      <c r="X1524" s="84">
        <f>+IF(P1524="ACERO A36",VLOOKUP(Q1524,'[3]Tiempo Objeto'!$B$2:$C$12,2,FALSE),IF(P1524="INOXIDABLE",VLOOKUP(Q1524,'[3]Tiempo Objeto'!$B$14:$C$22,2,FALSE),IF(P1524="ALUMINIO",VLOOKUP(Q1524,'[3]Tiempo Objeto'!$B$24:$C$32,2,FALSE))))</f>
        <v>0.24666666666666667</v>
      </c>
      <c r="Y1524" s="84">
        <f t="shared" si="567"/>
        <v>1.9733333333333334</v>
      </c>
      <c r="Z1524" s="80">
        <f t="shared" si="568"/>
        <v>2.7407407407407405</v>
      </c>
      <c r="AA1524" s="100">
        <v>3</v>
      </c>
      <c r="AB1524" s="86">
        <f>+AA1524*Analisis!$J$6</f>
        <v>75</v>
      </c>
      <c r="AC1524" s="100"/>
      <c r="AD1524" s="85">
        <f t="shared" si="569"/>
        <v>0</v>
      </c>
      <c r="AE1524" s="86">
        <f>+AC1524*Analisis!$J$7</f>
        <v>0</v>
      </c>
      <c r="AF1524" s="308">
        <f>+H1524*0.0254*I1524*0.0254*2*(1+[3]Analisis!$G$2)</f>
        <v>0.31115211962999995</v>
      </c>
      <c r="AG1524" s="86">
        <f>+AF1524*Analisis!$J$8</f>
        <v>33.152517508196432</v>
      </c>
      <c r="AH1524" s="309">
        <f t="shared" si="570"/>
        <v>163.0481665957455</v>
      </c>
      <c r="AI1524" s="86">
        <f>+AH1524/(1-Analisis!G1199)</f>
        <v>163.0481665957455</v>
      </c>
      <c r="AJ1524" s="86">
        <f t="shared" si="571"/>
        <v>175.32060924273711</v>
      </c>
      <c r="AK1524" s="86">
        <f t="shared" si="572"/>
        <v>0</v>
      </c>
      <c r="AL1524" s="310" t="e">
        <f>+VLOOKUP(B1524,#REF!,2,FALSE)</f>
        <v>#REF!</v>
      </c>
      <c r="AM1524" s="311" t="e">
        <f t="shared" si="573"/>
        <v>#REF!</v>
      </c>
      <c r="AN1524" s="312" t="e">
        <f t="shared" si="574"/>
        <v>#REF!</v>
      </c>
    </row>
    <row r="1525" spans="1:40" s="73" customFormat="1" x14ac:dyDescent="0.25">
      <c r="A1525" s="313"/>
      <c r="B1525" s="314" t="s">
        <v>2190</v>
      </c>
      <c r="D1525" s="74">
        <f>IFERROR(VLOOKUP(B1525,'REQ. PINTADO'!B:C,2,0),0)</f>
        <v>0</v>
      </c>
      <c r="E1525" s="305">
        <f t="shared" si="560"/>
        <v>214.10556770683505</v>
      </c>
      <c r="F1525" s="397" t="s">
        <v>166</v>
      </c>
      <c r="G1525" s="75" t="s">
        <v>147</v>
      </c>
      <c r="H1525" s="90">
        <v>17.489999999999998</v>
      </c>
      <c r="I1525" s="90">
        <v>16.03</v>
      </c>
      <c r="J1525" s="76">
        <v>0.105</v>
      </c>
      <c r="K1525" s="306">
        <v>16.38</v>
      </c>
      <c r="L1525" s="78">
        <f t="shared" si="561"/>
        <v>8.5346810690402855</v>
      </c>
      <c r="M1525" s="58">
        <f>+VLOOKUP(F1525,Material!$H$2:$M$17,6,FALSE)*H1525*I1525*(1+Material!$K$14)</f>
        <v>63.544579959490846</v>
      </c>
      <c r="N1525" s="79" t="str">
        <f t="shared" si="562"/>
        <v>T5.0</v>
      </c>
      <c r="O1525" s="80">
        <f>+VLOOKUP(N1525,[3]Material!$A$3:$B$58,2,FALSE)</f>
        <v>5000</v>
      </c>
      <c r="P1525" s="79" t="s">
        <v>42</v>
      </c>
      <c r="Q1525" s="79" t="str">
        <f>+VLOOKUP(F1525,[3]Material!$C$2:$E$12,2,FALSE)</f>
        <v>Cal 16</v>
      </c>
      <c r="R1525" s="81">
        <f>+IF(P1525="ACERO A36",VLOOKUP(Q1525,'[3]Velocidades Std 1500 w'!$B$2:$F$15,5,FALSE),IF(P1525="INOXIDABLE",VLOOKUP(Q1525,'[3]Velocidades Std 1500 w'!$B$17:$F$28,5,FALSE),IF(P1525="ALUMINIO",VLOOKUP(Q1525,'[3]Velocidades Std 1500 w'!$B$30:$F$38,5,FALSE))))</f>
        <v>9.1575091575091579E-7</v>
      </c>
      <c r="S1525" s="82">
        <f t="shared" si="563"/>
        <v>4.578754578754579E-3</v>
      </c>
      <c r="T1525" s="83">
        <f t="shared" si="564"/>
        <v>6.9494400000000001</v>
      </c>
      <c r="U1525" s="307">
        <f t="shared" si="565"/>
        <v>2107.9967999999999</v>
      </c>
      <c r="V1525" s="80">
        <f t="shared" si="566"/>
        <v>9.6519999999999992</v>
      </c>
      <c r="W1525" s="98">
        <v>8</v>
      </c>
      <c r="X1525" s="84">
        <f>+IF(P1525="ACERO A36",VLOOKUP(Q1525,'[3]Tiempo Objeto'!$B$2:$C$12,2,FALSE),IF(P1525="INOXIDABLE",VLOOKUP(Q1525,'[3]Tiempo Objeto'!$B$14:$C$22,2,FALSE),IF(P1525="ALUMINIO",VLOOKUP(Q1525,'[3]Tiempo Objeto'!$B$24:$C$32,2,FALSE))))</f>
        <v>0.24666666666666667</v>
      </c>
      <c r="Y1525" s="84">
        <f t="shared" si="567"/>
        <v>1.9733333333333334</v>
      </c>
      <c r="Z1525" s="80">
        <f t="shared" si="568"/>
        <v>2.7407407407407405</v>
      </c>
      <c r="AA1525" s="100">
        <v>3</v>
      </c>
      <c r="AB1525" s="86">
        <f>+AA1525*Analisis!$J$6</f>
        <v>75</v>
      </c>
      <c r="AC1525" s="100"/>
      <c r="AD1525" s="85">
        <f t="shared" si="569"/>
        <v>0</v>
      </c>
      <c r="AE1525" s="86">
        <f>+AC1525*Analisis!$J$7</f>
        <v>0</v>
      </c>
      <c r="AF1525" s="308">
        <f>+H1525*0.0254*I1525*0.0254*2*(1+[3]Analisis!$G$2)</f>
        <v>0.45220022462999993</v>
      </c>
      <c r="AG1525" s="86">
        <f>+AF1525*Analisis!$J$8</f>
        <v>48.180857267125006</v>
      </c>
      <c r="AH1525" s="309">
        <f t="shared" si="570"/>
        <v>199.11817796735659</v>
      </c>
      <c r="AI1525" s="86">
        <f>+AH1525/(1-Analisis!G1200)</f>
        <v>199.11817796735659</v>
      </c>
      <c r="AJ1525" s="86">
        <f t="shared" si="571"/>
        <v>214.10556770683505</v>
      </c>
      <c r="AK1525" s="86">
        <f t="shared" si="572"/>
        <v>0</v>
      </c>
      <c r="AL1525" s="310" t="e">
        <f>+VLOOKUP(B1525,#REF!,2,FALSE)</f>
        <v>#REF!</v>
      </c>
      <c r="AM1525" s="311" t="e">
        <f t="shared" si="573"/>
        <v>#REF!</v>
      </c>
      <c r="AN1525" s="312" t="e">
        <f t="shared" si="574"/>
        <v>#REF!</v>
      </c>
    </row>
    <row r="1526" spans="1:40" s="73" customFormat="1" x14ac:dyDescent="0.25">
      <c r="A1526" s="313"/>
      <c r="B1526" s="314" t="s">
        <v>2191</v>
      </c>
      <c r="D1526" s="74">
        <f>IFERROR(VLOOKUP(B1526,'REQ. PINTADO'!B:C,2,0),0)</f>
        <v>0</v>
      </c>
      <c r="E1526" s="305">
        <f t="shared" si="560"/>
        <v>155.92813001068814</v>
      </c>
      <c r="F1526" s="397" t="s">
        <v>166</v>
      </c>
      <c r="G1526" s="75" t="s">
        <v>147</v>
      </c>
      <c r="H1526" s="90">
        <v>17.489999999999998</v>
      </c>
      <c r="I1526" s="90">
        <v>8.5299999999999994</v>
      </c>
      <c r="J1526" s="76">
        <v>0.105</v>
      </c>
      <c r="K1526" s="306">
        <v>16.38</v>
      </c>
      <c r="L1526" s="78">
        <f t="shared" si="561"/>
        <v>4.5415364640619851</v>
      </c>
      <c r="M1526" s="58">
        <f>+VLOOKUP(F1526,Material!$H$2:$M$17,6,FALSE)*H1526*I1526*(1+Material!$K$14)</f>
        <v>33.813803309697867</v>
      </c>
      <c r="N1526" s="79" t="str">
        <f t="shared" si="562"/>
        <v>T5.0</v>
      </c>
      <c r="O1526" s="80">
        <f>+VLOOKUP(N1526,[3]Material!$A$3:$B$58,2,FALSE)</f>
        <v>5000</v>
      </c>
      <c r="P1526" s="79" t="s">
        <v>42</v>
      </c>
      <c r="Q1526" s="79" t="str">
        <f>+VLOOKUP(F1526,[3]Material!$C$2:$E$12,2,FALSE)</f>
        <v>Cal 16</v>
      </c>
      <c r="R1526" s="81">
        <f>+IF(P1526="ACERO A36",VLOOKUP(Q1526,'[3]Velocidades Std 1500 w'!$B$2:$F$15,5,FALSE),IF(P1526="INOXIDABLE",VLOOKUP(Q1526,'[3]Velocidades Std 1500 w'!$B$17:$F$28,5,FALSE),IF(P1526="ALUMINIO",VLOOKUP(Q1526,'[3]Velocidades Std 1500 w'!$B$30:$F$38,5,FALSE))))</f>
        <v>9.1575091575091579E-7</v>
      </c>
      <c r="S1526" s="82">
        <f t="shared" si="563"/>
        <v>4.578754578754579E-3</v>
      </c>
      <c r="T1526" s="83">
        <f t="shared" si="564"/>
        <v>5.630593846153845</v>
      </c>
      <c r="U1526" s="307">
        <f t="shared" si="565"/>
        <v>1707.9467999999997</v>
      </c>
      <c r="V1526" s="80">
        <f t="shared" si="566"/>
        <v>7.8202692307692301</v>
      </c>
      <c r="W1526" s="98">
        <v>8</v>
      </c>
      <c r="X1526" s="84">
        <f>+IF(P1526="ACERO A36",VLOOKUP(Q1526,'[3]Tiempo Objeto'!$B$2:$C$12,2,FALSE),IF(P1526="INOXIDABLE",VLOOKUP(Q1526,'[3]Tiempo Objeto'!$B$14:$C$22,2,FALSE),IF(P1526="ALUMINIO",VLOOKUP(Q1526,'[3]Tiempo Objeto'!$B$24:$C$32,2,FALSE))))</f>
        <v>0.24666666666666667</v>
      </c>
      <c r="Y1526" s="84">
        <f t="shared" si="567"/>
        <v>1.9733333333333334</v>
      </c>
      <c r="Z1526" s="80">
        <f t="shared" si="568"/>
        <v>2.7407407407407405</v>
      </c>
      <c r="AA1526" s="100">
        <v>3</v>
      </c>
      <c r="AB1526" s="86">
        <f>+AA1526*Analisis!$J$6</f>
        <v>75</v>
      </c>
      <c r="AC1526" s="100"/>
      <c r="AD1526" s="85">
        <f t="shared" si="569"/>
        <v>0</v>
      </c>
      <c r="AE1526" s="86">
        <f>+AC1526*Analisis!$J$7</f>
        <v>0</v>
      </c>
      <c r="AF1526" s="308">
        <f>+H1526*0.0254*I1526*0.0254*2*(1+[3]Analisis!$G$2)</f>
        <v>0.2406280671299999</v>
      </c>
      <c r="AG1526" s="86">
        <f>+AF1526*Analisis!$J$8</f>
        <v>25.638347628732141</v>
      </c>
      <c r="AH1526" s="309">
        <f t="shared" si="570"/>
        <v>145.01316090993996</v>
      </c>
      <c r="AI1526" s="86">
        <f>+AH1526/(1-Analisis!G1201)</f>
        <v>145.01316090993996</v>
      </c>
      <c r="AJ1526" s="86">
        <f t="shared" si="571"/>
        <v>155.92813001068814</v>
      </c>
      <c r="AK1526" s="86">
        <f t="shared" si="572"/>
        <v>0</v>
      </c>
      <c r="AL1526" s="310" t="e">
        <f>+VLOOKUP(B1526,#REF!,2,FALSE)</f>
        <v>#REF!</v>
      </c>
      <c r="AM1526" s="311" t="e">
        <f t="shared" si="573"/>
        <v>#REF!</v>
      </c>
      <c r="AN1526" s="312" t="e">
        <f t="shared" si="574"/>
        <v>#REF!</v>
      </c>
    </row>
    <row r="1527" spans="1:40" s="73" customFormat="1" x14ac:dyDescent="0.25">
      <c r="A1527" s="313"/>
      <c r="B1527" s="314" t="s">
        <v>2192</v>
      </c>
      <c r="D1527" s="74">
        <f>IFERROR(VLOOKUP(B1527,'REQ. PINTADO'!B:C,2,0),0)</f>
        <v>0</v>
      </c>
      <c r="E1527" s="305">
        <f t="shared" si="560"/>
        <v>155.92813001068814</v>
      </c>
      <c r="F1527" s="397" t="s">
        <v>166</v>
      </c>
      <c r="G1527" s="75" t="s">
        <v>147</v>
      </c>
      <c r="H1527" s="90">
        <v>17.489999999999998</v>
      </c>
      <c r="I1527" s="90">
        <v>8.5299999999999994</v>
      </c>
      <c r="J1527" s="76">
        <v>0.105</v>
      </c>
      <c r="K1527" s="306">
        <v>16.38</v>
      </c>
      <c r="L1527" s="78">
        <f t="shared" si="561"/>
        <v>4.5415364640619851</v>
      </c>
      <c r="M1527" s="58">
        <f>+VLOOKUP(F1527,Material!$H$2:$M$17,6,FALSE)*H1527*I1527*(1+Material!$K$14)</f>
        <v>33.813803309697867</v>
      </c>
      <c r="N1527" s="79" t="str">
        <f t="shared" si="562"/>
        <v>T5.0</v>
      </c>
      <c r="O1527" s="80">
        <f>+VLOOKUP(N1527,[3]Material!$A$3:$B$58,2,FALSE)</f>
        <v>5000</v>
      </c>
      <c r="P1527" s="79" t="s">
        <v>42</v>
      </c>
      <c r="Q1527" s="79" t="str">
        <f>+VLOOKUP(F1527,[3]Material!$C$2:$E$12,2,FALSE)</f>
        <v>Cal 16</v>
      </c>
      <c r="R1527" s="81">
        <f>+IF(P1527="ACERO A36",VLOOKUP(Q1527,'[3]Velocidades Std 1500 w'!$B$2:$F$15,5,FALSE),IF(P1527="INOXIDABLE",VLOOKUP(Q1527,'[3]Velocidades Std 1500 w'!$B$17:$F$28,5,FALSE),IF(P1527="ALUMINIO",VLOOKUP(Q1527,'[3]Velocidades Std 1500 w'!$B$30:$F$38,5,FALSE))))</f>
        <v>9.1575091575091579E-7</v>
      </c>
      <c r="S1527" s="82">
        <f t="shared" si="563"/>
        <v>4.578754578754579E-3</v>
      </c>
      <c r="T1527" s="83">
        <f t="shared" si="564"/>
        <v>5.630593846153845</v>
      </c>
      <c r="U1527" s="307">
        <f t="shared" si="565"/>
        <v>1707.9467999999997</v>
      </c>
      <c r="V1527" s="80">
        <f t="shared" si="566"/>
        <v>7.8202692307692301</v>
      </c>
      <c r="W1527" s="98">
        <v>8</v>
      </c>
      <c r="X1527" s="84">
        <f>+IF(P1527="ACERO A36",VLOOKUP(Q1527,'[3]Tiempo Objeto'!$B$2:$C$12,2,FALSE),IF(P1527="INOXIDABLE",VLOOKUP(Q1527,'[3]Tiempo Objeto'!$B$14:$C$22,2,FALSE),IF(P1527="ALUMINIO",VLOOKUP(Q1527,'[3]Tiempo Objeto'!$B$24:$C$32,2,FALSE))))</f>
        <v>0.24666666666666667</v>
      </c>
      <c r="Y1527" s="84">
        <f t="shared" si="567"/>
        <v>1.9733333333333334</v>
      </c>
      <c r="Z1527" s="80">
        <f t="shared" si="568"/>
        <v>2.7407407407407405</v>
      </c>
      <c r="AA1527" s="100">
        <v>3</v>
      </c>
      <c r="AB1527" s="86">
        <f>+AA1527*Analisis!$J$6</f>
        <v>75</v>
      </c>
      <c r="AC1527" s="100"/>
      <c r="AD1527" s="85">
        <f t="shared" si="569"/>
        <v>0</v>
      </c>
      <c r="AE1527" s="86">
        <f>+AC1527*Analisis!$J$7</f>
        <v>0</v>
      </c>
      <c r="AF1527" s="308">
        <f>+H1527*0.0254*I1527*0.0254*2*(1+[3]Analisis!$G$2)</f>
        <v>0.2406280671299999</v>
      </c>
      <c r="AG1527" s="86">
        <f>+AF1527*Analisis!$J$8</f>
        <v>25.638347628732141</v>
      </c>
      <c r="AH1527" s="309">
        <f t="shared" si="570"/>
        <v>145.01316090993996</v>
      </c>
      <c r="AI1527" s="86">
        <f>+AH1527/(1-Analisis!G1202)</f>
        <v>145.01316090993996</v>
      </c>
      <c r="AJ1527" s="86">
        <f t="shared" si="571"/>
        <v>155.92813001068814</v>
      </c>
      <c r="AK1527" s="86">
        <f t="shared" si="572"/>
        <v>0</v>
      </c>
      <c r="AL1527" s="310" t="e">
        <f>+VLOOKUP(B1527,#REF!,2,FALSE)</f>
        <v>#REF!</v>
      </c>
      <c r="AM1527" s="311" t="e">
        <f t="shared" si="573"/>
        <v>#REF!</v>
      </c>
      <c r="AN1527" s="312" t="e">
        <f t="shared" si="574"/>
        <v>#REF!</v>
      </c>
    </row>
    <row r="1528" spans="1:40" s="73" customFormat="1" x14ac:dyDescent="0.25">
      <c r="A1528" s="313"/>
      <c r="B1528" s="314" t="s">
        <v>2193</v>
      </c>
      <c r="D1528" s="74">
        <f>IFERROR(VLOOKUP(B1528,'REQ. PINTADO'!B:C,2,0),0)</f>
        <v>0</v>
      </c>
      <c r="E1528" s="305">
        <f t="shared" si="560"/>
        <v>175.32060924273711</v>
      </c>
      <c r="F1528" s="397" t="s">
        <v>166</v>
      </c>
      <c r="G1528" s="75" t="s">
        <v>147</v>
      </c>
      <c r="H1528" s="90">
        <v>17.489999999999998</v>
      </c>
      <c r="I1528" s="90">
        <v>11.03</v>
      </c>
      <c r="J1528" s="76">
        <v>0.105</v>
      </c>
      <c r="K1528" s="306">
        <v>16.38</v>
      </c>
      <c r="L1528" s="78">
        <f t="shared" si="561"/>
        <v>5.8725846657214182</v>
      </c>
      <c r="M1528" s="58">
        <f>+VLOOKUP(F1528,Material!$H$2:$M$17,6,FALSE)*H1528*I1528*(1+Material!$K$14)</f>
        <v>43.724062192962187</v>
      </c>
      <c r="N1528" s="79" t="str">
        <f t="shared" si="562"/>
        <v>T5.0</v>
      </c>
      <c r="O1528" s="80">
        <f>+VLOOKUP(N1528,[3]Material!$A$3:$B$58,2,FALSE)</f>
        <v>5000</v>
      </c>
      <c r="P1528" s="79" t="s">
        <v>42</v>
      </c>
      <c r="Q1528" s="79" t="str">
        <f>+VLOOKUP(F1528,[3]Material!$C$2:$E$12,2,FALSE)</f>
        <v>Cal 16</v>
      </c>
      <c r="R1528" s="81">
        <f>+IF(P1528="ACERO A36",VLOOKUP(Q1528,'[3]Velocidades Std 1500 w'!$B$2:$F$15,5,FALSE),IF(P1528="INOXIDABLE",VLOOKUP(Q1528,'[3]Velocidades Std 1500 w'!$B$17:$F$28,5,FALSE),IF(P1528="ALUMINIO",VLOOKUP(Q1528,'[3]Velocidades Std 1500 w'!$B$30:$F$38,5,FALSE))))</f>
        <v>9.1575091575091579E-7</v>
      </c>
      <c r="S1528" s="82">
        <f t="shared" si="563"/>
        <v>4.578754578754579E-3</v>
      </c>
      <c r="T1528" s="83">
        <f t="shared" si="564"/>
        <v>6.0702092307692306</v>
      </c>
      <c r="U1528" s="307">
        <f t="shared" si="565"/>
        <v>1841.2967999999998</v>
      </c>
      <c r="V1528" s="80">
        <f t="shared" si="566"/>
        <v>8.4308461538461543</v>
      </c>
      <c r="W1528" s="98">
        <v>8</v>
      </c>
      <c r="X1528" s="84">
        <f>+IF(P1528="ACERO A36",VLOOKUP(Q1528,'[3]Tiempo Objeto'!$B$2:$C$12,2,FALSE),IF(P1528="INOXIDABLE",VLOOKUP(Q1528,'[3]Tiempo Objeto'!$B$14:$C$22,2,FALSE),IF(P1528="ALUMINIO",VLOOKUP(Q1528,'[3]Tiempo Objeto'!$B$24:$C$32,2,FALSE))))</f>
        <v>0.24666666666666667</v>
      </c>
      <c r="Y1528" s="84">
        <f t="shared" si="567"/>
        <v>1.9733333333333334</v>
      </c>
      <c r="Z1528" s="80">
        <f t="shared" si="568"/>
        <v>2.7407407407407405</v>
      </c>
      <c r="AA1528" s="100">
        <v>3</v>
      </c>
      <c r="AB1528" s="86">
        <f>+AA1528*Analisis!$J$6</f>
        <v>75</v>
      </c>
      <c r="AC1528" s="100"/>
      <c r="AD1528" s="85">
        <f t="shared" si="569"/>
        <v>0</v>
      </c>
      <c r="AE1528" s="86">
        <f>+AC1528*Analisis!$J$7</f>
        <v>0</v>
      </c>
      <c r="AF1528" s="308">
        <f>+H1528*0.0254*I1528*0.0254*2*(1+[3]Analisis!$G$2)</f>
        <v>0.31115211962999995</v>
      </c>
      <c r="AG1528" s="86">
        <f>+AF1528*Analisis!$J$8</f>
        <v>33.152517508196432</v>
      </c>
      <c r="AH1528" s="309">
        <f t="shared" si="570"/>
        <v>163.0481665957455</v>
      </c>
      <c r="AI1528" s="86">
        <f>+AH1528/(1-Analisis!G1203)</f>
        <v>163.0481665957455</v>
      </c>
      <c r="AJ1528" s="86">
        <f t="shared" si="571"/>
        <v>175.32060924273711</v>
      </c>
      <c r="AK1528" s="86">
        <f t="shared" si="572"/>
        <v>0</v>
      </c>
      <c r="AL1528" s="310" t="e">
        <f>+VLOOKUP(B1528,#REF!,2,FALSE)</f>
        <v>#REF!</v>
      </c>
      <c r="AM1528" s="311" t="e">
        <f t="shared" si="573"/>
        <v>#REF!</v>
      </c>
      <c r="AN1528" s="312" t="e">
        <f t="shared" si="574"/>
        <v>#REF!</v>
      </c>
    </row>
    <row r="1529" spans="1:40" s="73" customFormat="1" x14ac:dyDescent="0.25">
      <c r="A1529" s="313"/>
      <c r="B1529" s="314" t="s">
        <v>2194</v>
      </c>
      <c r="D1529" s="74">
        <f>IFERROR(VLOOKUP(B1529,'REQ. PINTADO'!B:C,2,0),0)</f>
        <v>0</v>
      </c>
      <c r="E1529" s="305">
        <f t="shared" si="560"/>
        <v>214.10556770683505</v>
      </c>
      <c r="F1529" s="397" t="s">
        <v>166</v>
      </c>
      <c r="G1529" s="75" t="s">
        <v>147</v>
      </c>
      <c r="H1529" s="90">
        <v>17.489999999999998</v>
      </c>
      <c r="I1529" s="90">
        <v>16.03</v>
      </c>
      <c r="J1529" s="76">
        <v>0.105</v>
      </c>
      <c r="K1529" s="306">
        <v>16.38</v>
      </c>
      <c r="L1529" s="78">
        <f t="shared" si="561"/>
        <v>8.5346810690402855</v>
      </c>
      <c r="M1529" s="58">
        <f>+VLOOKUP(F1529,Material!$H$2:$M$17,6,FALSE)*H1529*I1529*(1+Material!$K$14)</f>
        <v>63.544579959490846</v>
      </c>
      <c r="N1529" s="79" t="str">
        <f t="shared" si="562"/>
        <v>T5.0</v>
      </c>
      <c r="O1529" s="80">
        <f>+VLOOKUP(N1529,[3]Material!$A$3:$B$58,2,FALSE)</f>
        <v>5000</v>
      </c>
      <c r="P1529" s="79" t="s">
        <v>42</v>
      </c>
      <c r="Q1529" s="79" t="str">
        <f>+VLOOKUP(F1529,[3]Material!$C$2:$E$12,2,FALSE)</f>
        <v>Cal 16</v>
      </c>
      <c r="R1529" s="81">
        <f>+IF(P1529="ACERO A36",VLOOKUP(Q1529,'[3]Velocidades Std 1500 w'!$B$2:$F$15,5,FALSE),IF(P1529="INOXIDABLE",VLOOKUP(Q1529,'[3]Velocidades Std 1500 w'!$B$17:$F$28,5,FALSE),IF(P1529="ALUMINIO",VLOOKUP(Q1529,'[3]Velocidades Std 1500 w'!$B$30:$F$38,5,FALSE))))</f>
        <v>9.1575091575091579E-7</v>
      </c>
      <c r="S1529" s="82">
        <f t="shared" si="563"/>
        <v>4.578754578754579E-3</v>
      </c>
      <c r="T1529" s="83">
        <f t="shared" si="564"/>
        <v>6.9494400000000001</v>
      </c>
      <c r="U1529" s="307">
        <f t="shared" si="565"/>
        <v>2107.9967999999999</v>
      </c>
      <c r="V1529" s="80">
        <f t="shared" si="566"/>
        <v>9.6519999999999992</v>
      </c>
      <c r="W1529" s="98">
        <v>8</v>
      </c>
      <c r="X1529" s="84">
        <f>+IF(P1529="ACERO A36",VLOOKUP(Q1529,'[3]Tiempo Objeto'!$B$2:$C$12,2,FALSE),IF(P1529="INOXIDABLE",VLOOKUP(Q1529,'[3]Tiempo Objeto'!$B$14:$C$22,2,FALSE),IF(P1529="ALUMINIO",VLOOKUP(Q1529,'[3]Tiempo Objeto'!$B$24:$C$32,2,FALSE))))</f>
        <v>0.24666666666666667</v>
      </c>
      <c r="Y1529" s="84">
        <f t="shared" si="567"/>
        <v>1.9733333333333334</v>
      </c>
      <c r="Z1529" s="80">
        <f t="shared" si="568"/>
        <v>2.7407407407407405</v>
      </c>
      <c r="AA1529" s="100">
        <v>3</v>
      </c>
      <c r="AB1529" s="86">
        <f>+AA1529*Analisis!$J$6</f>
        <v>75</v>
      </c>
      <c r="AC1529" s="100"/>
      <c r="AD1529" s="85">
        <f t="shared" si="569"/>
        <v>0</v>
      </c>
      <c r="AE1529" s="86">
        <f>+AC1529*Analisis!$J$7</f>
        <v>0</v>
      </c>
      <c r="AF1529" s="308">
        <f>+H1529*0.0254*I1529*0.0254*2*(1+[3]Analisis!$G$2)</f>
        <v>0.45220022462999993</v>
      </c>
      <c r="AG1529" s="86">
        <f>+AF1529*Analisis!$J$8</f>
        <v>48.180857267125006</v>
      </c>
      <c r="AH1529" s="309">
        <f t="shared" si="570"/>
        <v>199.11817796735659</v>
      </c>
      <c r="AI1529" s="86">
        <f>+AH1529/(1-Analisis!G1204)</f>
        <v>199.11817796735659</v>
      </c>
      <c r="AJ1529" s="86">
        <f t="shared" si="571"/>
        <v>214.10556770683505</v>
      </c>
      <c r="AK1529" s="86">
        <f t="shared" si="572"/>
        <v>0</v>
      </c>
      <c r="AL1529" s="310" t="e">
        <f>+VLOOKUP(B1529,#REF!,2,FALSE)</f>
        <v>#REF!</v>
      </c>
      <c r="AM1529" s="311" t="e">
        <f t="shared" si="573"/>
        <v>#REF!</v>
      </c>
      <c r="AN1529" s="312" t="e">
        <f t="shared" si="574"/>
        <v>#REF!</v>
      </c>
    </row>
    <row r="1530" spans="1:40" s="73" customFormat="1" x14ac:dyDescent="0.25">
      <c r="A1530" s="313"/>
      <c r="B1530" s="314" t="s">
        <v>2195</v>
      </c>
      <c r="D1530" s="74">
        <f>IFERROR(VLOOKUP(B1530,'REQ. PINTADO'!B:C,2,0),0)</f>
        <v>0</v>
      </c>
      <c r="E1530" s="305">
        <f t="shared" si="560"/>
        <v>175.32060924273711</v>
      </c>
      <c r="F1530" s="397" t="s">
        <v>166</v>
      </c>
      <c r="G1530" s="75" t="s">
        <v>147</v>
      </c>
      <c r="H1530" s="90">
        <v>17.489999999999998</v>
      </c>
      <c r="I1530" s="90">
        <v>11.03</v>
      </c>
      <c r="J1530" s="76">
        <v>0.105</v>
      </c>
      <c r="K1530" s="306">
        <v>16.38</v>
      </c>
      <c r="L1530" s="78">
        <f t="shared" si="561"/>
        <v>5.8725846657214182</v>
      </c>
      <c r="M1530" s="58">
        <f>+VLOOKUP(F1530,Material!$H$2:$M$17,6,FALSE)*H1530*I1530*(1+Material!$K$14)</f>
        <v>43.724062192962187</v>
      </c>
      <c r="N1530" s="79" t="str">
        <f t="shared" si="562"/>
        <v>T5.0</v>
      </c>
      <c r="O1530" s="80">
        <f>+VLOOKUP(N1530,[3]Material!$A$3:$B$58,2,FALSE)</f>
        <v>5000</v>
      </c>
      <c r="P1530" s="79" t="s">
        <v>42</v>
      </c>
      <c r="Q1530" s="79" t="str">
        <f>+VLOOKUP(F1530,[3]Material!$C$2:$E$12,2,FALSE)</f>
        <v>Cal 16</v>
      </c>
      <c r="R1530" s="81">
        <f>+IF(P1530="ACERO A36",VLOOKUP(Q1530,'[3]Velocidades Std 1500 w'!$B$2:$F$15,5,FALSE),IF(P1530="INOXIDABLE",VLOOKUP(Q1530,'[3]Velocidades Std 1500 w'!$B$17:$F$28,5,FALSE),IF(P1530="ALUMINIO",VLOOKUP(Q1530,'[3]Velocidades Std 1500 w'!$B$30:$F$38,5,FALSE))))</f>
        <v>9.1575091575091579E-7</v>
      </c>
      <c r="S1530" s="82">
        <f t="shared" si="563"/>
        <v>4.578754578754579E-3</v>
      </c>
      <c r="T1530" s="83">
        <f t="shared" si="564"/>
        <v>6.0702092307692306</v>
      </c>
      <c r="U1530" s="307">
        <f t="shared" si="565"/>
        <v>1841.2967999999998</v>
      </c>
      <c r="V1530" s="80">
        <f t="shared" si="566"/>
        <v>8.4308461538461543</v>
      </c>
      <c r="W1530" s="98">
        <v>8</v>
      </c>
      <c r="X1530" s="84">
        <f>+IF(P1530="ACERO A36",VLOOKUP(Q1530,'[3]Tiempo Objeto'!$B$2:$C$12,2,FALSE),IF(P1530="INOXIDABLE",VLOOKUP(Q1530,'[3]Tiempo Objeto'!$B$14:$C$22,2,FALSE),IF(P1530="ALUMINIO",VLOOKUP(Q1530,'[3]Tiempo Objeto'!$B$24:$C$32,2,FALSE))))</f>
        <v>0.24666666666666667</v>
      </c>
      <c r="Y1530" s="84">
        <f t="shared" si="567"/>
        <v>1.9733333333333334</v>
      </c>
      <c r="Z1530" s="80">
        <f t="shared" si="568"/>
        <v>2.7407407407407405</v>
      </c>
      <c r="AA1530" s="100">
        <v>3</v>
      </c>
      <c r="AB1530" s="86">
        <f>+AA1530*Analisis!$J$6</f>
        <v>75</v>
      </c>
      <c r="AC1530" s="100"/>
      <c r="AD1530" s="85">
        <f t="shared" si="569"/>
        <v>0</v>
      </c>
      <c r="AE1530" s="86">
        <f>+AC1530*Analisis!$J$7</f>
        <v>0</v>
      </c>
      <c r="AF1530" s="308">
        <f>+H1530*0.0254*I1530*0.0254*2*(1+[3]Analisis!$G$2)</f>
        <v>0.31115211962999995</v>
      </c>
      <c r="AG1530" s="86">
        <f>+AF1530*Analisis!$J$8</f>
        <v>33.152517508196432</v>
      </c>
      <c r="AH1530" s="309">
        <f t="shared" si="570"/>
        <v>163.0481665957455</v>
      </c>
      <c r="AI1530" s="86">
        <f>+AH1530/(1-Analisis!G1205)</f>
        <v>163.0481665957455</v>
      </c>
      <c r="AJ1530" s="86">
        <f t="shared" si="571"/>
        <v>175.32060924273711</v>
      </c>
      <c r="AK1530" s="86">
        <f t="shared" si="572"/>
        <v>0</v>
      </c>
      <c r="AL1530" s="310" t="e">
        <f>+VLOOKUP(B1530,#REF!,2,FALSE)</f>
        <v>#REF!</v>
      </c>
      <c r="AM1530" s="311" t="e">
        <f t="shared" si="573"/>
        <v>#REF!</v>
      </c>
      <c r="AN1530" s="312" t="e">
        <f t="shared" si="574"/>
        <v>#REF!</v>
      </c>
    </row>
    <row r="1531" spans="1:40" s="73" customFormat="1" x14ac:dyDescent="0.25">
      <c r="A1531" s="313"/>
      <c r="B1531" s="314" t="s">
        <v>2196</v>
      </c>
      <c r="D1531" s="74">
        <f>IFERROR(VLOOKUP(B1531,'REQ. PINTADO'!B:C,2,0),0)</f>
        <v>0</v>
      </c>
      <c r="E1531" s="305">
        <f t="shared" si="560"/>
        <v>214.10556770683505</v>
      </c>
      <c r="F1531" s="397" t="s">
        <v>166</v>
      </c>
      <c r="G1531" s="75" t="s">
        <v>147</v>
      </c>
      <c r="H1531" s="90">
        <v>17.489999999999998</v>
      </c>
      <c r="I1531" s="90">
        <v>16.03</v>
      </c>
      <c r="J1531" s="76">
        <v>0.105</v>
      </c>
      <c r="K1531" s="306">
        <v>16.38</v>
      </c>
      <c r="L1531" s="78">
        <f t="shared" si="561"/>
        <v>8.5346810690402855</v>
      </c>
      <c r="M1531" s="58">
        <f>+VLOOKUP(F1531,Material!$H$2:$M$17,6,FALSE)*H1531*I1531*(1+Material!$K$14)</f>
        <v>63.544579959490846</v>
      </c>
      <c r="N1531" s="79" t="str">
        <f t="shared" si="562"/>
        <v>T5.0</v>
      </c>
      <c r="O1531" s="80">
        <f>+VLOOKUP(N1531,[3]Material!$A$3:$B$58,2,FALSE)</f>
        <v>5000</v>
      </c>
      <c r="P1531" s="79" t="s">
        <v>42</v>
      </c>
      <c r="Q1531" s="79" t="str">
        <f>+VLOOKUP(F1531,[3]Material!$C$2:$E$12,2,FALSE)</f>
        <v>Cal 16</v>
      </c>
      <c r="R1531" s="81">
        <f>+IF(P1531="ACERO A36",VLOOKUP(Q1531,'[3]Velocidades Std 1500 w'!$B$2:$F$15,5,FALSE),IF(P1531="INOXIDABLE",VLOOKUP(Q1531,'[3]Velocidades Std 1500 w'!$B$17:$F$28,5,FALSE),IF(P1531="ALUMINIO",VLOOKUP(Q1531,'[3]Velocidades Std 1500 w'!$B$30:$F$38,5,FALSE))))</f>
        <v>9.1575091575091579E-7</v>
      </c>
      <c r="S1531" s="82">
        <f t="shared" si="563"/>
        <v>4.578754578754579E-3</v>
      </c>
      <c r="T1531" s="83">
        <f t="shared" si="564"/>
        <v>6.9494400000000001</v>
      </c>
      <c r="U1531" s="307">
        <f t="shared" si="565"/>
        <v>2107.9967999999999</v>
      </c>
      <c r="V1531" s="80">
        <f t="shared" si="566"/>
        <v>9.6519999999999992</v>
      </c>
      <c r="W1531" s="98">
        <v>8</v>
      </c>
      <c r="X1531" s="84">
        <f>+IF(P1531="ACERO A36",VLOOKUP(Q1531,'[3]Tiempo Objeto'!$B$2:$C$12,2,FALSE),IF(P1531="INOXIDABLE",VLOOKUP(Q1531,'[3]Tiempo Objeto'!$B$14:$C$22,2,FALSE),IF(P1531="ALUMINIO",VLOOKUP(Q1531,'[3]Tiempo Objeto'!$B$24:$C$32,2,FALSE))))</f>
        <v>0.24666666666666667</v>
      </c>
      <c r="Y1531" s="84">
        <f t="shared" si="567"/>
        <v>1.9733333333333334</v>
      </c>
      <c r="Z1531" s="80">
        <f t="shared" si="568"/>
        <v>2.7407407407407405</v>
      </c>
      <c r="AA1531" s="100">
        <v>3</v>
      </c>
      <c r="AB1531" s="86">
        <f>+AA1531*Analisis!$J$6</f>
        <v>75</v>
      </c>
      <c r="AC1531" s="100"/>
      <c r="AD1531" s="85">
        <f t="shared" si="569"/>
        <v>0</v>
      </c>
      <c r="AE1531" s="86">
        <f>+AC1531*Analisis!$J$7</f>
        <v>0</v>
      </c>
      <c r="AF1531" s="308">
        <f>+H1531*0.0254*I1531*0.0254*2*(1+[3]Analisis!$G$2)</f>
        <v>0.45220022462999993</v>
      </c>
      <c r="AG1531" s="86">
        <f>+AF1531*Analisis!$J$8</f>
        <v>48.180857267125006</v>
      </c>
      <c r="AH1531" s="309">
        <f t="shared" si="570"/>
        <v>199.11817796735659</v>
      </c>
      <c r="AI1531" s="86">
        <f>+AH1531/(1-Analisis!G1206)</f>
        <v>199.11817796735659</v>
      </c>
      <c r="AJ1531" s="86">
        <f t="shared" si="571"/>
        <v>214.10556770683505</v>
      </c>
      <c r="AK1531" s="86">
        <f t="shared" si="572"/>
        <v>0</v>
      </c>
      <c r="AL1531" s="310" t="e">
        <f>+VLOOKUP(B1531,#REF!,2,FALSE)</f>
        <v>#REF!</v>
      </c>
      <c r="AM1531" s="311" t="e">
        <f t="shared" si="573"/>
        <v>#REF!</v>
      </c>
      <c r="AN1531" s="312" t="e">
        <f t="shared" si="574"/>
        <v>#REF!</v>
      </c>
    </row>
    <row r="1532" spans="1:40" s="73" customFormat="1" x14ac:dyDescent="0.25">
      <c r="A1532" s="313"/>
      <c r="B1532" s="314" t="s">
        <v>2197</v>
      </c>
      <c r="D1532" s="74">
        <f>IFERROR(VLOOKUP(B1532,'REQ. PINTADO'!B:C,2,0),0)</f>
        <v>0</v>
      </c>
      <c r="E1532" s="305">
        <f t="shared" si="560"/>
        <v>175.32060924273711</v>
      </c>
      <c r="F1532" s="397" t="s">
        <v>166</v>
      </c>
      <c r="G1532" s="75" t="s">
        <v>147</v>
      </c>
      <c r="H1532" s="90">
        <v>17.489999999999998</v>
      </c>
      <c r="I1532" s="90">
        <v>11.03</v>
      </c>
      <c r="J1532" s="76">
        <v>0.105</v>
      </c>
      <c r="K1532" s="306">
        <v>16.38</v>
      </c>
      <c r="L1532" s="78">
        <f t="shared" si="561"/>
        <v>5.8725846657214182</v>
      </c>
      <c r="M1532" s="58">
        <f>+VLOOKUP(F1532,Material!$H$2:$M$17,6,FALSE)*H1532*I1532*(1+Material!$K$14)</f>
        <v>43.724062192962187</v>
      </c>
      <c r="N1532" s="79" t="str">
        <f t="shared" si="562"/>
        <v>T5.0</v>
      </c>
      <c r="O1532" s="80">
        <f>+VLOOKUP(N1532,[3]Material!$A$3:$B$58,2,FALSE)</f>
        <v>5000</v>
      </c>
      <c r="P1532" s="79" t="s">
        <v>42</v>
      </c>
      <c r="Q1532" s="79" t="str">
        <f>+VLOOKUP(F1532,[3]Material!$C$2:$E$12,2,FALSE)</f>
        <v>Cal 16</v>
      </c>
      <c r="R1532" s="81">
        <f>+IF(P1532="ACERO A36",VLOOKUP(Q1532,'[3]Velocidades Std 1500 w'!$B$2:$F$15,5,FALSE),IF(P1532="INOXIDABLE",VLOOKUP(Q1532,'[3]Velocidades Std 1500 w'!$B$17:$F$28,5,FALSE),IF(P1532="ALUMINIO",VLOOKUP(Q1532,'[3]Velocidades Std 1500 w'!$B$30:$F$38,5,FALSE))))</f>
        <v>9.1575091575091579E-7</v>
      </c>
      <c r="S1532" s="82">
        <f t="shared" si="563"/>
        <v>4.578754578754579E-3</v>
      </c>
      <c r="T1532" s="83">
        <f t="shared" si="564"/>
        <v>6.0702092307692306</v>
      </c>
      <c r="U1532" s="307">
        <f t="shared" si="565"/>
        <v>1841.2967999999998</v>
      </c>
      <c r="V1532" s="80">
        <f t="shared" si="566"/>
        <v>8.4308461538461543</v>
      </c>
      <c r="W1532" s="98">
        <v>8</v>
      </c>
      <c r="X1532" s="84">
        <f>+IF(P1532="ACERO A36",VLOOKUP(Q1532,'[3]Tiempo Objeto'!$B$2:$C$12,2,FALSE),IF(P1532="INOXIDABLE",VLOOKUP(Q1532,'[3]Tiempo Objeto'!$B$14:$C$22,2,FALSE),IF(P1532="ALUMINIO",VLOOKUP(Q1532,'[3]Tiempo Objeto'!$B$24:$C$32,2,FALSE))))</f>
        <v>0.24666666666666667</v>
      </c>
      <c r="Y1532" s="84">
        <f t="shared" si="567"/>
        <v>1.9733333333333334</v>
      </c>
      <c r="Z1532" s="80">
        <f t="shared" si="568"/>
        <v>2.7407407407407405</v>
      </c>
      <c r="AA1532" s="100">
        <v>3</v>
      </c>
      <c r="AB1532" s="86">
        <f>+AA1532*Analisis!$J$6</f>
        <v>75</v>
      </c>
      <c r="AC1532" s="100"/>
      <c r="AD1532" s="85">
        <f t="shared" si="569"/>
        <v>0</v>
      </c>
      <c r="AE1532" s="86">
        <f>+AC1532*Analisis!$J$7</f>
        <v>0</v>
      </c>
      <c r="AF1532" s="308">
        <f>+H1532*0.0254*I1532*0.0254*2*(1+[3]Analisis!$G$2)</f>
        <v>0.31115211962999995</v>
      </c>
      <c r="AG1532" s="86">
        <f>+AF1532*Analisis!$J$8</f>
        <v>33.152517508196432</v>
      </c>
      <c r="AH1532" s="309">
        <f t="shared" si="570"/>
        <v>163.0481665957455</v>
      </c>
      <c r="AI1532" s="86">
        <f>+AH1532/(1-Analisis!G1207)</f>
        <v>163.0481665957455</v>
      </c>
      <c r="AJ1532" s="86">
        <f t="shared" si="571"/>
        <v>175.32060924273711</v>
      </c>
      <c r="AK1532" s="86">
        <f t="shared" si="572"/>
        <v>0</v>
      </c>
      <c r="AL1532" s="310" t="e">
        <f>+VLOOKUP(B1532,#REF!,2,FALSE)</f>
        <v>#REF!</v>
      </c>
      <c r="AM1532" s="311" t="e">
        <f t="shared" si="573"/>
        <v>#REF!</v>
      </c>
      <c r="AN1532" s="312" t="e">
        <f t="shared" si="574"/>
        <v>#REF!</v>
      </c>
    </row>
    <row r="1533" spans="1:40" s="73" customFormat="1" x14ac:dyDescent="0.25">
      <c r="A1533" s="313"/>
      <c r="B1533" s="314" t="s">
        <v>2198</v>
      </c>
      <c r="D1533" s="74">
        <f>IFERROR(VLOOKUP(B1533,'REQ. PINTADO'!B:C,2,0),0)</f>
        <v>0</v>
      </c>
      <c r="E1533" s="305">
        <f t="shared" si="560"/>
        <v>214.10556770683505</v>
      </c>
      <c r="F1533" s="397" t="s">
        <v>166</v>
      </c>
      <c r="G1533" s="75" t="s">
        <v>147</v>
      </c>
      <c r="H1533" s="90">
        <v>17.489999999999998</v>
      </c>
      <c r="I1533" s="90">
        <v>16.03</v>
      </c>
      <c r="J1533" s="76">
        <v>0.105</v>
      </c>
      <c r="K1533" s="306">
        <v>16.38</v>
      </c>
      <c r="L1533" s="78">
        <f t="shared" si="561"/>
        <v>8.5346810690402855</v>
      </c>
      <c r="M1533" s="58">
        <f>+VLOOKUP(F1533,Material!$H$2:$M$17,6,FALSE)*H1533*I1533*(1+Material!$K$14)</f>
        <v>63.544579959490846</v>
      </c>
      <c r="N1533" s="79" t="str">
        <f t="shared" si="562"/>
        <v>T5.0</v>
      </c>
      <c r="O1533" s="80">
        <f>+VLOOKUP(N1533,[3]Material!$A$3:$B$58,2,FALSE)</f>
        <v>5000</v>
      </c>
      <c r="P1533" s="79" t="s">
        <v>42</v>
      </c>
      <c r="Q1533" s="79" t="str">
        <f>+VLOOKUP(F1533,[3]Material!$C$2:$E$12,2,FALSE)</f>
        <v>Cal 16</v>
      </c>
      <c r="R1533" s="81">
        <f>+IF(P1533="ACERO A36",VLOOKUP(Q1533,'[3]Velocidades Std 1500 w'!$B$2:$F$15,5,FALSE),IF(P1533="INOXIDABLE",VLOOKUP(Q1533,'[3]Velocidades Std 1500 w'!$B$17:$F$28,5,FALSE),IF(P1533="ALUMINIO",VLOOKUP(Q1533,'[3]Velocidades Std 1500 w'!$B$30:$F$38,5,FALSE))))</f>
        <v>9.1575091575091579E-7</v>
      </c>
      <c r="S1533" s="82">
        <f t="shared" si="563"/>
        <v>4.578754578754579E-3</v>
      </c>
      <c r="T1533" s="83">
        <f t="shared" si="564"/>
        <v>6.9494400000000001</v>
      </c>
      <c r="U1533" s="307">
        <f t="shared" si="565"/>
        <v>2107.9967999999999</v>
      </c>
      <c r="V1533" s="80">
        <f t="shared" si="566"/>
        <v>9.6519999999999992</v>
      </c>
      <c r="W1533" s="98">
        <v>8</v>
      </c>
      <c r="X1533" s="84">
        <f>+IF(P1533="ACERO A36",VLOOKUP(Q1533,'[3]Tiempo Objeto'!$B$2:$C$12,2,FALSE),IF(P1533="INOXIDABLE",VLOOKUP(Q1533,'[3]Tiempo Objeto'!$B$14:$C$22,2,FALSE),IF(P1533="ALUMINIO",VLOOKUP(Q1533,'[3]Tiempo Objeto'!$B$24:$C$32,2,FALSE))))</f>
        <v>0.24666666666666667</v>
      </c>
      <c r="Y1533" s="84">
        <f t="shared" si="567"/>
        <v>1.9733333333333334</v>
      </c>
      <c r="Z1533" s="80">
        <f t="shared" si="568"/>
        <v>2.7407407407407405</v>
      </c>
      <c r="AA1533" s="100">
        <v>3</v>
      </c>
      <c r="AB1533" s="86">
        <f>+AA1533*Analisis!$J$6</f>
        <v>75</v>
      </c>
      <c r="AC1533" s="100"/>
      <c r="AD1533" s="85">
        <f t="shared" si="569"/>
        <v>0</v>
      </c>
      <c r="AE1533" s="86">
        <f>+AC1533*Analisis!$J$7</f>
        <v>0</v>
      </c>
      <c r="AF1533" s="308">
        <f>+H1533*0.0254*I1533*0.0254*2*(1+[3]Analisis!$G$2)</f>
        <v>0.45220022462999993</v>
      </c>
      <c r="AG1533" s="86">
        <f>+AF1533*Analisis!$J$8</f>
        <v>48.180857267125006</v>
      </c>
      <c r="AH1533" s="309">
        <f t="shared" si="570"/>
        <v>199.11817796735659</v>
      </c>
      <c r="AI1533" s="86">
        <f>+AH1533/(1-Analisis!G1208)</f>
        <v>199.11817796735659</v>
      </c>
      <c r="AJ1533" s="86">
        <f t="shared" si="571"/>
        <v>214.10556770683505</v>
      </c>
      <c r="AK1533" s="86">
        <f t="shared" si="572"/>
        <v>0</v>
      </c>
      <c r="AL1533" s="310" t="e">
        <f>+VLOOKUP(B1533,#REF!,2,FALSE)</f>
        <v>#REF!</v>
      </c>
      <c r="AM1533" s="311" t="e">
        <f t="shared" si="573"/>
        <v>#REF!</v>
      </c>
      <c r="AN1533" s="312" t="e">
        <f t="shared" si="574"/>
        <v>#REF!</v>
      </c>
    </row>
    <row r="1534" spans="1:40" s="73" customFormat="1" x14ac:dyDescent="0.25">
      <c r="A1534" s="313"/>
      <c r="B1534" s="314" t="s">
        <v>2199</v>
      </c>
      <c r="D1534" s="74">
        <f>IFERROR(VLOOKUP(B1534,'REQ. PINTADO'!B:C,2,0),0)</f>
        <v>0</v>
      </c>
      <c r="E1534" s="305">
        <f t="shared" si="560"/>
        <v>175.32060924273711</v>
      </c>
      <c r="F1534" s="397" t="s">
        <v>166</v>
      </c>
      <c r="G1534" s="75" t="s">
        <v>147</v>
      </c>
      <c r="H1534" s="90">
        <v>17.489999999999998</v>
      </c>
      <c r="I1534" s="90">
        <v>11.03</v>
      </c>
      <c r="J1534" s="76">
        <v>0.105</v>
      </c>
      <c r="K1534" s="306">
        <v>16.38</v>
      </c>
      <c r="L1534" s="78">
        <f t="shared" si="561"/>
        <v>5.8725846657214182</v>
      </c>
      <c r="M1534" s="58">
        <f>+VLOOKUP(F1534,Material!$H$2:$M$17,6,FALSE)*H1534*I1534*(1+Material!$K$14)</f>
        <v>43.724062192962187</v>
      </c>
      <c r="N1534" s="79" t="str">
        <f t="shared" si="562"/>
        <v>T5.0</v>
      </c>
      <c r="O1534" s="80">
        <f>+VLOOKUP(N1534,[3]Material!$A$3:$B$58,2,FALSE)</f>
        <v>5000</v>
      </c>
      <c r="P1534" s="79" t="s">
        <v>42</v>
      </c>
      <c r="Q1534" s="79" t="str">
        <f>+VLOOKUP(F1534,[3]Material!$C$2:$E$12,2,FALSE)</f>
        <v>Cal 16</v>
      </c>
      <c r="R1534" s="81">
        <f>+IF(P1534="ACERO A36",VLOOKUP(Q1534,'[3]Velocidades Std 1500 w'!$B$2:$F$15,5,FALSE),IF(P1534="INOXIDABLE",VLOOKUP(Q1534,'[3]Velocidades Std 1500 w'!$B$17:$F$28,5,FALSE),IF(P1534="ALUMINIO",VLOOKUP(Q1534,'[3]Velocidades Std 1500 w'!$B$30:$F$38,5,FALSE))))</f>
        <v>9.1575091575091579E-7</v>
      </c>
      <c r="S1534" s="82">
        <f t="shared" si="563"/>
        <v>4.578754578754579E-3</v>
      </c>
      <c r="T1534" s="83">
        <f t="shared" si="564"/>
        <v>6.0702092307692306</v>
      </c>
      <c r="U1534" s="307">
        <f t="shared" si="565"/>
        <v>1841.2967999999998</v>
      </c>
      <c r="V1534" s="80">
        <f t="shared" si="566"/>
        <v>8.4308461538461543</v>
      </c>
      <c r="W1534" s="98">
        <v>8</v>
      </c>
      <c r="X1534" s="84">
        <f>+IF(P1534="ACERO A36",VLOOKUP(Q1534,'[3]Tiempo Objeto'!$B$2:$C$12,2,FALSE),IF(P1534="INOXIDABLE",VLOOKUP(Q1534,'[3]Tiempo Objeto'!$B$14:$C$22,2,FALSE),IF(P1534="ALUMINIO",VLOOKUP(Q1534,'[3]Tiempo Objeto'!$B$24:$C$32,2,FALSE))))</f>
        <v>0.24666666666666667</v>
      </c>
      <c r="Y1534" s="84">
        <f t="shared" si="567"/>
        <v>1.9733333333333334</v>
      </c>
      <c r="Z1534" s="80">
        <f t="shared" si="568"/>
        <v>2.7407407407407405</v>
      </c>
      <c r="AA1534" s="100">
        <v>3</v>
      </c>
      <c r="AB1534" s="86">
        <f>+AA1534*Analisis!$J$6</f>
        <v>75</v>
      </c>
      <c r="AC1534" s="100"/>
      <c r="AD1534" s="85">
        <f t="shared" si="569"/>
        <v>0</v>
      </c>
      <c r="AE1534" s="86">
        <f>+AC1534*Analisis!$J$7</f>
        <v>0</v>
      </c>
      <c r="AF1534" s="308">
        <f>+H1534*0.0254*I1534*0.0254*2*(1+[3]Analisis!$G$2)</f>
        <v>0.31115211962999995</v>
      </c>
      <c r="AG1534" s="86">
        <f>+AF1534*Analisis!$J$8</f>
        <v>33.152517508196432</v>
      </c>
      <c r="AH1534" s="309">
        <f t="shared" si="570"/>
        <v>163.0481665957455</v>
      </c>
      <c r="AI1534" s="86">
        <f>+AH1534/(1-Analisis!G1209)</f>
        <v>163.0481665957455</v>
      </c>
      <c r="AJ1534" s="86">
        <f t="shared" si="571"/>
        <v>175.32060924273711</v>
      </c>
      <c r="AK1534" s="86">
        <f t="shared" si="572"/>
        <v>0</v>
      </c>
      <c r="AL1534" s="310" t="e">
        <f>+VLOOKUP(B1534,#REF!,2,FALSE)</f>
        <v>#REF!</v>
      </c>
      <c r="AM1534" s="311" t="e">
        <f t="shared" si="573"/>
        <v>#REF!</v>
      </c>
      <c r="AN1534" s="312" t="e">
        <f t="shared" si="574"/>
        <v>#REF!</v>
      </c>
    </row>
    <row r="1535" spans="1:40" s="73" customFormat="1" x14ac:dyDescent="0.25">
      <c r="A1535" s="313"/>
      <c r="B1535" s="314" t="s">
        <v>2200</v>
      </c>
      <c r="D1535" s="74">
        <f>IFERROR(VLOOKUP(B1535,'REQ. PINTADO'!B:C,2,0),0)</f>
        <v>0</v>
      </c>
      <c r="E1535" s="305">
        <f t="shared" si="560"/>
        <v>214.10556770683505</v>
      </c>
      <c r="F1535" s="397" t="s">
        <v>166</v>
      </c>
      <c r="G1535" s="75" t="s">
        <v>147</v>
      </c>
      <c r="H1535" s="90">
        <v>17.489999999999998</v>
      </c>
      <c r="I1535" s="90">
        <v>16.03</v>
      </c>
      <c r="J1535" s="76">
        <v>0.105</v>
      </c>
      <c r="K1535" s="306">
        <v>16.38</v>
      </c>
      <c r="L1535" s="78">
        <f t="shared" si="561"/>
        <v>8.5346810690402855</v>
      </c>
      <c r="M1535" s="58">
        <f>+VLOOKUP(F1535,Material!$H$2:$M$17,6,FALSE)*H1535*I1535*(1+Material!$K$14)</f>
        <v>63.544579959490846</v>
      </c>
      <c r="N1535" s="79" t="str">
        <f t="shared" si="562"/>
        <v>T5.0</v>
      </c>
      <c r="O1535" s="80">
        <f>+VLOOKUP(N1535,[3]Material!$A$3:$B$58,2,FALSE)</f>
        <v>5000</v>
      </c>
      <c r="P1535" s="79" t="s">
        <v>42</v>
      </c>
      <c r="Q1535" s="79" t="str">
        <f>+VLOOKUP(F1535,[3]Material!$C$2:$E$12,2,FALSE)</f>
        <v>Cal 16</v>
      </c>
      <c r="R1535" s="81">
        <f>+IF(P1535="ACERO A36",VLOOKUP(Q1535,'[3]Velocidades Std 1500 w'!$B$2:$F$15,5,FALSE),IF(P1535="INOXIDABLE",VLOOKUP(Q1535,'[3]Velocidades Std 1500 w'!$B$17:$F$28,5,FALSE),IF(P1535="ALUMINIO",VLOOKUP(Q1535,'[3]Velocidades Std 1500 w'!$B$30:$F$38,5,FALSE))))</f>
        <v>9.1575091575091579E-7</v>
      </c>
      <c r="S1535" s="82">
        <f t="shared" si="563"/>
        <v>4.578754578754579E-3</v>
      </c>
      <c r="T1535" s="83">
        <f t="shared" si="564"/>
        <v>6.9494400000000001</v>
      </c>
      <c r="U1535" s="307">
        <f t="shared" si="565"/>
        <v>2107.9967999999999</v>
      </c>
      <c r="V1535" s="80">
        <f t="shared" si="566"/>
        <v>9.6519999999999992</v>
      </c>
      <c r="W1535" s="98">
        <v>8</v>
      </c>
      <c r="X1535" s="84">
        <f>+IF(P1535="ACERO A36",VLOOKUP(Q1535,'[3]Tiempo Objeto'!$B$2:$C$12,2,FALSE),IF(P1535="INOXIDABLE",VLOOKUP(Q1535,'[3]Tiempo Objeto'!$B$14:$C$22,2,FALSE),IF(P1535="ALUMINIO",VLOOKUP(Q1535,'[3]Tiempo Objeto'!$B$24:$C$32,2,FALSE))))</f>
        <v>0.24666666666666667</v>
      </c>
      <c r="Y1535" s="84">
        <f t="shared" si="567"/>
        <v>1.9733333333333334</v>
      </c>
      <c r="Z1535" s="80">
        <f t="shared" si="568"/>
        <v>2.7407407407407405</v>
      </c>
      <c r="AA1535" s="100">
        <v>3</v>
      </c>
      <c r="AB1535" s="86">
        <f>+AA1535*Analisis!$J$6</f>
        <v>75</v>
      </c>
      <c r="AC1535" s="100"/>
      <c r="AD1535" s="85">
        <f t="shared" si="569"/>
        <v>0</v>
      </c>
      <c r="AE1535" s="86">
        <f>+AC1535*Analisis!$J$7</f>
        <v>0</v>
      </c>
      <c r="AF1535" s="308">
        <f>+H1535*0.0254*I1535*0.0254*2*(1+[3]Analisis!$G$2)</f>
        <v>0.45220022462999993</v>
      </c>
      <c r="AG1535" s="86">
        <f>+AF1535*Analisis!$J$8</f>
        <v>48.180857267125006</v>
      </c>
      <c r="AH1535" s="309">
        <f t="shared" si="570"/>
        <v>199.11817796735659</v>
      </c>
      <c r="AI1535" s="86">
        <f>+AH1535/(1-Analisis!G1210)</f>
        <v>199.11817796735659</v>
      </c>
      <c r="AJ1535" s="86">
        <f t="shared" si="571"/>
        <v>214.10556770683505</v>
      </c>
      <c r="AK1535" s="86">
        <f t="shared" si="572"/>
        <v>0</v>
      </c>
      <c r="AL1535" s="310" t="e">
        <f>+VLOOKUP(B1535,#REF!,2,FALSE)</f>
        <v>#REF!</v>
      </c>
      <c r="AM1535" s="311" t="e">
        <f t="shared" si="573"/>
        <v>#REF!</v>
      </c>
      <c r="AN1535" s="312" t="e">
        <f t="shared" si="574"/>
        <v>#REF!</v>
      </c>
    </row>
    <row r="1536" spans="1:40" s="73" customFormat="1" x14ac:dyDescent="0.25">
      <c r="A1536" s="313"/>
      <c r="B1536" s="314" t="s">
        <v>2201</v>
      </c>
      <c r="D1536" s="74">
        <f>IFERROR(VLOOKUP(B1536,'REQ. PINTADO'!B:C,2,0),0)</f>
        <v>0</v>
      </c>
      <c r="E1536" s="305">
        <f t="shared" si="560"/>
        <v>175.32060924273711</v>
      </c>
      <c r="F1536" s="397" t="s">
        <v>166</v>
      </c>
      <c r="G1536" s="75" t="s">
        <v>147</v>
      </c>
      <c r="H1536" s="90">
        <v>17.489999999999998</v>
      </c>
      <c r="I1536" s="90">
        <v>11.03</v>
      </c>
      <c r="J1536" s="76">
        <v>0.105</v>
      </c>
      <c r="K1536" s="306">
        <v>16.38</v>
      </c>
      <c r="L1536" s="78">
        <f t="shared" si="561"/>
        <v>5.8725846657214182</v>
      </c>
      <c r="M1536" s="58">
        <f>+VLOOKUP(F1536,Material!$H$2:$M$17,6,FALSE)*H1536*I1536*(1+Material!$K$14)</f>
        <v>43.724062192962187</v>
      </c>
      <c r="N1536" s="79" t="str">
        <f t="shared" si="562"/>
        <v>T5.0</v>
      </c>
      <c r="O1536" s="80">
        <f>+VLOOKUP(N1536,[3]Material!$A$3:$B$58,2,FALSE)</f>
        <v>5000</v>
      </c>
      <c r="P1536" s="79" t="s">
        <v>42</v>
      </c>
      <c r="Q1536" s="79" t="str">
        <f>+VLOOKUP(F1536,[3]Material!$C$2:$E$12,2,FALSE)</f>
        <v>Cal 16</v>
      </c>
      <c r="R1536" s="81">
        <f>+IF(P1536="ACERO A36",VLOOKUP(Q1536,'[3]Velocidades Std 1500 w'!$B$2:$F$15,5,FALSE),IF(P1536="INOXIDABLE",VLOOKUP(Q1536,'[3]Velocidades Std 1500 w'!$B$17:$F$28,5,FALSE),IF(P1536="ALUMINIO",VLOOKUP(Q1536,'[3]Velocidades Std 1500 w'!$B$30:$F$38,5,FALSE))))</f>
        <v>9.1575091575091579E-7</v>
      </c>
      <c r="S1536" s="82">
        <f t="shared" si="563"/>
        <v>4.578754578754579E-3</v>
      </c>
      <c r="T1536" s="83">
        <f t="shared" si="564"/>
        <v>6.0702092307692306</v>
      </c>
      <c r="U1536" s="307">
        <f t="shared" si="565"/>
        <v>1841.2967999999998</v>
      </c>
      <c r="V1536" s="80">
        <f t="shared" si="566"/>
        <v>8.4308461538461543</v>
      </c>
      <c r="W1536" s="98">
        <v>8</v>
      </c>
      <c r="X1536" s="84">
        <f>+IF(P1536="ACERO A36",VLOOKUP(Q1536,'[3]Tiempo Objeto'!$B$2:$C$12,2,FALSE),IF(P1536="INOXIDABLE",VLOOKUP(Q1536,'[3]Tiempo Objeto'!$B$14:$C$22,2,FALSE),IF(P1536="ALUMINIO",VLOOKUP(Q1536,'[3]Tiempo Objeto'!$B$24:$C$32,2,FALSE))))</f>
        <v>0.24666666666666667</v>
      </c>
      <c r="Y1536" s="84">
        <f t="shared" si="567"/>
        <v>1.9733333333333334</v>
      </c>
      <c r="Z1536" s="80">
        <f t="shared" si="568"/>
        <v>2.7407407407407405</v>
      </c>
      <c r="AA1536" s="100">
        <v>3</v>
      </c>
      <c r="AB1536" s="86">
        <f>+AA1536*Analisis!$J$6</f>
        <v>75</v>
      </c>
      <c r="AC1536" s="100"/>
      <c r="AD1536" s="85">
        <f t="shared" si="569"/>
        <v>0</v>
      </c>
      <c r="AE1536" s="86">
        <f>+AC1536*Analisis!$J$7</f>
        <v>0</v>
      </c>
      <c r="AF1536" s="308">
        <f>+H1536*0.0254*I1536*0.0254*2*(1+[3]Analisis!$G$2)</f>
        <v>0.31115211962999995</v>
      </c>
      <c r="AG1536" s="86">
        <f>+AF1536*Analisis!$J$8</f>
        <v>33.152517508196432</v>
      </c>
      <c r="AH1536" s="309">
        <f t="shared" si="570"/>
        <v>163.0481665957455</v>
      </c>
      <c r="AI1536" s="86">
        <f>+AH1536/(1-Analisis!G1211)</f>
        <v>163.0481665957455</v>
      </c>
      <c r="AJ1536" s="86">
        <f t="shared" si="571"/>
        <v>175.32060924273711</v>
      </c>
      <c r="AK1536" s="86">
        <f t="shared" si="572"/>
        <v>0</v>
      </c>
      <c r="AL1536" s="310" t="e">
        <f>+VLOOKUP(B1536,#REF!,2,FALSE)</f>
        <v>#REF!</v>
      </c>
      <c r="AM1536" s="311" t="e">
        <f t="shared" si="573"/>
        <v>#REF!</v>
      </c>
      <c r="AN1536" s="312" t="e">
        <f t="shared" si="574"/>
        <v>#REF!</v>
      </c>
    </row>
    <row r="1537" spans="1:40" s="73" customFormat="1" x14ac:dyDescent="0.25">
      <c r="A1537" s="313"/>
      <c r="B1537" s="314" t="s">
        <v>2202</v>
      </c>
      <c r="D1537" s="74">
        <f>IFERROR(VLOOKUP(B1537,'REQ. PINTADO'!B:C,2,0),0)</f>
        <v>0</v>
      </c>
      <c r="E1537" s="305">
        <f t="shared" si="560"/>
        <v>214.10556770683505</v>
      </c>
      <c r="F1537" s="397" t="s">
        <v>166</v>
      </c>
      <c r="G1537" s="75" t="s">
        <v>147</v>
      </c>
      <c r="H1537" s="90">
        <v>17.489999999999998</v>
      </c>
      <c r="I1537" s="90">
        <v>16.03</v>
      </c>
      <c r="J1537" s="76">
        <v>0.105</v>
      </c>
      <c r="K1537" s="306">
        <v>16.38</v>
      </c>
      <c r="L1537" s="78">
        <f t="shared" si="561"/>
        <v>8.5346810690402855</v>
      </c>
      <c r="M1537" s="58">
        <f>+VLOOKUP(F1537,Material!$H$2:$M$17,6,FALSE)*H1537*I1537*(1+Material!$K$14)</f>
        <v>63.544579959490846</v>
      </c>
      <c r="N1537" s="79" t="str">
        <f t="shared" si="562"/>
        <v>T5.0</v>
      </c>
      <c r="O1537" s="80">
        <f>+VLOOKUP(N1537,[3]Material!$A$3:$B$58,2,FALSE)</f>
        <v>5000</v>
      </c>
      <c r="P1537" s="79" t="s">
        <v>42</v>
      </c>
      <c r="Q1537" s="79" t="str">
        <f>+VLOOKUP(F1537,[3]Material!$C$2:$E$12,2,FALSE)</f>
        <v>Cal 16</v>
      </c>
      <c r="R1537" s="81">
        <f>+IF(P1537="ACERO A36",VLOOKUP(Q1537,'[3]Velocidades Std 1500 w'!$B$2:$F$15,5,FALSE),IF(P1537="INOXIDABLE",VLOOKUP(Q1537,'[3]Velocidades Std 1500 w'!$B$17:$F$28,5,FALSE),IF(P1537="ALUMINIO",VLOOKUP(Q1537,'[3]Velocidades Std 1500 w'!$B$30:$F$38,5,FALSE))))</f>
        <v>9.1575091575091579E-7</v>
      </c>
      <c r="S1537" s="82">
        <f t="shared" si="563"/>
        <v>4.578754578754579E-3</v>
      </c>
      <c r="T1537" s="83">
        <f t="shared" si="564"/>
        <v>6.9494400000000001</v>
      </c>
      <c r="U1537" s="307">
        <f t="shared" si="565"/>
        <v>2107.9967999999999</v>
      </c>
      <c r="V1537" s="80">
        <f t="shared" si="566"/>
        <v>9.6519999999999992</v>
      </c>
      <c r="W1537" s="98">
        <v>8</v>
      </c>
      <c r="X1537" s="84">
        <f>+IF(P1537="ACERO A36",VLOOKUP(Q1537,'[3]Tiempo Objeto'!$B$2:$C$12,2,FALSE),IF(P1537="INOXIDABLE",VLOOKUP(Q1537,'[3]Tiempo Objeto'!$B$14:$C$22,2,FALSE),IF(P1537="ALUMINIO",VLOOKUP(Q1537,'[3]Tiempo Objeto'!$B$24:$C$32,2,FALSE))))</f>
        <v>0.24666666666666667</v>
      </c>
      <c r="Y1537" s="84">
        <f t="shared" si="567"/>
        <v>1.9733333333333334</v>
      </c>
      <c r="Z1537" s="80">
        <f t="shared" si="568"/>
        <v>2.7407407407407405</v>
      </c>
      <c r="AA1537" s="100">
        <v>3</v>
      </c>
      <c r="AB1537" s="86">
        <f>+AA1537*Analisis!$J$6</f>
        <v>75</v>
      </c>
      <c r="AC1537" s="100"/>
      <c r="AD1537" s="85">
        <f t="shared" si="569"/>
        <v>0</v>
      </c>
      <c r="AE1537" s="86">
        <f>+AC1537*Analisis!$J$7</f>
        <v>0</v>
      </c>
      <c r="AF1537" s="308">
        <f>+H1537*0.0254*I1537*0.0254*2*(1+[3]Analisis!$G$2)</f>
        <v>0.45220022462999993</v>
      </c>
      <c r="AG1537" s="86">
        <f>+AF1537*Analisis!$J$8</f>
        <v>48.180857267125006</v>
      </c>
      <c r="AH1537" s="309">
        <f t="shared" si="570"/>
        <v>199.11817796735659</v>
      </c>
      <c r="AI1537" s="86">
        <f>+AH1537/(1-Analisis!G1212)</f>
        <v>199.11817796735659</v>
      </c>
      <c r="AJ1537" s="86">
        <f t="shared" si="571"/>
        <v>214.10556770683505</v>
      </c>
      <c r="AK1537" s="86">
        <f t="shared" si="572"/>
        <v>0</v>
      </c>
      <c r="AL1537" s="310" t="e">
        <f>+VLOOKUP(B1537,#REF!,2,FALSE)</f>
        <v>#REF!</v>
      </c>
      <c r="AM1537" s="311" t="e">
        <f t="shared" si="573"/>
        <v>#REF!</v>
      </c>
      <c r="AN1537" s="312" t="e">
        <f t="shared" si="574"/>
        <v>#REF!</v>
      </c>
    </row>
    <row r="1538" spans="1:40" s="73" customFormat="1" x14ac:dyDescent="0.25">
      <c r="A1538" s="313"/>
      <c r="B1538" s="314" t="s">
        <v>2203</v>
      </c>
      <c r="D1538" s="74">
        <f>IFERROR(VLOOKUP(B1538,'REQ. PINTADO'!B:C,2,0),0)</f>
        <v>0</v>
      </c>
      <c r="E1538" s="305">
        <f t="shared" si="560"/>
        <v>214.10556770683505</v>
      </c>
      <c r="F1538" s="397" t="s">
        <v>166</v>
      </c>
      <c r="G1538" s="75" t="s">
        <v>147</v>
      </c>
      <c r="H1538" s="90">
        <v>17.489999999999998</v>
      </c>
      <c r="I1538" s="90">
        <v>16.03</v>
      </c>
      <c r="J1538" s="76">
        <v>0.105</v>
      </c>
      <c r="K1538" s="306">
        <v>16.38</v>
      </c>
      <c r="L1538" s="78">
        <f t="shared" si="561"/>
        <v>8.5346810690402855</v>
      </c>
      <c r="M1538" s="58">
        <f>+VLOOKUP(F1538,Material!$H$2:$M$17,6,FALSE)*H1538*I1538*(1+Material!$K$14)</f>
        <v>63.544579959490846</v>
      </c>
      <c r="N1538" s="79" t="str">
        <f t="shared" si="562"/>
        <v>T5.0</v>
      </c>
      <c r="O1538" s="80">
        <f>+VLOOKUP(N1538,[3]Material!$A$3:$B$58,2,FALSE)</f>
        <v>5000</v>
      </c>
      <c r="P1538" s="79" t="s">
        <v>42</v>
      </c>
      <c r="Q1538" s="79" t="str">
        <f>+VLOOKUP(F1538,[3]Material!$C$2:$E$12,2,FALSE)</f>
        <v>Cal 16</v>
      </c>
      <c r="R1538" s="81">
        <f>+IF(P1538="ACERO A36",VLOOKUP(Q1538,'[3]Velocidades Std 1500 w'!$B$2:$F$15,5,FALSE),IF(P1538="INOXIDABLE",VLOOKUP(Q1538,'[3]Velocidades Std 1500 w'!$B$17:$F$28,5,FALSE),IF(P1538="ALUMINIO",VLOOKUP(Q1538,'[3]Velocidades Std 1500 w'!$B$30:$F$38,5,FALSE))))</f>
        <v>9.1575091575091579E-7</v>
      </c>
      <c r="S1538" s="82">
        <f t="shared" si="563"/>
        <v>4.578754578754579E-3</v>
      </c>
      <c r="T1538" s="83">
        <f t="shared" si="564"/>
        <v>6.9494400000000001</v>
      </c>
      <c r="U1538" s="307">
        <f t="shared" si="565"/>
        <v>2107.9967999999999</v>
      </c>
      <c r="V1538" s="80">
        <f t="shared" si="566"/>
        <v>9.6519999999999992</v>
      </c>
      <c r="W1538" s="98">
        <v>8</v>
      </c>
      <c r="X1538" s="84">
        <f>+IF(P1538="ACERO A36",VLOOKUP(Q1538,'[3]Tiempo Objeto'!$B$2:$C$12,2,FALSE),IF(P1538="INOXIDABLE",VLOOKUP(Q1538,'[3]Tiempo Objeto'!$B$14:$C$22,2,FALSE),IF(P1538="ALUMINIO",VLOOKUP(Q1538,'[3]Tiempo Objeto'!$B$24:$C$32,2,FALSE))))</f>
        <v>0.24666666666666667</v>
      </c>
      <c r="Y1538" s="84">
        <f t="shared" si="567"/>
        <v>1.9733333333333334</v>
      </c>
      <c r="Z1538" s="80">
        <f t="shared" si="568"/>
        <v>2.7407407407407405</v>
      </c>
      <c r="AA1538" s="100">
        <v>3</v>
      </c>
      <c r="AB1538" s="86">
        <f>+AA1538*Analisis!$J$6</f>
        <v>75</v>
      </c>
      <c r="AC1538" s="100"/>
      <c r="AD1538" s="85">
        <f t="shared" si="569"/>
        <v>0</v>
      </c>
      <c r="AE1538" s="86">
        <f>+AC1538*Analisis!$J$7</f>
        <v>0</v>
      </c>
      <c r="AF1538" s="308">
        <f>+H1538*0.0254*I1538*0.0254*2*(1+[3]Analisis!$G$2)</f>
        <v>0.45220022462999993</v>
      </c>
      <c r="AG1538" s="86">
        <f>+AF1538*Analisis!$J$8</f>
        <v>48.180857267125006</v>
      </c>
      <c r="AH1538" s="309">
        <f t="shared" si="570"/>
        <v>199.11817796735659</v>
      </c>
      <c r="AI1538" s="86">
        <f>+AH1538/(1-Analisis!G1213)</f>
        <v>199.11817796735659</v>
      </c>
      <c r="AJ1538" s="86">
        <f t="shared" si="571"/>
        <v>214.10556770683505</v>
      </c>
      <c r="AK1538" s="86">
        <f t="shared" si="572"/>
        <v>0</v>
      </c>
      <c r="AL1538" s="310" t="e">
        <f>+VLOOKUP(B1538,#REF!,2,FALSE)</f>
        <v>#REF!</v>
      </c>
      <c r="AM1538" s="311" t="e">
        <f t="shared" si="573"/>
        <v>#REF!</v>
      </c>
      <c r="AN1538" s="312" t="e">
        <f t="shared" si="574"/>
        <v>#REF!</v>
      </c>
    </row>
    <row r="1539" spans="1:40" s="73" customFormat="1" x14ac:dyDescent="0.25">
      <c r="A1539" s="313"/>
      <c r="B1539" s="314" t="s">
        <v>2204</v>
      </c>
      <c r="D1539" s="74">
        <f>IFERROR(VLOOKUP(B1539,'REQ. PINTADO'!B:C,2,0),0)</f>
        <v>0</v>
      </c>
      <c r="E1539" s="305">
        <f t="shared" si="560"/>
        <v>175.32060924273711</v>
      </c>
      <c r="F1539" s="397" t="s">
        <v>166</v>
      </c>
      <c r="G1539" s="75" t="s">
        <v>147</v>
      </c>
      <c r="H1539" s="90">
        <v>17.489999999999998</v>
      </c>
      <c r="I1539" s="90">
        <v>11.03</v>
      </c>
      <c r="J1539" s="76">
        <v>0.105</v>
      </c>
      <c r="K1539" s="306">
        <v>16.38</v>
      </c>
      <c r="L1539" s="78">
        <f t="shared" si="561"/>
        <v>5.8725846657214182</v>
      </c>
      <c r="M1539" s="58">
        <f>+VLOOKUP(F1539,Material!$H$2:$M$17,6,FALSE)*H1539*I1539*(1+Material!$K$14)</f>
        <v>43.724062192962187</v>
      </c>
      <c r="N1539" s="79" t="str">
        <f t="shared" si="562"/>
        <v>T5.0</v>
      </c>
      <c r="O1539" s="80">
        <f>+VLOOKUP(N1539,[3]Material!$A$3:$B$58,2,FALSE)</f>
        <v>5000</v>
      </c>
      <c r="P1539" s="79" t="s">
        <v>42</v>
      </c>
      <c r="Q1539" s="79" t="str">
        <f>+VLOOKUP(F1539,[3]Material!$C$2:$E$12,2,FALSE)</f>
        <v>Cal 16</v>
      </c>
      <c r="R1539" s="81">
        <f>+IF(P1539="ACERO A36",VLOOKUP(Q1539,'[3]Velocidades Std 1500 w'!$B$2:$F$15,5,FALSE),IF(P1539="INOXIDABLE",VLOOKUP(Q1539,'[3]Velocidades Std 1500 w'!$B$17:$F$28,5,FALSE),IF(P1539="ALUMINIO",VLOOKUP(Q1539,'[3]Velocidades Std 1500 w'!$B$30:$F$38,5,FALSE))))</f>
        <v>9.1575091575091579E-7</v>
      </c>
      <c r="S1539" s="82">
        <f t="shared" si="563"/>
        <v>4.578754578754579E-3</v>
      </c>
      <c r="T1539" s="83">
        <f t="shared" si="564"/>
        <v>6.0702092307692306</v>
      </c>
      <c r="U1539" s="307">
        <f t="shared" si="565"/>
        <v>1841.2967999999998</v>
      </c>
      <c r="V1539" s="80">
        <f t="shared" si="566"/>
        <v>8.4308461538461543</v>
      </c>
      <c r="W1539" s="98">
        <v>8</v>
      </c>
      <c r="X1539" s="84">
        <f>+IF(P1539="ACERO A36",VLOOKUP(Q1539,'[3]Tiempo Objeto'!$B$2:$C$12,2,FALSE),IF(P1539="INOXIDABLE",VLOOKUP(Q1539,'[3]Tiempo Objeto'!$B$14:$C$22,2,FALSE),IF(P1539="ALUMINIO",VLOOKUP(Q1539,'[3]Tiempo Objeto'!$B$24:$C$32,2,FALSE))))</f>
        <v>0.24666666666666667</v>
      </c>
      <c r="Y1539" s="84">
        <f t="shared" si="567"/>
        <v>1.9733333333333334</v>
      </c>
      <c r="Z1539" s="80">
        <f t="shared" si="568"/>
        <v>2.7407407407407405</v>
      </c>
      <c r="AA1539" s="100">
        <v>3</v>
      </c>
      <c r="AB1539" s="86">
        <f>+AA1539*Analisis!$J$6</f>
        <v>75</v>
      </c>
      <c r="AC1539" s="100"/>
      <c r="AD1539" s="85">
        <f t="shared" si="569"/>
        <v>0</v>
      </c>
      <c r="AE1539" s="86">
        <f>+AC1539*Analisis!$J$7</f>
        <v>0</v>
      </c>
      <c r="AF1539" s="308">
        <f>+H1539*0.0254*I1539*0.0254*2*(1+[3]Analisis!$G$2)</f>
        <v>0.31115211962999995</v>
      </c>
      <c r="AG1539" s="86">
        <f>+AF1539*Analisis!$J$8</f>
        <v>33.152517508196432</v>
      </c>
      <c r="AH1539" s="309">
        <f t="shared" si="570"/>
        <v>163.0481665957455</v>
      </c>
      <c r="AI1539" s="86">
        <f>+AH1539/(1-Analisis!G1214)</f>
        <v>163.0481665957455</v>
      </c>
      <c r="AJ1539" s="86">
        <f t="shared" si="571"/>
        <v>175.32060924273711</v>
      </c>
      <c r="AK1539" s="86">
        <f t="shared" si="572"/>
        <v>0</v>
      </c>
      <c r="AL1539" s="310" t="e">
        <f>+VLOOKUP(B1539,#REF!,2,FALSE)</f>
        <v>#REF!</v>
      </c>
      <c r="AM1539" s="311" t="e">
        <f t="shared" si="573"/>
        <v>#REF!</v>
      </c>
      <c r="AN1539" s="312" t="e">
        <f t="shared" si="574"/>
        <v>#REF!</v>
      </c>
    </row>
    <row r="1540" spans="1:40" s="73" customFormat="1" x14ac:dyDescent="0.25">
      <c r="A1540" s="313"/>
      <c r="B1540" s="314" t="s">
        <v>2205</v>
      </c>
      <c r="D1540" s="74">
        <f>IFERROR(VLOOKUP(B1540,'REQ. PINTADO'!B:C,2,0),0)</f>
        <v>0</v>
      </c>
      <c r="E1540" s="305">
        <f t="shared" si="560"/>
        <v>214.10556770683505</v>
      </c>
      <c r="F1540" s="397" t="s">
        <v>166</v>
      </c>
      <c r="G1540" s="75" t="s">
        <v>147</v>
      </c>
      <c r="H1540" s="90">
        <v>17.489999999999998</v>
      </c>
      <c r="I1540" s="90">
        <v>16.03</v>
      </c>
      <c r="J1540" s="76">
        <v>0.105</v>
      </c>
      <c r="K1540" s="306">
        <v>16.38</v>
      </c>
      <c r="L1540" s="78">
        <f t="shared" si="561"/>
        <v>8.5346810690402855</v>
      </c>
      <c r="M1540" s="58">
        <f>+VLOOKUP(F1540,Material!$H$2:$M$17,6,FALSE)*H1540*I1540*(1+Material!$K$14)</f>
        <v>63.544579959490846</v>
      </c>
      <c r="N1540" s="79" t="str">
        <f t="shared" si="562"/>
        <v>T5.0</v>
      </c>
      <c r="O1540" s="80">
        <f>+VLOOKUP(N1540,[3]Material!$A$3:$B$58,2,FALSE)</f>
        <v>5000</v>
      </c>
      <c r="P1540" s="79" t="s">
        <v>42</v>
      </c>
      <c r="Q1540" s="79" t="str">
        <f>+VLOOKUP(F1540,[3]Material!$C$2:$E$12,2,FALSE)</f>
        <v>Cal 16</v>
      </c>
      <c r="R1540" s="81">
        <f>+IF(P1540="ACERO A36",VLOOKUP(Q1540,'[3]Velocidades Std 1500 w'!$B$2:$F$15,5,FALSE),IF(P1540="INOXIDABLE",VLOOKUP(Q1540,'[3]Velocidades Std 1500 w'!$B$17:$F$28,5,FALSE),IF(P1540="ALUMINIO",VLOOKUP(Q1540,'[3]Velocidades Std 1500 w'!$B$30:$F$38,5,FALSE))))</f>
        <v>9.1575091575091579E-7</v>
      </c>
      <c r="S1540" s="82">
        <f t="shared" si="563"/>
        <v>4.578754578754579E-3</v>
      </c>
      <c r="T1540" s="83">
        <f t="shared" si="564"/>
        <v>6.9494400000000001</v>
      </c>
      <c r="U1540" s="307">
        <f t="shared" si="565"/>
        <v>2107.9967999999999</v>
      </c>
      <c r="V1540" s="80">
        <f t="shared" si="566"/>
        <v>9.6519999999999992</v>
      </c>
      <c r="W1540" s="98">
        <v>8</v>
      </c>
      <c r="X1540" s="84">
        <f>+IF(P1540="ACERO A36",VLOOKUP(Q1540,'[3]Tiempo Objeto'!$B$2:$C$12,2,FALSE),IF(P1540="INOXIDABLE",VLOOKUP(Q1540,'[3]Tiempo Objeto'!$B$14:$C$22,2,FALSE),IF(P1540="ALUMINIO",VLOOKUP(Q1540,'[3]Tiempo Objeto'!$B$24:$C$32,2,FALSE))))</f>
        <v>0.24666666666666667</v>
      </c>
      <c r="Y1540" s="84">
        <f t="shared" si="567"/>
        <v>1.9733333333333334</v>
      </c>
      <c r="Z1540" s="80">
        <f t="shared" si="568"/>
        <v>2.7407407407407405</v>
      </c>
      <c r="AA1540" s="100">
        <v>3</v>
      </c>
      <c r="AB1540" s="86">
        <f>+AA1540*Analisis!$J$6</f>
        <v>75</v>
      </c>
      <c r="AC1540" s="100"/>
      <c r="AD1540" s="85">
        <f t="shared" si="569"/>
        <v>0</v>
      </c>
      <c r="AE1540" s="86">
        <f>+AC1540*Analisis!$J$7</f>
        <v>0</v>
      </c>
      <c r="AF1540" s="308">
        <f>+H1540*0.0254*I1540*0.0254*2*(1+[3]Analisis!$G$2)</f>
        <v>0.45220022462999993</v>
      </c>
      <c r="AG1540" s="86">
        <f>+AF1540*Analisis!$J$8</f>
        <v>48.180857267125006</v>
      </c>
      <c r="AH1540" s="309">
        <f t="shared" si="570"/>
        <v>199.11817796735659</v>
      </c>
      <c r="AI1540" s="86">
        <f>+AH1540/(1-Analisis!G1215)</f>
        <v>199.11817796735659</v>
      </c>
      <c r="AJ1540" s="86">
        <f t="shared" si="571"/>
        <v>214.10556770683505</v>
      </c>
      <c r="AK1540" s="86">
        <f t="shared" si="572"/>
        <v>0</v>
      </c>
      <c r="AL1540" s="310" t="e">
        <f>+VLOOKUP(B1540,#REF!,2,FALSE)</f>
        <v>#REF!</v>
      </c>
      <c r="AM1540" s="311" t="e">
        <f t="shared" si="573"/>
        <v>#REF!</v>
      </c>
      <c r="AN1540" s="312" t="e">
        <f t="shared" si="574"/>
        <v>#REF!</v>
      </c>
    </row>
    <row r="1541" spans="1:40" s="73" customFormat="1" x14ac:dyDescent="0.25">
      <c r="A1541" s="313"/>
      <c r="B1541" s="314" t="s">
        <v>2206</v>
      </c>
      <c r="D1541" s="74">
        <f>IFERROR(VLOOKUP(B1541,'REQ. PINTADO'!B:C,2,0),0)</f>
        <v>0</v>
      </c>
      <c r="E1541" s="305">
        <f t="shared" si="560"/>
        <v>175.32060924273711</v>
      </c>
      <c r="F1541" s="397" t="s">
        <v>166</v>
      </c>
      <c r="G1541" s="75" t="s">
        <v>147</v>
      </c>
      <c r="H1541" s="90">
        <v>17.489999999999998</v>
      </c>
      <c r="I1541" s="90">
        <v>11.03</v>
      </c>
      <c r="J1541" s="76">
        <v>0.105</v>
      </c>
      <c r="K1541" s="306">
        <v>16.38</v>
      </c>
      <c r="L1541" s="78">
        <f t="shared" si="561"/>
        <v>5.8725846657214182</v>
      </c>
      <c r="M1541" s="58">
        <f>+VLOOKUP(F1541,Material!$H$2:$M$17,6,FALSE)*H1541*I1541*(1+Material!$K$14)</f>
        <v>43.724062192962187</v>
      </c>
      <c r="N1541" s="79" t="str">
        <f t="shared" si="562"/>
        <v>T5.0</v>
      </c>
      <c r="O1541" s="80">
        <f>+VLOOKUP(N1541,[3]Material!$A$3:$B$58,2,FALSE)</f>
        <v>5000</v>
      </c>
      <c r="P1541" s="79" t="s">
        <v>42</v>
      </c>
      <c r="Q1541" s="79" t="str">
        <f>+VLOOKUP(F1541,[3]Material!$C$2:$E$12,2,FALSE)</f>
        <v>Cal 16</v>
      </c>
      <c r="R1541" s="81">
        <f>+IF(P1541="ACERO A36",VLOOKUP(Q1541,'[3]Velocidades Std 1500 w'!$B$2:$F$15,5,FALSE),IF(P1541="INOXIDABLE",VLOOKUP(Q1541,'[3]Velocidades Std 1500 w'!$B$17:$F$28,5,FALSE),IF(P1541="ALUMINIO",VLOOKUP(Q1541,'[3]Velocidades Std 1500 w'!$B$30:$F$38,5,FALSE))))</f>
        <v>9.1575091575091579E-7</v>
      </c>
      <c r="S1541" s="82">
        <f t="shared" si="563"/>
        <v>4.578754578754579E-3</v>
      </c>
      <c r="T1541" s="83">
        <f t="shared" si="564"/>
        <v>6.0702092307692306</v>
      </c>
      <c r="U1541" s="307">
        <f t="shared" si="565"/>
        <v>1841.2967999999998</v>
      </c>
      <c r="V1541" s="80">
        <f t="shared" si="566"/>
        <v>8.4308461538461543</v>
      </c>
      <c r="W1541" s="98">
        <v>8</v>
      </c>
      <c r="X1541" s="84">
        <f>+IF(P1541="ACERO A36",VLOOKUP(Q1541,'[3]Tiempo Objeto'!$B$2:$C$12,2,FALSE),IF(P1541="INOXIDABLE",VLOOKUP(Q1541,'[3]Tiempo Objeto'!$B$14:$C$22,2,FALSE),IF(P1541="ALUMINIO",VLOOKUP(Q1541,'[3]Tiempo Objeto'!$B$24:$C$32,2,FALSE))))</f>
        <v>0.24666666666666667</v>
      </c>
      <c r="Y1541" s="84">
        <f t="shared" si="567"/>
        <v>1.9733333333333334</v>
      </c>
      <c r="Z1541" s="80">
        <f t="shared" si="568"/>
        <v>2.7407407407407405</v>
      </c>
      <c r="AA1541" s="100">
        <v>3</v>
      </c>
      <c r="AB1541" s="86">
        <f>+AA1541*Analisis!$J$6</f>
        <v>75</v>
      </c>
      <c r="AC1541" s="100"/>
      <c r="AD1541" s="85">
        <f t="shared" si="569"/>
        <v>0</v>
      </c>
      <c r="AE1541" s="86">
        <f>+AC1541*Analisis!$J$7</f>
        <v>0</v>
      </c>
      <c r="AF1541" s="308">
        <f>+H1541*0.0254*I1541*0.0254*2*(1+[3]Analisis!$G$2)</f>
        <v>0.31115211962999995</v>
      </c>
      <c r="AG1541" s="86">
        <f>+AF1541*Analisis!$J$8</f>
        <v>33.152517508196432</v>
      </c>
      <c r="AH1541" s="309">
        <f t="shared" si="570"/>
        <v>163.0481665957455</v>
      </c>
      <c r="AI1541" s="86">
        <f>+AH1541/(1-Analisis!G1216)</f>
        <v>163.0481665957455</v>
      </c>
      <c r="AJ1541" s="86">
        <f t="shared" si="571"/>
        <v>175.32060924273711</v>
      </c>
      <c r="AK1541" s="86">
        <f t="shared" si="572"/>
        <v>0</v>
      </c>
      <c r="AL1541" s="310" t="e">
        <f>+VLOOKUP(B1541,#REF!,2,FALSE)</f>
        <v>#REF!</v>
      </c>
      <c r="AM1541" s="311" t="e">
        <f t="shared" si="573"/>
        <v>#REF!</v>
      </c>
      <c r="AN1541" s="312" t="e">
        <f t="shared" si="574"/>
        <v>#REF!</v>
      </c>
    </row>
    <row r="1542" spans="1:40" s="73" customFormat="1" x14ac:dyDescent="0.25">
      <c r="A1542" s="313"/>
      <c r="B1542" s="314" t="s">
        <v>2207</v>
      </c>
      <c r="D1542" s="74">
        <f>IFERROR(VLOOKUP(B1542,'REQ. PINTADO'!B:C,2,0),0)</f>
        <v>0</v>
      </c>
      <c r="E1542" s="305">
        <f t="shared" si="560"/>
        <v>175.32060924273711</v>
      </c>
      <c r="F1542" s="397" t="s">
        <v>166</v>
      </c>
      <c r="G1542" s="75" t="s">
        <v>147</v>
      </c>
      <c r="H1542" s="90">
        <v>17.489999999999998</v>
      </c>
      <c r="I1542" s="90">
        <v>11.03</v>
      </c>
      <c r="J1542" s="76">
        <v>0.105</v>
      </c>
      <c r="K1542" s="306">
        <v>16.38</v>
      </c>
      <c r="L1542" s="78">
        <f t="shared" si="561"/>
        <v>5.8725846657214182</v>
      </c>
      <c r="M1542" s="58">
        <f>+VLOOKUP(F1542,Material!$H$2:$M$17,6,FALSE)*H1542*I1542*(1+Material!$K$14)</f>
        <v>43.724062192962187</v>
      </c>
      <c r="N1542" s="79" t="str">
        <f t="shared" si="562"/>
        <v>T5.0</v>
      </c>
      <c r="O1542" s="80">
        <f>+VLOOKUP(N1542,[3]Material!$A$3:$B$58,2,FALSE)</f>
        <v>5000</v>
      </c>
      <c r="P1542" s="79" t="s">
        <v>42</v>
      </c>
      <c r="Q1542" s="79" t="str">
        <f>+VLOOKUP(F1542,[3]Material!$C$2:$E$12,2,FALSE)</f>
        <v>Cal 16</v>
      </c>
      <c r="R1542" s="81">
        <f>+IF(P1542="ACERO A36",VLOOKUP(Q1542,'[3]Velocidades Std 1500 w'!$B$2:$F$15,5,FALSE),IF(P1542="INOXIDABLE",VLOOKUP(Q1542,'[3]Velocidades Std 1500 w'!$B$17:$F$28,5,FALSE),IF(P1542="ALUMINIO",VLOOKUP(Q1542,'[3]Velocidades Std 1500 w'!$B$30:$F$38,5,FALSE))))</f>
        <v>9.1575091575091579E-7</v>
      </c>
      <c r="S1542" s="82">
        <f t="shared" si="563"/>
        <v>4.578754578754579E-3</v>
      </c>
      <c r="T1542" s="83">
        <f t="shared" si="564"/>
        <v>6.0702092307692306</v>
      </c>
      <c r="U1542" s="307">
        <f t="shared" si="565"/>
        <v>1841.2967999999998</v>
      </c>
      <c r="V1542" s="80">
        <f t="shared" si="566"/>
        <v>8.4308461538461543</v>
      </c>
      <c r="W1542" s="98">
        <v>8</v>
      </c>
      <c r="X1542" s="84">
        <f>+IF(P1542="ACERO A36",VLOOKUP(Q1542,'[3]Tiempo Objeto'!$B$2:$C$12,2,FALSE),IF(P1542="INOXIDABLE",VLOOKUP(Q1542,'[3]Tiempo Objeto'!$B$14:$C$22,2,FALSE),IF(P1542="ALUMINIO",VLOOKUP(Q1542,'[3]Tiempo Objeto'!$B$24:$C$32,2,FALSE))))</f>
        <v>0.24666666666666667</v>
      </c>
      <c r="Y1542" s="84">
        <f t="shared" si="567"/>
        <v>1.9733333333333334</v>
      </c>
      <c r="Z1542" s="80">
        <f t="shared" si="568"/>
        <v>2.7407407407407405</v>
      </c>
      <c r="AA1542" s="100">
        <v>3</v>
      </c>
      <c r="AB1542" s="86">
        <f>+AA1542*Analisis!$J$6</f>
        <v>75</v>
      </c>
      <c r="AC1542" s="100"/>
      <c r="AD1542" s="85">
        <f t="shared" si="569"/>
        <v>0</v>
      </c>
      <c r="AE1542" s="86">
        <f>+AC1542*Analisis!$J$7</f>
        <v>0</v>
      </c>
      <c r="AF1542" s="308">
        <f>+H1542*0.0254*I1542*0.0254*2*(1+[3]Analisis!$G$2)</f>
        <v>0.31115211962999995</v>
      </c>
      <c r="AG1542" s="86">
        <f>+AF1542*Analisis!$J$8</f>
        <v>33.152517508196432</v>
      </c>
      <c r="AH1542" s="309">
        <f t="shared" si="570"/>
        <v>163.0481665957455</v>
      </c>
      <c r="AI1542" s="86">
        <f>+AH1542/(1-Analisis!G1217)</f>
        <v>163.0481665957455</v>
      </c>
      <c r="AJ1542" s="86">
        <f t="shared" si="571"/>
        <v>175.32060924273711</v>
      </c>
      <c r="AK1542" s="86">
        <f t="shared" si="572"/>
        <v>0</v>
      </c>
      <c r="AL1542" s="310" t="e">
        <f>+VLOOKUP(B1542,#REF!,2,FALSE)</f>
        <v>#REF!</v>
      </c>
      <c r="AM1542" s="311" t="e">
        <f t="shared" si="573"/>
        <v>#REF!</v>
      </c>
      <c r="AN1542" s="312" t="e">
        <f t="shared" si="574"/>
        <v>#REF!</v>
      </c>
    </row>
    <row r="1543" spans="1:40" s="73" customFormat="1" x14ac:dyDescent="0.25">
      <c r="A1543" s="313"/>
      <c r="B1543" s="314" t="s">
        <v>2208</v>
      </c>
      <c r="D1543" s="74">
        <f>IFERROR(VLOOKUP(B1543,'REQ. PINTADO'!B:C,2,0),0)</f>
        <v>0</v>
      </c>
      <c r="E1543" s="305">
        <f t="shared" si="560"/>
        <v>214.10556770683505</v>
      </c>
      <c r="F1543" s="397" t="s">
        <v>166</v>
      </c>
      <c r="G1543" s="75" t="s">
        <v>147</v>
      </c>
      <c r="H1543" s="90">
        <v>17.489999999999998</v>
      </c>
      <c r="I1543" s="90">
        <v>16.03</v>
      </c>
      <c r="J1543" s="76">
        <v>0.105</v>
      </c>
      <c r="K1543" s="306">
        <v>16.38</v>
      </c>
      <c r="L1543" s="78">
        <f t="shared" si="561"/>
        <v>8.5346810690402855</v>
      </c>
      <c r="M1543" s="58">
        <f>+VLOOKUP(F1543,Material!$H$2:$M$17,6,FALSE)*H1543*I1543*(1+Material!$K$14)</f>
        <v>63.544579959490846</v>
      </c>
      <c r="N1543" s="79" t="str">
        <f t="shared" si="562"/>
        <v>T5.0</v>
      </c>
      <c r="O1543" s="80">
        <f>+VLOOKUP(N1543,[3]Material!$A$3:$B$58,2,FALSE)</f>
        <v>5000</v>
      </c>
      <c r="P1543" s="79" t="s">
        <v>42</v>
      </c>
      <c r="Q1543" s="79" t="str">
        <f>+VLOOKUP(F1543,[3]Material!$C$2:$E$12,2,FALSE)</f>
        <v>Cal 16</v>
      </c>
      <c r="R1543" s="81">
        <f>+IF(P1543="ACERO A36",VLOOKUP(Q1543,'[3]Velocidades Std 1500 w'!$B$2:$F$15,5,FALSE),IF(P1543="INOXIDABLE",VLOOKUP(Q1543,'[3]Velocidades Std 1500 w'!$B$17:$F$28,5,FALSE),IF(P1543="ALUMINIO",VLOOKUP(Q1543,'[3]Velocidades Std 1500 w'!$B$30:$F$38,5,FALSE))))</f>
        <v>9.1575091575091579E-7</v>
      </c>
      <c r="S1543" s="82">
        <f t="shared" si="563"/>
        <v>4.578754578754579E-3</v>
      </c>
      <c r="T1543" s="83">
        <f t="shared" si="564"/>
        <v>6.9494400000000001</v>
      </c>
      <c r="U1543" s="307">
        <f t="shared" si="565"/>
        <v>2107.9967999999999</v>
      </c>
      <c r="V1543" s="80">
        <f t="shared" si="566"/>
        <v>9.6519999999999992</v>
      </c>
      <c r="W1543" s="98">
        <v>8</v>
      </c>
      <c r="X1543" s="84">
        <f>+IF(P1543="ACERO A36",VLOOKUP(Q1543,'[3]Tiempo Objeto'!$B$2:$C$12,2,FALSE),IF(P1543="INOXIDABLE",VLOOKUP(Q1543,'[3]Tiempo Objeto'!$B$14:$C$22,2,FALSE),IF(P1543="ALUMINIO",VLOOKUP(Q1543,'[3]Tiempo Objeto'!$B$24:$C$32,2,FALSE))))</f>
        <v>0.24666666666666667</v>
      </c>
      <c r="Y1543" s="84">
        <f t="shared" si="567"/>
        <v>1.9733333333333334</v>
      </c>
      <c r="Z1543" s="80">
        <f t="shared" si="568"/>
        <v>2.7407407407407405</v>
      </c>
      <c r="AA1543" s="100">
        <v>3</v>
      </c>
      <c r="AB1543" s="86">
        <f>+AA1543*Analisis!$J$6</f>
        <v>75</v>
      </c>
      <c r="AC1543" s="100"/>
      <c r="AD1543" s="85">
        <f t="shared" si="569"/>
        <v>0</v>
      </c>
      <c r="AE1543" s="86">
        <f>+AC1543*Analisis!$J$7</f>
        <v>0</v>
      </c>
      <c r="AF1543" s="308">
        <f>+H1543*0.0254*I1543*0.0254*2*(1+[3]Analisis!$G$2)</f>
        <v>0.45220022462999993</v>
      </c>
      <c r="AG1543" s="86">
        <f>+AF1543*Analisis!$J$8</f>
        <v>48.180857267125006</v>
      </c>
      <c r="AH1543" s="309">
        <f t="shared" si="570"/>
        <v>199.11817796735659</v>
      </c>
      <c r="AI1543" s="86">
        <f>+AH1543/(1-Analisis!G1218)</f>
        <v>199.11817796735659</v>
      </c>
      <c r="AJ1543" s="86">
        <f t="shared" si="571"/>
        <v>214.10556770683505</v>
      </c>
      <c r="AK1543" s="86">
        <f t="shared" si="572"/>
        <v>0</v>
      </c>
      <c r="AL1543" s="310" t="e">
        <f>+VLOOKUP(B1543,#REF!,2,FALSE)</f>
        <v>#REF!</v>
      </c>
      <c r="AM1543" s="311" t="e">
        <f t="shared" si="573"/>
        <v>#REF!</v>
      </c>
      <c r="AN1543" s="312" t="e">
        <f t="shared" si="574"/>
        <v>#REF!</v>
      </c>
    </row>
    <row r="1544" spans="1:40" s="73" customFormat="1" x14ac:dyDescent="0.25">
      <c r="A1544" s="313"/>
      <c r="B1544" s="314" t="s">
        <v>2209</v>
      </c>
      <c r="D1544" s="74">
        <f>IFERROR(VLOOKUP(B1544,'REQ. PINTADO'!B:C,2,0),0)</f>
        <v>0</v>
      </c>
      <c r="E1544" s="305">
        <f t="shared" ref="E1544:E1553" si="575">+AJ1544</f>
        <v>175.32060924273711</v>
      </c>
      <c r="F1544" s="397" t="s">
        <v>166</v>
      </c>
      <c r="G1544" s="75" t="s">
        <v>147</v>
      </c>
      <c r="H1544" s="90">
        <v>17.489999999999998</v>
      </c>
      <c r="I1544" s="90">
        <v>11.03</v>
      </c>
      <c r="J1544" s="76">
        <v>0.105</v>
      </c>
      <c r="K1544" s="306">
        <v>16.38</v>
      </c>
      <c r="L1544" s="78">
        <f t="shared" ref="L1544:L1553" si="576">+M1544*2.2/K1544</f>
        <v>5.8725846657214182</v>
      </c>
      <c r="M1544" s="58">
        <f>+VLOOKUP(F1544,Material!$H$2:$M$17,6,FALSE)*H1544*I1544*(1+Material!$K$14)</f>
        <v>43.724062192962187</v>
      </c>
      <c r="N1544" s="79" t="str">
        <f t="shared" si="562"/>
        <v>T5.0</v>
      </c>
      <c r="O1544" s="80">
        <f>+VLOOKUP(N1544,[3]Material!$A$3:$B$58,2,FALSE)</f>
        <v>5000</v>
      </c>
      <c r="P1544" s="79" t="s">
        <v>42</v>
      </c>
      <c r="Q1544" s="79" t="str">
        <f>+VLOOKUP(F1544,[3]Material!$C$2:$E$12,2,FALSE)</f>
        <v>Cal 16</v>
      </c>
      <c r="R1544" s="81">
        <f>+IF(P1544="ACERO A36",VLOOKUP(Q1544,'[3]Velocidades Std 1500 w'!$B$2:$F$15,5,FALSE),IF(P1544="INOXIDABLE",VLOOKUP(Q1544,'[3]Velocidades Std 1500 w'!$B$17:$F$28,5,FALSE),IF(P1544="ALUMINIO",VLOOKUP(Q1544,'[3]Velocidades Std 1500 w'!$B$30:$F$38,5,FALSE))))</f>
        <v>9.1575091575091579E-7</v>
      </c>
      <c r="S1544" s="82">
        <f t="shared" ref="S1544:S1553" si="577">+R1544*O1544</f>
        <v>4.578754578754579E-3</v>
      </c>
      <c r="T1544" s="83">
        <f t="shared" ref="T1544:T1553" si="578">+R1544*U1544*3600</f>
        <v>6.0702092307692306</v>
      </c>
      <c r="U1544" s="307">
        <f t="shared" ref="U1544:U1553" si="579">(+I1544*2+H1544*2+W1544*1.5)*25.4*1.05</f>
        <v>1841.2967999999998</v>
      </c>
      <c r="V1544" s="80">
        <f t="shared" ref="V1544:V1553" si="580">+U1544*S1544</f>
        <v>8.4308461538461543</v>
      </c>
      <c r="W1544" s="98">
        <v>8</v>
      </c>
      <c r="X1544" s="84">
        <f>+IF(P1544="ACERO A36",VLOOKUP(Q1544,'[3]Tiempo Objeto'!$B$2:$C$12,2,FALSE),IF(P1544="INOXIDABLE",VLOOKUP(Q1544,'[3]Tiempo Objeto'!$B$14:$C$22,2,FALSE),IF(P1544="ALUMINIO",VLOOKUP(Q1544,'[3]Tiempo Objeto'!$B$24:$C$32,2,FALSE))))</f>
        <v>0.24666666666666667</v>
      </c>
      <c r="Y1544" s="84">
        <f t="shared" ref="Y1544:Y1553" si="581">+X1544*W1544</f>
        <v>1.9733333333333334</v>
      </c>
      <c r="Z1544" s="80">
        <f t="shared" ref="Z1544:Z1553" si="582">+Y1544*O1544/3600</f>
        <v>2.7407407407407405</v>
      </c>
      <c r="AA1544" s="100">
        <v>3</v>
      </c>
      <c r="AB1544" s="86">
        <f>+AA1544*Analisis!$J$6</f>
        <v>75</v>
      </c>
      <c r="AC1544" s="100"/>
      <c r="AD1544" s="85">
        <f t="shared" ref="AD1544:AD1553" si="583">30*AC1544+AC1544*$D1544*1.5</f>
        <v>0</v>
      </c>
      <c r="AE1544" s="86">
        <f>+AC1544*Analisis!$J$7</f>
        <v>0</v>
      </c>
      <c r="AF1544" s="308">
        <f>+H1544*0.0254*I1544*0.0254*2*(1+[3]Analisis!$G$2)</f>
        <v>0.31115211962999995</v>
      </c>
      <c r="AG1544" s="86">
        <f>+AF1544*Analisis!$J$8</f>
        <v>33.152517508196432</v>
      </c>
      <c r="AH1544" s="309">
        <f t="shared" ref="AH1544:AH1553" si="584">+AE1544+AB1544+Z1544+V1544+M1544+AG1544</f>
        <v>163.0481665957455</v>
      </c>
      <c r="AI1544" s="86">
        <f>+AH1544/(1-Analisis!G1219)</f>
        <v>163.0481665957455</v>
      </c>
      <c r="AJ1544" s="86">
        <f t="shared" ref="AJ1544:AJ1553" si="585">+AI1544/(1-0.07)</f>
        <v>175.32060924273711</v>
      </c>
      <c r="AK1544" s="86">
        <f t="shared" ref="AK1544:AK1553" si="586">+AJ1544*D1544</f>
        <v>0</v>
      </c>
      <c r="AL1544" s="310" t="e">
        <f>+VLOOKUP(B1544,#REF!,2,FALSE)</f>
        <v>#REF!</v>
      </c>
      <c r="AM1544" s="311" t="e">
        <f t="shared" ref="AM1544:AM1553" si="587">+AL1544-E1544</f>
        <v>#REF!</v>
      </c>
      <c r="AN1544" s="312" t="e">
        <f t="shared" ref="AN1544:AN1553" si="588">+AM1544/AL1544</f>
        <v>#REF!</v>
      </c>
    </row>
    <row r="1545" spans="1:40" s="73" customFormat="1" x14ac:dyDescent="0.25">
      <c r="A1545" s="313"/>
      <c r="B1545" s="314" t="s">
        <v>2210</v>
      </c>
      <c r="D1545" s="74">
        <f>IFERROR(VLOOKUP(B1545,'REQ. PINTADO'!B:C,2,0),0)</f>
        <v>0</v>
      </c>
      <c r="E1545" s="305">
        <f t="shared" si="575"/>
        <v>214.10556770683505</v>
      </c>
      <c r="F1545" s="397" t="s">
        <v>166</v>
      </c>
      <c r="G1545" s="75" t="s">
        <v>147</v>
      </c>
      <c r="H1545" s="90">
        <v>17.489999999999998</v>
      </c>
      <c r="I1545" s="90">
        <v>16.03</v>
      </c>
      <c r="J1545" s="76">
        <v>0.105</v>
      </c>
      <c r="K1545" s="306">
        <v>16.38</v>
      </c>
      <c r="L1545" s="78">
        <f t="shared" si="576"/>
        <v>8.5346810690402855</v>
      </c>
      <c r="M1545" s="58">
        <f>+VLOOKUP(F1545,Material!$H$2:$M$17,6,FALSE)*H1545*I1545*(1+Material!$K$14)</f>
        <v>63.544579959490846</v>
      </c>
      <c r="N1545" s="79" t="str">
        <f t="shared" si="562"/>
        <v>T5.0</v>
      </c>
      <c r="O1545" s="80">
        <f>+VLOOKUP(N1545,[3]Material!$A$3:$B$58,2,FALSE)</f>
        <v>5000</v>
      </c>
      <c r="P1545" s="79" t="s">
        <v>42</v>
      </c>
      <c r="Q1545" s="79" t="str">
        <f>+VLOOKUP(F1545,[3]Material!$C$2:$E$12,2,FALSE)</f>
        <v>Cal 16</v>
      </c>
      <c r="R1545" s="81">
        <f>+IF(P1545="ACERO A36",VLOOKUP(Q1545,'[3]Velocidades Std 1500 w'!$B$2:$F$15,5,FALSE),IF(P1545="INOXIDABLE",VLOOKUP(Q1545,'[3]Velocidades Std 1500 w'!$B$17:$F$28,5,FALSE),IF(P1545="ALUMINIO",VLOOKUP(Q1545,'[3]Velocidades Std 1500 w'!$B$30:$F$38,5,FALSE))))</f>
        <v>9.1575091575091579E-7</v>
      </c>
      <c r="S1545" s="82">
        <f t="shared" si="577"/>
        <v>4.578754578754579E-3</v>
      </c>
      <c r="T1545" s="83">
        <f t="shared" si="578"/>
        <v>6.9494400000000001</v>
      </c>
      <c r="U1545" s="307">
        <f t="shared" si="579"/>
        <v>2107.9967999999999</v>
      </c>
      <c r="V1545" s="80">
        <f t="shared" si="580"/>
        <v>9.6519999999999992</v>
      </c>
      <c r="W1545" s="98">
        <v>8</v>
      </c>
      <c r="X1545" s="84">
        <f>+IF(P1545="ACERO A36",VLOOKUP(Q1545,'[3]Tiempo Objeto'!$B$2:$C$12,2,FALSE),IF(P1545="INOXIDABLE",VLOOKUP(Q1545,'[3]Tiempo Objeto'!$B$14:$C$22,2,FALSE),IF(P1545="ALUMINIO",VLOOKUP(Q1545,'[3]Tiempo Objeto'!$B$24:$C$32,2,FALSE))))</f>
        <v>0.24666666666666667</v>
      </c>
      <c r="Y1545" s="84">
        <f t="shared" si="581"/>
        <v>1.9733333333333334</v>
      </c>
      <c r="Z1545" s="80">
        <f t="shared" si="582"/>
        <v>2.7407407407407405</v>
      </c>
      <c r="AA1545" s="100">
        <v>3</v>
      </c>
      <c r="AB1545" s="86">
        <f>+AA1545*Analisis!$J$6</f>
        <v>75</v>
      </c>
      <c r="AC1545" s="100"/>
      <c r="AD1545" s="85">
        <f t="shared" si="583"/>
        <v>0</v>
      </c>
      <c r="AE1545" s="86">
        <f>+AC1545*Analisis!$J$7</f>
        <v>0</v>
      </c>
      <c r="AF1545" s="308">
        <f>+H1545*0.0254*I1545*0.0254*2*(1+[3]Analisis!$G$2)</f>
        <v>0.45220022462999993</v>
      </c>
      <c r="AG1545" s="86">
        <f>+AF1545*Analisis!$J$8</f>
        <v>48.180857267125006</v>
      </c>
      <c r="AH1545" s="309">
        <f t="shared" si="584"/>
        <v>199.11817796735659</v>
      </c>
      <c r="AI1545" s="86">
        <f>+AH1545/(1-Analisis!G1220)</f>
        <v>199.11817796735659</v>
      </c>
      <c r="AJ1545" s="86">
        <f t="shared" si="585"/>
        <v>214.10556770683505</v>
      </c>
      <c r="AK1545" s="86">
        <f t="shared" si="586"/>
        <v>0</v>
      </c>
      <c r="AL1545" s="310" t="e">
        <f>+VLOOKUP(B1545,#REF!,2,FALSE)</f>
        <v>#REF!</v>
      </c>
      <c r="AM1545" s="311" t="e">
        <f t="shared" si="587"/>
        <v>#REF!</v>
      </c>
      <c r="AN1545" s="312" t="e">
        <f t="shared" si="588"/>
        <v>#REF!</v>
      </c>
    </row>
    <row r="1546" spans="1:40" s="73" customFormat="1" x14ac:dyDescent="0.25">
      <c r="A1546" s="313"/>
      <c r="B1546" s="314" t="s">
        <v>2211</v>
      </c>
      <c r="D1546" s="74">
        <f>IFERROR(VLOOKUP(B1546,'REQ. PINTADO'!B:C,2,0),0)</f>
        <v>0</v>
      </c>
      <c r="E1546" s="305">
        <f t="shared" si="575"/>
        <v>155.92813001068814</v>
      </c>
      <c r="F1546" s="397" t="s">
        <v>166</v>
      </c>
      <c r="G1546" s="75" t="s">
        <v>147</v>
      </c>
      <c r="H1546" s="90">
        <v>17.489999999999998</v>
      </c>
      <c r="I1546" s="90">
        <v>8.5299999999999994</v>
      </c>
      <c r="J1546" s="76">
        <v>0.105</v>
      </c>
      <c r="K1546" s="306">
        <v>16.38</v>
      </c>
      <c r="L1546" s="78">
        <f t="shared" si="576"/>
        <v>4.5415364640619851</v>
      </c>
      <c r="M1546" s="58">
        <f>+VLOOKUP(F1546,Material!$H$2:$M$17,6,FALSE)*H1546*I1546*(1+Material!$K$14)</f>
        <v>33.813803309697867</v>
      </c>
      <c r="N1546" s="79" t="str">
        <f t="shared" si="562"/>
        <v>T5.0</v>
      </c>
      <c r="O1546" s="80">
        <f>+VLOOKUP(N1546,[3]Material!$A$3:$B$58,2,FALSE)</f>
        <v>5000</v>
      </c>
      <c r="P1546" s="79" t="s">
        <v>42</v>
      </c>
      <c r="Q1546" s="79" t="str">
        <f>+VLOOKUP(F1546,[3]Material!$C$2:$E$12,2,FALSE)</f>
        <v>Cal 16</v>
      </c>
      <c r="R1546" s="81">
        <f>+IF(P1546="ACERO A36",VLOOKUP(Q1546,'[3]Velocidades Std 1500 w'!$B$2:$F$15,5,FALSE),IF(P1546="INOXIDABLE",VLOOKUP(Q1546,'[3]Velocidades Std 1500 w'!$B$17:$F$28,5,FALSE),IF(P1546="ALUMINIO",VLOOKUP(Q1546,'[3]Velocidades Std 1500 w'!$B$30:$F$38,5,FALSE))))</f>
        <v>9.1575091575091579E-7</v>
      </c>
      <c r="S1546" s="82">
        <f t="shared" si="577"/>
        <v>4.578754578754579E-3</v>
      </c>
      <c r="T1546" s="83">
        <f t="shared" si="578"/>
        <v>5.630593846153845</v>
      </c>
      <c r="U1546" s="307">
        <f t="shared" si="579"/>
        <v>1707.9467999999997</v>
      </c>
      <c r="V1546" s="80">
        <f t="shared" si="580"/>
        <v>7.8202692307692301</v>
      </c>
      <c r="W1546" s="98">
        <v>8</v>
      </c>
      <c r="X1546" s="84">
        <f>+IF(P1546="ACERO A36",VLOOKUP(Q1546,'[3]Tiempo Objeto'!$B$2:$C$12,2,FALSE),IF(P1546="INOXIDABLE",VLOOKUP(Q1546,'[3]Tiempo Objeto'!$B$14:$C$22,2,FALSE),IF(P1546="ALUMINIO",VLOOKUP(Q1546,'[3]Tiempo Objeto'!$B$24:$C$32,2,FALSE))))</f>
        <v>0.24666666666666667</v>
      </c>
      <c r="Y1546" s="84">
        <f t="shared" si="581"/>
        <v>1.9733333333333334</v>
      </c>
      <c r="Z1546" s="80">
        <f t="shared" si="582"/>
        <v>2.7407407407407405</v>
      </c>
      <c r="AA1546" s="100">
        <v>3</v>
      </c>
      <c r="AB1546" s="86">
        <f>+AA1546*Analisis!$J$6</f>
        <v>75</v>
      </c>
      <c r="AC1546" s="100"/>
      <c r="AD1546" s="85">
        <f t="shared" si="583"/>
        <v>0</v>
      </c>
      <c r="AE1546" s="86">
        <f>+AC1546*Analisis!$J$7</f>
        <v>0</v>
      </c>
      <c r="AF1546" s="308">
        <f>+H1546*0.0254*I1546*0.0254*2*(1+[3]Analisis!$G$2)</f>
        <v>0.2406280671299999</v>
      </c>
      <c r="AG1546" s="86">
        <f>+AF1546*Analisis!$J$8</f>
        <v>25.638347628732141</v>
      </c>
      <c r="AH1546" s="309">
        <f t="shared" si="584"/>
        <v>145.01316090993996</v>
      </c>
      <c r="AI1546" s="86">
        <f>+AH1546/(1-Analisis!G1221)</f>
        <v>145.01316090993996</v>
      </c>
      <c r="AJ1546" s="86">
        <f t="shared" si="585"/>
        <v>155.92813001068814</v>
      </c>
      <c r="AK1546" s="86">
        <f t="shared" si="586"/>
        <v>0</v>
      </c>
      <c r="AL1546" s="310" t="e">
        <f>+VLOOKUP(B1546,#REF!,2,FALSE)</f>
        <v>#REF!</v>
      </c>
      <c r="AM1546" s="311" t="e">
        <f t="shared" si="587"/>
        <v>#REF!</v>
      </c>
      <c r="AN1546" s="312" t="e">
        <f t="shared" si="588"/>
        <v>#REF!</v>
      </c>
    </row>
    <row r="1547" spans="1:40" s="73" customFormat="1" x14ac:dyDescent="0.25">
      <c r="A1547" s="313"/>
      <c r="B1547" s="314" t="s">
        <v>2212</v>
      </c>
      <c r="D1547" s="74">
        <f>IFERROR(VLOOKUP(B1547,'REQ. PINTADO'!B:C,2,0),0)</f>
        <v>0</v>
      </c>
      <c r="E1547" s="305">
        <f t="shared" si="575"/>
        <v>175.32060924273711</v>
      </c>
      <c r="F1547" s="397" t="s">
        <v>166</v>
      </c>
      <c r="G1547" s="75" t="s">
        <v>147</v>
      </c>
      <c r="H1547" s="90">
        <v>17.489999999999998</v>
      </c>
      <c r="I1547" s="90">
        <v>11.03</v>
      </c>
      <c r="J1547" s="76">
        <v>0.105</v>
      </c>
      <c r="K1547" s="306">
        <v>16.38</v>
      </c>
      <c r="L1547" s="78">
        <f t="shared" si="576"/>
        <v>5.8725846657214182</v>
      </c>
      <c r="M1547" s="58">
        <f>+VLOOKUP(F1547,Material!$H$2:$M$17,6,FALSE)*H1547*I1547*(1+Material!$K$14)</f>
        <v>43.724062192962187</v>
      </c>
      <c r="N1547" s="79" t="str">
        <f t="shared" si="562"/>
        <v>T5.0</v>
      </c>
      <c r="O1547" s="80">
        <f>+VLOOKUP(N1547,[3]Material!$A$3:$B$58,2,FALSE)</f>
        <v>5000</v>
      </c>
      <c r="P1547" s="79" t="s">
        <v>42</v>
      </c>
      <c r="Q1547" s="79" t="str">
        <f>+VLOOKUP(F1547,[3]Material!$C$2:$E$12,2,FALSE)</f>
        <v>Cal 16</v>
      </c>
      <c r="R1547" s="81">
        <f>+IF(P1547="ACERO A36",VLOOKUP(Q1547,'[3]Velocidades Std 1500 w'!$B$2:$F$15,5,FALSE),IF(P1547="INOXIDABLE",VLOOKUP(Q1547,'[3]Velocidades Std 1500 w'!$B$17:$F$28,5,FALSE),IF(P1547="ALUMINIO",VLOOKUP(Q1547,'[3]Velocidades Std 1500 w'!$B$30:$F$38,5,FALSE))))</f>
        <v>9.1575091575091579E-7</v>
      </c>
      <c r="S1547" s="82">
        <f t="shared" si="577"/>
        <v>4.578754578754579E-3</v>
      </c>
      <c r="T1547" s="83">
        <f t="shared" si="578"/>
        <v>6.0702092307692306</v>
      </c>
      <c r="U1547" s="307">
        <f t="shared" si="579"/>
        <v>1841.2967999999998</v>
      </c>
      <c r="V1547" s="80">
        <f t="shared" si="580"/>
        <v>8.4308461538461543</v>
      </c>
      <c r="W1547" s="98">
        <v>8</v>
      </c>
      <c r="X1547" s="84">
        <f>+IF(P1547="ACERO A36",VLOOKUP(Q1547,'[3]Tiempo Objeto'!$B$2:$C$12,2,FALSE),IF(P1547="INOXIDABLE",VLOOKUP(Q1547,'[3]Tiempo Objeto'!$B$14:$C$22,2,FALSE),IF(P1547="ALUMINIO",VLOOKUP(Q1547,'[3]Tiempo Objeto'!$B$24:$C$32,2,FALSE))))</f>
        <v>0.24666666666666667</v>
      </c>
      <c r="Y1547" s="84">
        <f t="shared" si="581"/>
        <v>1.9733333333333334</v>
      </c>
      <c r="Z1547" s="80">
        <f t="shared" si="582"/>
        <v>2.7407407407407405</v>
      </c>
      <c r="AA1547" s="100">
        <v>3</v>
      </c>
      <c r="AB1547" s="86">
        <f>+AA1547*Analisis!$J$6</f>
        <v>75</v>
      </c>
      <c r="AC1547" s="100"/>
      <c r="AD1547" s="85">
        <f t="shared" si="583"/>
        <v>0</v>
      </c>
      <c r="AE1547" s="86">
        <f>+AC1547*Analisis!$J$7</f>
        <v>0</v>
      </c>
      <c r="AF1547" s="308">
        <f>+H1547*0.0254*I1547*0.0254*2*(1+[3]Analisis!$G$2)</f>
        <v>0.31115211962999995</v>
      </c>
      <c r="AG1547" s="86">
        <f>+AF1547*Analisis!$J$8</f>
        <v>33.152517508196432</v>
      </c>
      <c r="AH1547" s="309">
        <f t="shared" si="584"/>
        <v>163.0481665957455</v>
      </c>
      <c r="AI1547" s="86">
        <f>+AH1547/(1-Analisis!G1222)</f>
        <v>163.0481665957455</v>
      </c>
      <c r="AJ1547" s="86">
        <f t="shared" si="585"/>
        <v>175.32060924273711</v>
      </c>
      <c r="AK1547" s="86">
        <f t="shared" si="586"/>
        <v>0</v>
      </c>
      <c r="AL1547" s="310" t="e">
        <f>+VLOOKUP(B1547,#REF!,2,FALSE)</f>
        <v>#REF!</v>
      </c>
      <c r="AM1547" s="311" t="e">
        <f t="shared" si="587"/>
        <v>#REF!</v>
      </c>
      <c r="AN1547" s="312" t="e">
        <f t="shared" si="588"/>
        <v>#REF!</v>
      </c>
    </row>
    <row r="1548" spans="1:40" s="73" customFormat="1" x14ac:dyDescent="0.25">
      <c r="A1548" s="313"/>
      <c r="B1548" s="314" t="s">
        <v>2213</v>
      </c>
      <c r="D1548" s="74">
        <f>IFERROR(VLOOKUP(B1548,'REQ. PINTADO'!B:C,2,0),0)</f>
        <v>0</v>
      </c>
      <c r="E1548" s="305">
        <f t="shared" si="575"/>
        <v>214.10556770683505</v>
      </c>
      <c r="F1548" s="397" t="s">
        <v>166</v>
      </c>
      <c r="G1548" s="75" t="s">
        <v>147</v>
      </c>
      <c r="H1548" s="90">
        <v>17.489999999999998</v>
      </c>
      <c r="I1548" s="90">
        <v>16.03</v>
      </c>
      <c r="J1548" s="76">
        <v>0.105</v>
      </c>
      <c r="K1548" s="306">
        <v>16.38</v>
      </c>
      <c r="L1548" s="78">
        <f t="shared" si="576"/>
        <v>8.5346810690402855</v>
      </c>
      <c r="M1548" s="58">
        <f>+VLOOKUP(F1548,Material!$H$2:$M$17,6,FALSE)*H1548*I1548*(1+Material!$K$14)</f>
        <v>63.544579959490846</v>
      </c>
      <c r="N1548" s="79" t="str">
        <f t="shared" si="562"/>
        <v>T5.0</v>
      </c>
      <c r="O1548" s="80">
        <f>+VLOOKUP(N1548,[3]Material!$A$3:$B$58,2,FALSE)</f>
        <v>5000</v>
      </c>
      <c r="P1548" s="79" t="s">
        <v>42</v>
      </c>
      <c r="Q1548" s="79" t="str">
        <f>+VLOOKUP(F1548,[3]Material!$C$2:$E$12,2,FALSE)</f>
        <v>Cal 16</v>
      </c>
      <c r="R1548" s="81">
        <f>+IF(P1548="ACERO A36",VLOOKUP(Q1548,'[3]Velocidades Std 1500 w'!$B$2:$F$15,5,FALSE),IF(P1548="INOXIDABLE",VLOOKUP(Q1548,'[3]Velocidades Std 1500 w'!$B$17:$F$28,5,FALSE),IF(P1548="ALUMINIO",VLOOKUP(Q1548,'[3]Velocidades Std 1500 w'!$B$30:$F$38,5,FALSE))))</f>
        <v>9.1575091575091579E-7</v>
      </c>
      <c r="S1548" s="82">
        <f t="shared" si="577"/>
        <v>4.578754578754579E-3</v>
      </c>
      <c r="T1548" s="83">
        <f t="shared" si="578"/>
        <v>6.9494400000000001</v>
      </c>
      <c r="U1548" s="307">
        <f t="shared" si="579"/>
        <v>2107.9967999999999</v>
      </c>
      <c r="V1548" s="80">
        <f t="shared" si="580"/>
        <v>9.6519999999999992</v>
      </c>
      <c r="W1548" s="98">
        <v>8</v>
      </c>
      <c r="X1548" s="84">
        <f>+IF(P1548="ACERO A36",VLOOKUP(Q1548,'[3]Tiempo Objeto'!$B$2:$C$12,2,FALSE),IF(P1548="INOXIDABLE",VLOOKUP(Q1548,'[3]Tiempo Objeto'!$B$14:$C$22,2,FALSE),IF(P1548="ALUMINIO",VLOOKUP(Q1548,'[3]Tiempo Objeto'!$B$24:$C$32,2,FALSE))))</f>
        <v>0.24666666666666667</v>
      </c>
      <c r="Y1548" s="84">
        <f t="shared" si="581"/>
        <v>1.9733333333333334</v>
      </c>
      <c r="Z1548" s="80">
        <f t="shared" si="582"/>
        <v>2.7407407407407405</v>
      </c>
      <c r="AA1548" s="100">
        <v>3</v>
      </c>
      <c r="AB1548" s="86">
        <f>+AA1548*Analisis!$J$6</f>
        <v>75</v>
      </c>
      <c r="AC1548" s="100"/>
      <c r="AD1548" s="85">
        <f t="shared" si="583"/>
        <v>0</v>
      </c>
      <c r="AE1548" s="86">
        <f>+AC1548*Analisis!$J$7</f>
        <v>0</v>
      </c>
      <c r="AF1548" s="308">
        <f>+H1548*0.0254*I1548*0.0254*2*(1+[3]Analisis!$G$2)</f>
        <v>0.45220022462999993</v>
      </c>
      <c r="AG1548" s="86">
        <f>+AF1548*Analisis!$J$8</f>
        <v>48.180857267125006</v>
      </c>
      <c r="AH1548" s="309">
        <f t="shared" si="584"/>
        <v>199.11817796735659</v>
      </c>
      <c r="AI1548" s="86">
        <f>+AH1548/(1-Analisis!G1223)</f>
        <v>199.11817796735659</v>
      </c>
      <c r="AJ1548" s="86">
        <f t="shared" si="585"/>
        <v>214.10556770683505</v>
      </c>
      <c r="AK1548" s="86">
        <f t="shared" si="586"/>
        <v>0</v>
      </c>
      <c r="AL1548" s="310" t="e">
        <f>+VLOOKUP(B1548,#REF!,2,FALSE)</f>
        <v>#REF!</v>
      </c>
      <c r="AM1548" s="311" t="e">
        <f t="shared" si="587"/>
        <v>#REF!</v>
      </c>
      <c r="AN1548" s="312" t="e">
        <f t="shared" si="588"/>
        <v>#REF!</v>
      </c>
    </row>
    <row r="1549" spans="1:40" s="73" customFormat="1" x14ac:dyDescent="0.25">
      <c r="A1549" s="313"/>
      <c r="B1549" s="314" t="s">
        <v>2214</v>
      </c>
      <c r="D1549" s="74">
        <f>IFERROR(VLOOKUP(B1549,'REQ. PINTADO'!B:C,2,0),0)</f>
        <v>0</v>
      </c>
      <c r="E1549" s="305">
        <f t="shared" si="575"/>
        <v>175.32060924273711</v>
      </c>
      <c r="F1549" s="397" t="s">
        <v>166</v>
      </c>
      <c r="G1549" s="75" t="s">
        <v>147</v>
      </c>
      <c r="H1549" s="90">
        <v>17.489999999999998</v>
      </c>
      <c r="I1549" s="90">
        <v>11.03</v>
      </c>
      <c r="J1549" s="76">
        <v>0.105</v>
      </c>
      <c r="K1549" s="306">
        <v>16.38</v>
      </c>
      <c r="L1549" s="78">
        <f t="shared" si="576"/>
        <v>5.8725846657214182</v>
      </c>
      <c r="M1549" s="58">
        <f>+VLOOKUP(F1549,Material!$H$2:$M$17,6,FALSE)*H1549*I1549*(1+Material!$K$14)</f>
        <v>43.724062192962187</v>
      </c>
      <c r="N1549" s="79" t="str">
        <f t="shared" si="562"/>
        <v>T5.0</v>
      </c>
      <c r="O1549" s="80">
        <f>+VLOOKUP(N1549,[3]Material!$A$3:$B$58,2,FALSE)</f>
        <v>5000</v>
      </c>
      <c r="P1549" s="79" t="s">
        <v>42</v>
      </c>
      <c r="Q1549" s="79" t="str">
        <f>+VLOOKUP(F1549,[3]Material!$C$2:$E$12,2,FALSE)</f>
        <v>Cal 16</v>
      </c>
      <c r="R1549" s="81">
        <f>+IF(P1549="ACERO A36",VLOOKUP(Q1549,'[3]Velocidades Std 1500 w'!$B$2:$F$15,5,FALSE),IF(P1549="INOXIDABLE",VLOOKUP(Q1549,'[3]Velocidades Std 1500 w'!$B$17:$F$28,5,FALSE),IF(P1549="ALUMINIO",VLOOKUP(Q1549,'[3]Velocidades Std 1500 w'!$B$30:$F$38,5,FALSE))))</f>
        <v>9.1575091575091579E-7</v>
      </c>
      <c r="S1549" s="82">
        <f t="shared" si="577"/>
        <v>4.578754578754579E-3</v>
      </c>
      <c r="T1549" s="83">
        <f t="shared" si="578"/>
        <v>6.0702092307692306</v>
      </c>
      <c r="U1549" s="307">
        <f t="shared" si="579"/>
        <v>1841.2967999999998</v>
      </c>
      <c r="V1549" s="80">
        <f t="shared" si="580"/>
        <v>8.4308461538461543</v>
      </c>
      <c r="W1549" s="98">
        <v>8</v>
      </c>
      <c r="X1549" s="84">
        <f>+IF(P1549="ACERO A36",VLOOKUP(Q1549,'[3]Tiempo Objeto'!$B$2:$C$12,2,FALSE),IF(P1549="INOXIDABLE",VLOOKUP(Q1549,'[3]Tiempo Objeto'!$B$14:$C$22,2,FALSE),IF(P1549="ALUMINIO",VLOOKUP(Q1549,'[3]Tiempo Objeto'!$B$24:$C$32,2,FALSE))))</f>
        <v>0.24666666666666667</v>
      </c>
      <c r="Y1549" s="84">
        <f t="shared" si="581"/>
        <v>1.9733333333333334</v>
      </c>
      <c r="Z1549" s="80">
        <f t="shared" si="582"/>
        <v>2.7407407407407405</v>
      </c>
      <c r="AA1549" s="100">
        <v>3</v>
      </c>
      <c r="AB1549" s="86">
        <f>+AA1549*Analisis!$J$6</f>
        <v>75</v>
      </c>
      <c r="AC1549" s="100"/>
      <c r="AD1549" s="85">
        <f t="shared" si="583"/>
        <v>0</v>
      </c>
      <c r="AE1549" s="86">
        <f>+AC1549*Analisis!$J$7</f>
        <v>0</v>
      </c>
      <c r="AF1549" s="308">
        <f>+H1549*0.0254*I1549*0.0254*2*(1+[3]Analisis!$G$2)</f>
        <v>0.31115211962999995</v>
      </c>
      <c r="AG1549" s="86">
        <f>+AF1549*Analisis!$J$8</f>
        <v>33.152517508196432</v>
      </c>
      <c r="AH1549" s="309">
        <f t="shared" si="584"/>
        <v>163.0481665957455</v>
      </c>
      <c r="AI1549" s="86">
        <f>+AH1549/(1-Analisis!G1224)</f>
        <v>163.0481665957455</v>
      </c>
      <c r="AJ1549" s="86">
        <f t="shared" si="585"/>
        <v>175.32060924273711</v>
      </c>
      <c r="AK1549" s="86">
        <f t="shared" si="586"/>
        <v>0</v>
      </c>
      <c r="AL1549" s="310" t="e">
        <f>+VLOOKUP(B1549,#REF!,2,FALSE)</f>
        <v>#REF!</v>
      </c>
      <c r="AM1549" s="311" t="e">
        <f t="shared" si="587"/>
        <v>#REF!</v>
      </c>
      <c r="AN1549" s="312" t="e">
        <f t="shared" si="588"/>
        <v>#REF!</v>
      </c>
    </row>
    <row r="1550" spans="1:40" s="73" customFormat="1" x14ac:dyDescent="0.25">
      <c r="A1550" s="313"/>
      <c r="B1550" s="314" t="s">
        <v>2215</v>
      </c>
      <c r="D1550" s="74">
        <f>IFERROR(VLOOKUP(B1550,'REQ. PINTADO'!B:C,2,0),0)</f>
        <v>0</v>
      </c>
      <c r="E1550" s="305">
        <f t="shared" si="575"/>
        <v>214.10556770683505</v>
      </c>
      <c r="F1550" s="397" t="s">
        <v>166</v>
      </c>
      <c r="G1550" s="75" t="s">
        <v>147</v>
      </c>
      <c r="H1550" s="90">
        <v>17.489999999999998</v>
      </c>
      <c r="I1550" s="90">
        <v>16.03</v>
      </c>
      <c r="J1550" s="76">
        <v>0.105</v>
      </c>
      <c r="K1550" s="306">
        <v>16.38</v>
      </c>
      <c r="L1550" s="78">
        <f t="shared" si="576"/>
        <v>8.5346810690402855</v>
      </c>
      <c r="M1550" s="58">
        <f>+VLOOKUP(F1550,Material!$H$2:$M$17,6,FALSE)*H1550*I1550*(1+Material!$K$14)</f>
        <v>63.544579959490846</v>
      </c>
      <c r="N1550" s="79" t="str">
        <f t="shared" si="562"/>
        <v>T5.0</v>
      </c>
      <c r="O1550" s="80">
        <f>+VLOOKUP(N1550,[3]Material!$A$3:$B$58,2,FALSE)</f>
        <v>5000</v>
      </c>
      <c r="P1550" s="79" t="s">
        <v>42</v>
      </c>
      <c r="Q1550" s="79" t="str">
        <f>+VLOOKUP(F1550,[3]Material!$C$2:$E$12,2,FALSE)</f>
        <v>Cal 16</v>
      </c>
      <c r="R1550" s="81">
        <f>+IF(P1550="ACERO A36",VLOOKUP(Q1550,'[3]Velocidades Std 1500 w'!$B$2:$F$15,5,FALSE),IF(P1550="INOXIDABLE",VLOOKUP(Q1550,'[3]Velocidades Std 1500 w'!$B$17:$F$28,5,FALSE),IF(P1550="ALUMINIO",VLOOKUP(Q1550,'[3]Velocidades Std 1500 w'!$B$30:$F$38,5,FALSE))))</f>
        <v>9.1575091575091579E-7</v>
      </c>
      <c r="S1550" s="82">
        <f t="shared" si="577"/>
        <v>4.578754578754579E-3</v>
      </c>
      <c r="T1550" s="83">
        <f t="shared" si="578"/>
        <v>6.9494400000000001</v>
      </c>
      <c r="U1550" s="307">
        <f t="shared" si="579"/>
        <v>2107.9967999999999</v>
      </c>
      <c r="V1550" s="80">
        <f t="shared" si="580"/>
        <v>9.6519999999999992</v>
      </c>
      <c r="W1550" s="98">
        <v>8</v>
      </c>
      <c r="X1550" s="84">
        <f>+IF(P1550="ACERO A36",VLOOKUP(Q1550,'[3]Tiempo Objeto'!$B$2:$C$12,2,FALSE),IF(P1550="INOXIDABLE",VLOOKUP(Q1550,'[3]Tiempo Objeto'!$B$14:$C$22,2,FALSE),IF(P1550="ALUMINIO",VLOOKUP(Q1550,'[3]Tiempo Objeto'!$B$24:$C$32,2,FALSE))))</f>
        <v>0.24666666666666667</v>
      </c>
      <c r="Y1550" s="84">
        <f t="shared" si="581"/>
        <v>1.9733333333333334</v>
      </c>
      <c r="Z1550" s="80">
        <f t="shared" si="582"/>
        <v>2.7407407407407405</v>
      </c>
      <c r="AA1550" s="100">
        <v>3</v>
      </c>
      <c r="AB1550" s="86">
        <f>+AA1550*Analisis!$J$6</f>
        <v>75</v>
      </c>
      <c r="AC1550" s="100"/>
      <c r="AD1550" s="85">
        <f t="shared" si="583"/>
        <v>0</v>
      </c>
      <c r="AE1550" s="86">
        <f>+AC1550*Analisis!$J$7</f>
        <v>0</v>
      </c>
      <c r="AF1550" s="308">
        <f>+H1550*0.0254*I1550*0.0254*2*(1+[3]Analisis!$G$2)</f>
        <v>0.45220022462999993</v>
      </c>
      <c r="AG1550" s="86">
        <f>+AF1550*Analisis!$J$8</f>
        <v>48.180857267125006</v>
      </c>
      <c r="AH1550" s="309">
        <f t="shared" si="584"/>
        <v>199.11817796735659</v>
      </c>
      <c r="AI1550" s="86">
        <f>+AH1550/(1-Analisis!G1225)</f>
        <v>199.11817796735659</v>
      </c>
      <c r="AJ1550" s="86">
        <f t="shared" si="585"/>
        <v>214.10556770683505</v>
      </c>
      <c r="AK1550" s="86">
        <f t="shared" si="586"/>
        <v>0</v>
      </c>
      <c r="AL1550" s="310" t="e">
        <f>+VLOOKUP(B1550,#REF!,2,FALSE)</f>
        <v>#REF!</v>
      </c>
      <c r="AM1550" s="311" t="e">
        <f t="shared" si="587"/>
        <v>#REF!</v>
      </c>
      <c r="AN1550" s="312" t="e">
        <f t="shared" si="588"/>
        <v>#REF!</v>
      </c>
    </row>
    <row r="1551" spans="1:40" s="73" customFormat="1" x14ac:dyDescent="0.25">
      <c r="A1551" s="313"/>
      <c r="B1551" s="314" t="s">
        <v>2216</v>
      </c>
      <c r="D1551" s="74">
        <f>IFERROR(VLOOKUP(B1551,'REQ. PINTADO'!B:C,2,0),0)</f>
        <v>0</v>
      </c>
      <c r="E1551" s="305">
        <f t="shared" si="575"/>
        <v>155.92813001068814</v>
      </c>
      <c r="F1551" s="397" t="s">
        <v>166</v>
      </c>
      <c r="G1551" s="75" t="s">
        <v>147</v>
      </c>
      <c r="H1551" s="90">
        <v>17.489999999999998</v>
      </c>
      <c r="I1551" s="90">
        <v>8.5299999999999994</v>
      </c>
      <c r="J1551" s="76">
        <v>0.105</v>
      </c>
      <c r="K1551" s="306">
        <v>16.38</v>
      </c>
      <c r="L1551" s="78">
        <f t="shared" si="576"/>
        <v>4.5415364640619851</v>
      </c>
      <c r="M1551" s="58">
        <f>+VLOOKUP(F1551,Material!$H$2:$M$17,6,FALSE)*H1551*I1551*(1+Material!$K$14)</f>
        <v>33.813803309697867</v>
      </c>
      <c r="N1551" s="79" t="str">
        <f t="shared" si="562"/>
        <v>T5.0</v>
      </c>
      <c r="O1551" s="80">
        <f>+VLOOKUP(N1551,[3]Material!$A$3:$B$58,2,FALSE)</f>
        <v>5000</v>
      </c>
      <c r="P1551" s="79" t="s">
        <v>42</v>
      </c>
      <c r="Q1551" s="79" t="str">
        <f>+VLOOKUP(F1551,[3]Material!$C$2:$E$12,2,FALSE)</f>
        <v>Cal 16</v>
      </c>
      <c r="R1551" s="81">
        <f>+IF(P1551="ACERO A36",VLOOKUP(Q1551,'[3]Velocidades Std 1500 w'!$B$2:$F$15,5,FALSE),IF(P1551="INOXIDABLE",VLOOKUP(Q1551,'[3]Velocidades Std 1500 w'!$B$17:$F$28,5,FALSE),IF(P1551="ALUMINIO",VLOOKUP(Q1551,'[3]Velocidades Std 1500 w'!$B$30:$F$38,5,FALSE))))</f>
        <v>9.1575091575091579E-7</v>
      </c>
      <c r="S1551" s="82">
        <f t="shared" si="577"/>
        <v>4.578754578754579E-3</v>
      </c>
      <c r="T1551" s="83">
        <f t="shared" si="578"/>
        <v>5.630593846153845</v>
      </c>
      <c r="U1551" s="307">
        <f t="shared" si="579"/>
        <v>1707.9467999999997</v>
      </c>
      <c r="V1551" s="80">
        <f t="shared" si="580"/>
        <v>7.8202692307692301</v>
      </c>
      <c r="W1551" s="98">
        <v>8</v>
      </c>
      <c r="X1551" s="84">
        <f>+IF(P1551="ACERO A36",VLOOKUP(Q1551,'[3]Tiempo Objeto'!$B$2:$C$12,2,FALSE),IF(P1551="INOXIDABLE",VLOOKUP(Q1551,'[3]Tiempo Objeto'!$B$14:$C$22,2,FALSE),IF(P1551="ALUMINIO",VLOOKUP(Q1551,'[3]Tiempo Objeto'!$B$24:$C$32,2,FALSE))))</f>
        <v>0.24666666666666667</v>
      </c>
      <c r="Y1551" s="84">
        <f t="shared" si="581"/>
        <v>1.9733333333333334</v>
      </c>
      <c r="Z1551" s="80">
        <f t="shared" si="582"/>
        <v>2.7407407407407405</v>
      </c>
      <c r="AA1551" s="100">
        <v>3</v>
      </c>
      <c r="AB1551" s="86">
        <f>+AA1551*Analisis!$J$6</f>
        <v>75</v>
      </c>
      <c r="AC1551" s="100"/>
      <c r="AD1551" s="85">
        <f t="shared" si="583"/>
        <v>0</v>
      </c>
      <c r="AE1551" s="86">
        <f>+AC1551*Analisis!$J$7</f>
        <v>0</v>
      </c>
      <c r="AF1551" s="308">
        <f>+H1551*0.0254*I1551*0.0254*2*(1+[3]Analisis!$G$2)</f>
        <v>0.2406280671299999</v>
      </c>
      <c r="AG1551" s="86">
        <f>+AF1551*Analisis!$J$8</f>
        <v>25.638347628732141</v>
      </c>
      <c r="AH1551" s="309">
        <f t="shared" si="584"/>
        <v>145.01316090993996</v>
      </c>
      <c r="AI1551" s="86">
        <f>+AH1551/(1-Analisis!G1226)</f>
        <v>145.01316090993996</v>
      </c>
      <c r="AJ1551" s="86">
        <f t="shared" si="585"/>
        <v>155.92813001068814</v>
      </c>
      <c r="AK1551" s="86">
        <f t="shared" si="586"/>
        <v>0</v>
      </c>
      <c r="AL1551" s="310" t="e">
        <f>+VLOOKUP(B1551,#REF!,2,FALSE)</f>
        <v>#REF!</v>
      </c>
      <c r="AM1551" s="311" t="e">
        <f t="shared" si="587"/>
        <v>#REF!</v>
      </c>
      <c r="AN1551" s="312" t="e">
        <f t="shared" si="588"/>
        <v>#REF!</v>
      </c>
    </row>
    <row r="1552" spans="1:40" s="73" customFormat="1" x14ac:dyDescent="0.25">
      <c r="A1552" s="313"/>
      <c r="B1552" s="314" t="s">
        <v>2217</v>
      </c>
      <c r="D1552" s="74">
        <f>IFERROR(VLOOKUP(B1552,'REQ. PINTADO'!B:C,2,0),0)</f>
        <v>0</v>
      </c>
      <c r="E1552" s="305">
        <f t="shared" si="575"/>
        <v>175.32060924273711</v>
      </c>
      <c r="F1552" s="397" t="s">
        <v>166</v>
      </c>
      <c r="G1552" s="75" t="s">
        <v>147</v>
      </c>
      <c r="H1552" s="90">
        <v>17.489999999999998</v>
      </c>
      <c r="I1552" s="90">
        <v>11.03</v>
      </c>
      <c r="J1552" s="76">
        <v>0.105</v>
      </c>
      <c r="K1552" s="306">
        <v>16.38</v>
      </c>
      <c r="L1552" s="78">
        <f t="shared" si="576"/>
        <v>5.8725846657214182</v>
      </c>
      <c r="M1552" s="58">
        <f>+VLOOKUP(F1552,Material!$H$2:$M$17,6,FALSE)*H1552*I1552*(1+Material!$K$14)</f>
        <v>43.724062192962187</v>
      </c>
      <c r="N1552" s="79" t="str">
        <f t="shared" si="562"/>
        <v>T5.0</v>
      </c>
      <c r="O1552" s="80">
        <f>+VLOOKUP(N1552,[3]Material!$A$3:$B$58,2,FALSE)</f>
        <v>5000</v>
      </c>
      <c r="P1552" s="79" t="s">
        <v>42</v>
      </c>
      <c r="Q1552" s="79" t="str">
        <f>+VLOOKUP(F1552,[3]Material!$C$2:$E$12,2,FALSE)</f>
        <v>Cal 16</v>
      </c>
      <c r="R1552" s="81">
        <f>+IF(P1552="ACERO A36",VLOOKUP(Q1552,'[3]Velocidades Std 1500 w'!$B$2:$F$15,5,FALSE),IF(P1552="INOXIDABLE",VLOOKUP(Q1552,'[3]Velocidades Std 1500 w'!$B$17:$F$28,5,FALSE),IF(P1552="ALUMINIO",VLOOKUP(Q1552,'[3]Velocidades Std 1500 w'!$B$30:$F$38,5,FALSE))))</f>
        <v>9.1575091575091579E-7</v>
      </c>
      <c r="S1552" s="82">
        <f t="shared" si="577"/>
        <v>4.578754578754579E-3</v>
      </c>
      <c r="T1552" s="83">
        <f t="shared" si="578"/>
        <v>6.0702092307692306</v>
      </c>
      <c r="U1552" s="307">
        <f t="shared" si="579"/>
        <v>1841.2967999999998</v>
      </c>
      <c r="V1552" s="80">
        <f t="shared" si="580"/>
        <v>8.4308461538461543</v>
      </c>
      <c r="W1552" s="98">
        <v>8</v>
      </c>
      <c r="X1552" s="84">
        <f>+IF(P1552="ACERO A36",VLOOKUP(Q1552,'[3]Tiempo Objeto'!$B$2:$C$12,2,FALSE),IF(P1552="INOXIDABLE",VLOOKUP(Q1552,'[3]Tiempo Objeto'!$B$14:$C$22,2,FALSE),IF(P1552="ALUMINIO",VLOOKUP(Q1552,'[3]Tiempo Objeto'!$B$24:$C$32,2,FALSE))))</f>
        <v>0.24666666666666667</v>
      </c>
      <c r="Y1552" s="84">
        <f t="shared" si="581"/>
        <v>1.9733333333333334</v>
      </c>
      <c r="Z1552" s="80">
        <f t="shared" si="582"/>
        <v>2.7407407407407405</v>
      </c>
      <c r="AA1552" s="100">
        <v>3</v>
      </c>
      <c r="AB1552" s="86">
        <f>+AA1552*Analisis!$J$6</f>
        <v>75</v>
      </c>
      <c r="AC1552" s="100"/>
      <c r="AD1552" s="85">
        <f t="shared" si="583"/>
        <v>0</v>
      </c>
      <c r="AE1552" s="86">
        <f>+AC1552*Analisis!$J$7</f>
        <v>0</v>
      </c>
      <c r="AF1552" s="308">
        <f>+H1552*0.0254*I1552*0.0254*2*(1+[3]Analisis!$G$2)</f>
        <v>0.31115211962999995</v>
      </c>
      <c r="AG1552" s="86">
        <f>+AF1552*Analisis!$J$8</f>
        <v>33.152517508196432</v>
      </c>
      <c r="AH1552" s="309">
        <f t="shared" si="584"/>
        <v>163.0481665957455</v>
      </c>
      <c r="AI1552" s="86">
        <f>+AH1552/(1-Analisis!G1227)</f>
        <v>163.0481665957455</v>
      </c>
      <c r="AJ1552" s="86">
        <f t="shared" si="585"/>
        <v>175.32060924273711</v>
      </c>
      <c r="AK1552" s="86">
        <f t="shared" si="586"/>
        <v>0</v>
      </c>
      <c r="AL1552" s="310" t="e">
        <f>+VLOOKUP(B1552,#REF!,2,FALSE)</f>
        <v>#REF!</v>
      </c>
      <c r="AM1552" s="311" t="e">
        <f t="shared" si="587"/>
        <v>#REF!</v>
      </c>
      <c r="AN1552" s="312" t="e">
        <f t="shared" si="588"/>
        <v>#REF!</v>
      </c>
    </row>
    <row r="1553" spans="1:40" s="73" customFormat="1" x14ac:dyDescent="0.25">
      <c r="A1553" s="313"/>
      <c r="B1553" s="314" t="s">
        <v>2218</v>
      </c>
      <c r="D1553" s="74">
        <f>IFERROR(VLOOKUP(B1553,'REQ. PINTADO'!B:C,2,0),0)</f>
        <v>0</v>
      </c>
      <c r="E1553" s="305">
        <f t="shared" si="575"/>
        <v>214.10556770683505</v>
      </c>
      <c r="F1553" s="397" t="s">
        <v>166</v>
      </c>
      <c r="G1553" s="75" t="s">
        <v>147</v>
      </c>
      <c r="H1553" s="90">
        <v>17.489999999999998</v>
      </c>
      <c r="I1553" s="90">
        <v>16.03</v>
      </c>
      <c r="J1553" s="76">
        <v>0.105</v>
      </c>
      <c r="K1553" s="306">
        <v>16.38</v>
      </c>
      <c r="L1553" s="78">
        <f t="shared" si="576"/>
        <v>8.5346810690402855</v>
      </c>
      <c r="M1553" s="58">
        <f>+VLOOKUP(F1553,Material!$H$2:$M$17,6,FALSE)*H1553*I1553*(1+Material!$K$14)</f>
        <v>63.544579959490846</v>
      </c>
      <c r="N1553" s="79" t="str">
        <f t="shared" si="562"/>
        <v>T5.0</v>
      </c>
      <c r="O1553" s="80">
        <f>+VLOOKUP(N1553,[3]Material!$A$3:$B$58,2,FALSE)</f>
        <v>5000</v>
      </c>
      <c r="P1553" s="79" t="s">
        <v>42</v>
      </c>
      <c r="Q1553" s="79" t="str">
        <f>+VLOOKUP(F1553,[3]Material!$C$2:$E$12,2,FALSE)</f>
        <v>Cal 16</v>
      </c>
      <c r="R1553" s="81">
        <f>+IF(P1553="ACERO A36",VLOOKUP(Q1553,'[3]Velocidades Std 1500 w'!$B$2:$F$15,5,FALSE),IF(P1553="INOXIDABLE",VLOOKUP(Q1553,'[3]Velocidades Std 1500 w'!$B$17:$F$28,5,FALSE),IF(P1553="ALUMINIO",VLOOKUP(Q1553,'[3]Velocidades Std 1500 w'!$B$30:$F$38,5,FALSE))))</f>
        <v>9.1575091575091579E-7</v>
      </c>
      <c r="S1553" s="82">
        <f t="shared" si="577"/>
        <v>4.578754578754579E-3</v>
      </c>
      <c r="T1553" s="83">
        <f t="shared" si="578"/>
        <v>6.9494400000000001</v>
      </c>
      <c r="U1553" s="307">
        <f t="shared" si="579"/>
        <v>2107.9967999999999</v>
      </c>
      <c r="V1553" s="80">
        <f t="shared" si="580"/>
        <v>9.6519999999999992</v>
      </c>
      <c r="W1553" s="98">
        <v>8</v>
      </c>
      <c r="X1553" s="84">
        <f>+IF(P1553="ACERO A36",VLOOKUP(Q1553,'[3]Tiempo Objeto'!$B$2:$C$12,2,FALSE),IF(P1553="INOXIDABLE",VLOOKUP(Q1553,'[3]Tiempo Objeto'!$B$14:$C$22,2,FALSE),IF(P1553="ALUMINIO",VLOOKUP(Q1553,'[3]Tiempo Objeto'!$B$24:$C$32,2,FALSE))))</f>
        <v>0.24666666666666667</v>
      </c>
      <c r="Y1553" s="84">
        <f t="shared" si="581"/>
        <v>1.9733333333333334</v>
      </c>
      <c r="Z1553" s="80">
        <f t="shared" si="582"/>
        <v>2.7407407407407405</v>
      </c>
      <c r="AA1553" s="100">
        <v>3</v>
      </c>
      <c r="AB1553" s="86">
        <f>+AA1553*Analisis!$J$6</f>
        <v>75</v>
      </c>
      <c r="AC1553" s="100"/>
      <c r="AD1553" s="85">
        <f t="shared" si="583"/>
        <v>0</v>
      </c>
      <c r="AE1553" s="86">
        <f>+AC1553*Analisis!$J$7</f>
        <v>0</v>
      </c>
      <c r="AF1553" s="308">
        <f>+H1553*0.0254*I1553*0.0254*2*(1+[3]Analisis!$G$2)</f>
        <v>0.45220022462999993</v>
      </c>
      <c r="AG1553" s="86">
        <f>+AF1553*Analisis!$J$8</f>
        <v>48.180857267125006</v>
      </c>
      <c r="AH1553" s="309">
        <f t="shared" si="584"/>
        <v>199.11817796735659</v>
      </c>
      <c r="AI1553" s="86">
        <f>+AH1553/(1-Analisis!G1228)</f>
        <v>199.11817796735659</v>
      </c>
      <c r="AJ1553" s="86">
        <f t="shared" si="585"/>
        <v>214.10556770683505</v>
      </c>
      <c r="AK1553" s="86">
        <f t="shared" si="586"/>
        <v>0</v>
      </c>
      <c r="AL1553" s="310" t="e">
        <f>+VLOOKUP(B1553,#REF!,2,FALSE)</f>
        <v>#REF!</v>
      </c>
      <c r="AM1553" s="311" t="e">
        <f t="shared" si="587"/>
        <v>#REF!</v>
      </c>
      <c r="AN1553" s="312" t="e">
        <f t="shared" si="588"/>
        <v>#REF!</v>
      </c>
    </row>
    <row r="1554" spans="1:40" s="73" customFormat="1" x14ac:dyDescent="0.25">
      <c r="A1554" s="313"/>
      <c r="B1554" s="314" t="s">
        <v>2219</v>
      </c>
      <c r="D1554" s="74">
        <f>IFERROR(VLOOKUP(B1554,'REQ. PINTADO'!B:C,2,0),0)</f>
        <v>0</v>
      </c>
      <c r="E1554" s="305">
        <f t="shared" ref="E1554:E1556" si="589">+AJ1554</f>
        <v>155.92813001068814</v>
      </c>
      <c r="F1554" s="397" t="s">
        <v>166</v>
      </c>
      <c r="G1554" s="75" t="s">
        <v>147</v>
      </c>
      <c r="H1554" s="90">
        <v>17.489999999999998</v>
      </c>
      <c r="I1554" s="90">
        <v>8.5299999999999994</v>
      </c>
      <c r="J1554" s="76">
        <v>0.105</v>
      </c>
      <c r="K1554" s="306">
        <v>16.38</v>
      </c>
      <c r="L1554" s="78">
        <f t="shared" ref="L1554:L1556" si="590">+M1554*2.2/K1554</f>
        <v>4.5415364640619851</v>
      </c>
      <c r="M1554" s="58">
        <f>+VLOOKUP(F1554,Material!$H$2:$M$17,6,FALSE)*H1554*I1554*(1+Material!$K$14)</f>
        <v>33.813803309697867</v>
      </c>
      <c r="N1554" s="79" t="str">
        <f t="shared" si="562"/>
        <v>T5.0</v>
      </c>
      <c r="O1554" s="80">
        <f>+VLOOKUP(N1554,[3]Material!$A$3:$B$58,2,FALSE)</f>
        <v>5000</v>
      </c>
      <c r="P1554" s="79" t="s">
        <v>42</v>
      </c>
      <c r="Q1554" s="79" t="str">
        <f>+VLOOKUP(F1554,[3]Material!$C$2:$E$12,2,FALSE)</f>
        <v>Cal 16</v>
      </c>
      <c r="R1554" s="81">
        <f>+IF(P1554="ACERO A36",VLOOKUP(Q1554,'[3]Velocidades Std 1500 w'!$B$2:$F$15,5,FALSE),IF(P1554="INOXIDABLE",VLOOKUP(Q1554,'[3]Velocidades Std 1500 w'!$B$17:$F$28,5,FALSE),IF(P1554="ALUMINIO",VLOOKUP(Q1554,'[3]Velocidades Std 1500 w'!$B$30:$F$38,5,FALSE))))</f>
        <v>9.1575091575091579E-7</v>
      </c>
      <c r="S1554" s="82">
        <f t="shared" ref="S1554:S1556" si="591">+R1554*O1554</f>
        <v>4.578754578754579E-3</v>
      </c>
      <c r="T1554" s="83">
        <f t="shared" ref="T1554:T1556" si="592">+R1554*U1554*3600</f>
        <v>5.630593846153845</v>
      </c>
      <c r="U1554" s="307">
        <f t="shared" ref="U1554:U1556" si="593">(+I1554*2+H1554*2+W1554*1.5)*25.4*1.05</f>
        <v>1707.9467999999997</v>
      </c>
      <c r="V1554" s="80">
        <f t="shared" ref="V1554:V1556" si="594">+U1554*S1554</f>
        <v>7.8202692307692301</v>
      </c>
      <c r="W1554" s="98">
        <v>8</v>
      </c>
      <c r="X1554" s="84">
        <f>+IF(P1554="ACERO A36",VLOOKUP(Q1554,'[3]Tiempo Objeto'!$B$2:$C$12,2,FALSE),IF(P1554="INOXIDABLE",VLOOKUP(Q1554,'[3]Tiempo Objeto'!$B$14:$C$22,2,FALSE),IF(P1554="ALUMINIO",VLOOKUP(Q1554,'[3]Tiempo Objeto'!$B$24:$C$32,2,FALSE))))</f>
        <v>0.24666666666666667</v>
      </c>
      <c r="Y1554" s="84">
        <f t="shared" ref="Y1554:Y1556" si="595">+X1554*W1554</f>
        <v>1.9733333333333334</v>
      </c>
      <c r="Z1554" s="80">
        <f t="shared" ref="Z1554:Z1556" si="596">+Y1554*O1554/3600</f>
        <v>2.7407407407407405</v>
      </c>
      <c r="AA1554" s="100">
        <v>3</v>
      </c>
      <c r="AB1554" s="86">
        <f>+AA1554*Analisis!$J$6</f>
        <v>75</v>
      </c>
      <c r="AC1554" s="100"/>
      <c r="AD1554" s="85">
        <f t="shared" ref="AD1554:AD1556" si="597">30*AC1554+AC1554*$D1554*1.5</f>
        <v>0</v>
      </c>
      <c r="AE1554" s="86">
        <f>+AC1554*Analisis!$J$7</f>
        <v>0</v>
      </c>
      <c r="AF1554" s="308">
        <f>+H1554*0.0254*I1554*0.0254*2*(1+[3]Analisis!$G$2)</f>
        <v>0.2406280671299999</v>
      </c>
      <c r="AG1554" s="86">
        <f>+AF1554*Analisis!$J$8</f>
        <v>25.638347628732141</v>
      </c>
      <c r="AH1554" s="309">
        <f t="shared" ref="AH1554:AH1556" si="598">+AE1554+AB1554+Z1554+V1554+M1554+AG1554</f>
        <v>145.01316090993996</v>
      </c>
      <c r="AI1554" s="86">
        <f>+AH1554/(1-Analisis!G1229)</f>
        <v>145.01316090993996</v>
      </c>
      <c r="AJ1554" s="86">
        <f t="shared" ref="AJ1554:AJ1556" si="599">+AI1554/(1-0.07)</f>
        <v>155.92813001068814</v>
      </c>
      <c r="AK1554" s="86">
        <f t="shared" ref="AK1554:AK1556" si="600">+AJ1554*D1554</f>
        <v>0</v>
      </c>
      <c r="AL1554" s="310" t="e">
        <f>+VLOOKUP(B1554,#REF!,2,FALSE)</f>
        <v>#REF!</v>
      </c>
      <c r="AM1554" s="311" t="e">
        <f t="shared" ref="AM1554:AM1556" si="601">+AL1554-E1554</f>
        <v>#REF!</v>
      </c>
      <c r="AN1554" s="312" t="e">
        <f t="shared" ref="AN1554:AN1556" si="602">+AM1554/AL1554</f>
        <v>#REF!</v>
      </c>
    </row>
    <row r="1555" spans="1:40" s="73" customFormat="1" x14ac:dyDescent="0.25">
      <c r="A1555" s="313"/>
      <c r="B1555" s="314" t="s">
        <v>2220</v>
      </c>
      <c r="D1555" s="74">
        <f>IFERROR(VLOOKUP(B1555,'REQ. PINTADO'!B:C,2,0),0)</f>
        <v>0</v>
      </c>
      <c r="E1555" s="305">
        <f t="shared" si="589"/>
        <v>175.32060924273711</v>
      </c>
      <c r="F1555" s="397" t="s">
        <v>166</v>
      </c>
      <c r="G1555" s="75" t="s">
        <v>147</v>
      </c>
      <c r="H1555" s="90">
        <v>17.489999999999998</v>
      </c>
      <c r="I1555" s="90">
        <v>11.03</v>
      </c>
      <c r="J1555" s="76">
        <v>0.105</v>
      </c>
      <c r="K1555" s="306">
        <v>16.38</v>
      </c>
      <c r="L1555" s="78">
        <f t="shared" si="590"/>
        <v>5.8725846657214182</v>
      </c>
      <c r="M1555" s="58">
        <f>+VLOOKUP(F1555,Material!$H$2:$M$17,6,FALSE)*H1555*I1555*(1+Material!$K$14)</f>
        <v>43.724062192962187</v>
      </c>
      <c r="N1555" s="79" t="str">
        <f t="shared" si="562"/>
        <v>T5.0</v>
      </c>
      <c r="O1555" s="80">
        <f>+VLOOKUP(N1555,[3]Material!$A$3:$B$58,2,FALSE)</f>
        <v>5000</v>
      </c>
      <c r="P1555" s="79" t="s">
        <v>42</v>
      </c>
      <c r="Q1555" s="79" t="str">
        <f>+VLOOKUP(F1555,[3]Material!$C$2:$E$12,2,FALSE)</f>
        <v>Cal 16</v>
      </c>
      <c r="R1555" s="81">
        <f>+IF(P1555="ACERO A36",VLOOKUP(Q1555,'[3]Velocidades Std 1500 w'!$B$2:$F$15,5,FALSE),IF(P1555="INOXIDABLE",VLOOKUP(Q1555,'[3]Velocidades Std 1500 w'!$B$17:$F$28,5,FALSE),IF(P1555="ALUMINIO",VLOOKUP(Q1555,'[3]Velocidades Std 1500 w'!$B$30:$F$38,5,FALSE))))</f>
        <v>9.1575091575091579E-7</v>
      </c>
      <c r="S1555" s="82">
        <f t="shared" si="591"/>
        <v>4.578754578754579E-3</v>
      </c>
      <c r="T1555" s="83">
        <f t="shared" si="592"/>
        <v>6.0702092307692306</v>
      </c>
      <c r="U1555" s="307">
        <f t="shared" si="593"/>
        <v>1841.2967999999998</v>
      </c>
      <c r="V1555" s="80">
        <f t="shared" si="594"/>
        <v>8.4308461538461543</v>
      </c>
      <c r="W1555" s="98">
        <v>8</v>
      </c>
      <c r="X1555" s="84">
        <f>+IF(P1555="ACERO A36",VLOOKUP(Q1555,'[3]Tiempo Objeto'!$B$2:$C$12,2,FALSE),IF(P1555="INOXIDABLE",VLOOKUP(Q1555,'[3]Tiempo Objeto'!$B$14:$C$22,2,FALSE),IF(P1555="ALUMINIO",VLOOKUP(Q1555,'[3]Tiempo Objeto'!$B$24:$C$32,2,FALSE))))</f>
        <v>0.24666666666666667</v>
      </c>
      <c r="Y1555" s="84">
        <f t="shared" si="595"/>
        <v>1.9733333333333334</v>
      </c>
      <c r="Z1555" s="80">
        <f t="shared" si="596"/>
        <v>2.7407407407407405</v>
      </c>
      <c r="AA1555" s="100">
        <v>3</v>
      </c>
      <c r="AB1555" s="86">
        <f>+AA1555*Analisis!$J$6</f>
        <v>75</v>
      </c>
      <c r="AC1555" s="100"/>
      <c r="AD1555" s="85">
        <f t="shared" si="597"/>
        <v>0</v>
      </c>
      <c r="AE1555" s="86">
        <f>+AC1555*Analisis!$J$7</f>
        <v>0</v>
      </c>
      <c r="AF1555" s="308">
        <f>+H1555*0.0254*I1555*0.0254*2*(1+[3]Analisis!$G$2)</f>
        <v>0.31115211962999995</v>
      </c>
      <c r="AG1555" s="86">
        <f>+AF1555*Analisis!$J$8</f>
        <v>33.152517508196432</v>
      </c>
      <c r="AH1555" s="309">
        <f t="shared" si="598"/>
        <v>163.0481665957455</v>
      </c>
      <c r="AI1555" s="86">
        <f>+AH1555/(1-Analisis!G1230)</f>
        <v>163.0481665957455</v>
      </c>
      <c r="AJ1555" s="86">
        <f t="shared" si="599"/>
        <v>175.32060924273711</v>
      </c>
      <c r="AK1555" s="86">
        <f t="shared" si="600"/>
        <v>0</v>
      </c>
      <c r="AL1555" s="310" t="e">
        <f>+VLOOKUP(B1555,#REF!,2,FALSE)</f>
        <v>#REF!</v>
      </c>
      <c r="AM1555" s="311" t="e">
        <f t="shared" si="601"/>
        <v>#REF!</v>
      </c>
      <c r="AN1555" s="312" t="e">
        <f t="shared" si="602"/>
        <v>#REF!</v>
      </c>
    </row>
    <row r="1556" spans="1:40" s="73" customFormat="1" x14ac:dyDescent="0.25">
      <c r="A1556" s="313"/>
      <c r="B1556" s="314" t="s">
        <v>2221</v>
      </c>
      <c r="D1556" s="74">
        <f>IFERROR(VLOOKUP(B1556,'REQ. PINTADO'!B:C,2,0),0)</f>
        <v>0</v>
      </c>
      <c r="E1556" s="305">
        <f t="shared" si="589"/>
        <v>214.10556770683505</v>
      </c>
      <c r="F1556" s="397" t="s">
        <v>166</v>
      </c>
      <c r="G1556" s="75" t="s">
        <v>147</v>
      </c>
      <c r="H1556" s="90">
        <v>17.489999999999998</v>
      </c>
      <c r="I1556" s="90">
        <v>16.03</v>
      </c>
      <c r="J1556" s="76">
        <v>0.105</v>
      </c>
      <c r="K1556" s="306">
        <v>16.38</v>
      </c>
      <c r="L1556" s="78">
        <f t="shared" si="590"/>
        <v>8.5346810690402855</v>
      </c>
      <c r="M1556" s="58">
        <f>+VLOOKUP(F1556,Material!$H$2:$M$17,6,FALSE)*H1556*I1556*(1+Material!$K$14)</f>
        <v>63.544579959490846</v>
      </c>
      <c r="N1556" s="79" t="str">
        <f t="shared" si="562"/>
        <v>T5.0</v>
      </c>
      <c r="O1556" s="80">
        <f>+VLOOKUP(N1556,[3]Material!$A$3:$B$58,2,FALSE)</f>
        <v>5000</v>
      </c>
      <c r="P1556" s="79" t="s">
        <v>42</v>
      </c>
      <c r="Q1556" s="79" t="str">
        <f>+VLOOKUP(F1556,[3]Material!$C$2:$E$12,2,FALSE)</f>
        <v>Cal 16</v>
      </c>
      <c r="R1556" s="81">
        <f>+IF(P1556="ACERO A36",VLOOKUP(Q1556,'[3]Velocidades Std 1500 w'!$B$2:$F$15,5,FALSE),IF(P1556="INOXIDABLE",VLOOKUP(Q1556,'[3]Velocidades Std 1500 w'!$B$17:$F$28,5,FALSE),IF(P1556="ALUMINIO",VLOOKUP(Q1556,'[3]Velocidades Std 1500 w'!$B$30:$F$38,5,FALSE))))</f>
        <v>9.1575091575091579E-7</v>
      </c>
      <c r="S1556" s="82">
        <f t="shared" si="591"/>
        <v>4.578754578754579E-3</v>
      </c>
      <c r="T1556" s="83">
        <f t="shared" si="592"/>
        <v>6.9494400000000001</v>
      </c>
      <c r="U1556" s="307">
        <f t="shared" si="593"/>
        <v>2107.9967999999999</v>
      </c>
      <c r="V1556" s="80">
        <f t="shared" si="594"/>
        <v>9.6519999999999992</v>
      </c>
      <c r="W1556" s="98">
        <v>8</v>
      </c>
      <c r="X1556" s="84">
        <f>+IF(P1556="ACERO A36",VLOOKUP(Q1556,'[3]Tiempo Objeto'!$B$2:$C$12,2,FALSE),IF(P1556="INOXIDABLE",VLOOKUP(Q1556,'[3]Tiempo Objeto'!$B$14:$C$22,2,FALSE),IF(P1556="ALUMINIO",VLOOKUP(Q1556,'[3]Tiempo Objeto'!$B$24:$C$32,2,FALSE))))</f>
        <v>0.24666666666666667</v>
      </c>
      <c r="Y1556" s="84">
        <f t="shared" si="595"/>
        <v>1.9733333333333334</v>
      </c>
      <c r="Z1556" s="80">
        <f t="shared" si="596"/>
        <v>2.7407407407407405</v>
      </c>
      <c r="AA1556" s="100">
        <v>3</v>
      </c>
      <c r="AB1556" s="86">
        <f>+AA1556*Analisis!$J$6</f>
        <v>75</v>
      </c>
      <c r="AC1556" s="100"/>
      <c r="AD1556" s="85">
        <f t="shared" si="597"/>
        <v>0</v>
      </c>
      <c r="AE1556" s="86">
        <f>+AC1556*Analisis!$J$7</f>
        <v>0</v>
      </c>
      <c r="AF1556" s="308">
        <f>+H1556*0.0254*I1556*0.0254*2*(1+[3]Analisis!$G$2)</f>
        <v>0.45220022462999993</v>
      </c>
      <c r="AG1556" s="86">
        <f>+AF1556*Analisis!$J$8</f>
        <v>48.180857267125006</v>
      </c>
      <c r="AH1556" s="309">
        <f t="shared" si="598"/>
        <v>199.11817796735659</v>
      </c>
      <c r="AI1556" s="86">
        <f>+AH1556/(1-Analisis!G1231)</f>
        <v>199.11817796735659</v>
      </c>
      <c r="AJ1556" s="86">
        <f t="shared" si="599"/>
        <v>214.10556770683505</v>
      </c>
      <c r="AK1556" s="86">
        <f t="shared" si="600"/>
        <v>0</v>
      </c>
      <c r="AL1556" s="310" t="e">
        <f>+VLOOKUP(B1556,#REF!,2,FALSE)</f>
        <v>#REF!</v>
      </c>
      <c r="AM1556" s="311" t="e">
        <f t="shared" si="601"/>
        <v>#REF!</v>
      </c>
      <c r="AN1556" s="312" t="e">
        <f t="shared" si="602"/>
        <v>#REF!</v>
      </c>
    </row>
    <row r="1557" spans="1:40" s="73" customFormat="1" x14ac:dyDescent="0.25">
      <c r="A1557" s="313">
        <v>6</v>
      </c>
      <c r="B1557" s="314" t="s">
        <v>2163</v>
      </c>
      <c r="D1557" s="74">
        <f>IFERROR(VLOOKUP(B1557,'REQ. PINTADO'!B:C,2,0),0)</f>
        <v>48</v>
      </c>
      <c r="E1557" s="305">
        <f t="shared" si="172"/>
        <v>175.29566467353476</v>
      </c>
      <c r="F1557" s="397" t="s">
        <v>166</v>
      </c>
      <c r="G1557" s="75" t="s">
        <v>147</v>
      </c>
      <c r="H1557" s="90">
        <v>17.484999999999999</v>
      </c>
      <c r="I1557" s="90">
        <v>11.03</v>
      </c>
      <c r="J1557" s="76">
        <v>0.105</v>
      </c>
      <c r="K1557" s="306">
        <v>16.38</v>
      </c>
      <c r="L1557" s="78">
        <f t="shared" si="173"/>
        <v>5.8709058250508299</v>
      </c>
      <c r="M1557" s="58">
        <f>+VLOOKUP(F1557,Material!$H$2:$M$17,6,FALSE)*H1557*I1557*(1+Material!$K$14)</f>
        <v>43.711562461060261</v>
      </c>
      <c r="N1557" s="79" t="str">
        <f>+N1183</f>
        <v>T5.0</v>
      </c>
      <c r="O1557" s="80">
        <f>+VLOOKUP(N1557,[3]Material!$A$3:$B$58,2,FALSE)</f>
        <v>5000</v>
      </c>
      <c r="P1557" s="79" t="s">
        <v>42</v>
      </c>
      <c r="Q1557" s="79" t="str">
        <f>+VLOOKUP(F1557,[3]Material!$C$2:$E$12,2,FALSE)</f>
        <v>Cal 16</v>
      </c>
      <c r="R1557" s="81">
        <f>+IF(P1557="ACERO A36",VLOOKUP(Q1557,'[3]Velocidades Std 1500 w'!$B$2:$F$15,5,FALSE),IF(P1557="INOXIDABLE",VLOOKUP(Q1557,'[3]Velocidades Std 1500 w'!$B$17:$F$28,5,FALSE),IF(P1557="ALUMINIO",VLOOKUP(Q1557,'[3]Velocidades Std 1500 w'!$B$30:$F$38,5,FALSE))))</f>
        <v>9.1575091575091579E-7</v>
      </c>
      <c r="S1557" s="82">
        <f t="shared" si="174"/>
        <v>4.578754578754579E-3</v>
      </c>
      <c r="T1557" s="83">
        <f t="shared" si="175"/>
        <v>6.0693299999999999</v>
      </c>
      <c r="U1557" s="307">
        <f t="shared" si="171"/>
        <v>1841.0300999999999</v>
      </c>
      <c r="V1557" s="80">
        <f t="shared" si="559"/>
        <v>8.4296249999999997</v>
      </c>
      <c r="W1557" s="98">
        <v>8</v>
      </c>
      <c r="X1557" s="84">
        <f>+IF(P1557="ACERO A36",VLOOKUP(Q1557,'[3]Tiempo Objeto'!$B$2:$C$12,2,FALSE),IF(P1557="INOXIDABLE",VLOOKUP(Q1557,'[3]Tiempo Objeto'!$B$14:$C$22,2,FALSE),IF(P1557="ALUMINIO",VLOOKUP(Q1557,'[3]Tiempo Objeto'!$B$24:$C$32,2,FALSE))))</f>
        <v>0.24666666666666667</v>
      </c>
      <c r="Y1557" s="84">
        <f t="shared" si="176"/>
        <v>1.9733333333333334</v>
      </c>
      <c r="Z1557" s="80">
        <f t="shared" si="177"/>
        <v>2.7407407407407405</v>
      </c>
      <c r="AA1557" s="100">
        <v>3</v>
      </c>
      <c r="AB1557" s="86">
        <f>+AA1557*Analisis!$J$6</f>
        <v>75</v>
      </c>
      <c r="AC1557" s="100"/>
      <c r="AD1557" s="85">
        <f t="shared" si="178"/>
        <v>0</v>
      </c>
      <c r="AE1557" s="86">
        <f>+AC1557*Analisis!$J$7</f>
        <v>0</v>
      </c>
      <c r="AF1557" s="308">
        <f>+H1557*0.0254*I1557*0.0254*2*(1+[3]Analisis!$G$2)</f>
        <v>0.31106316819499996</v>
      </c>
      <c r="AG1557" s="86">
        <f>+AF1557*Analisis!$J$8</f>
        <v>33.143039944586313</v>
      </c>
      <c r="AH1557" s="309">
        <f t="shared" si="179"/>
        <v>163.02496814638732</v>
      </c>
      <c r="AI1557" s="86">
        <f>+AH1557/(1-Analisis!G1195)</f>
        <v>163.02496814638732</v>
      </c>
      <c r="AJ1557" s="86">
        <f t="shared" si="180"/>
        <v>175.29566467353476</v>
      </c>
      <c r="AK1557" s="86">
        <f t="shared" si="181"/>
        <v>8414.1919043296693</v>
      </c>
      <c r="AL1557" s="310" t="e">
        <f>+VLOOKUP(B1557,#REF!,2,FALSE)</f>
        <v>#REF!</v>
      </c>
      <c r="AM1557" s="311" t="e">
        <f t="shared" si="183"/>
        <v>#REF!</v>
      </c>
      <c r="AN1557" s="312" t="e">
        <f t="shared" si="182"/>
        <v>#REF!</v>
      </c>
    </row>
    <row r="1558" spans="1:40" s="73" customFormat="1" x14ac:dyDescent="0.25">
      <c r="A1558" s="313">
        <v>7</v>
      </c>
      <c r="B1558" s="314" t="s">
        <v>2164</v>
      </c>
      <c r="D1558" s="74">
        <f>IFERROR(VLOOKUP(B1558,'REQ. PINTADO'!B:C,2,0),0)</f>
        <v>48</v>
      </c>
      <c r="E1558" s="305">
        <f t="shared" si="172"/>
        <v>282.42969543420929</v>
      </c>
      <c r="F1558" s="397" t="s">
        <v>166</v>
      </c>
      <c r="G1558" s="75" t="s">
        <v>147</v>
      </c>
      <c r="H1558" s="90">
        <v>26.01</v>
      </c>
      <c r="I1558" s="90">
        <v>19</v>
      </c>
      <c r="J1558" s="76">
        <v>0.105</v>
      </c>
      <c r="K1558" s="306">
        <v>16.38</v>
      </c>
      <c r="L1558" s="78">
        <f t="shared" si="173"/>
        <v>15.043812710762158</v>
      </c>
      <c r="M1558" s="58">
        <f>+VLOOKUP(F1558,Material!$H$2:$M$17,6,FALSE)*H1558*I1558*(1+Material!$K$14)</f>
        <v>112.00802372831096</v>
      </c>
      <c r="N1558" s="79" t="str">
        <f>+N1184</f>
        <v>T5.0</v>
      </c>
      <c r="O1558" s="80">
        <f>+VLOOKUP(N1558,[3]Material!$A$3:$B$58,2,FALSE)</f>
        <v>5000</v>
      </c>
      <c r="P1558" s="79" t="s">
        <v>42</v>
      </c>
      <c r="Q1558" s="79" t="str">
        <f>+VLOOKUP(F1558,[3]Material!$C$2:$E$12,2,FALSE)</f>
        <v>Cal 16</v>
      </c>
      <c r="R1558" s="81">
        <f>+IF(P1558="ACERO A36",VLOOKUP(Q1558,'[3]Velocidades Std 1500 w'!$B$2:$F$15,5,FALSE),IF(P1558="INOXIDABLE",VLOOKUP(Q1558,'[3]Velocidades Std 1500 w'!$B$17:$F$28,5,FALSE),IF(P1558="ALUMINIO",VLOOKUP(Q1558,'[3]Velocidades Std 1500 w'!$B$30:$F$38,5,FALSE))))</f>
        <v>9.1575091575091579E-7</v>
      </c>
      <c r="S1558" s="82">
        <f t="shared" si="174"/>
        <v>4.578754578754579E-3</v>
      </c>
      <c r="T1558" s="83">
        <f t="shared" si="175"/>
        <v>9.1017969230769236</v>
      </c>
      <c r="U1558" s="307">
        <f t="shared" si="171"/>
        <v>2760.8784000000001</v>
      </c>
      <c r="V1558" s="80">
        <f t="shared" si="559"/>
        <v>12.641384615384617</v>
      </c>
      <c r="W1558" s="98">
        <v>9</v>
      </c>
      <c r="X1558" s="84">
        <f>+IF(P1558="ACERO A36",VLOOKUP(Q1558,'[3]Tiempo Objeto'!$B$2:$C$12,2,FALSE),IF(P1558="INOXIDABLE",VLOOKUP(Q1558,'[3]Tiempo Objeto'!$B$14:$C$22,2,FALSE),IF(P1558="ALUMINIO",VLOOKUP(Q1558,'[3]Tiempo Objeto'!$B$24:$C$32,2,FALSE))))</f>
        <v>0.24666666666666667</v>
      </c>
      <c r="Y1558" s="84">
        <f t="shared" si="176"/>
        <v>2.2200000000000002</v>
      </c>
      <c r="Z1558" s="80">
        <f t="shared" si="177"/>
        <v>3.0833333333333339</v>
      </c>
      <c r="AA1558" s="100">
        <v>2</v>
      </c>
      <c r="AB1558" s="86">
        <f>+AA1558*Analisis!$J$6</f>
        <v>50</v>
      </c>
      <c r="AC1558" s="100"/>
      <c r="AD1558" s="85">
        <f t="shared" si="178"/>
        <v>0</v>
      </c>
      <c r="AE1558" s="86">
        <f>+AC1558*Analisis!$J$7</f>
        <v>0</v>
      </c>
      <c r="AF1558" s="308">
        <f>+H1558*0.0254*I1558*0.0254*2*(1+[3]Analisis!$G$2)</f>
        <v>0.79707905099999987</v>
      </c>
      <c r="AG1558" s="86">
        <f>+AF1558*Analisis!$J$8</f>
        <v>84.92687507678572</v>
      </c>
      <c r="AH1558" s="309">
        <f t="shared" si="179"/>
        <v>262.65961675381465</v>
      </c>
      <c r="AI1558" s="86">
        <f>+AH1558/(1-Analisis!G1196)</f>
        <v>262.65961675381465</v>
      </c>
      <c r="AJ1558" s="86">
        <f t="shared" si="180"/>
        <v>282.42969543420929</v>
      </c>
      <c r="AK1558" s="86">
        <f t="shared" si="181"/>
        <v>13556.625380842046</v>
      </c>
      <c r="AL1558" s="310" t="e">
        <f>+VLOOKUP(B1558,#REF!,2,FALSE)</f>
        <v>#REF!</v>
      </c>
      <c r="AM1558" s="311" t="e">
        <f t="shared" si="183"/>
        <v>#REF!</v>
      </c>
      <c r="AN1558" s="312" t="e">
        <f t="shared" si="182"/>
        <v>#REF!</v>
      </c>
    </row>
    <row r="1559" spans="1:40" s="73" customFormat="1" x14ac:dyDescent="0.25">
      <c r="A1559" s="313">
        <v>8</v>
      </c>
      <c r="B1559" s="314" t="s">
        <v>2165</v>
      </c>
      <c r="D1559" s="74">
        <f>IFERROR(VLOOKUP(B1559,'REQ. PINTADO'!B:C,2,0),0)</f>
        <v>96</v>
      </c>
      <c r="E1559" s="305">
        <f t="shared" si="172"/>
        <v>58.184768510577612</v>
      </c>
      <c r="F1559" s="397" t="s">
        <v>166</v>
      </c>
      <c r="G1559" s="75" t="s">
        <v>147</v>
      </c>
      <c r="H1559" s="90">
        <v>2.4700000000000002</v>
      </c>
      <c r="I1559" s="90">
        <v>2</v>
      </c>
      <c r="J1559" s="76">
        <v>0.105</v>
      </c>
      <c r="K1559" s="306">
        <v>16.38</v>
      </c>
      <c r="L1559" s="78">
        <f t="shared" si="173"/>
        <v>0.15038028853510807</v>
      </c>
      <c r="M1559" s="58">
        <f>+VLOOKUP(F1559,Material!$H$2:$M$17,6,FALSE)*H1559*I1559*(1+Material!$K$14)</f>
        <v>1.1196496028204863</v>
      </c>
      <c r="N1559" s="79" t="str">
        <f>+N1185</f>
        <v>T5.0</v>
      </c>
      <c r="O1559" s="80">
        <f>+VLOOKUP(N1559,[3]Material!$A$3:$B$58,2,FALSE)</f>
        <v>5000</v>
      </c>
      <c r="P1559" s="79" t="s">
        <v>42</v>
      </c>
      <c r="Q1559" s="79" t="str">
        <f>+VLOOKUP(F1559,[3]Material!$C$2:$E$12,2,FALSE)</f>
        <v>Cal 16</v>
      </c>
      <c r="R1559" s="81">
        <f>+IF(P1559="ACERO A36",VLOOKUP(Q1559,'[3]Velocidades Std 1500 w'!$B$2:$F$15,5,FALSE),IF(P1559="INOXIDABLE",VLOOKUP(Q1559,'[3]Velocidades Std 1500 w'!$B$17:$F$28,5,FALSE),IF(P1559="ALUMINIO",VLOOKUP(Q1559,'[3]Velocidades Std 1500 w'!$B$30:$F$38,5,FALSE))))</f>
        <v>9.1575091575091579E-7</v>
      </c>
      <c r="S1559" s="82">
        <f t="shared" si="174"/>
        <v>4.578754578754579E-3</v>
      </c>
      <c r="T1559" s="83">
        <f t="shared" si="175"/>
        <v>1.0498015384615387</v>
      </c>
      <c r="U1559" s="307">
        <f t="shared" si="171"/>
        <v>318.43980000000005</v>
      </c>
      <c r="V1559" s="80">
        <f t="shared" si="559"/>
        <v>1.4580576923076927</v>
      </c>
      <c r="W1559" s="98">
        <v>2</v>
      </c>
      <c r="X1559" s="84">
        <f>+IF(P1559="ACERO A36",VLOOKUP(Q1559,'[3]Tiempo Objeto'!$B$2:$C$12,2,FALSE),IF(P1559="INOXIDABLE",VLOOKUP(Q1559,'[3]Tiempo Objeto'!$B$14:$C$22,2,FALSE),IF(P1559="ALUMINIO",VLOOKUP(Q1559,'[3]Tiempo Objeto'!$B$24:$C$32,2,FALSE))))</f>
        <v>0.24666666666666667</v>
      </c>
      <c r="Y1559" s="84">
        <f t="shared" si="176"/>
        <v>0.49333333333333335</v>
      </c>
      <c r="Z1559" s="80">
        <f t="shared" si="177"/>
        <v>0.68518518518518512</v>
      </c>
      <c r="AA1559" s="100">
        <v>2</v>
      </c>
      <c r="AB1559" s="86">
        <f>+AA1559*Analisis!$J$6</f>
        <v>50</v>
      </c>
      <c r="AC1559" s="100"/>
      <c r="AD1559" s="85">
        <f t="shared" si="178"/>
        <v>0</v>
      </c>
      <c r="AE1559" s="86">
        <f>+AC1559*Analisis!$J$7</f>
        <v>0</v>
      </c>
      <c r="AF1559" s="308">
        <f>+H1559*0.0254*I1559*0.0254*2*(1+[3]Analisis!$G$2)</f>
        <v>7.9677259999999996E-3</v>
      </c>
      <c r="AG1559" s="86">
        <f>+AF1559*Analisis!$J$8</f>
        <v>0.84894223452380979</v>
      </c>
      <c r="AH1559" s="309">
        <f t="shared" si="179"/>
        <v>54.111834714837173</v>
      </c>
      <c r="AI1559" s="86">
        <f>+AH1559/(1-Analisis!G1197)</f>
        <v>54.111834714837173</v>
      </c>
      <c r="AJ1559" s="86">
        <f t="shared" si="180"/>
        <v>58.184768510577612</v>
      </c>
      <c r="AK1559" s="86">
        <f t="shared" si="181"/>
        <v>5585.7377770154508</v>
      </c>
      <c r="AL1559" s="310" t="e">
        <f>+VLOOKUP(B1559,#REF!,2,FALSE)</f>
        <v>#REF!</v>
      </c>
      <c r="AM1559" s="311" t="e">
        <f t="shared" si="183"/>
        <v>#REF!</v>
      </c>
      <c r="AN1559" s="312" t="e">
        <f t="shared" si="182"/>
        <v>#REF!</v>
      </c>
    </row>
    <row r="1560" spans="1:40" s="73" customFormat="1" x14ac:dyDescent="0.25">
      <c r="A1560" s="313">
        <v>9</v>
      </c>
      <c r="B1560" s="314" t="s">
        <v>2222</v>
      </c>
      <c r="D1560" s="74">
        <f>IFERROR(VLOOKUP(B1560,'REQ. PINTADO'!B:C,2,0),0)</f>
        <v>0</v>
      </c>
      <c r="E1560" s="305">
        <f t="shared" si="172"/>
        <v>160.89212319445807</v>
      </c>
      <c r="F1560" s="397" t="s">
        <v>166</v>
      </c>
      <c r="G1560" s="75" t="s">
        <v>147</v>
      </c>
      <c r="H1560" s="90">
        <v>19</v>
      </c>
      <c r="I1560" s="90">
        <v>11.01</v>
      </c>
      <c r="J1560" s="76">
        <v>0.105</v>
      </c>
      <c r="K1560" s="306">
        <v>16.38</v>
      </c>
      <c r="L1560" s="78">
        <f t="shared" si="173"/>
        <v>6.3680268337366908</v>
      </c>
      <c r="M1560" s="58">
        <f>+VLOOKUP(F1560,Material!$H$2:$M$17,6,FALSE)*H1560*I1560*(1+Material!$K$14)</f>
        <v>47.412854334821354</v>
      </c>
      <c r="N1560" s="79" t="str">
        <f>+N1186</f>
        <v>T5.0</v>
      </c>
      <c r="O1560" s="80">
        <f>+VLOOKUP(N1560,[3]Material!$A$3:$B$58,2,FALSE)</f>
        <v>5000</v>
      </c>
      <c r="P1560" s="79" t="s">
        <v>42</v>
      </c>
      <c r="Q1560" s="79" t="str">
        <f>+VLOOKUP(F1560,[3]Material!$C$2:$E$12,2,FALSE)</f>
        <v>Cal 16</v>
      </c>
      <c r="R1560" s="81">
        <f>+IF(P1560="ACERO A36",VLOOKUP(Q1560,'[3]Velocidades Std 1500 w'!$B$2:$F$15,5,FALSE),IF(P1560="INOXIDABLE",VLOOKUP(Q1560,'[3]Velocidades Std 1500 w'!$B$17:$F$28,5,FALSE),IF(P1560="ALUMINIO",VLOOKUP(Q1560,'[3]Velocidades Std 1500 w'!$B$30:$F$38,5,FALSE))))</f>
        <v>9.1575091575091579E-7</v>
      </c>
      <c r="S1560" s="82">
        <f t="shared" si="174"/>
        <v>4.578754578754579E-3</v>
      </c>
      <c r="T1560" s="83">
        <f t="shared" si="175"/>
        <v>7.5191815384615381</v>
      </c>
      <c r="U1560" s="307">
        <f t="shared" si="171"/>
        <v>2280.8183999999997</v>
      </c>
      <c r="V1560" s="80">
        <f t="shared" si="559"/>
        <v>10.443307692307691</v>
      </c>
      <c r="W1560" s="98">
        <v>17</v>
      </c>
      <c r="X1560" s="84">
        <f>+IF(P1560="ACERO A36",VLOOKUP(Q1560,'[3]Tiempo Objeto'!$B$2:$C$12,2,FALSE),IF(P1560="INOXIDABLE",VLOOKUP(Q1560,'[3]Tiempo Objeto'!$B$14:$C$22,2,FALSE),IF(P1560="ALUMINIO",VLOOKUP(Q1560,'[3]Tiempo Objeto'!$B$24:$C$32,2,FALSE))))</f>
        <v>0.24666666666666667</v>
      </c>
      <c r="Y1560" s="84">
        <f t="shared" si="176"/>
        <v>4.1933333333333334</v>
      </c>
      <c r="Z1560" s="80">
        <f t="shared" si="177"/>
        <v>5.8240740740740744</v>
      </c>
      <c r="AA1560" s="100">
        <v>2</v>
      </c>
      <c r="AB1560" s="86">
        <f>+AA1560*Analisis!$J$6</f>
        <v>50</v>
      </c>
      <c r="AC1560" s="100"/>
      <c r="AD1560" s="85">
        <f t="shared" si="178"/>
        <v>0</v>
      </c>
      <c r="AE1560" s="86">
        <f>+AC1560*Analisis!$J$7</f>
        <v>0</v>
      </c>
      <c r="AF1560" s="308">
        <f>+H1560*0.0254*I1560*0.0254*2*(1+[3]Analisis!$G$2)</f>
        <v>0.33740255099999999</v>
      </c>
      <c r="AG1560" s="86">
        <f>+AF1560*Analisis!$J$8</f>
        <v>35.949438469642864</v>
      </c>
      <c r="AH1560" s="309">
        <f t="shared" si="179"/>
        <v>149.62967457084599</v>
      </c>
      <c r="AI1560" s="86">
        <f>+AH1560/(1-Analisis!G1198)</f>
        <v>149.62967457084599</v>
      </c>
      <c r="AJ1560" s="86">
        <f t="shared" si="180"/>
        <v>160.89212319445807</v>
      </c>
      <c r="AK1560" s="86">
        <f t="shared" si="181"/>
        <v>0</v>
      </c>
      <c r="AL1560" s="310" t="e">
        <f>+VLOOKUP(B1560,#REF!,2,FALSE)</f>
        <v>#REF!</v>
      </c>
      <c r="AM1560" s="311" t="e">
        <f t="shared" si="183"/>
        <v>#REF!</v>
      </c>
      <c r="AN1560" s="312" t="e">
        <f t="shared" si="182"/>
        <v>#REF!</v>
      </c>
    </row>
    <row r="1561" spans="1:40" s="73" customFormat="1" x14ac:dyDescent="0.25">
      <c r="A1561" s="313">
        <v>9</v>
      </c>
      <c r="B1561" s="314" t="s">
        <v>2223</v>
      </c>
      <c r="D1561" s="74">
        <f>IFERROR(VLOOKUP(B1561,'REQ. PINTADO'!B:C,2,0),0)</f>
        <v>0</v>
      </c>
      <c r="E1561" s="305">
        <f t="shared" ref="E1561:E1568" si="603">+AJ1561</f>
        <v>181.90217114053223</v>
      </c>
      <c r="F1561" s="397" t="s">
        <v>166</v>
      </c>
      <c r="G1561" s="75" t="s">
        <v>147</v>
      </c>
      <c r="H1561" s="90">
        <v>19</v>
      </c>
      <c r="I1561" s="90">
        <v>13.51</v>
      </c>
      <c r="J1561" s="76">
        <v>0.105</v>
      </c>
      <c r="K1561" s="306">
        <v>16.38</v>
      </c>
      <c r="L1561" s="78">
        <f t="shared" ref="L1561:L1568" si="604">+M1561*2.2/K1561</f>
        <v>7.8139911465742671</v>
      </c>
      <c r="M1561" s="58">
        <f>+VLOOKUP(F1561,Material!$H$2:$M$17,6,FALSE)*H1561*I1561*(1+Material!$K$14)</f>
        <v>58.178715900402949</v>
      </c>
      <c r="N1561" s="79" t="str">
        <f t="shared" ref="N1561:N1568" si="605">+N1187</f>
        <v>T5.0</v>
      </c>
      <c r="O1561" s="80">
        <f>+VLOOKUP(N1561,[3]Material!$A$3:$B$58,2,FALSE)</f>
        <v>5000</v>
      </c>
      <c r="P1561" s="79" t="s">
        <v>42</v>
      </c>
      <c r="Q1561" s="79" t="str">
        <f>+VLOOKUP(F1561,[3]Material!$C$2:$E$12,2,FALSE)</f>
        <v>Cal 16</v>
      </c>
      <c r="R1561" s="81">
        <f>+IF(P1561="ACERO A36",VLOOKUP(Q1561,'[3]Velocidades Std 1500 w'!$B$2:$F$15,5,FALSE),IF(P1561="INOXIDABLE",VLOOKUP(Q1561,'[3]Velocidades Std 1500 w'!$B$17:$F$28,5,FALSE),IF(P1561="ALUMINIO",VLOOKUP(Q1561,'[3]Velocidades Std 1500 w'!$B$30:$F$38,5,FALSE))))</f>
        <v>9.1575091575091579E-7</v>
      </c>
      <c r="S1561" s="82">
        <f t="shared" ref="S1561:S1568" si="606">+R1561*O1561</f>
        <v>4.578754578754579E-3</v>
      </c>
      <c r="T1561" s="83">
        <f t="shared" ref="T1561:T1568" si="607">+R1561*U1561*3600</f>
        <v>7.958796923076922</v>
      </c>
      <c r="U1561" s="307">
        <f t="shared" ref="U1561:U1568" si="608">(+I1561*2+H1561*2+W1561*1.5)*25.4*1.05</f>
        <v>2414.1683999999996</v>
      </c>
      <c r="V1561" s="80">
        <f t="shared" ref="V1561:V1568" si="609">+U1561*S1561</f>
        <v>11.053884615384614</v>
      </c>
      <c r="W1561" s="98">
        <v>17</v>
      </c>
      <c r="X1561" s="84">
        <f>+IF(P1561="ACERO A36",VLOOKUP(Q1561,'[3]Tiempo Objeto'!$B$2:$C$12,2,FALSE),IF(P1561="INOXIDABLE",VLOOKUP(Q1561,'[3]Tiempo Objeto'!$B$14:$C$22,2,FALSE),IF(P1561="ALUMINIO",VLOOKUP(Q1561,'[3]Tiempo Objeto'!$B$24:$C$32,2,FALSE))))</f>
        <v>0.24666666666666667</v>
      </c>
      <c r="Y1561" s="84">
        <f t="shared" ref="Y1561:Y1568" si="610">+X1561*W1561</f>
        <v>4.1933333333333334</v>
      </c>
      <c r="Z1561" s="80">
        <f t="shared" ref="Z1561:Z1568" si="611">+Y1561*O1561/3600</f>
        <v>5.8240740740740744</v>
      </c>
      <c r="AA1561" s="100">
        <v>2</v>
      </c>
      <c r="AB1561" s="86">
        <f>+AA1561*Analisis!$J$6</f>
        <v>50</v>
      </c>
      <c r="AC1561" s="100"/>
      <c r="AD1561" s="85">
        <f t="shared" ref="AD1561:AD1568" si="612">30*AC1561+AC1561*$D1561*1.5</f>
        <v>0</v>
      </c>
      <c r="AE1561" s="86">
        <f>+AC1561*Analisis!$J$7</f>
        <v>0</v>
      </c>
      <c r="AF1561" s="308">
        <f>+H1561*0.0254*I1561*0.0254*2*(1+[3]Analisis!$G$2)</f>
        <v>0.414015301</v>
      </c>
      <c r="AG1561" s="86">
        <f>+AF1561*Analisis!$J$8</f>
        <v>44.112344570833343</v>
      </c>
      <c r="AH1561" s="309">
        <f t="shared" ref="AH1561:AH1568" si="613">+AE1561+AB1561+Z1561+V1561+M1561+AG1561</f>
        <v>169.16901916069497</v>
      </c>
      <c r="AI1561" s="86">
        <f>+AH1561/(1-Analisis!G1199)</f>
        <v>169.16901916069497</v>
      </c>
      <c r="AJ1561" s="86">
        <f t="shared" ref="AJ1561:AJ1568" si="614">+AI1561/(1-0.07)</f>
        <v>181.90217114053223</v>
      </c>
      <c r="AK1561" s="86">
        <f t="shared" ref="AK1561:AK1568" si="615">+AJ1561*D1561</f>
        <v>0</v>
      </c>
      <c r="AL1561" s="310" t="e">
        <f>+VLOOKUP(B1561,#REF!,2,FALSE)</f>
        <v>#REF!</v>
      </c>
      <c r="AM1561" s="311" t="e">
        <f t="shared" ref="AM1561:AM1568" si="616">+AL1561-E1561</f>
        <v>#REF!</v>
      </c>
      <c r="AN1561" s="312" t="e">
        <f t="shared" ref="AN1561:AN1568" si="617">+AM1561/AL1561</f>
        <v>#REF!</v>
      </c>
    </row>
    <row r="1562" spans="1:40" s="73" customFormat="1" x14ac:dyDescent="0.25">
      <c r="A1562" s="313">
        <v>9</v>
      </c>
      <c r="B1562" s="314" t="s">
        <v>2224</v>
      </c>
      <c r="D1562" s="74">
        <f>IFERROR(VLOOKUP(B1562,'REQ. PINTADO'!B:C,2,0),0)</f>
        <v>0</v>
      </c>
      <c r="E1562" s="305">
        <f t="shared" si="603"/>
        <v>202.91221908660648</v>
      </c>
      <c r="F1562" s="397" t="s">
        <v>166</v>
      </c>
      <c r="G1562" s="75" t="s">
        <v>147</v>
      </c>
      <c r="H1562" s="90">
        <v>19</v>
      </c>
      <c r="I1562" s="90">
        <v>16.010000000000002</v>
      </c>
      <c r="J1562" s="76">
        <v>0.105</v>
      </c>
      <c r="K1562" s="306">
        <v>16.38</v>
      </c>
      <c r="L1562" s="78">
        <f t="shared" si="604"/>
        <v>9.2599554594118469</v>
      </c>
      <c r="M1562" s="58">
        <f>+VLOOKUP(F1562,Material!$H$2:$M$17,6,FALSE)*H1562*I1562*(1+Material!$K$14)</f>
        <v>68.944577465984565</v>
      </c>
      <c r="N1562" s="79" t="str">
        <f t="shared" si="605"/>
        <v>T5.0</v>
      </c>
      <c r="O1562" s="80">
        <f>+VLOOKUP(N1562,[3]Material!$A$3:$B$58,2,FALSE)</f>
        <v>5000</v>
      </c>
      <c r="P1562" s="79" t="s">
        <v>42</v>
      </c>
      <c r="Q1562" s="79" t="str">
        <f>+VLOOKUP(F1562,[3]Material!$C$2:$E$12,2,FALSE)</f>
        <v>Cal 16</v>
      </c>
      <c r="R1562" s="81">
        <f>+IF(P1562="ACERO A36",VLOOKUP(Q1562,'[3]Velocidades Std 1500 w'!$B$2:$F$15,5,FALSE),IF(P1562="INOXIDABLE",VLOOKUP(Q1562,'[3]Velocidades Std 1500 w'!$B$17:$F$28,5,FALSE),IF(P1562="ALUMINIO",VLOOKUP(Q1562,'[3]Velocidades Std 1500 w'!$B$30:$F$38,5,FALSE))))</f>
        <v>9.1575091575091579E-7</v>
      </c>
      <c r="S1562" s="82">
        <f t="shared" si="606"/>
        <v>4.578754578754579E-3</v>
      </c>
      <c r="T1562" s="83">
        <f t="shared" si="607"/>
        <v>8.3984123076923094</v>
      </c>
      <c r="U1562" s="307">
        <f t="shared" si="608"/>
        <v>2547.5184000000004</v>
      </c>
      <c r="V1562" s="80">
        <f t="shared" si="609"/>
        <v>11.664461538461541</v>
      </c>
      <c r="W1562" s="98">
        <v>17</v>
      </c>
      <c r="X1562" s="84">
        <f>+IF(P1562="ACERO A36",VLOOKUP(Q1562,'[3]Tiempo Objeto'!$B$2:$C$12,2,FALSE),IF(P1562="INOXIDABLE",VLOOKUP(Q1562,'[3]Tiempo Objeto'!$B$14:$C$22,2,FALSE),IF(P1562="ALUMINIO",VLOOKUP(Q1562,'[3]Tiempo Objeto'!$B$24:$C$32,2,FALSE))))</f>
        <v>0.24666666666666667</v>
      </c>
      <c r="Y1562" s="84">
        <f t="shared" si="610"/>
        <v>4.1933333333333334</v>
      </c>
      <c r="Z1562" s="80">
        <f t="shared" si="611"/>
        <v>5.8240740740740744</v>
      </c>
      <c r="AA1562" s="100">
        <v>2</v>
      </c>
      <c r="AB1562" s="86">
        <f>+AA1562*Analisis!$J$6</f>
        <v>50</v>
      </c>
      <c r="AC1562" s="100"/>
      <c r="AD1562" s="85">
        <f t="shared" si="612"/>
        <v>0</v>
      </c>
      <c r="AE1562" s="86">
        <f>+AC1562*Analisis!$J$7</f>
        <v>0</v>
      </c>
      <c r="AF1562" s="308">
        <f>+H1562*0.0254*I1562*0.0254*2*(1+[3]Analisis!$G$2)</f>
        <v>0.49062805099999995</v>
      </c>
      <c r="AG1562" s="86">
        <f>+AF1562*Analisis!$J$8</f>
        <v>52.275250672023823</v>
      </c>
      <c r="AH1562" s="309">
        <f t="shared" si="613"/>
        <v>188.70836375054401</v>
      </c>
      <c r="AI1562" s="86">
        <f>+AH1562/(1-Analisis!G1200)</f>
        <v>188.70836375054401</v>
      </c>
      <c r="AJ1562" s="86">
        <f t="shared" si="614"/>
        <v>202.91221908660648</v>
      </c>
      <c r="AK1562" s="86">
        <f t="shared" si="615"/>
        <v>0</v>
      </c>
      <c r="AL1562" s="310" t="e">
        <f>+VLOOKUP(B1562,#REF!,2,FALSE)</f>
        <v>#REF!</v>
      </c>
      <c r="AM1562" s="311" t="e">
        <f t="shared" si="616"/>
        <v>#REF!</v>
      </c>
      <c r="AN1562" s="312" t="e">
        <f t="shared" si="617"/>
        <v>#REF!</v>
      </c>
    </row>
    <row r="1563" spans="1:40" s="73" customFormat="1" x14ac:dyDescent="0.25">
      <c r="A1563" s="313">
        <v>9</v>
      </c>
      <c r="B1563" s="314" t="s">
        <v>2225</v>
      </c>
      <c r="D1563" s="74">
        <f>IFERROR(VLOOKUP(B1563,'REQ. PINTADO'!B:C,2,0),0)</f>
        <v>0</v>
      </c>
      <c r="E1563" s="305">
        <f t="shared" si="603"/>
        <v>171.39714716749518</v>
      </c>
      <c r="F1563" s="397" t="s">
        <v>166</v>
      </c>
      <c r="G1563" s="75" t="s">
        <v>147</v>
      </c>
      <c r="H1563" s="90">
        <v>19</v>
      </c>
      <c r="I1563" s="90">
        <v>12.26</v>
      </c>
      <c r="J1563" s="76">
        <v>0.105</v>
      </c>
      <c r="K1563" s="306">
        <v>16.38</v>
      </c>
      <c r="L1563" s="78">
        <f t="shared" si="604"/>
        <v>7.0910089901554798</v>
      </c>
      <c r="M1563" s="58">
        <f>+VLOOKUP(F1563,Material!$H$2:$M$17,6,FALSE)*H1563*I1563*(1+Material!$K$14)</f>
        <v>52.795785117612155</v>
      </c>
      <c r="N1563" s="79" t="str">
        <f t="shared" si="605"/>
        <v>T5.0</v>
      </c>
      <c r="O1563" s="80">
        <f>+VLOOKUP(N1563,[3]Material!$A$3:$B$58,2,FALSE)</f>
        <v>5000</v>
      </c>
      <c r="P1563" s="79" t="s">
        <v>42</v>
      </c>
      <c r="Q1563" s="79" t="str">
        <f>+VLOOKUP(F1563,[3]Material!$C$2:$E$12,2,FALSE)</f>
        <v>Cal 16</v>
      </c>
      <c r="R1563" s="81">
        <f>+IF(P1563="ACERO A36",VLOOKUP(Q1563,'[3]Velocidades Std 1500 w'!$B$2:$F$15,5,FALSE),IF(P1563="INOXIDABLE",VLOOKUP(Q1563,'[3]Velocidades Std 1500 w'!$B$17:$F$28,5,FALSE),IF(P1563="ALUMINIO",VLOOKUP(Q1563,'[3]Velocidades Std 1500 w'!$B$30:$F$38,5,FALSE))))</f>
        <v>9.1575091575091579E-7</v>
      </c>
      <c r="S1563" s="82">
        <f t="shared" si="606"/>
        <v>4.578754578754579E-3</v>
      </c>
      <c r="T1563" s="83">
        <f t="shared" si="607"/>
        <v>7.7389892307692296</v>
      </c>
      <c r="U1563" s="307">
        <f t="shared" si="608"/>
        <v>2347.4933999999998</v>
      </c>
      <c r="V1563" s="80">
        <f t="shared" si="609"/>
        <v>10.748596153846153</v>
      </c>
      <c r="W1563" s="98">
        <v>17</v>
      </c>
      <c r="X1563" s="84">
        <f>+IF(P1563="ACERO A36",VLOOKUP(Q1563,'[3]Tiempo Objeto'!$B$2:$C$12,2,FALSE),IF(P1563="INOXIDABLE",VLOOKUP(Q1563,'[3]Tiempo Objeto'!$B$14:$C$22,2,FALSE),IF(P1563="ALUMINIO",VLOOKUP(Q1563,'[3]Tiempo Objeto'!$B$24:$C$32,2,FALSE))))</f>
        <v>0.24666666666666667</v>
      </c>
      <c r="Y1563" s="84">
        <f t="shared" si="610"/>
        <v>4.1933333333333334</v>
      </c>
      <c r="Z1563" s="80">
        <f t="shared" si="611"/>
        <v>5.8240740740740744</v>
      </c>
      <c r="AA1563" s="100">
        <v>2</v>
      </c>
      <c r="AB1563" s="86">
        <f>+AA1563*Analisis!$J$6</f>
        <v>50</v>
      </c>
      <c r="AC1563" s="100"/>
      <c r="AD1563" s="85">
        <f t="shared" si="612"/>
        <v>0</v>
      </c>
      <c r="AE1563" s="86">
        <f>+AC1563*Analisis!$J$7</f>
        <v>0</v>
      </c>
      <c r="AF1563" s="308">
        <f>+H1563*0.0254*I1563*0.0254*2*(1+[3]Analisis!$G$2)</f>
        <v>0.37570892599999994</v>
      </c>
      <c r="AG1563" s="86">
        <f>+AF1563*Analisis!$J$8</f>
        <v>40.0308915202381</v>
      </c>
      <c r="AH1563" s="309">
        <f t="shared" si="613"/>
        <v>159.3993468657705</v>
      </c>
      <c r="AI1563" s="86">
        <f>+AH1563/(1-Analisis!G1201)</f>
        <v>159.3993468657705</v>
      </c>
      <c r="AJ1563" s="86">
        <f t="shared" si="614"/>
        <v>171.39714716749518</v>
      </c>
      <c r="AK1563" s="86">
        <f t="shared" si="615"/>
        <v>0</v>
      </c>
      <c r="AL1563" s="310" t="e">
        <f>+VLOOKUP(B1563,#REF!,2,FALSE)</f>
        <v>#REF!</v>
      </c>
      <c r="AM1563" s="311" t="e">
        <f t="shared" si="616"/>
        <v>#REF!</v>
      </c>
      <c r="AN1563" s="312" t="e">
        <f t="shared" si="617"/>
        <v>#REF!</v>
      </c>
    </row>
    <row r="1564" spans="1:40" s="73" customFormat="1" x14ac:dyDescent="0.25">
      <c r="A1564" s="313">
        <v>9</v>
      </c>
      <c r="B1564" s="314" t="s">
        <v>2166</v>
      </c>
      <c r="D1564" s="74">
        <f>IFERROR(VLOOKUP(B1564,'REQ. PINTADO'!B:C,2,0),0)</f>
        <v>48</v>
      </c>
      <c r="E1564" s="305">
        <f t="shared" si="603"/>
        <v>213.41724305964357</v>
      </c>
      <c r="F1564" s="397" t="s">
        <v>166</v>
      </c>
      <c r="G1564" s="75" t="s">
        <v>147</v>
      </c>
      <c r="H1564" s="90">
        <v>19</v>
      </c>
      <c r="I1564" s="90">
        <v>17.260000000000002</v>
      </c>
      <c r="J1564" s="76">
        <v>0.105</v>
      </c>
      <c r="K1564" s="306">
        <v>16.38</v>
      </c>
      <c r="L1564" s="78">
        <f t="shared" si="604"/>
        <v>9.982937615830636</v>
      </c>
      <c r="M1564" s="58">
        <f>+VLOOKUP(F1564,Material!$H$2:$M$17,6,FALSE)*H1564*I1564*(1+Material!$K$14)</f>
        <v>74.327508248775359</v>
      </c>
      <c r="N1564" s="79" t="str">
        <f t="shared" si="605"/>
        <v>T5.0</v>
      </c>
      <c r="O1564" s="80">
        <f>+VLOOKUP(N1564,[3]Material!$A$3:$B$58,2,FALSE)</f>
        <v>5000</v>
      </c>
      <c r="P1564" s="79" t="s">
        <v>42</v>
      </c>
      <c r="Q1564" s="79" t="str">
        <f>+VLOOKUP(F1564,[3]Material!$C$2:$E$12,2,FALSE)</f>
        <v>Cal 16</v>
      </c>
      <c r="R1564" s="81">
        <f>+IF(P1564="ACERO A36",VLOOKUP(Q1564,'[3]Velocidades Std 1500 w'!$B$2:$F$15,5,FALSE),IF(P1564="INOXIDABLE",VLOOKUP(Q1564,'[3]Velocidades Std 1500 w'!$B$17:$F$28,5,FALSE),IF(P1564="ALUMINIO",VLOOKUP(Q1564,'[3]Velocidades Std 1500 w'!$B$30:$F$38,5,FALSE))))</f>
        <v>9.1575091575091579E-7</v>
      </c>
      <c r="S1564" s="82">
        <f t="shared" si="606"/>
        <v>4.578754578754579E-3</v>
      </c>
      <c r="T1564" s="83">
        <f t="shared" si="607"/>
        <v>8.6182200000000009</v>
      </c>
      <c r="U1564" s="307">
        <f t="shared" si="608"/>
        <v>2614.1934000000001</v>
      </c>
      <c r="V1564" s="80">
        <f t="shared" si="609"/>
        <v>11.969750000000001</v>
      </c>
      <c r="W1564" s="98">
        <v>17</v>
      </c>
      <c r="X1564" s="84">
        <f>+IF(P1564="ACERO A36",VLOOKUP(Q1564,'[3]Tiempo Objeto'!$B$2:$C$12,2,FALSE),IF(P1564="INOXIDABLE",VLOOKUP(Q1564,'[3]Tiempo Objeto'!$B$14:$C$22,2,FALSE),IF(P1564="ALUMINIO",VLOOKUP(Q1564,'[3]Tiempo Objeto'!$B$24:$C$32,2,FALSE))))</f>
        <v>0.24666666666666667</v>
      </c>
      <c r="Y1564" s="84">
        <f t="shared" si="610"/>
        <v>4.1933333333333334</v>
      </c>
      <c r="Z1564" s="80">
        <f t="shared" si="611"/>
        <v>5.8240740740740744</v>
      </c>
      <c r="AA1564" s="100">
        <v>2</v>
      </c>
      <c r="AB1564" s="86">
        <f>+AA1564*Analisis!$J$6</f>
        <v>50</v>
      </c>
      <c r="AC1564" s="100"/>
      <c r="AD1564" s="85">
        <f t="shared" si="612"/>
        <v>0</v>
      </c>
      <c r="AE1564" s="86">
        <f>+AC1564*Analisis!$J$7</f>
        <v>0</v>
      </c>
      <c r="AF1564" s="308">
        <f>+H1564*0.0254*I1564*0.0254*2*(1+[3]Analisis!$G$2)</f>
        <v>0.52893442600000007</v>
      </c>
      <c r="AG1564" s="86">
        <f>+AF1564*Analisis!$J$8</f>
        <v>56.356703722619073</v>
      </c>
      <c r="AH1564" s="309">
        <f t="shared" si="613"/>
        <v>198.47803604546851</v>
      </c>
      <c r="AI1564" s="86">
        <f>+AH1564/(1-Analisis!G1202)</f>
        <v>198.47803604546851</v>
      </c>
      <c r="AJ1564" s="86">
        <f t="shared" si="614"/>
        <v>213.41724305964357</v>
      </c>
      <c r="AK1564" s="86">
        <f t="shared" si="615"/>
        <v>10244.02766686289</v>
      </c>
      <c r="AL1564" s="310" t="e">
        <f>+VLOOKUP(B1564,#REF!,2,FALSE)</f>
        <v>#REF!</v>
      </c>
      <c r="AM1564" s="311" t="e">
        <f t="shared" si="616"/>
        <v>#REF!</v>
      </c>
      <c r="AN1564" s="312" t="e">
        <f t="shared" si="617"/>
        <v>#REF!</v>
      </c>
    </row>
    <row r="1565" spans="1:40" s="73" customFormat="1" x14ac:dyDescent="0.25">
      <c r="A1565" s="313">
        <v>9</v>
      </c>
      <c r="B1565" s="314" t="s">
        <v>2226</v>
      </c>
      <c r="D1565" s="74">
        <f>IFERROR(VLOOKUP(B1565,'REQ. PINTADO'!B:C,2,0),0)</f>
        <v>0</v>
      </c>
      <c r="E1565" s="305">
        <f t="shared" si="603"/>
        <v>139.88207524838387</v>
      </c>
      <c r="F1565" s="397" t="s">
        <v>166</v>
      </c>
      <c r="G1565" s="75" t="s">
        <v>147</v>
      </c>
      <c r="H1565" s="90">
        <v>19</v>
      </c>
      <c r="I1565" s="90">
        <v>8.51</v>
      </c>
      <c r="J1565" s="76">
        <v>0.105</v>
      </c>
      <c r="K1565" s="306">
        <v>16.38</v>
      </c>
      <c r="L1565" s="78">
        <f t="shared" si="604"/>
        <v>4.9220625208991127</v>
      </c>
      <c r="M1565" s="58">
        <f>+VLOOKUP(F1565,Material!$H$2:$M$17,6,FALSE)*H1565*I1565*(1+Material!$K$14)</f>
        <v>36.646992769239752</v>
      </c>
      <c r="N1565" s="79" t="str">
        <f t="shared" si="605"/>
        <v>T5.0</v>
      </c>
      <c r="O1565" s="80">
        <f>+VLOOKUP(N1565,[3]Material!$A$3:$B$58,2,FALSE)</f>
        <v>5000</v>
      </c>
      <c r="P1565" s="79" t="s">
        <v>42</v>
      </c>
      <c r="Q1565" s="79" t="str">
        <f>+VLOOKUP(F1565,[3]Material!$C$2:$E$12,2,FALSE)</f>
        <v>Cal 16</v>
      </c>
      <c r="R1565" s="81">
        <f>+IF(P1565="ACERO A36",VLOOKUP(Q1565,'[3]Velocidades Std 1500 w'!$B$2:$F$15,5,FALSE),IF(P1565="INOXIDABLE",VLOOKUP(Q1565,'[3]Velocidades Std 1500 w'!$B$17:$F$28,5,FALSE),IF(P1565="ALUMINIO",VLOOKUP(Q1565,'[3]Velocidades Std 1500 w'!$B$30:$F$38,5,FALSE))))</f>
        <v>9.1575091575091579E-7</v>
      </c>
      <c r="S1565" s="82">
        <f t="shared" si="606"/>
        <v>4.578754578754579E-3</v>
      </c>
      <c r="T1565" s="83">
        <f t="shared" si="607"/>
        <v>7.0795661538461534</v>
      </c>
      <c r="U1565" s="307">
        <f t="shared" si="608"/>
        <v>2147.4683999999997</v>
      </c>
      <c r="V1565" s="80">
        <f t="shared" si="609"/>
        <v>9.8327307692307677</v>
      </c>
      <c r="W1565" s="98">
        <v>17</v>
      </c>
      <c r="X1565" s="84">
        <f>+IF(P1565="ACERO A36",VLOOKUP(Q1565,'[3]Tiempo Objeto'!$B$2:$C$12,2,FALSE),IF(P1565="INOXIDABLE",VLOOKUP(Q1565,'[3]Tiempo Objeto'!$B$14:$C$22,2,FALSE),IF(P1565="ALUMINIO",VLOOKUP(Q1565,'[3]Tiempo Objeto'!$B$24:$C$32,2,FALSE))))</f>
        <v>0.24666666666666667</v>
      </c>
      <c r="Y1565" s="84">
        <f t="shared" si="610"/>
        <v>4.1933333333333334</v>
      </c>
      <c r="Z1565" s="80">
        <f t="shared" si="611"/>
        <v>5.8240740740740744</v>
      </c>
      <c r="AA1565" s="100">
        <v>2</v>
      </c>
      <c r="AB1565" s="86">
        <f>+AA1565*Analisis!$J$6</f>
        <v>50</v>
      </c>
      <c r="AC1565" s="100"/>
      <c r="AD1565" s="85">
        <f t="shared" si="612"/>
        <v>0</v>
      </c>
      <c r="AE1565" s="86">
        <f>+AC1565*Analisis!$J$7</f>
        <v>0</v>
      </c>
      <c r="AF1565" s="308">
        <f>+H1565*0.0254*I1565*0.0254*2*(1+[3]Analisis!$G$2)</f>
        <v>0.26078980099999993</v>
      </c>
      <c r="AG1565" s="86">
        <f>+AF1565*Analisis!$J$8</f>
        <v>27.786532368452381</v>
      </c>
      <c r="AH1565" s="309">
        <f t="shared" si="613"/>
        <v>130.09032998099698</v>
      </c>
      <c r="AI1565" s="86">
        <f>+AH1565/(1-Analisis!G1203)</f>
        <v>130.09032998099698</v>
      </c>
      <c r="AJ1565" s="86">
        <f t="shared" si="614"/>
        <v>139.88207524838387</v>
      </c>
      <c r="AK1565" s="86">
        <f t="shared" si="615"/>
        <v>0</v>
      </c>
      <c r="AL1565" s="310" t="e">
        <f>+VLOOKUP(B1565,#REF!,2,FALSE)</f>
        <v>#REF!</v>
      </c>
      <c r="AM1565" s="311" t="e">
        <f t="shared" si="616"/>
        <v>#REF!</v>
      </c>
      <c r="AN1565" s="312" t="e">
        <f t="shared" si="617"/>
        <v>#REF!</v>
      </c>
    </row>
    <row r="1566" spans="1:40" s="73" customFormat="1" x14ac:dyDescent="0.25">
      <c r="A1566" s="313">
        <v>9</v>
      </c>
      <c r="B1566" s="314" t="s">
        <v>2227</v>
      </c>
      <c r="D1566" s="74">
        <f>IFERROR(VLOOKUP(B1566,'REQ. PINTADO'!B:C,2,0),0)</f>
        <v>0</v>
      </c>
      <c r="E1566" s="305">
        <f t="shared" si="603"/>
        <v>118.87202730230968</v>
      </c>
      <c r="F1566" s="397" t="s">
        <v>166</v>
      </c>
      <c r="G1566" s="75" t="s">
        <v>147</v>
      </c>
      <c r="H1566" s="90">
        <v>19</v>
      </c>
      <c r="I1566" s="90">
        <v>6.01</v>
      </c>
      <c r="J1566" s="76">
        <v>0.105</v>
      </c>
      <c r="K1566" s="306">
        <v>16.38</v>
      </c>
      <c r="L1566" s="78">
        <f t="shared" si="604"/>
        <v>3.4760982080615359</v>
      </c>
      <c r="M1566" s="58">
        <f>+VLOOKUP(F1566,Material!$H$2:$M$17,6,FALSE)*H1566*I1566*(1+Material!$K$14)</f>
        <v>25.88113120365816</v>
      </c>
      <c r="N1566" s="79" t="str">
        <f t="shared" si="605"/>
        <v>T5.0</v>
      </c>
      <c r="O1566" s="80">
        <f>+VLOOKUP(N1566,[3]Material!$A$3:$B$58,2,FALSE)</f>
        <v>5000</v>
      </c>
      <c r="P1566" s="79" t="s">
        <v>42</v>
      </c>
      <c r="Q1566" s="79" t="str">
        <f>+VLOOKUP(F1566,[3]Material!$C$2:$E$12,2,FALSE)</f>
        <v>Cal 16</v>
      </c>
      <c r="R1566" s="81">
        <f>+IF(P1566="ACERO A36",VLOOKUP(Q1566,'[3]Velocidades Std 1500 w'!$B$2:$F$15,5,FALSE),IF(P1566="INOXIDABLE",VLOOKUP(Q1566,'[3]Velocidades Std 1500 w'!$B$17:$F$28,5,FALSE),IF(P1566="ALUMINIO",VLOOKUP(Q1566,'[3]Velocidades Std 1500 w'!$B$30:$F$38,5,FALSE))))</f>
        <v>9.1575091575091579E-7</v>
      </c>
      <c r="S1566" s="82">
        <f t="shared" si="606"/>
        <v>4.578754578754579E-3</v>
      </c>
      <c r="T1566" s="83">
        <f t="shared" si="607"/>
        <v>6.6399507692307687</v>
      </c>
      <c r="U1566" s="307">
        <f t="shared" si="608"/>
        <v>2014.1183999999998</v>
      </c>
      <c r="V1566" s="80">
        <f t="shared" si="609"/>
        <v>9.2221538461538461</v>
      </c>
      <c r="W1566" s="98">
        <v>17</v>
      </c>
      <c r="X1566" s="84">
        <f>+IF(P1566="ACERO A36",VLOOKUP(Q1566,'[3]Tiempo Objeto'!$B$2:$C$12,2,FALSE),IF(P1566="INOXIDABLE",VLOOKUP(Q1566,'[3]Tiempo Objeto'!$B$14:$C$22,2,FALSE),IF(P1566="ALUMINIO",VLOOKUP(Q1566,'[3]Tiempo Objeto'!$B$24:$C$32,2,FALSE))))</f>
        <v>0.24666666666666667</v>
      </c>
      <c r="Y1566" s="84">
        <f t="shared" si="610"/>
        <v>4.1933333333333334</v>
      </c>
      <c r="Z1566" s="80">
        <f t="shared" si="611"/>
        <v>5.8240740740740744</v>
      </c>
      <c r="AA1566" s="100">
        <v>2</v>
      </c>
      <c r="AB1566" s="86">
        <f>+AA1566*Analisis!$J$6</f>
        <v>50</v>
      </c>
      <c r="AC1566" s="100"/>
      <c r="AD1566" s="85">
        <f t="shared" si="612"/>
        <v>0</v>
      </c>
      <c r="AE1566" s="86">
        <f>+AC1566*Analisis!$J$7</f>
        <v>0</v>
      </c>
      <c r="AF1566" s="308">
        <f>+H1566*0.0254*I1566*0.0254*2*(1+[3]Analisis!$G$2)</f>
        <v>0.18417705099999998</v>
      </c>
      <c r="AG1566" s="86">
        <f>+AF1566*Analisis!$J$8</f>
        <v>19.623626267261908</v>
      </c>
      <c r="AH1566" s="309">
        <f t="shared" si="613"/>
        <v>110.55098539114799</v>
      </c>
      <c r="AI1566" s="86">
        <f>+AH1566/(1-Analisis!G1204)</f>
        <v>110.55098539114799</v>
      </c>
      <c r="AJ1566" s="86">
        <f t="shared" si="614"/>
        <v>118.87202730230968</v>
      </c>
      <c r="AK1566" s="86">
        <f t="shared" si="615"/>
        <v>0</v>
      </c>
      <c r="AL1566" s="310" t="e">
        <f>+VLOOKUP(B1566,#REF!,2,FALSE)</f>
        <v>#REF!</v>
      </c>
      <c r="AM1566" s="311" t="e">
        <f t="shared" si="616"/>
        <v>#REF!</v>
      </c>
      <c r="AN1566" s="312" t="e">
        <f t="shared" si="617"/>
        <v>#REF!</v>
      </c>
    </row>
    <row r="1567" spans="1:40" s="73" customFormat="1" x14ac:dyDescent="0.25">
      <c r="A1567" s="313">
        <v>9</v>
      </c>
      <c r="B1567" s="314" t="s">
        <v>2228</v>
      </c>
      <c r="D1567" s="74">
        <f>IFERROR(VLOOKUP(B1567,'REQ. PINTADO'!B:C,2,0),0)</f>
        <v>0</v>
      </c>
      <c r="E1567" s="305">
        <f t="shared" si="603"/>
        <v>129.37705127534679</v>
      </c>
      <c r="F1567" s="397" t="s">
        <v>166</v>
      </c>
      <c r="G1567" s="75" t="s">
        <v>147</v>
      </c>
      <c r="H1567" s="90">
        <v>19</v>
      </c>
      <c r="I1567" s="90">
        <v>7.26</v>
      </c>
      <c r="J1567" s="76">
        <v>0.105</v>
      </c>
      <c r="K1567" s="306">
        <v>16.38</v>
      </c>
      <c r="L1567" s="78">
        <f t="shared" si="604"/>
        <v>4.1990803644803245</v>
      </c>
      <c r="M1567" s="58">
        <f>+VLOOKUP(F1567,Material!$H$2:$M$17,6,FALSE)*H1567*I1567*(1+Material!$K$14)</f>
        <v>31.264061986448958</v>
      </c>
      <c r="N1567" s="79" t="str">
        <f t="shared" si="605"/>
        <v>T5.0</v>
      </c>
      <c r="O1567" s="80">
        <f>+VLOOKUP(N1567,[3]Material!$A$3:$B$58,2,FALSE)</f>
        <v>5000</v>
      </c>
      <c r="P1567" s="79" t="s">
        <v>42</v>
      </c>
      <c r="Q1567" s="79" t="str">
        <f>+VLOOKUP(F1567,[3]Material!$C$2:$E$12,2,FALSE)</f>
        <v>Cal 16</v>
      </c>
      <c r="R1567" s="81">
        <f>+IF(P1567="ACERO A36",VLOOKUP(Q1567,'[3]Velocidades Std 1500 w'!$B$2:$F$15,5,FALSE),IF(P1567="INOXIDABLE",VLOOKUP(Q1567,'[3]Velocidades Std 1500 w'!$B$17:$F$28,5,FALSE),IF(P1567="ALUMINIO",VLOOKUP(Q1567,'[3]Velocidades Std 1500 w'!$B$30:$F$38,5,FALSE))))</f>
        <v>9.1575091575091579E-7</v>
      </c>
      <c r="S1567" s="82">
        <f t="shared" si="606"/>
        <v>4.578754578754579E-3</v>
      </c>
      <c r="T1567" s="83">
        <f t="shared" si="607"/>
        <v>6.8597584615384619</v>
      </c>
      <c r="U1567" s="307">
        <f t="shared" si="608"/>
        <v>2080.7934</v>
      </c>
      <c r="V1567" s="80">
        <f t="shared" si="609"/>
        <v>9.5274423076923078</v>
      </c>
      <c r="W1567" s="98">
        <v>17</v>
      </c>
      <c r="X1567" s="84">
        <f>+IF(P1567="ACERO A36",VLOOKUP(Q1567,'[3]Tiempo Objeto'!$B$2:$C$12,2,FALSE),IF(P1567="INOXIDABLE",VLOOKUP(Q1567,'[3]Tiempo Objeto'!$B$14:$C$22,2,FALSE),IF(P1567="ALUMINIO",VLOOKUP(Q1567,'[3]Tiempo Objeto'!$B$24:$C$32,2,FALSE))))</f>
        <v>0.24666666666666667</v>
      </c>
      <c r="Y1567" s="84">
        <f t="shared" si="610"/>
        <v>4.1933333333333334</v>
      </c>
      <c r="Z1567" s="80">
        <f t="shared" si="611"/>
        <v>5.8240740740740744</v>
      </c>
      <c r="AA1567" s="100">
        <v>2</v>
      </c>
      <c r="AB1567" s="86">
        <f>+AA1567*Analisis!$J$6</f>
        <v>50</v>
      </c>
      <c r="AC1567" s="100"/>
      <c r="AD1567" s="85">
        <f t="shared" si="612"/>
        <v>0</v>
      </c>
      <c r="AE1567" s="86">
        <f>+AC1567*Analisis!$J$7</f>
        <v>0</v>
      </c>
      <c r="AF1567" s="308">
        <f>+H1567*0.0254*I1567*0.0254*2*(1+[3]Analisis!$G$2)</f>
        <v>0.22248342599999996</v>
      </c>
      <c r="AG1567" s="86">
        <f>+AF1567*Analisis!$J$8</f>
        <v>23.705079317857145</v>
      </c>
      <c r="AH1567" s="309">
        <f t="shared" si="613"/>
        <v>120.32065768607249</v>
      </c>
      <c r="AI1567" s="86">
        <f>+AH1567/(1-Analisis!G1205)</f>
        <v>120.32065768607249</v>
      </c>
      <c r="AJ1567" s="86">
        <f t="shared" si="614"/>
        <v>129.37705127534679</v>
      </c>
      <c r="AK1567" s="86">
        <f t="shared" si="615"/>
        <v>0</v>
      </c>
      <c r="AL1567" s="310" t="e">
        <f>+VLOOKUP(B1567,#REF!,2,FALSE)</f>
        <v>#REF!</v>
      </c>
      <c r="AM1567" s="311" t="e">
        <f t="shared" si="616"/>
        <v>#REF!</v>
      </c>
      <c r="AN1567" s="312" t="e">
        <f t="shared" si="617"/>
        <v>#REF!</v>
      </c>
    </row>
    <row r="1568" spans="1:40" s="73" customFormat="1" x14ac:dyDescent="0.25">
      <c r="A1568" s="313">
        <v>9</v>
      </c>
      <c r="B1568" s="314" t="s">
        <v>2229</v>
      </c>
      <c r="D1568" s="74">
        <f>IFERROR(VLOOKUP(B1568,'REQ. PINTADO'!B:C,2,0),0)</f>
        <v>0</v>
      </c>
      <c r="E1568" s="305">
        <f t="shared" si="603"/>
        <v>150.38709922142095</v>
      </c>
      <c r="F1568" s="397" t="s">
        <v>166</v>
      </c>
      <c r="G1568" s="75" t="s">
        <v>147</v>
      </c>
      <c r="H1568" s="90">
        <v>19</v>
      </c>
      <c r="I1568" s="90">
        <v>9.76</v>
      </c>
      <c r="J1568" s="76">
        <v>0.105</v>
      </c>
      <c r="K1568" s="306">
        <v>16.38</v>
      </c>
      <c r="L1568" s="78">
        <f t="shared" si="604"/>
        <v>5.6450446773179026</v>
      </c>
      <c r="M1568" s="58">
        <f>+VLOOKUP(F1568,Material!$H$2:$M$17,6,FALSE)*H1568*I1568*(1+Material!$K$14)</f>
        <v>42.02992355203056</v>
      </c>
      <c r="N1568" s="79" t="str">
        <f t="shared" si="605"/>
        <v>T5.0</v>
      </c>
      <c r="O1568" s="80">
        <f>+VLOOKUP(N1568,[3]Material!$A$3:$B$58,2,FALSE)</f>
        <v>5000</v>
      </c>
      <c r="P1568" s="79" t="s">
        <v>42</v>
      </c>
      <c r="Q1568" s="79" t="str">
        <f>+VLOOKUP(F1568,[3]Material!$C$2:$E$12,2,FALSE)</f>
        <v>Cal 16</v>
      </c>
      <c r="R1568" s="81">
        <f>+IF(P1568="ACERO A36",VLOOKUP(Q1568,'[3]Velocidades Std 1500 w'!$B$2:$F$15,5,FALSE),IF(P1568="INOXIDABLE",VLOOKUP(Q1568,'[3]Velocidades Std 1500 w'!$B$17:$F$28,5,FALSE),IF(P1568="ALUMINIO",VLOOKUP(Q1568,'[3]Velocidades Std 1500 w'!$B$30:$F$38,5,FALSE))))</f>
        <v>9.1575091575091579E-7</v>
      </c>
      <c r="S1568" s="82">
        <f t="shared" si="606"/>
        <v>4.578754578754579E-3</v>
      </c>
      <c r="T1568" s="83">
        <f t="shared" si="607"/>
        <v>7.2993738461538458</v>
      </c>
      <c r="U1568" s="307">
        <f t="shared" si="608"/>
        <v>2214.1433999999999</v>
      </c>
      <c r="V1568" s="80">
        <f t="shared" si="609"/>
        <v>10.138019230769231</v>
      </c>
      <c r="W1568" s="98">
        <v>17</v>
      </c>
      <c r="X1568" s="84">
        <f>+IF(P1568="ACERO A36",VLOOKUP(Q1568,'[3]Tiempo Objeto'!$B$2:$C$12,2,FALSE),IF(P1568="INOXIDABLE",VLOOKUP(Q1568,'[3]Tiempo Objeto'!$B$14:$C$22,2,FALSE),IF(P1568="ALUMINIO",VLOOKUP(Q1568,'[3]Tiempo Objeto'!$B$24:$C$32,2,FALSE))))</f>
        <v>0.24666666666666667</v>
      </c>
      <c r="Y1568" s="84">
        <f t="shared" si="610"/>
        <v>4.1933333333333334</v>
      </c>
      <c r="Z1568" s="80">
        <f t="shared" si="611"/>
        <v>5.8240740740740744</v>
      </c>
      <c r="AA1568" s="100">
        <v>2</v>
      </c>
      <c r="AB1568" s="86">
        <f>+AA1568*Analisis!$J$6</f>
        <v>50</v>
      </c>
      <c r="AC1568" s="100"/>
      <c r="AD1568" s="85">
        <f t="shared" si="612"/>
        <v>0</v>
      </c>
      <c r="AE1568" s="86">
        <f>+AC1568*Analisis!$J$7</f>
        <v>0</v>
      </c>
      <c r="AF1568" s="308">
        <f>+H1568*0.0254*I1568*0.0254*2*(1+[3]Analisis!$G$2)</f>
        <v>0.29909617599999999</v>
      </c>
      <c r="AG1568" s="86">
        <f>+AF1568*Analisis!$J$8</f>
        <v>31.867985419047628</v>
      </c>
      <c r="AH1568" s="309">
        <f t="shared" si="613"/>
        <v>139.86000227592149</v>
      </c>
      <c r="AI1568" s="86">
        <f>+AH1568/(1-Analisis!G1206)</f>
        <v>139.86000227592149</v>
      </c>
      <c r="AJ1568" s="86">
        <f t="shared" si="614"/>
        <v>150.38709922142095</v>
      </c>
      <c r="AK1568" s="86">
        <f t="shared" si="615"/>
        <v>0</v>
      </c>
      <c r="AL1568" s="310" t="e">
        <f>+VLOOKUP(B1568,#REF!,2,FALSE)</f>
        <v>#REF!</v>
      </c>
      <c r="AM1568" s="311" t="e">
        <f t="shared" si="616"/>
        <v>#REF!</v>
      </c>
      <c r="AN1568" s="312" t="e">
        <f t="shared" si="617"/>
        <v>#REF!</v>
      </c>
    </row>
    <row r="1569" spans="1:40" s="73" customFormat="1" x14ac:dyDescent="0.25">
      <c r="A1569" s="313">
        <v>11</v>
      </c>
      <c r="B1569" s="314" t="s">
        <v>2168</v>
      </c>
      <c r="D1569" s="74">
        <f>IFERROR(VLOOKUP(B1569,'REQ. PINTADO'!B:C,2,0),0)</f>
        <v>48</v>
      </c>
      <c r="E1569" s="305">
        <f t="shared" si="172"/>
        <v>276.75399533149965</v>
      </c>
      <c r="F1569" s="397" t="s">
        <v>166</v>
      </c>
      <c r="G1569" s="75" t="s">
        <v>147</v>
      </c>
      <c r="H1569" s="90">
        <v>17.484999999999999</v>
      </c>
      <c r="I1569" s="90">
        <v>23.53</v>
      </c>
      <c r="J1569" s="76">
        <v>0.105</v>
      </c>
      <c r="K1569" s="306">
        <v>16.38</v>
      </c>
      <c r="L1569" s="78">
        <f t="shared" si="173"/>
        <v>12.524244248725839</v>
      </c>
      <c r="M1569" s="58">
        <f>+VLOOKUP(F1569,Material!$H$2:$M$17,6,FALSE)*H1569*I1569*(1+Material!$K$14)</f>
        <v>93.248691270058742</v>
      </c>
      <c r="N1569" s="79" t="str">
        <f>+N1188</f>
        <v>T5.0</v>
      </c>
      <c r="O1569" s="80">
        <f>+VLOOKUP(N1569,[3]Material!$A$3:$B$58,2,FALSE)</f>
        <v>5000</v>
      </c>
      <c r="P1569" s="79" t="s">
        <v>42</v>
      </c>
      <c r="Q1569" s="79" t="str">
        <f>+VLOOKUP(F1569,[3]Material!$C$2:$E$12,2,FALSE)</f>
        <v>Cal 16</v>
      </c>
      <c r="R1569" s="81">
        <f>+IF(P1569="ACERO A36",VLOOKUP(Q1569,'[3]Velocidades Std 1500 w'!$B$2:$F$15,5,FALSE),IF(P1569="INOXIDABLE",VLOOKUP(Q1569,'[3]Velocidades Std 1500 w'!$B$17:$F$28,5,FALSE),IF(P1569="ALUMINIO",VLOOKUP(Q1569,'[3]Velocidades Std 1500 w'!$B$30:$F$38,5,FALSE))))</f>
        <v>9.1575091575091579E-7</v>
      </c>
      <c r="S1569" s="82">
        <f t="shared" si="174"/>
        <v>4.578754578754579E-3</v>
      </c>
      <c r="T1569" s="83">
        <f t="shared" si="175"/>
        <v>9.3224838461538457</v>
      </c>
      <c r="U1569" s="307">
        <f t="shared" si="171"/>
        <v>2827.8200999999999</v>
      </c>
      <c r="V1569" s="80">
        <f t="shared" si="559"/>
        <v>12.947894230769231</v>
      </c>
      <c r="W1569" s="98">
        <v>16</v>
      </c>
      <c r="X1569" s="84">
        <f>+IF(P1569="ACERO A36",VLOOKUP(Q1569,'[3]Tiempo Objeto'!$B$2:$C$12,2,FALSE),IF(P1569="INOXIDABLE",VLOOKUP(Q1569,'[3]Tiempo Objeto'!$B$14:$C$22,2,FALSE),IF(P1569="ALUMINIO",VLOOKUP(Q1569,'[3]Tiempo Objeto'!$B$24:$C$32,2,FALSE))))</f>
        <v>0.24666666666666667</v>
      </c>
      <c r="Y1569" s="84">
        <f t="shared" si="176"/>
        <v>3.9466666666666668</v>
      </c>
      <c r="Z1569" s="80">
        <f t="shared" si="177"/>
        <v>5.481481481481481</v>
      </c>
      <c r="AA1569" s="100">
        <v>3</v>
      </c>
      <c r="AB1569" s="86">
        <f>+AA1569*Analisis!$J$6</f>
        <v>75</v>
      </c>
      <c r="AC1569" s="100"/>
      <c r="AD1569" s="85">
        <f t="shared" si="178"/>
        <v>0</v>
      </c>
      <c r="AE1569" s="86">
        <f>+AC1569*Analisis!$J$7</f>
        <v>0</v>
      </c>
      <c r="AF1569" s="308">
        <f>+H1569*0.0254*I1569*0.0254*2*(1+[3]Analisis!$G$2)</f>
        <v>0.66358262444500005</v>
      </c>
      <c r="AG1569" s="86">
        <f>+AF1569*Analisis!$J$8</f>
        <v>70.703148675985148</v>
      </c>
      <c r="AH1569" s="309">
        <f t="shared" si="179"/>
        <v>257.38121565829465</v>
      </c>
      <c r="AI1569" s="86">
        <f>+AH1569/(1-Analisis!G1200)</f>
        <v>257.38121565829465</v>
      </c>
      <c r="AJ1569" s="86">
        <f t="shared" si="180"/>
        <v>276.75399533149965</v>
      </c>
      <c r="AK1569" s="86">
        <f t="shared" si="181"/>
        <v>13284.191775911982</v>
      </c>
      <c r="AL1569" s="310" t="e">
        <f>+VLOOKUP(B1569,#REF!,2,FALSE)</f>
        <v>#REF!</v>
      </c>
      <c r="AM1569" s="311" t="e">
        <f t="shared" si="183"/>
        <v>#REF!</v>
      </c>
      <c r="AN1569" s="312" t="e">
        <f t="shared" si="182"/>
        <v>#REF!</v>
      </c>
    </row>
    <row r="1570" spans="1:40" s="73" customFormat="1" x14ac:dyDescent="0.25">
      <c r="A1570" s="313">
        <v>12</v>
      </c>
      <c r="B1570" s="314" t="s">
        <v>2230</v>
      </c>
      <c r="D1570" s="74">
        <f>IFERROR(VLOOKUP(B1570,'REQ. PINTADO'!B:C,2,0),0)</f>
        <v>0</v>
      </c>
      <c r="E1570" s="305">
        <f t="shared" si="172"/>
        <v>105.93875960184039</v>
      </c>
      <c r="F1570" s="397" t="s">
        <v>163</v>
      </c>
      <c r="G1570" s="75" t="s">
        <v>147</v>
      </c>
      <c r="H1570" s="90">
        <v>2.2200000000000002</v>
      </c>
      <c r="I1570" s="90">
        <v>5.15</v>
      </c>
      <c r="J1570" s="76">
        <v>0.105</v>
      </c>
      <c r="K1570" s="306">
        <v>16.38</v>
      </c>
      <c r="L1570" s="78">
        <f t="shared" si="173"/>
        <v>0.57639797867934062</v>
      </c>
      <c r="M1570" s="58">
        <f>+VLOOKUP(F1570,Material!$H$2:$M$17,6,FALSE)*H1570*I1570*(1+Material!$K$14)</f>
        <v>4.291544950348908</v>
      </c>
      <c r="N1570" s="79" t="str">
        <f>+N1189</f>
        <v>T5.0</v>
      </c>
      <c r="O1570" s="80">
        <f>+VLOOKUP(N1570,[3]Material!$A$3:$B$58,2,FALSE)</f>
        <v>5000</v>
      </c>
      <c r="P1570" s="79" t="s">
        <v>42</v>
      </c>
      <c r="Q1570" s="79" t="str">
        <f>+VLOOKUP(F1570,[3]Material!$C$2:$E$12,2,FALSE)</f>
        <v>Cal 12</v>
      </c>
      <c r="R1570" s="81">
        <f>+IF(P1570="ACERO A36",VLOOKUP(Q1570,'[3]Velocidades Std 1500 w'!$B$2:$F$15,5,FALSE),IF(P1570="INOXIDABLE",VLOOKUP(Q1570,'[3]Velocidades Std 1500 w'!$B$17:$F$28,5,FALSE),IF(P1570="ALUMINIO",VLOOKUP(Q1570,'[3]Velocidades Std 1500 w'!$B$30:$F$38,5,FALSE))))</f>
        <v>4.3859649122807014E-6</v>
      </c>
      <c r="S1570" s="82">
        <f t="shared" si="174"/>
        <v>2.1929824561403508E-2</v>
      </c>
      <c r="T1570" s="83">
        <f t="shared" si="175"/>
        <v>9.3653810526315802</v>
      </c>
      <c r="U1570" s="307">
        <f t="shared" si="171"/>
        <v>593.14080000000013</v>
      </c>
      <c r="V1570" s="80">
        <f t="shared" si="559"/>
        <v>13.007473684210529</v>
      </c>
      <c r="W1570" s="98">
        <v>5</v>
      </c>
      <c r="X1570" s="84">
        <f>+IF(P1570="ACERO A36",VLOOKUP(Q1570,'[3]Tiempo Objeto'!$B$2:$C$12,2,FALSE),IF(P1570="INOXIDABLE",VLOOKUP(Q1570,'[3]Tiempo Objeto'!$B$14:$C$22,2,FALSE),IF(P1570="ALUMINIO",VLOOKUP(Q1570,'[3]Tiempo Objeto'!$B$24:$C$32,2,FALSE))))</f>
        <v>0.6133333333333334</v>
      </c>
      <c r="Y1570" s="84">
        <f t="shared" si="176"/>
        <v>3.0666666666666669</v>
      </c>
      <c r="Z1570" s="80">
        <f t="shared" si="177"/>
        <v>4.2592592592592595</v>
      </c>
      <c r="AA1570" s="100">
        <v>3</v>
      </c>
      <c r="AB1570" s="86">
        <f>+AA1570*Analisis!$J$6</f>
        <v>75</v>
      </c>
      <c r="AC1570" s="100"/>
      <c r="AD1570" s="85">
        <f t="shared" si="178"/>
        <v>0</v>
      </c>
      <c r="AE1570" s="86">
        <f>+AC1570*Analisis!$J$7</f>
        <v>0</v>
      </c>
      <c r="AF1570" s="308">
        <f>+H1570*0.0254*I1570*0.0254*2*(1+[3]Analisis!$G$2)</f>
        <v>1.8440285700000003E-2</v>
      </c>
      <c r="AG1570" s="86">
        <f>+AF1570*Analisis!$J$8</f>
        <v>1.9647685358928582</v>
      </c>
      <c r="AH1570" s="309">
        <f t="shared" si="179"/>
        <v>98.523046429711556</v>
      </c>
      <c r="AI1570" s="86">
        <f>+AH1570/(1-Analisis!G1201)</f>
        <v>98.523046429711556</v>
      </c>
      <c r="AJ1570" s="86">
        <f t="shared" si="180"/>
        <v>105.93875960184039</v>
      </c>
      <c r="AK1570" s="86">
        <f t="shared" si="181"/>
        <v>0</v>
      </c>
      <c r="AL1570" s="310" t="e">
        <f>+VLOOKUP(B1570,#REF!,2,FALSE)</f>
        <v>#REF!</v>
      </c>
      <c r="AM1570" s="311" t="e">
        <f t="shared" si="183"/>
        <v>#REF!</v>
      </c>
      <c r="AN1570" s="312" t="e">
        <f t="shared" si="182"/>
        <v>#REF!</v>
      </c>
    </row>
    <row r="1571" spans="1:40" s="73" customFormat="1" x14ac:dyDescent="0.25">
      <c r="A1571" s="313">
        <v>12</v>
      </c>
      <c r="B1571" s="314" t="s">
        <v>2169</v>
      </c>
      <c r="D1571" s="74">
        <f>IFERROR(VLOOKUP(B1571,'REQ. PINTADO'!B:C,2,0),0)</f>
        <v>144</v>
      </c>
      <c r="E1571" s="305">
        <f t="shared" ref="E1571" si="618">+AJ1571</f>
        <v>108.29719276160185</v>
      </c>
      <c r="F1571" s="397" t="s">
        <v>163</v>
      </c>
      <c r="G1571" s="75" t="s">
        <v>147</v>
      </c>
      <c r="H1571" s="90">
        <v>2.77</v>
      </c>
      <c r="I1571" s="90">
        <v>5.15</v>
      </c>
      <c r="J1571" s="76">
        <v>0.105</v>
      </c>
      <c r="K1571" s="306">
        <v>16.38</v>
      </c>
      <c r="L1571" s="78">
        <f t="shared" ref="L1571" si="619">+M1571*2.2/K1571</f>
        <v>0.7191992797035015</v>
      </c>
      <c r="M1571" s="58">
        <f>+VLOOKUP(F1571,Material!$H$2:$M$17,6,FALSE)*H1571*I1571*(1+Material!$K$14)</f>
        <v>5.3547655461560693</v>
      </c>
      <c r="N1571" s="79" t="str">
        <f>+N1190</f>
        <v>T5.0</v>
      </c>
      <c r="O1571" s="80">
        <f>+VLOOKUP(N1571,[3]Material!$A$3:$B$58,2,FALSE)</f>
        <v>5000</v>
      </c>
      <c r="P1571" s="79" t="s">
        <v>42</v>
      </c>
      <c r="Q1571" s="79" t="str">
        <f>+VLOOKUP(F1571,[3]Material!$C$2:$E$12,2,FALSE)</f>
        <v>Cal 12</v>
      </c>
      <c r="R1571" s="81">
        <f>+IF(P1571="ACERO A36",VLOOKUP(Q1571,'[3]Velocidades Std 1500 w'!$B$2:$F$15,5,FALSE),IF(P1571="INOXIDABLE",VLOOKUP(Q1571,'[3]Velocidades Std 1500 w'!$B$17:$F$28,5,FALSE),IF(P1571="ALUMINIO",VLOOKUP(Q1571,'[3]Velocidades Std 1500 w'!$B$30:$F$38,5,FALSE))))</f>
        <v>4.3859649122807014E-6</v>
      </c>
      <c r="S1571" s="82">
        <f t="shared" ref="S1571" si="620">+R1571*O1571</f>
        <v>2.1929824561403508E-2</v>
      </c>
      <c r="T1571" s="83">
        <f t="shared" ref="T1571" si="621">+R1571*U1571*3600</f>
        <v>9.828596842105263</v>
      </c>
      <c r="U1571" s="307">
        <f t="shared" ref="U1571" si="622">(+I1571*2+H1571*2+W1571*1.5)*25.4*1.05</f>
        <v>622.4778</v>
      </c>
      <c r="V1571" s="80">
        <f t="shared" ref="V1571" si="623">+U1571*S1571</f>
        <v>13.650828947368421</v>
      </c>
      <c r="W1571" s="98">
        <v>5</v>
      </c>
      <c r="X1571" s="84">
        <f>+IF(P1571="ACERO A36",VLOOKUP(Q1571,'[3]Tiempo Objeto'!$B$2:$C$12,2,FALSE),IF(P1571="INOXIDABLE",VLOOKUP(Q1571,'[3]Tiempo Objeto'!$B$14:$C$22,2,FALSE),IF(P1571="ALUMINIO",VLOOKUP(Q1571,'[3]Tiempo Objeto'!$B$24:$C$32,2,FALSE))))</f>
        <v>0.6133333333333334</v>
      </c>
      <c r="Y1571" s="84">
        <f t="shared" ref="Y1571" si="624">+X1571*W1571</f>
        <v>3.0666666666666669</v>
      </c>
      <c r="Z1571" s="80">
        <f t="shared" ref="Z1571" si="625">+Y1571*O1571/3600</f>
        <v>4.2592592592592595</v>
      </c>
      <c r="AA1571" s="100">
        <v>3</v>
      </c>
      <c r="AB1571" s="86">
        <f>+AA1571*Analisis!$J$6</f>
        <v>75</v>
      </c>
      <c r="AC1571" s="100"/>
      <c r="AD1571" s="85">
        <f t="shared" ref="AD1571" si="626">30*AC1571+AC1571*$D1571*1.5</f>
        <v>0</v>
      </c>
      <c r="AE1571" s="86">
        <f>+AC1571*Analisis!$J$7</f>
        <v>0</v>
      </c>
      <c r="AF1571" s="308">
        <f>+H1571*0.0254*I1571*0.0254*2*(1+[3]Analisis!$G$2)</f>
        <v>2.3008824950000003E-2</v>
      </c>
      <c r="AG1571" s="86">
        <f>+AF1571*Analisis!$J$8</f>
        <v>2.4515355155059533</v>
      </c>
      <c r="AH1571" s="309">
        <f t="shared" ref="AH1571" si="627">+AE1571+AB1571+Z1571+V1571+M1571+AG1571</f>
        <v>100.71638926828972</v>
      </c>
      <c r="AI1571" s="86">
        <f>+AH1571/(1-Analisis!G1202)</f>
        <v>100.71638926828972</v>
      </c>
      <c r="AJ1571" s="86">
        <f t="shared" ref="AJ1571" si="628">+AI1571/(1-0.07)</f>
        <v>108.29719276160185</v>
      </c>
      <c r="AK1571" s="86">
        <f t="shared" ref="AK1571" si="629">+AJ1571*D1571</f>
        <v>15594.795757670667</v>
      </c>
      <c r="AL1571" s="310" t="e">
        <f>+VLOOKUP(B1571,#REF!,2,FALSE)</f>
        <v>#REF!</v>
      </c>
      <c r="AM1571" s="311" t="e">
        <f t="shared" ref="AM1571" si="630">+AL1571-E1571</f>
        <v>#REF!</v>
      </c>
      <c r="AN1571" s="312" t="e">
        <f t="shared" ref="AN1571" si="631">+AM1571/AL1571</f>
        <v>#REF!</v>
      </c>
    </row>
    <row r="1572" spans="1:40" s="73" customFormat="1" x14ac:dyDescent="0.25">
      <c r="A1572" s="313"/>
      <c r="B1572" s="314"/>
      <c r="D1572" s="74">
        <f>IFERROR(VLOOKUP(B1572,'REQ. PINTADO'!B:C,2,0),0)</f>
        <v>0</v>
      </c>
      <c r="E1572" s="305">
        <f t="shared" si="172"/>
        <v>0</v>
      </c>
      <c r="F1572" s="103" t="s">
        <v>163</v>
      </c>
      <c r="G1572" s="75" t="s">
        <v>147</v>
      </c>
      <c r="H1572" s="90"/>
      <c r="I1572" s="90"/>
      <c r="J1572" s="76">
        <v>0.105</v>
      </c>
      <c r="K1572" s="306">
        <v>16.38</v>
      </c>
      <c r="L1572" s="78">
        <f t="shared" si="173"/>
        <v>0</v>
      </c>
      <c r="M1572" s="58">
        <f>+VLOOKUP(F1572,Material!$H$2:$M$17,6,FALSE)*H1572*I1572*(1+Material!$K$14)</f>
        <v>0</v>
      </c>
      <c r="N1572" s="79" t="str">
        <f>+N1191</f>
        <v>T5.0</v>
      </c>
      <c r="O1572" s="80">
        <f>+VLOOKUP(N1572,[3]Material!$A$3:$B$58,2,FALSE)</f>
        <v>5000</v>
      </c>
      <c r="P1572" s="79" t="s">
        <v>42</v>
      </c>
      <c r="Q1572" s="79" t="str">
        <f>+VLOOKUP(F1572,[3]Material!$C$2:$E$12,2,FALSE)</f>
        <v>Cal 12</v>
      </c>
      <c r="R1572" s="81">
        <f>+IF(P1572="ACERO A36",VLOOKUP(Q1572,'[3]Velocidades Std 1500 w'!$B$2:$F$15,5,FALSE),IF(P1572="INOXIDABLE",VLOOKUP(Q1572,'[3]Velocidades Std 1500 w'!$B$17:$F$28,5,FALSE),IF(P1572="ALUMINIO",VLOOKUP(Q1572,'[3]Velocidades Std 1500 w'!$B$30:$F$38,5,FALSE))))</f>
        <v>4.3859649122807014E-6</v>
      </c>
      <c r="S1572" s="82">
        <f t="shared" si="174"/>
        <v>2.1929824561403508E-2</v>
      </c>
      <c r="T1572" s="83">
        <f t="shared" si="175"/>
        <v>0</v>
      </c>
      <c r="U1572" s="307">
        <f t="shared" si="171"/>
        <v>0</v>
      </c>
      <c r="V1572" s="80">
        <f t="shared" si="559"/>
        <v>0</v>
      </c>
      <c r="W1572" s="98"/>
      <c r="X1572" s="84">
        <f>+IF(P1572="ACERO A36",VLOOKUP(Q1572,'[3]Tiempo Objeto'!$B$2:$C$12,2,FALSE),IF(P1572="INOXIDABLE",VLOOKUP(Q1572,'[3]Tiempo Objeto'!$B$14:$C$22,2,FALSE),IF(P1572="ALUMINIO",VLOOKUP(Q1572,'[3]Tiempo Objeto'!$B$24:$C$32,2,FALSE))))</f>
        <v>0.6133333333333334</v>
      </c>
      <c r="Y1572" s="84">
        <f t="shared" si="176"/>
        <v>0</v>
      </c>
      <c r="Z1572" s="80">
        <f t="shared" si="177"/>
        <v>0</v>
      </c>
      <c r="AA1572" s="100"/>
      <c r="AB1572" s="86">
        <f>+AA1572*Analisis!$J$6</f>
        <v>0</v>
      </c>
      <c r="AC1572" s="100"/>
      <c r="AD1572" s="85">
        <f t="shared" si="178"/>
        <v>0</v>
      </c>
      <c r="AE1572" s="86">
        <f>+AC1572*Analisis!$J$7</f>
        <v>0</v>
      </c>
      <c r="AF1572" s="308">
        <f>+H1572*0.0254*I1572*0.0254*2*(1+[3]Analisis!$G$2)</f>
        <v>0</v>
      </c>
      <c r="AG1572" s="86">
        <f>+AF1572*Analisis!$J$8</f>
        <v>0</v>
      </c>
      <c r="AH1572" s="309">
        <f t="shared" si="179"/>
        <v>0</v>
      </c>
      <c r="AI1572" s="86">
        <f>+AH1572/(1-Analisis!G1203)</f>
        <v>0</v>
      </c>
      <c r="AJ1572" s="86">
        <f t="shared" si="180"/>
        <v>0</v>
      </c>
      <c r="AK1572" s="86">
        <f t="shared" si="181"/>
        <v>0</v>
      </c>
      <c r="AL1572" s="310" t="e">
        <f>+VLOOKUP(B1572,#REF!,2,FALSE)</f>
        <v>#REF!</v>
      </c>
      <c r="AM1572" s="311" t="e">
        <f t="shared" si="183"/>
        <v>#REF!</v>
      </c>
      <c r="AN1572" s="312" t="e">
        <f t="shared" si="182"/>
        <v>#REF!</v>
      </c>
    </row>
    <row r="1573" spans="1:40" s="73" customFormat="1" x14ac:dyDescent="0.25">
      <c r="A1573" s="313"/>
      <c r="B1573" s="314"/>
      <c r="D1573" s="74">
        <f>IFERROR(VLOOKUP(B1573,'REQ. PINTADO'!B:C,2,0),0)</f>
        <v>0</v>
      </c>
      <c r="E1573" s="305">
        <f t="shared" si="172"/>
        <v>0</v>
      </c>
      <c r="F1573" s="103" t="s">
        <v>163</v>
      </c>
      <c r="G1573" s="75" t="s">
        <v>147</v>
      </c>
      <c r="H1573" s="90"/>
      <c r="I1573" s="90"/>
      <c r="J1573" s="76">
        <v>0.105</v>
      </c>
      <c r="K1573" s="306">
        <v>16.38</v>
      </c>
      <c r="L1573" s="78">
        <f t="shared" si="173"/>
        <v>0</v>
      </c>
      <c r="M1573" s="58">
        <f>+VLOOKUP(F1573,Material!$H$2:$M$17,6,FALSE)*H1573*I1573*(1+Material!$K$14)</f>
        <v>0</v>
      </c>
      <c r="N1573" s="79" t="str">
        <f>+N1192</f>
        <v>T5.0</v>
      </c>
      <c r="O1573" s="80">
        <f>+VLOOKUP(N1573,[3]Material!$A$3:$B$58,2,FALSE)</f>
        <v>5000</v>
      </c>
      <c r="P1573" s="79" t="s">
        <v>42</v>
      </c>
      <c r="Q1573" s="79" t="str">
        <f>+VLOOKUP(F1573,[3]Material!$C$2:$E$12,2,FALSE)</f>
        <v>Cal 12</v>
      </c>
      <c r="R1573" s="81">
        <f>+IF(P1573="ACERO A36",VLOOKUP(Q1573,'[3]Velocidades Std 1500 w'!$B$2:$F$15,5,FALSE),IF(P1573="INOXIDABLE",VLOOKUP(Q1573,'[3]Velocidades Std 1500 w'!$B$17:$F$28,5,FALSE),IF(P1573="ALUMINIO",VLOOKUP(Q1573,'[3]Velocidades Std 1500 w'!$B$30:$F$38,5,FALSE))))</f>
        <v>4.3859649122807014E-6</v>
      </c>
      <c r="S1573" s="82">
        <f t="shared" si="174"/>
        <v>2.1929824561403508E-2</v>
      </c>
      <c r="T1573" s="83">
        <f t="shared" si="175"/>
        <v>0</v>
      </c>
      <c r="U1573" s="307">
        <f t="shared" si="171"/>
        <v>0</v>
      </c>
      <c r="V1573" s="80">
        <f t="shared" si="559"/>
        <v>0</v>
      </c>
      <c r="W1573" s="98"/>
      <c r="X1573" s="84">
        <f>+IF(P1573="ACERO A36",VLOOKUP(Q1573,'[3]Tiempo Objeto'!$B$2:$C$12,2,FALSE),IF(P1573="INOXIDABLE",VLOOKUP(Q1573,'[3]Tiempo Objeto'!$B$14:$C$22,2,FALSE),IF(P1573="ALUMINIO",VLOOKUP(Q1573,'[3]Tiempo Objeto'!$B$24:$C$32,2,FALSE))))</f>
        <v>0.6133333333333334</v>
      </c>
      <c r="Y1573" s="84">
        <f t="shared" si="176"/>
        <v>0</v>
      </c>
      <c r="Z1573" s="80">
        <f t="shared" si="177"/>
        <v>0</v>
      </c>
      <c r="AA1573" s="100"/>
      <c r="AB1573" s="86">
        <f>+AA1573*Analisis!$J$6</f>
        <v>0</v>
      </c>
      <c r="AC1573" s="100"/>
      <c r="AD1573" s="85">
        <f t="shared" si="178"/>
        <v>0</v>
      </c>
      <c r="AE1573" s="86">
        <f>+AC1573*Analisis!$J$7</f>
        <v>0</v>
      </c>
      <c r="AF1573" s="308">
        <f>+H1573*0.0254*I1573*0.0254*2*(1+[3]Analisis!$G$2)</f>
        <v>0</v>
      </c>
      <c r="AG1573" s="86">
        <f>+AF1573*Analisis!$J$8</f>
        <v>0</v>
      </c>
      <c r="AH1573" s="309">
        <f t="shared" si="179"/>
        <v>0</v>
      </c>
      <c r="AI1573" s="86">
        <f>+AH1573/(1-Analisis!G1204)</f>
        <v>0</v>
      </c>
      <c r="AJ1573" s="86">
        <f t="shared" si="180"/>
        <v>0</v>
      </c>
      <c r="AK1573" s="86">
        <f t="shared" si="181"/>
        <v>0</v>
      </c>
      <c r="AL1573" s="310" t="e">
        <f>+VLOOKUP(B1573,#REF!,2,FALSE)</f>
        <v>#REF!</v>
      </c>
      <c r="AM1573" s="311" t="e">
        <f t="shared" si="183"/>
        <v>#REF!</v>
      </c>
      <c r="AN1573" s="312" t="e">
        <f t="shared" si="182"/>
        <v>#REF!</v>
      </c>
    </row>
    <row r="1574" spans="1:40" s="73" customFormat="1" x14ac:dyDescent="0.25">
      <c r="A1574" s="313"/>
      <c r="B1574" s="314"/>
      <c r="D1574" s="74">
        <f>IFERROR(VLOOKUP(B1574,'REQ. PINTADO'!B:C,2,0),0)</f>
        <v>0</v>
      </c>
      <c r="E1574" s="305">
        <f t="shared" si="172"/>
        <v>0</v>
      </c>
      <c r="F1574" s="103" t="s">
        <v>163</v>
      </c>
      <c r="G1574" s="75" t="s">
        <v>147</v>
      </c>
      <c r="H1574" s="90"/>
      <c r="I1574" s="90"/>
      <c r="J1574" s="76">
        <v>0.105</v>
      </c>
      <c r="K1574" s="306">
        <v>16.38</v>
      </c>
      <c r="L1574" s="78">
        <f t="shared" si="173"/>
        <v>0</v>
      </c>
      <c r="M1574" s="58">
        <f>+VLOOKUP(F1574,Material!$H$2:$M$17,6,FALSE)*H1574*I1574*(1+Material!$K$14)</f>
        <v>0</v>
      </c>
      <c r="N1574" s="79" t="str">
        <f>+N1193</f>
        <v>T5.0</v>
      </c>
      <c r="O1574" s="80">
        <f>+VLOOKUP(N1574,[3]Material!$A$3:$B$58,2,FALSE)</f>
        <v>5000</v>
      </c>
      <c r="P1574" s="79" t="s">
        <v>42</v>
      </c>
      <c r="Q1574" s="79" t="str">
        <f>+VLOOKUP(F1574,[3]Material!$C$2:$E$12,2,FALSE)</f>
        <v>Cal 12</v>
      </c>
      <c r="R1574" s="81">
        <f>+IF(P1574="ACERO A36",VLOOKUP(Q1574,'[3]Velocidades Std 1500 w'!$B$2:$F$15,5,FALSE),IF(P1574="INOXIDABLE",VLOOKUP(Q1574,'[3]Velocidades Std 1500 w'!$B$17:$F$28,5,FALSE),IF(P1574="ALUMINIO",VLOOKUP(Q1574,'[3]Velocidades Std 1500 w'!$B$30:$F$38,5,FALSE))))</f>
        <v>4.3859649122807014E-6</v>
      </c>
      <c r="S1574" s="82">
        <f t="shared" si="174"/>
        <v>2.1929824561403508E-2</v>
      </c>
      <c r="T1574" s="83">
        <f t="shared" si="175"/>
        <v>0</v>
      </c>
      <c r="U1574" s="307">
        <f t="shared" si="171"/>
        <v>0</v>
      </c>
      <c r="V1574" s="80">
        <f t="shared" si="559"/>
        <v>0</v>
      </c>
      <c r="W1574" s="98"/>
      <c r="X1574" s="84">
        <f>+IF(P1574="ACERO A36",VLOOKUP(Q1574,'[3]Tiempo Objeto'!$B$2:$C$12,2,FALSE),IF(P1574="INOXIDABLE",VLOOKUP(Q1574,'[3]Tiempo Objeto'!$B$14:$C$22,2,FALSE),IF(P1574="ALUMINIO",VLOOKUP(Q1574,'[3]Tiempo Objeto'!$B$24:$C$32,2,FALSE))))</f>
        <v>0.6133333333333334</v>
      </c>
      <c r="Y1574" s="84">
        <f t="shared" si="176"/>
        <v>0</v>
      </c>
      <c r="Z1574" s="80">
        <f t="shared" si="177"/>
        <v>0</v>
      </c>
      <c r="AA1574" s="100"/>
      <c r="AB1574" s="86">
        <f>+AA1574*Analisis!$J$6</f>
        <v>0</v>
      </c>
      <c r="AC1574" s="100"/>
      <c r="AD1574" s="85">
        <f t="shared" si="178"/>
        <v>0</v>
      </c>
      <c r="AE1574" s="86">
        <f>+AC1574*Analisis!$J$7</f>
        <v>0</v>
      </c>
      <c r="AF1574" s="308">
        <f>+H1574*0.0254*I1574*0.0254*2*(1+[3]Analisis!$G$2)</f>
        <v>0</v>
      </c>
      <c r="AG1574" s="86">
        <f>+AF1574*Analisis!$J$8</f>
        <v>0</v>
      </c>
      <c r="AH1574" s="309">
        <f t="shared" si="179"/>
        <v>0</v>
      </c>
      <c r="AI1574" s="86">
        <f>+AH1574/(1-Analisis!G1205)</f>
        <v>0</v>
      </c>
      <c r="AJ1574" s="86">
        <f t="shared" si="180"/>
        <v>0</v>
      </c>
      <c r="AK1574" s="86">
        <f t="shared" si="181"/>
        <v>0</v>
      </c>
      <c r="AL1574" s="310" t="e">
        <f>+VLOOKUP(B1574,#REF!,2,FALSE)</f>
        <v>#REF!</v>
      </c>
      <c r="AM1574" s="311" t="e">
        <f t="shared" si="183"/>
        <v>#REF!</v>
      </c>
      <c r="AN1574" s="312" t="e">
        <f t="shared" si="182"/>
        <v>#REF!</v>
      </c>
    </row>
    <row r="1575" spans="1:40" s="73" customFormat="1" x14ac:dyDescent="0.25">
      <c r="A1575" s="313"/>
      <c r="B1575" s="314"/>
      <c r="D1575" s="74">
        <f>IFERROR(VLOOKUP(B1575,'REQ. PINTADO'!B:C,2,0),0)</f>
        <v>0</v>
      </c>
      <c r="E1575" s="305">
        <f t="shared" si="172"/>
        <v>0</v>
      </c>
      <c r="F1575" s="103" t="s">
        <v>163</v>
      </c>
      <c r="G1575" s="75" t="s">
        <v>147</v>
      </c>
      <c r="H1575" s="90"/>
      <c r="I1575" s="90"/>
      <c r="J1575" s="76">
        <v>0.105</v>
      </c>
      <c r="K1575" s="306">
        <v>16.38</v>
      </c>
      <c r="L1575" s="78">
        <f t="shared" si="173"/>
        <v>0</v>
      </c>
      <c r="M1575" s="58">
        <f>+VLOOKUP(F1575,Material!$H$2:$M$17,6,FALSE)*H1575*I1575*(1+Material!$K$14)</f>
        <v>0</v>
      </c>
      <c r="N1575" s="79" t="str">
        <f>+N1194</f>
        <v>T5.0</v>
      </c>
      <c r="O1575" s="80">
        <f>+VLOOKUP(N1575,[3]Material!$A$3:$B$58,2,FALSE)</f>
        <v>5000</v>
      </c>
      <c r="P1575" s="79" t="s">
        <v>42</v>
      </c>
      <c r="Q1575" s="79" t="str">
        <f>+VLOOKUP(F1575,[3]Material!$C$2:$E$12,2,FALSE)</f>
        <v>Cal 12</v>
      </c>
      <c r="R1575" s="81">
        <f>+IF(P1575="ACERO A36",VLOOKUP(Q1575,'[3]Velocidades Std 1500 w'!$B$2:$F$15,5,FALSE),IF(P1575="INOXIDABLE",VLOOKUP(Q1575,'[3]Velocidades Std 1500 w'!$B$17:$F$28,5,FALSE),IF(P1575="ALUMINIO",VLOOKUP(Q1575,'[3]Velocidades Std 1500 w'!$B$30:$F$38,5,FALSE))))</f>
        <v>4.3859649122807014E-6</v>
      </c>
      <c r="S1575" s="82">
        <f t="shared" si="174"/>
        <v>2.1929824561403508E-2</v>
      </c>
      <c r="T1575" s="83">
        <f t="shared" si="175"/>
        <v>0</v>
      </c>
      <c r="U1575" s="307">
        <f t="shared" si="171"/>
        <v>0</v>
      </c>
      <c r="V1575" s="80">
        <f t="shared" si="559"/>
        <v>0</v>
      </c>
      <c r="W1575" s="98"/>
      <c r="X1575" s="84">
        <f>+IF(P1575="ACERO A36",VLOOKUP(Q1575,'[3]Tiempo Objeto'!$B$2:$C$12,2,FALSE),IF(P1575="INOXIDABLE",VLOOKUP(Q1575,'[3]Tiempo Objeto'!$B$14:$C$22,2,FALSE),IF(P1575="ALUMINIO",VLOOKUP(Q1575,'[3]Tiempo Objeto'!$B$24:$C$32,2,FALSE))))</f>
        <v>0.6133333333333334</v>
      </c>
      <c r="Y1575" s="84">
        <f t="shared" si="176"/>
        <v>0</v>
      </c>
      <c r="Z1575" s="80">
        <f t="shared" si="177"/>
        <v>0</v>
      </c>
      <c r="AA1575" s="100"/>
      <c r="AB1575" s="86">
        <f>+AA1575*Analisis!$J$6</f>
        <v>0</v>
      </c>
      <c r="AC1575" s="100"/>
      <c r="AD1575" s="85">
        <f t="shared" si="178"/>
        <v>0</v>
      </c>
      <c r="AE1575" s="86">
        <f>+AC1575*Analisis!$J$7</f>
        <v>0</v>
      </c>
      <c r="AF1575" s="308">
        <f>+H1575*0.0254*I1575*0.0254*2*(1+[3]Analisis!$G$2)</f>
        <v>0</v>
      </c>
      <c r="AG1575" s="86">
        <f>+AF1575*Analisis!$J$8</f>
        <v>0</v>
      </c>
      <c r="AH1575" s="309">
        <f t="shared" si="179"/>
        <v>0</v>
      </c>
      <c r="AI1575" s="86">
        <f>+AH1575/(1-Analisis!G1206)</f>
        <v>0</v>
      </c>
      <c r="AJ1575" s="86">
        <f t="shared" si="180"/>
        <v>0</v>
      </c>
      <c r="AK1575" s="86">
        <f t="shared" si="181"/>
        <v>0</v>
      </c>
      <c r="AL1575" s="310" t="e">
        <f>+VLOOKUP(B1575,#REF!,2,FALSE)</f>
        <v>#REF!</v>
      </c>
      <c r="AM1575" s="311" t="e">
        <f t="shared" si="183"/>
        <v>#REF!</v>
      </c>
      <c r="AN1575" s="312" t="e">
        <f t="shared" si="182"/>
        <v>#REF!</v>
      </c>
    </row>
    <row r="1576" spans="1:40" s="73" customFormat="1" x14ac:dyDescent="0.25">
      <c r="A1576" s="313"/>
      <c r="B1576" s="314"/>
      <c r="D1576" s="74">
        <f>IFERROR(VLOOKUP(B1576,'REQ. PINTADO'!B:C,2,0),0)</f>
        <v>0</v>
      </c>
      <c r="E1576" s="305">
        <f t="shared" si="172"/>
        <v>0</v>
      </c>
      <c r="F1576" s="103" t="s">
        <v>163</v>
      </c>
      <c r="G1576" s="75" t="s">
        <v>147</v>
      </c>
      <c r="H1576" s="90"/>
      <c r="I1576" s="90"/>
      <c r="J1576" s="76">
        <v>0.105</v>
      </c>
      <c r="K1576" s="306">
        <v>16.38</v>
      </c>
      <c r="L1576" s="78">
        <f t="shared" si="173"/>
        <v>0</v>
      </c>
      <c r="M1576" s="58">
        <f>+VLOOKUP(F1576,Material!$H$2:$M$17,6,FALSE)*H1576*I1576*(1+Material!$K$14)</f>
        <v>0</v>
      </c>
      <c r="N1576" s="79" t="str">
        <f>+N1195</f>
        <v>T5.0</v>
      </c>
      <c r="O1576" s="80">
        <f>+VLOOKUP(N1576,[3]Material!$A$3:$B$58,2,FALSE)</f>
        <v>5000</v>
      </c>
      <c r="P1576" s="79" t="s">
        <v>42</v>
      </c>
      <c r="Q1576" s="79" t="str">
        <f>+VLOOKUP(F1576,[3]Material!$C$2:$E$12,2,FALSE)</f>
        <v>Cal 12</v>
      </c>
      <c r="R1576" s="81">
        <f>+IF(P1576="ACERO A36",VLOOKUP(Q1576,'[3]Velocidades Std 1500 w'!$B$2:$F$15,5,FALSE),IF(P1576="INOXIDABLE",VLOOKUP(Q1576,'[3]Velocidades Std 1500 w'!$B$17:$F$28,5,FALSE),IF(P1576="ALUMINIO",VLOOKUP(Q1576,'[3]Velocidades Std 1500 w'!$B$30:$F$38,5,FALSE))))</f>
        <v>4.3859649122807014E-6</v>
      </c>
      <c r="S1576" s="82">
        <f t="shared" si="174"/>
        <v>2.1929824561403508E-2</v>
      </c>
      <c r="T1576" s="83">
        <f t="shared" si="175"/>
        <v>0</v>
      </c>
      <c r="U1576" s="307">
        <f t="shared" si="171"/>
        <v>0</v>
      </c>
      <c r="V1576" s="80">
        <f t="shared" si="559"/>
        <v>0</v>
      </c>
      <c r="W1576" s="98"/>
      <c r="X1576" s="84">
        <f>+IF(P1576="ACERO A36",VLOOKUP(Q1576,'[3]Tiempo Objeto'!$B$2:$C$12,2,FALSE),IF(P1576="INOXIDABLE",VLOOKUP(Q1576,'[3]Tiempo Objeto'!$B$14:$C$22,2,FALSE),IF(P1576="ALUMINIO",VLOOKUP(Q1576,'[3]Tiempo Objeto'!$B$24:$C$32,2,FALSE))))</f>
        <v>0.6133333333333334</v>
      </c>
      <c r="Y1576" s="84">
        <f t="shared" si="176"/>
        <v>0</v>
      </c>
      <c r="Z1576" s="80">
        <f t="shared" si="177"/>
        <v>0</v>
      </c>
      <c r="AA1576" s="100"/>
      <c r="AB1576" s="86">
        <f>+AA1576*Analisis!$J$6</f>
        <v>0</v>
      </c>
      <c r="AC1576" s="100"/>
      <c r="AD1576" s="85">
        <f t="shared" si="178"/>
        <v>0</v>
      </c>
      <c r="AE1576" s="86">
        <f>+AC1576*Analisis!$J$7</f>
        <v>0</v>
      </c>
      <c r="AF1576" s="308">
        <f>+H1576*0.0254*I1576*0.0254*2*(1+[3]Analisis!$G$2)</f>
        <v>0</v>
      </c>
      <c r="AG1576" s="86">
        <f>+AF1576*Analisis!$J$8</f>
        <v>0</v>
      </c>
      <c r="AH1576" s="309">
        <f t="shared" si="179"/>
        <v>0</v>
      </c>
      <c r="AI1576" s="86">
        <f>+AH1576/(1-Analisis!G1207)</f>
        <v>0</v>
      </c>
      <c r="AJ1576" s="86">
        <f t="shared" si="180"/>
        <v>0</v>
      </c>
      <c r="AK1576" s="86">
        <f t="shared" si="181"/>
        <v>0</v>
      </c>
      <c r="AL1576" s="310" t="e">
        <f>+VLOOKUP(B1576,#REF!,2,FALSE)</f>
        <v>#REF!</v>
      </c>
      <c r="AM1576" s="311" t="e">
        <f t="shared" si="183"/>
        <v>#REF!</v>
      </c>
      <c r="AN1576" s="312" t="e">
        <f t="shared" si="182"/>
        <v>#REF!</v>
      </c>
    </row>
    <row r="1577" spans="1:40" s="73" customFormat="1" x14ac:dyDescent="0.25">
      <c r="A1577" s="313"/>
      <c r="B1577" s="314"/>
      <c r="D1577" s="74">
        <f>IFERROR(VLOOKUP(B1577,'REQ. PINTADO'!B:C,2,0),0)</f>
        <v>0</v>
      </c>
      <c r="E1577" s="305">
        <f t="shared" si="172"/>
        <v>0</v>
      </c>
      <c r="F1577" s="103" t="s">
        <v>163</v>
      </c>
      <c r="G1577" s="75" t="s">
        <v>147</v>
      </c>
      <c r="H1577" s="90"/>
      <c r="I1577" s="90"/>
      <c r="J1577" s="76">
        <v>0.105</v>
      </c>
      <c r="K1577" s="306">
        <v>16.38</v>
      </c>
      <c r="L1577" s="78">
        <f t="shared" si="173"/>
        <v>0</v>
      </c>
      <c r="M1577" s="58">
        <f>+VLOOKUP(F1577,Material!$H$2:$M$17,6,FALSE)*H1577*I1577*(1+Material!$K$14)</f>
        <v>0</v>
      </c>
      <c r="N1577" s="79" t="str">
        <f>+N1196</f>
        <v>T5.0</v>
      </c>
      <c r="O1577" s="80">
        <f>+VLOOKUP(N1577,[3]Material!$A$3:$B$58,2,FALSE)</f>
        <v>5000</v>
      </c>
      <c r="P1577" s="79" t="s">
        <v>42</v>
      </c>
      <c r="Q1577" s="79" t="str">
        <f>+VLOOKUP(F1577,[3]Material!$C$2:$E$12,2,FALSE)</f>
        <v>Cal 12</v>
      </c>
      <c r="R1577" s="81">
        <f>+IF(P1577="ACERO A36",VLOOKUP(Q1577,'[3]Velocidades Std 1500 w'!$B$2:$F$15,5,FALSE),IF(P1577="INOXIDABLE",VLOOKUP(Q1577,'[3]Velocidades Std 1500 w'!$B$17:$F$28,5,FALSE),IF(P1577="ALUMINIO",VLOOKUP(Q1577,'[3]Velocidades Std 1500 w'!$B$30:$F$38,5,FALSE))))</f>
        <v>4.3859649122807014E-6</v>
      </c>
      <c r="S1577" s="82">
        <f t="shared" si="174"/>
        <v>2.1929824561403508E-2</v>
      </c>
      <c r="T1577" s="83">
        <f t="shared" si="175"/>
        <v>0</v>
      </c>
      <c r="U1577" s="307">
        <f t="shared" si="171"/>
        <v>0</v>
      </c>
      <c r="V1577" s="80">
        <f t="shared" si="559"/>
        <v>0</v>
      </c>
      <c r="W1577" s="98"/>
      <c r="X1577" s="84">
        <f>+IF(P1577="ACERO A36",VLOOKUP(Q1577,'[3]Tiempo Objeto'!$B$2:$C$12,2,FALSE),IF(P1577="INOXIDABLE",VLOOKUP(Q1577,'[3]Tiempo Objeto'!$B$14:$C$22,2,FALSE),IF(P1577="ALUMINIO",VLOOKUP(Q1577,'[3]Tiempo Objeto'!$B$24:$C$32,2,FALSE))))</f>
        <v>0.6133333333333334</v>
      </c>
      <c r="Y1577" s="84">
        <f t="shared" si="176"/>
        <v>0</v>
      </c>
      <c r="Z1577" s="80">
        <f t="shared" si="177"/>
        <v>0</v>
      </c>
      <c r="AA1577" s="100"/>
      <c r="AB1577" s="86">
        <f>+AA1577*Analisis!$J$6</f>
        <v>0</v>
      </c>
      <c r="AC1577" s="100"/>
      <c r="AD1577" s="85">
        <f t="shared" si="178"/>
        <v>0</v>
      </c>
      <c r="AE1577" s="86">
        <f>+AC1577*Analisis!$J$7</f>
        <v>0</v>
      </c>
      <c r="AF1577" s="308">
        <f>+H1577*0.0254*I1577*0.0254*2*(1+[3]Analisis!$G$2)</f>
        <v>0</v>
      </c>
      <c r="AG1577" s="86">
        <f>+AF1577*Analisis!$J$8</f>
        <v>0</v>
      </c>
      <c r="AH1577" s="309">
        <f t="shared" si="179"/>
        <v>0</v>
      </c>
      <c r="AI1577" s="86">
        <f>+AH1577/(1-Analisis!G1208)</f>
        <v>0</v>
      </c>
      <c r="AJ1577" s="86">
        <f t="shared" si="180"/>
        <v>0</v>
      </c>
      <c r="AK1577" s="86">
        <f t="shared" si="181"/>
        <v>0</v>
      </c>
      <c r="AL1577" s="310" t="e">
        <f>+VLOOKUP(B1577,#REF!,2,FALSE)</f>
        <v>#REF!</v>
      </c>
      <c r="AM1577" s="311" t="e">
        <f t="shared" si="183"/>
        <v>#REF!</v>
      </c>
      <c r="AN1577" s="312" t="e">
        <f t="shared" si="182"/>
        <v>#REF!</v>
      </c>
    </row>
    <row r="1578" spans="1:40" s="73" customFormat="1" x14ac:dyDescent="0.25">
      <c r="A1578" s="313"/>
      <c r="B1578" s="314"/>
      <c r="D1578" s="74">
        <f>IFERROR(VLOOKUP(B1578,'REQ. PINTADO'!B:C,2,0),0)</f>
        <v>0</v>
      </c>
      <c r="E1578" s="305">
        <f t="shared" si="172"/>
        <v>0</v>
      </c>
      <c r="F1578" s="103" t="s">
        <v>163</v>
      </c>
      <c r="G1578" s="75" t="s">
        <v>147</v>
      </c>
      <c r="H1578" s="90"/>
      <c r="I1578" s="90"/>
      <c r="J1578" s="76">
        <v>0.105</v>
      </c>
      <c r="K1578" s="306">
        <v>16.38</v>
      </c>
      <c r="L1578" s="78">
        <f t="shared" si="173"/>
        <v>0</v>
      </c>
      <c r="M1578" s="58">
        <f>+VLOOKUP(F1578,Material!$H$2:$M$17,6,FALSE)*H1578*I1578*(1+Material!$K$14)</f>
        <v>0</v>
      </c>
      <c r="N1578" s="79" t="str">
        <f>+N1197</f>
        <v>T5.0</v>
      </c>
      <c r="O1578" s="80">
        <f>+VLOOKUP(N1578,[3]Material!$A$3:$B$58,2,FALSE)</f>
        <v>5000</v>
      </c>
      <c r="P1578" s="79" t="s">
        <v>42</v>
      </c>
      <c r="Q1578" s="79" t="str">
        <f>+VLOOKUP(F1578,[3]Material!$C$2:$E$12,2,FALSE)</f>
        <v>Cal 12</v>
      </c>
      <c r="R1578" s="81">
        <f>+IF(P1578="ACERO A36",VLOOKUP(Q1578,'[3]Velocidades Std 1500 w'!$B$2:$F$15,5,FALSE),IF(P1578="INOXIDABLE",VLOOKUP(Q1578,'[3]Velocidades Std 1500 w'!$B$17:$F$28,5,FALSE),IF(P1578="ALUMINIO",VLOOKUP(Q1578,'[3]Velocidades Std 1500 w'!$B$30:$F$38,5,FALSE))))</f>
        <v>4.3859649122807014E-6</v>
      </c>
      <c r="S1578" s="82">
        <f t="shared" si="174"/>
        <v>2.1929824561403508E-2</v>
      </c>
      <c r="T1578" s="83">
        <f t="shared" si="175"/>
        <v>0</v>
      </c>
      <c r="U1578" s="307">
        <f t="shared" si="171"/>
        <v>0</v>
      </c>
      <c r="V1578" s="80">
        <f t="shared" si="559"/>
        <v>0</v>
      </c>
      <c r="W1578" s="98"/>
      <c r="X1578" s="84">
        <f>+IF(P1578="ACERO A36",VLOOKUP(Q1578,'[3]Tiempo Objeto'!$B$2:$C$12,2,FALSE),IF(P1578="INOXIDABLE",VLOOKUP(Q1578,'[3]Tiempo Objeto'!$B$14:$C$22,2,FALSE),IF(P1578="ALUMINIO",VLOOKUP(Q1578,'[3]Tiempo Objeto'!$B$24:$C$32,2,FALSE))))</f>
        <v>0.6133333333333334</v>
      </c>
      <c r="Y1578" s="84">
        <f t="shared" si="176"/>
        <v>0</v>
      </c>
      <c r="Z1578" s="80">
        <f t="shared" si="177"/>
        <v>0</v>
      </c>
      <c r="AA1578" s="100"/>
      <c r="AB1578" s="86">
        <f>+AA1578*Analisis!$J$6</f>
        <v>0</v>
      </c>
      <c r="AC1578" s="100"/>
      <c r="AD1578" s="85">
        <f t="shared" si="178"/>
        <v>0</v>
      </c>
      <c r="AE1578" s="86">
        <f>+AC1578*Analisis!$J$7</f>
        <v>0</v>
      </c>
      <c r="AF1578" s="308">
        <f>+H1578*0.0254*I1578*0.0254*2*(1+[3]Analisis!$G$2)</f>
        <v>0</v>
      </c>
      <c r="AG1578" s="86">
        <f>+AF1578*Analisis!$J$8</f>
        <v>0</v>
      </c>
      <c r="AH1578" s="309">
        <f t="shared" si="179"/>
        <v>0</v>
      </c>
      <c r="AI1578" s="86">
        <f>+AH1578/(1-Analisis!G1209)</f>
        <v>0</v>
      </c>
      <c r="AJ1578" s="86">
        <f t="shared" si="180"/>
        <v>0</v>
      </c>
      <c r="AK1578" s="86">
        <f t="shared" si="181"/>
        <v>0</v>
      </c>
      <c r="AL1578" s="310" t="e">
        <f>+VLOOKUP(B1578,#REF!,2,FALSE)</f>
        <v>#REF!</v>
      </c>
      <c r="AM1578" s="311" t="e">
        <f t="shared" si="183"/>
        <v>#REF!</v>
      </c>
      <c r="AN1578" s="312" t="e">
        <f t="shared" si="182"/>
        <v>#REF!</v>
      </c>
    </row>
    <row r="1579" spans="1:40" s="73" customFormat="1" x14ac:dyDescent="0.25">
      <c r="A1579" s="313"/>
      <c r="B1579" s="314"/>
      <c r="D1579" s="74">
        <f>IFERROR(VLOOKUP(B1579,'REQ. PINTADO'!B:C,2,0),0)</f>
        <v>0</v>
      </c>
      <c r="E1579" s="305">
        <f t="shared" si="172"/>
        <v>0</v>
      </c>
      <c r="F1579" s="103" t="s">
        <v>163</v>
      </c>
      <c r="G1579" s="75" t="s">
        <v>147</v>
      </c>
      <c r="H1579" s="90"/>
      <c r="I1579" s="90"/>
      <c r="J1579" s="76">
        <v>0.105</v>
      </c>
      <c r="K1579" s="306">
        <v>16.38</v>
      </c>
      <c r="L1579" s="78">
        <f t="shared" si="173"/>
        <v>0</v>
      </c>
      <c r="M1579" s="58">
        <f>+VLOOKUP(F1579,Material!$H$2:$M$17,6,FALSE)*H1579*I1579*(1+Material!$K$14)</f>
        <v>0</v>
      </c>
      <c r="N1579" s="79" t="str">
        <f>+N1198</f>
        <v>T5.0</v>
      </c>
      <c r="O1579" s="80">
        <f>+VLOOKUP(N1579,[3]Material!$A$3:$B$58,2,FALSE)</f>
        <v>5000</v>
      </c>
      <c r="P1579" s="79" t="s">
        <v>42</v>
      </c>
      <c r="Q1579" s="79" t="str">
        <f>+VLOOKUP(F1579,[3]Material!$C$2:$E$12,2,FALSE)</f>
        <v>Cal 12</v>
      </c>
      <c r="R1579" s="81">
        <f>+IF(P1579="ACERO A36",VLOOKUP(Q1579,'[3]Velocidades Std 1500 w'!$B$2:$F$15,5,FALSE),IF(P1579="INOXIDABLE",VLOOKUP(Q1579,'[3]Velocidades Std 1500 w'!$B$17:$F$28,5,FALSE),IF(P1579="ALUMINIO",VLOOKUP(Q1579,'[3]Velocidades Std 1500 w'!$B$30:$F$38,5,FALSE))))</f>
        <v>4.3859649122807014E-6</v>
      </c>
      <c r="S1579" s="82">
        <f t="shared" si="174"/>
        <v>2.1929824561403508E-2</v>
      </c>
      <c r="T1579" s="83">
        <f t="shared" si="175"/>
        <v>0</v>
      </c>
      <c r="U1579" s="307">
        <f t="shared" si="171"/>
        <v>0</v>
      </c>
      <c r="V1579" s="80">
        <f t="shared" si="559"/>
        <v>0</v>
      </c>
      <c r="W1579" s="98"/>
      <c r="X1579" s="84">
        <f>+IF(P1579="ACERO A36",VLOOKUP(Q1579,'[3]Tiempo Objeto'!$B$2:$C$12,2,FALSE),IF(P1579="INOXIDABLE",VLOOKUP(Q1579,'[3]Tiempo Objeto'!$B$14:$C$22,2,FALSE),IF(P1579="ALUMINIO",VLOOKUP(Q1579,'[3]Tiempo Objeto'!$B$24:$C$32,2,FALSE))))</f>
        <v>0.6133333333333334</v>
      </c>
      <c r="Y1579" s="84">
        <f t="shared" si="176"/>
        <v>0</v>
      </c>
      <c r="Z1579" s="80">
        <f t="shared" si="177"/>
        <v>0</v>
      </c>
      <c r="AA1579" s="100"/>
      <c r="AB1579" s="86">
        <f>+AA1579*Analisis!$J$6</f>
        <v>0</v>
      </c>
      <c r="AC1579" s="100"/>
      <c r="AD1579" s="85">
        <f t="shared" si="178"/>
        <v>0</v>
      </c>
      <c r="AE1579" s="86">
        <f>+AC1579*Analisis!$J$7</f>
        <v>0</v>
      </c>
      <c r="AF1579" s="308">
        <f>+H1579*0.0254*I1579*0.0254*2*(1+[3]Analisis!$G$2)</f>
        <v>0</v>
      </c>
      <c r="AG1579" s="86">
        <f>+AF1579*Analisis!$J$8</f>
        <v>0</v>
      </c>
      <c r="AH1579" s="309">
        <f t="shared" si="179"/>
        <v>0</v>
      </c>
      <c r="AI1579" s="86">
        <f>+AH1579/(1-Analisis!G1210)</f>
        <v>0</v>
      </c>
      <c r="AJ1579" s="86">
        <f t="shared" si="180"/>
        <v>0</v>
      </c>
      <c r="AK1579" s="86">
        <f t="shared" si="181"/>
        <v>0</v>
      </c>
      <c r="AL1579" s="310" t="e">
        <f>+VLOOKUP(B1579,#REF!,2,FALSE)</f>
        <v>#REF!</v>
      </c>
      <c r="AM1579" s="311" t="e">
        <f t="shared" si="183"/>
        <v>#REF!</v>
      </c>
      <c r="AN1579" s="312" t="e">
        <f t="shared" si="182"/>
        <v>#REF!</v>
      </c>
    </row>
    <row r="1580" spans="1:40" s="73" customFormat="1" x14ac:dyDescent="0.25">
      <c r="A1580" s="313"/>
      <c r="B1580" s="314"/>
      <c r="D1580" s="74">
        <f>IFERROR(VLOOKUP(B1580,'REQ. PINTADO'!B:C,2,0),0)</f>
        <v>0</v>
      </c>
      <c r="E1580" s="305">
        <f t="shared" si="172"/>
        <v>0</v>
      </c>
      <c r="F1580" s="103" t="s">
        <v>163</v>
      </c>
      <c r="G1580" s="75" t="s">
        <v>147</v>
      </c>
      <c r="H1580" s="90"/>
      <c r="I1580" s="90"/>
      <c r="J1580" s="76">
        <v>0.105</v>
      </c>
      <c r="K1580" s="306">
        <v>16.38</v>
      </c>
      <c r="L1580" s="78">
        <f t="shared" si="173"/>
        <v>0</v>
      </c>
      <c r="M1580" s="58">
        <f>+VLOOKUP(F1580,Material!$H$2:$M$17,6,FALSE)*H1580*I1580*(1+Material!$K$14)</f>
        <v>0</v>
      </c>
      <c r="N1580" s="79" t="str">
        <f>+N1199</f>
        <v>T5.0</v>
      </c>
      <c r="O1580" s="80">
        <f>+VLOOKUP(N1580,[3]Material!$A$3:$B$58,2,FALSE)</f>
        <v>5000</v>
      </c>
      <c r="P1580" s="79" t="s">
        <v>42</v>
      </c>
      <c r="Q1580" s="79" t="str">
        <f>+VLOOKUP(F1580,[3]Material!$C$2:$E$12,2,FALSE)</f>
        <v>Cal 12</v>
      </c>
      <c r="R1580" s="81">
        <f>+IF(P1580="ACERO A36",VLOOKUP(Q1580,'[3]Velocidades Std 1500 w'!$B$2:$F$15,5,FALSE),IF(P1580="INOXIDABLE",VLOOKUP(Q1580,'[3]Velocidades Std 1500 w'!$B$17:$F$28,5,FALSE),IF(P1580="ALUMINIO",VLOOKUP(Q1580,'[3]Velocidades Std 1500 w'!$B$30:$F$38,5,FALSE))))</f>
        <v>4.3859649122807014E-6</v>
      </c>
      <c r="S1580" s="82">
        <f t="shared" si="174"/>
        <v>2.1929824561403508E-2</v>
      </c>
      <c r="T1580" s="83">
        <f t="shared" si="175"/>
        <v>0</v>
      </c>
      <c r="U1580" s="307">
        <f t="shared" si="171"/>
        <v>0</v>
      </c>
      <c r="V1580" s="80">
        <f t="shared" si="559"/>
        <v>0</v>
      </c>
      <c r="W1580" s="98"/>
      <c r="X1580" s="84">
        <f>+IF(P1580="ACERO A36",VLOOKUP(Q1580,'[3]Tiempo Objeto'!$B$2:$C$12,2,FALSE),IF(P1580="INOXIDABLE",VLOOKUP(Q1580,'[3]Tiempo Objeto'!$B$14:$C$22,2,FALSE),IF(P1580="ALUMINIO",VLOOKUP(Q1580,'[3]Tiempo Objeto'!$B$24:$C$32,2,FALSE))))</f>
        <v>0.6133333333333334</v>
      </c>
      <c r="Y1580" s="84">
        <f t="shared" si="176"/>
        <v>0</v>
      </c>
      <c r="Z1580" s="80">
        <f t="shared" si="177"/>
        <v>0</v>
      </c>
      <c r="AA1580" s="100"/>
      <c r="AB1580" s="86">
        <f>+AA1580*Analisis!$J$6</f>
        <v>0</v>
      </c>
      <c r="AC1580" s="100"/>
      <c r="AD1580" s="85">
        <f t="shared" si="178"/>
        <v>0</v>
      </c>
      <c r="AE1580" s="86">
        <f>+AC1580*Analisis!$J$7</f>
        <v>0</v>
      </c>
      <c r="AF1580" s="308">
        <f>+H1580*0.0254*I1580*0.0254*2*(1+[3]Analisis!$G$2)</f>
        <v>0</v>
      </c>
      <c r="AG1580" s="86">
        <f>+AF1580*Analisis!$J$8</f>
        <v>0</v>
      </c>
      <c r="AH1580" s="309">
        <f t="shared" si="179"/>
        <v>0</v>
      </c>
      <c r="AI1580" s="86">
        <f>+AH1580/(1-Analisis!G1211)</f>
        <v>0</v>
      </c>
      <c r="AJ1580" s="86">
        <f t="shared" si="180"/>
        <v>0</v>
      </c>
      <c r="AK1580" s="86">
        <f t="shared" si="181"/>
        <v>0</v>
      </c>
      <c r="AL1580" s="310" t="e">
        <f>+VLOOKUP(B1580,#REF!,2,FALSE)</f>
        <v>#REF!</v>
      </c>
      <c r="AM1580" s="311" t="e">
        <f t="shared" si="183"/>
        <v>#REF!</v>
      </c>
      <c r="AN1580" s="312" t="e">
        <f t="shared" si="182"/>
        <v>#REF!</v>
      </c>
    </row>
    <row r="1581" spans="1:40" s="73" customFormat="1" x14ac:dyDescent="0.25">
      <c r="A1581" s="313"/>
      <c r="B1581" s="314"/>
      <c r="D1581" s="74">
        <f>IFERROR(VLOOKUP(B1581,'REQ. PINTADO'!B:C,2,0),0)</f>
        <v>0</v>
      </c>
      <c r="E1581" s="305">
        <f t="shared" si="172"/>
        <v>0</v>
      </c>
      <c r="F1581" s="103" t="s">
        <v>163</v>
      </c>
      <c r="G1581" s="75" t="s">
        <v>147</v>
      </c>
      <c r="H1581" s="90"/>
      <c r="I1581" s="90"/>
      <c r="J1581" s="76">
        <v>0.105</v>
      </c>
      <c r="K1581" s="306">
        <v>16.38</v>
      </c>
      <c r="L1581" s="78">
        <f t="shared" si="173"/>
        <v>0</v>
      </c>
      <c r="M1581" s="58">
        <f>+VLOOKUP(F1581,Material!$H$2:$M$17,6,FALSE)*H1581*I1581*(1+Material!$K$14)</f>
        <v>0</v>
      </c>
      <c r="N1581" s="79" t="str">
        <f>+N1200</f>
        <v>T5.0</v>
      </c>
      <c r="O1581" s="80">
        <f>+VLOOKUP(N1581,[3]Material!$A$3:$B$58,2,FALSE)</f>
        <v>5000</v>
      </c>
      <c r="P1581" s="79" t="s">
        <v>42</v>
      </c>
      <c r="Q1581" s="79" t="str">
        <f>+VLOOKUP(F1581,[3]Material!$C$2:$E$12,2,FALSE)</f>
        <v>Cal 12</v>
      </c>
      <c r="R1581" s="81">
        <f>+IF(P1581="ACERO A36",VLOOKUP(Q1581,'[3]Velocidades Std 1500 w'!$B$2:$F$15,5,FALSE),IF(P1581="INOXIDABLE",VLOOKUP(Q1581,'[3]Velocidades Std 1500 w'!$B$17:$F$28,5,FALSE),IF(P1581="ALUMINIO",VLOOKUP(Q1581,'[3]Velocidades Std 1500 w'!$B$30:$F$38,5,FALSE))))</f>
        <v>4.3859649122807014E-6</v>
      </c>
      <c r="S1581" s="82">
        <f t="shared" si="174"/>
        <v>2.1929824561403508E-2</v>
      </c>
      <c r="T1581" s="83">
        <f t="shared" si="175"/>
        <v>0</v>
      </c>
      <c r="U1581" s="307">
        <f t="shared" si="171"/>
        <v>0</v>
      </c>
      <c r="V1581" s="80">
        <f t="shared" si="559"/>
        <v>0</v>
      </c>
      <c r="W1581" s="98"/>
      <c r="X1581" s="84">
        <f>+IF(P1581="ACERO A36",VLOOKUP(Q1581,'[3]Tiempo Objeto'!$B$2:$C$12,2,FALSE),IF(P1581="INOXIDABLE",VLOOKUP(Q1581,'[3]Tiempo Objeto'!$B$14:$C$22,2,FALSE),IF(P1581="ALUMINIO",VLOOKUP(Q1581,'[3]Tiempo Objeto'!$B$24:$C$32,2,FALSE))))</f>
        <v>0.6133333333333334</v>
      </c>
      <c r="Y1581" s="84">
        <f t="shared" si="176"/>
        <v>0</v>
      </c>
      <c r="Z1581" s="80">
        <f t="shared" si="177"/>
        <v>0</v>
      </c>
      <c r="AA1581" s="100"/>
      <c r="AB1581" s="86">
        <f>+AA1581*Analisis!$J$6</f>
        <v>0</v>
      </c>
      <c r="AC1581" s="100"/>
      <c r="AD1581" s="85">
        <f t="shared" si="178"/>
        <v>0</v>
      </c>
      <c r="AE1581" s="86">
        <f>+AC1581*Analisis!$J$7</f>
        <v>0</v>
      </c>
      <c r="AF1581" s="308">
        <f>+H1581*0.0254*I1581*0.0254*2*(1+[3]Analisis!$G$2)</f>
        <v>0</v>
      </c>
      <c r="AG1581" s="86">
        <f>+AF1581*Analisis!$J$8</f>
        <v>0</v>
      </c>
      <c r="AH1581" s="309">
        <f t="shared" si="179"/>
        <v>0</v>
      </c>
      <c r="AI1581" s="86">
        <f>+AH1581/(1-Analisis!G1212)</f>
        <v>0</v>
      </c>
      <c r="AJ1581" s="86">
        <f t="shared" si="180"/>
        <v>0</v>
      </c>
      <c r="AK1581" s="86">
        <f t="shared" si="181"/>
        <v>0</v>
      </c>
      <c r="AL1581" s="310" t="e">
        <f>+VLOOKUP(B1581,#REF!,2,FALSE)</f>
        <v>#REF!</v>
      </c>
      <c r="AM1581" s="311" t="e">
        <f t="shared" si="183"/>
        <v>#REF!</v>
      </c>
      <c r="AN1581" s="312" t="e">
        <f t="shared" si="182"/>
        <v>#REF!</v>
      </c>
    </row>
    <row r="1582" spans="1:40" s="73" customFormat="1" x14ac:dyDescent="0.25">
      <c r="A1582" s="313"/>
      <c r="B1582" s="314"/>
      <c r="D1582" s="74">
        <f>IFERROR(VLOOKUP(B1582,'REQ. PINTADO'!B:C,2,0),0)</f>
        <v>0</v>
      </c>
      <c r="E1582" s="305">
        <f t="shared" si="172"/>
        <v>0</v>
      </c>
      <c r="F1582" s="103" t="s">
        <v>163</v>
      </c>
      <c r="G1582" s="75" t="s">
        <v>147</v>
      </c>
      <c r="H1582" s="90"/>
      <c r="I1582" s="90"/>
      <c r="J1582" s="76">
        <v>0.105</v>
      </c>
      <c r="K1582" s="306">
        <v>16.38</v>
      </c>
      <c r="L1582" s="78">
        <f t="shared" si="173"/>
        <v>0</v>
      </c>
      <c r="M1582" s="58">
        <f>+VLOOKUP(F1582,Material!$H$2:$M$17,6,FALSE)*H1582*I1582*(1+Material!$K$14)</f>
        <v>0</v>
      </c>
      <c r="N1582" s="79" t="str">
        <f>+N1201</f>
        <v>T5.0</v>
      </c>
      <c r="O1582" s="80">
        <f>+VLOOKUP(N1582,[3]Material!$A$3:$B$58,2,FALSE)</f>
        <v>5000</v>
      </c>
      <c r="P1582" s="79" t="s">
        <v>42</v>
      </c>
      <c r="Q1582" s="79" t="str">
        <f>+VLOOKUP(F1582,[3]Material!$C$2:$E$12,2,FALSE)</f>
        <v>Cal 12</v>
      </c>
      <c r="R1582" s="81">
        <f>+IF(P1582="ACERO A36",VLOOKUP(Q1582,'[3]Velocidades Std 1500 w'!$B$2:$F$15,5,FALSE),IF(P1582="INOXIDABLE",VLOOKUP(Q1582,'[3]Velocidades Std 1500 w'!$B$17:$F$28,5,FALSE),IF(P1582="ALUMINIO",VLOOKUP(Q1582,'[3]Velocidades Std 1500 w'!$B$30:$F$38,5,FALSE))))</f>
        <v>4.3859649122807014E-6</v>
      </c>
      <c r="S1582" s="82">
        <f t="shared" si="174"/>
        <v>2.1929824561403508E-2</v>
      </c>
      <c r="T1582" s="83">
        <f t="shared" si="175"/>
        <v>0</v>
      </c>
      <c r="U1582" s="307">
        <f t="shared" si="171"/>
        <v>0</v>
      </c>
      <c r="V1582" s="80">
        <f t="shared" si="559"/>
        <v>0</v>
      </c>
      <c r="W1582" s="98"/>
      <c r="X1582" s="84">
        <f>+IF(P1582="ACERO A36",VLOOKUP(Q1582,'[3]Tiempo Objeto'!$B$2:$C$12,2,FALSE),IF(P1582="INOXIDABLE",VLOOKUP(Q1582,'[3]Tiempo Objeto'!$B$14:$C$22,2,FALSE),IF(P1582="ALUMINIO",VLOOKUP(Q1582,'[3]Tiempo Objeto'!$B$24:$C$32,2,FALSE))))</f>
        <v>0.6133333333333334</v>
      </c>
      <c r="Y1582" s="84">
        <f t="shared" si="176"/>
        <v>0</v>
      </c>
      <c r="Z1582" s="80">
        <f t="shared" si="177"/>
        <v>0</v>
      </c>
      <c r="AA1582" s="100"/>
      <c r="AB1582" s="86">
        <f>+AA1582*Analisis!$J$6</f>
        <v>0</v>
      </c>
      <c r="AC1582" s="100"/>
      <c r="AD1582" s="85">
        <f t="shared" si="178"/>
        <v>0</v>
      </c>
      <c r="AE1582" s="86">
        <f>+AC1582*Analisis!$J$7</f>
        <v>0</v>
      </c>
      <c r="AF1582" s="308">
        <f>+H1582*0.0254*I1582*0.0254*2*(1+[3]Analisis!$G$2)</f>
        <v>0</v>
      </c>
      <c r="AG1582" s="86">
        <f>+AF1582*Analisis!$J$8</f>
        <v>0</v>
      </c>
      <c r="AH1582" s="309">
        <f t="shared" si="179"/>
        <v>0</v>
      </c>
      <c r="AI1582" s="86">
        <f>+AH1582/(1-Analisis!G1213)</f>
        <v>0</v>
      </c>
      <c r="AJ1582" s="86">
        <f t="shared" si="180"/>
        <v>0</v>
      </c>
      <c r="AK1582" s="86">
        <f t="shared" si="181"/>
        <v>0</v>
      </c>
      <c r="AL1582" s="310" t="e">
        <f>+VLOOKUP(B1582,#REF!,2,FALSE)</f>
        <v>#REF!</v>
      </c>
      <c r="AM1582" s="311" t="e">
        <f t="shared" si="183"/>
        <v>#REF!</v>
      </c>
      <c r="AN1582" s="312" t="e">
        <f t="shared" si="182"/>
        <v>#REF!</v>
      </c>
    </row>
    <row r="1583" spans="1:40" s="73" customFormat="1" x14ac:dyDescent="0.25">
      <c r="A1583" s="313"/>
      <c r="B1583" s="314"/>
      <c r="D1583" s="74">
        <f>IFERROR(VLOOKUP(B1583,'REQ. PINTADO'!B:C,2,0),0)</f>
        <v>0</v>
      </c>
      <c r="E1583" s="305">
        <f t="shared" si="172"/>
        <v>0</v>
      </c>
      <c r="F1583" s="103" t="s">
        <v>163</v>
      </c>
      <c r="G1583" s="75" t="s">
        <v>147</v>
      </c>
      <c r="H1583" s="90"/>
      <c r="I1583" s="90"/>
      <c r="J1583" s="76">
        <v>0.105</v>
      </c>
      <c r="K1583" s="306">
        <v>16.38</v>
      </c>
      <c r="L1583" s="78">
        <f t="shared" si="173"/>
        <v>0</v>
      </c>
      <c r="M1583" s="58">
        <f>+VLOOKUP(F1583,Material!$H$2:$M$17,6,FALSE)*H1583*I1583*(1+Material!$K$14)</f>
        <v>0</v>
      </c>
      <c r="N1583" s="79" t="str">
        <f>+N1202</f>
        <v>T5.0</v>
      </c>
      <c r="O1583" s="80">
        <f>+VLOOKUP(N1583,[3]Material!$A$3:$B$58,2,FALSE)</f>
        <v>5000</v>
      </c>
      <c r="P1583" s="79" t="s">
        <v>42</v>
      </c>
      <c r="Q1583" s="79" t="str">
        <f>+VLOOKUP(F1583,[3]Material!$C$2:$E$12,2,FALSE)</f>
        <v>Cal 12</v>
      </c>
      <c r="R1583" s="81">
        <f>+IF(P1583="ACERO A36",VLOOKUP(Q1583,'[3]Velocidades Std 1500 w'!$B$2:$F$15,5,FALSE),IF(P1583="INOXIDABLE",VLOOKUP(Q1583,'[3]Velocidades Std 1500 w'!$B$17:$F$28,5,FALSE),IF(P1583="ALUMINIO",VLOOKUP(Q1583,'[3]Velocidades Std 1500 w'!$B$30:$F$38,5,FALSE))))</f>
        <v>4.3859649122807014E-6</v>
      </c>
      <c r="S1583" s="82">
        <f t="shared" si="174"/>
        <v>2.1929824561403508E-2</v>
      </c>
      <c r="T1583" s="83">
        <f t="shared" si="175"/>
        <v>0</v>
      </c>
      <c r="U1583" s="307">
        <f t="shared" si="171"/>
        <v>0</v>
      </c>
      <c r="V1583" s="80">
        <f t="shared" si="559"/>
        <v>0</v>
      </c>
      <c r="W1583" s="98"/>
      <c r="X1583" s="84">
        <f>+IF(P1583="ACERO A36",VLOOKUP(Q1583,'[3]Tiempo Objeto'!$B$2:$C$12,2,FALSE),IF(P1583="INOXIDABLE",VLOOKUP(Q1583,'[3]Tiempo Objeto'!$B$14:$C$22,2,FALSE),IF(P1583="ALUMINIO",VLOOKUP(Q1583,'[3]Tiempo Objeto'!$B$24:$C$32,2,FALSE))))</f>
        <v>0.6133333333333334</v>
      </c>
      <c r="Y1583" s="84">
        <f t="shared" si="176"/>
        <v>0</v>
      </c>
      <c r="Z1583" s="80">
        <f t="shared" si="177"/>
        <v>0</v>
      </c>
      <c r="AA1583" s="100"/>
      <c r="AB1583" s="86">
        <f>+AA1583*Analisis!$J$6</f>
        <v>0</v>
      </c>
      <c r="AC1583" s="100"/>
      <c r="AD1583" s="85">
        <f t="shared" si="178"/>
        <v>0</v>
      </c>
      <c r="AE1583" s="86">
        <f>+AC1583*Analisis!$J$7</f>
        <v>0</v>
      </c>
      <c r="AF1583" s="308">
        <f>+H1583*0.0254*I1583*0.0254*2*(1+[3]Analisis!$G$2)</f>
        <v>0</v>
      </c>
      <c r="AG1583" s="86">
        <f>+AF1583*Analisis!$J$8</f>
        <v>0</v>
      </c>
      <c r="AH1583" s="309">
        <f t="shared" si="179"/>
        <v>0</v>
      </c>
      <c r="AI1583" s="86">
        <f>+AH1583/(1-Analisis!G1214)</f>
        <v>0</v>
      </c>
      <c r="AJ1583" s="86">
        <f t="shared" si="180"/>
        <v>0</v>
      </c>
      <c r="AK1583" s="86">
        <f t="shared" si="181"/>
        <v>0</v>
      </c>
      <c r="AL1583" s="310" t="e">
        <f>+VLOOKUP(B1583,#REF!,2,FALSE)</f>
        <v>#REF!</v>
      </c>
      <c r="AM1583" s="311" t="e">
        <f t="shared" si="183"/>
        <v>#REF!</v>
      </c>
      <c r="AN1583" s="312" t="e">
        <f t="shared" si="182"/>
        <v>#REF!</v>
      </c>
    </row>
    <row r="1584" spans="1:40" s="73" customFormat="1" x14ac:dyDescent="0.25">
      <c r="A1584" s="313"/>
      <c r="B1584" s="314"/>
      <c r="D1584" s="74">
        <f>IFERROR(VLOOKUP(B1584,'REQ. PINTADO'!B:C,2,0),0)</f>
        <v>0</v>
      </c>
      <c r="E1584" s="305">
        <f t="shared" si="172"/>
        <v>0</v>
      </c>
      <c r="F1584" s="103" t="s">
        <v>163</v>
      </c>
      <c r="G1584" s="75" t="s">
        <v>147</v>
      </c>
      <c r="H1584" s="90"/>
      <c r="I1584" s="90"/>
      <c r="J1584" s="76">
        <v>0.105</v>
      </c>
      <c r="K1584" s="306">
        <v>16.38</v>
      </c>
      <c r="L1584" s="78">
        <f t="shared" si="173"/>
        <v>0</v>
      </c>
      <c r="M1584" s="58">
        <f>+VLOOKUP(F1584,Material!$H$2:$M$17,6,FALSE)*H1584*I1584*(1+Material!$K$14)</f>
        <v>0</v>
      </c>
      <c r="N1584" s="79" t="str">
        <f>+N1203</f>
        <v>T5.0</v>
      </c>
      <c r="O1584" s="80">
        <f>+VLOOKUP(N1584,[3]Material!$A$3:$B$58,2,FALSE)</f>
        <v>5000</v>
      </c>
      <c r="P1584" s="79" t="s">
        <v>42</v>
      </c>
      <c r="Q1584" s="79" t="str">
        <f>+VLOOKUP(F1584,[3]Material!$C$2:$E$12,2,FALSE)</f>
        <v>Cal 12</v>
      </c>
      <c r="R1584" s="81">
        <f>+IF(P1584="ACERO A36",VLOOKUP(Q1584,'[3]Velocidades Std 1500 w'!$B$2:$F$15,5,FALSE),IF(P1584="INOXIDABLE",VLOOKUP(Q1584,'[3]Velocidades Std 1500 w'!$B$17:$F$28,5,FALSE),IF(P1584="ALUMINIO",VLOOKUP(Q1584,'[3]Velocidades Std 1500 w'!$B$30:$F$38,5,FALSE))))</f>
        <v>4.3859649122807014E-6</v>
      </c>
      <c r="S1584" s="82">
        <f t="shared" si="174"/>
        <v>2.1929824561403508E-2</v>
      </c>
      <c r="T1584" s="83">
        <f t="shared" si="175"/>
        <v>0</v>
      </c>
      <c r="U1584" s="307">
        <f t="shared" si="171"/>
        <v>0</v>
      </c>
      <c r="V1584" s="80">
        <f t="shared" si="559"/>
        <v>0</v>
      </c>
      <c r="W1584" s="98"/>
      <c r="X1584" s="84">
        <f>+IF(P1584="ACERO A36",VLOOKUP(Q1584,'[3]Tiempo Objeto'!$B$2:$C$12,2,FALSE),IF(P1584="INOXIDABLE",VLOOKUP(Q1584,'[3]Tiempo Objeto'!$B$14:$C$22,2,FALSE),IF(P1584="ALUMINIO",VLOOKUP(Q1584,'[3]Tiempo Objeto'!$B$24:$C$32,2,FALSE))))</f>
        <v>0.6133333333333334</v>
      </c>
      <c r="Y1584" s="84">
        <f t="shared" si="176"/>
        <v>0</v>
      </c>
      <c r="Z1584" s="80">
        <f t="shared" si="177"/>
        <v>0</v>
      </c>
      <c r="AA1584" s="100"/>
      <c r="AB1584" s="86">
        <f>+AA1584*Analisis!$J$6</f>
        <v>0</v>
      </c>
      <c r="AC1584" s="100"/>
      <c r="AD1584" s="85">
        <f t="shared" si="178"/>
        <v>0</v>
      </c>
      <c r="AE1584" s="86">
        <f>+AC1584*Analisis!$J$7</f>
        <v>0</v>
      </c>
      <c r="AF1584" s="308">
        <f>+H1584*0.0254*I1584*0.0254*2*(1+[3]Analisis!$G$2)</f>
        <v>0</v>
      </c>
      <c r="AG1584" s="86">
        <f>+AF1584*Analisis!$J$8</f>
        <v>0</v>
      </c>
      <c r="AH1584" s="309">
        <f t="shared" si="179"/>
        <v>0</v>
      </c>
      <c r="AI1584" s="86">
        <f>+AH1584/(1-Analisis!G1215)</f>
        <v>0</v>
      </c>
      <c r="AJ1584" s="86">
        <f t="shared" si="180"/>
        <v>0</v>
      </c>
      <c r="AK1584" s="86">
        <f t="shared" si="181"/>
        <v>0</v>
      </c>
      <c r="AL1584" s="310" t="e">
        <f>+VLOOKUP(B1584,#REF!,2,FALSE)</f>
        <v>#REF!</v>
      </c>
      <c r="AM1584" s="311" t="e">
        <f t="shared" si="183"/>
        <v>#REF!</v>
      </c>
      <c r="AN1584" s="312" t="e">
        <f t="shared" si="182"/>
        <v>#REF!</v>
      </c>
    </row>
    <row r="1585" spans="1:40" s="73" customFormat="1" x14ac:dyDescent="0.25">
      <c r="A1585" s="313"/>
      <c r="B1585" s="314"/>
      <c r="D1585" s="74">
        <f>IFERROR(VLOOKUP(B1585,'REQ. PINTADO'!B:C,2,0),0)</f>
        <v>0</v>
      </c>
      <c r="E1585" s="305">
        <f t="shared" si="172"/>
        <v>0</v>
      </c>
      <c r="F1585" s="103" t="s">
        <v>163</v>
      </c>
      <c r="G1585" s="75" t="s">
        <v>147</v>
      </c>
      <c r="H1585" s="90"/>
      <c r="I1585" s="90"/>
      <c r="J1585" s="76">
        <v>0.105</v>
      </c>
      <c r="K1585" s="306">
        <v>16.38</v>
      </c>
      <c r="L1585" s="78">
        <f t="shared" si="173"/>
        <v>0</v>
      </c>
      <c r="M1585" s="58">
        <f>+VLOOKUP(F1585,Material!$H$2:$M$17,6,FALSE)*H1585*I1585*(1+Material!$K$14)</f>
        <v>0</v>
      </c>
      <c r="N1585" s="79" t="str">
        <f>+N1204</f>
        <v>T5.0</v>
      </c>
      <c r="O1585" s="80">
        <f>+VLOOKUP(N1585,[3]Material!$A$3:$B$58,2,FALSE)</f>
        <v>5000</v>
      </c>
      <c r="P1585" s="79" t="s">
        <v>42</v>
      </c>
      <c r="Q1585" s="79" t="str">
        <f>+VLOOKUP(F1585,[3]Material!$C$2:$E$12,2,FALSE)</f>
        <v>Cal 12</v>
      </c>
      <c r="R1585" s="81">
        <f>+IF(P1585="ACERO A36",VLOOKUP(Q1585,'[3]Velocidades Std 1500 w'!$B$2:$F$15,5,FALSE),IF(P1585="INOXIDABLE",VLOOKUP(Q1585,'[3]Velocidades Std 1500 w'!$B$17:$F$28,5,FALSE),IF(P1585="ALUMINIO",VLOOKUP(Q1585,'[3]Velocidades Std 1500 w'!$B$30:$F$38,5,FALSE))))</f>
        <v>4.3859649122807014E-6</v>
      </c>
      <c r="S1585" s="82">
        <f t="shared" si="174"/>
        <v>2.1929824561403508E-2</v>
      </c>
      <c r="T1585" s="83">
        <f t="shared" si="175"/>
        <v>0</v>
      </c>
      <c r="U1585" s="307">
        <f t="shared" si="171"/>
        <v>0</v>
      </c>
      <c r="V1585" s="80">
        <f t="shared" si="559"/>
        <v>0</v>
      </c>
      <c r="W1585" s="98"/>
      <c r="X1585" s="84">
        <f>+IF(P1585="ACERO A36",VLOOKUP(Q1585,'[3]Tiempo Objeto'!$B$2:$C$12,2,FALSE),IF(P1585="INOXIDABLE",VLOOKUP(Q1585,'[3]Tiempo Objeto'!$B$14:$C$22,2,FALSE),IF(P1585="ALUMINIO",VLOOKUP(Q1585,'[3]Tiempo Objeto'!$B$24:$C$32,2,FALSE))))</f>
        <v>0.6133333333333334</v>
      </c>
      <c r="Y1585" s="84">
        <f t="shared" si="176"/>
        <v>0</v>
      </c>
      <c r="Z1585" s="80">
        <f t="shared" si="177"/>
        <v>0</v>
      </c>
      <c r="AA1585" s="100"/>
      <c r="AB1585" s="86">
        <f>+AA1585*Analisis!$J$6</f>
        <v>0</v>
      </c>
      <c r="AC1585" s="100"/>
      <c r="AD1585" s="85">
        <f t="shared" si="178"/>
        <v>0</v>
      </c>
      <c r="AE1585" s="86">
        <f>+AC1585*Analisis!$J$7</f>
        <v>0</v>
      </c>
      <c r="AF1585" s="308">
        <f>+H1585*0.0254*I1585*0.0254*2*(1+[3]Analisis!$G$2)</f>
        <v>0</v>
      </c>
      <c r="AG1585" s="86">
        <f>+AF1585*Analisis!$J$8</f>
        <v>0</v>
      </c>
      <c r="AH1585" s="309">
        <f t="shared" si="179"/>
        <v>0</v>
      </c>
      <c r="AI1585" s="86">
        <f>+AH1585/(1-Analisis!G1216)</f>
        <v>0</v>
      </c>
      <c r="AJ1585" s="86">
        <f t="shared" si="180"/>
        <v>0</v>
      </c>
      <c r="AK1585" s="86">
        <f t="shared" si="181"/>
        <v>0</v>
      </c>
      <c r="AL1585" s="310" t="e">
        <f>+VLOOKUP(B1585,#REF!,2,FALSE)</f>
        <v>#REF!</v>
      </c>
      <c r="AM1585" s="311" t="e">
        <f t="shared" si="183"/>
        <v>#REF!</v>
      </c>
      <c r="AN1585" s="312" t="e">
        <f t="shared" si="182"/>
        <v>#REF!</v>
      </c>
    </row>
    <row r="1586" spans="1:40" s="73" customFormat="1" x14ac:dyDescent="0.25">
      <c r="A1586" s="313"/>
      <c r="B1586" s="314"/>
      <c r="D1586" s="74">
        <f>IFERROR(VLOOKUP(B1586,'REQ. PINTADO'!B:C,2,0),0)</f>
        <v>0</v>
      </c>
      <c r="E1586" s="305">
        <f t="shared" si="172"/>
        <v>0</v>
      </c>
      <c r="F1586" s="103" t="s">
        <v>163</v>
      </c>
      <c r="G1586" s="75" t="s">
        <v>147</v>
      </c>
      <c r="H1586" s="90"/>
      <c r="I1586" s="90"/>
      <c r="J1586" s="76">
        <v>0.105</v>
      </c>
      <c r="K1586" s="306">
        <v>16.38</v>
      </c>
      <c r="L1586" s="78">
        <f t="shared" si="173"/>
        <v>0</v>
      </c>
      <c r="M1586" s="58">
        <f>+VLOOKUP(F1586,Material!$H$2:$M$17,6,FALSE)*H1586*I1586*(1+Material!$K$14)</f>
        <v>0</v>
      </c>
      <c r="N1586" s="79" t="str">
        <f>+N1205</f>
        <v>T5.0</v>
      </c>
      <c r="O1586" s="80">
        <f>+VLOOKUP(N1586,[3]Material!$A$3:$B$58,2,FALSE)</f>
        <v>5000</v>
      </c>
      <c r="P1586" s="79" t="s">
        <v>42</v>
      </c>
      <c r="Q1586" s="79" t="str">
        <f>+VLOOKUP(F1586,[3]Material!$C$2:$E$12,2,FALSE)</f>
        <v>Cal 12</v>
      </c>
      <c r="R1586" s="81">
        <f>+IF(P1586="ACERO A36",VLOOKUP(Q1586,'[3]Velocidades Std 1500 w'!$B$2:$F$15,5,FALSE),IF(P1586="INOXIDABLE",VLOOKUP(Q1586,'[3]Velocidades Std 1500 w'!$B$17:$F$28,5,FALSE),IF(P1586="ALUMINIO",VLOOKUP(Q1586,'[3]Velocidades Std 1500 w'!$B$30:$F$38,5,FALSE))))</f>
        <v>4.3859649122807014E-6</v>
      </c>
      <c r="S1586" s="82">
        <f t="shared" si="174"/>
        <v>2.1929824561403508E-2</v>
      </c>
      <c r="T1586" s="83">
        <f t="shared" si="175"/>
        <v>0</v>
      </c>
      <c r="U1586" s="307">
        <f t="shared" si="171"/>
        <v>0</v>
      </c>
      <c r="V1586" s="80">
        <f t="shared" si="559"/>
        <v>0</v>
      </c>
      <c r="W1586" s="98"/>
      <c r="X1586" s="84">
        <f>+IF(P1586="ACERO A36",VLOOKUP(Q1586,'[3]Tiempo Objeto'!$B$2:$C$12,2,FALSE),IF(P1586="INOXIDABLE",VLOOKUP(Q1586,'[3]Tiempo Objeto'!$B$14:$C$22,2,FALSE),IF(P1586="ALUMINIO",VLOOKUP(Q1586,'[3]Tiempo Objeto'!$B$24:$C$32,2,FALSE))))</f>
        <v>0.6133333333333334</v>
      </c>
      <c r="Y1586" s="84">
        <f t="shared" si="176"/>
        <v>0</v>
      </c>
      <c r="Z1586" s="80">
        <f t="shared" si="177"/>
        <v>0</v>
      </c>
      <c r="AA1586" s="100"/>
      <c r="AB1586" s="86">
        <f>+AA1586*Analisis!$J$6</f>
        <v>0</v>
      </c>
      <c r="AC1586" s="100"/>
      <c r="AD1586" s="85">
        <f t="shared" si="178"/>
        <v>0</v>
      </c>
      <c r="AE1586" s="86">
        <f>+AC1586*Analisis!$J$7</f>
        <v>0</v>
      </c>
      <c r="AF1586" s="308">
        <f>+H1586*0.0254*I1586*0.0254*2*(1+[3]Analisis!$G$2)</f>
        <v>0</v>
      </c>
      <c r="AG1586" s="86">
        <f>+AF1586*Analisis!$J$8</f>
        <v>0</v>
      </c>
      <c r="AH1586" s="309">
        <f t="shared" si="179"/>
        <v>0</v>
      </c>
      <c r="AI1586" s="86">
        <f>+AH1586/(1-Analisis!G1217)</f>
        <v>0</v>
      </c>
      <c r="AJ1586" s="86">
        <f t="shared" si="180"/>
        <v>0</v>
      </c>
      <c r="AK1586" s="86">
        <f t="shared" si="181"/>
        <v>0</v>
      </c>
      <c r="AL1586" s="310" t="e">
        <f>+VLOOKUP(B1586,#REF!,2,FALSE)</f>
        <v>#REF!</v>
      </c>
      <c r="AM1586" s="311" t="e">
        <f t="shared" si="183"/>
        <v>#REF!</v>
      </c>
      <c r="AN1586" s="312" t="e">
        <f t="shared" si="182"/>
        <v>#REF!</v>
      </c>
    </row>
    <row r="1587" spans="1:40" s="73" customFormat="1" x14ac:dyDescent="0.25">
      <c r="A1587" s="313"/>
      <c r="B1587" s="314"/>
      <c r="D1587" s="74">
        <f>IFERROR(VLOOKUP(B1587,'REQ. PINTADO'!B:C,2,0),0)</f>
        <v>0</v>
      </c>
      <c r="E1587" s="305">
        <f t="shared" si="172"/>
        <v>0</v>
      </c>
      <c r="F1587" s="103" t="s">
        <v>163</v>
      </c>
      <c r="G1587" s="75" t="s">
        <v>147</v>
      </c>
      <c r="H1587" s="90"/>
      <c r="I1587" s="90"/>
      <c r="J1587" s="76">
        <v>0.105</v>
      </c>
      <c r="K1587" s="306">
        <v>16.38</v>
      </c>
      <c r="L1587" s="78">
        <f t="shared" si="173"/>
        <v>0</v>
      </c>
      <c r="M1587" s="58">
        <f>+VLOOKUP(F1587,Material!$H$2:$M$17,6,FALSE)*H1587*I1587*(1+Material!$K$14)</f>
        <v>0</v>
      </c>
      <c r="N1587" s="79" t="str">
        <f>+N1206</f>
        <v>T5.0</v>
      </c>
      <c r="O1587" s="80">
        <f>+VLOOKUP(N1587,[3]Material!$A$3:$B$58,2,FALSE)</f>
        <v>5000</v>
      </c>
      <c r="P1587" s="79" t="s">
        <v>42</v>
      </c>
      <c r="Q1587" s="79" t="str">
        <f>+VLOOKUP(F1587,[3]Material!$C$2:$E$12,2,FALSE)</f>
        <v>Cal 12</v>
      </c>
      <c r="R1587" s="81">
        <f>+IF(P1587="ACERO A36",VLOOKUP(Q1587,'[3]Velocidades Std 1500 w'!$B$2:$F$15,5,FALSE),IF(P1587="INOXIDABLE",VLOOKUP(Q1587,'[3]Velocidades Std 1500 w'!$B$17:$F$28,5,FALSE),IF(P1587="ALUMINIO",VLOOKUP(Q1587,'[3]Velocidades Std 1500 w'!$B$30:$F$38,5,FALSE))))</f>
        <v>4.3859649122807014E-6</v>
      </c>
      <c r="S1587" s="82">
        <f t="shared" si="174"/>
        <v>2.1929824561403508E-2</v>
      </c>
      <c r="T1587" s="83">
        <f t="shared" si="175"/>
        <v>0</v>
      </c>
      <c r="U1587" s="307">
        <f t="shared" si="171"/>
        <v>0</v>
      </c>
      <c r="V1587" s="80">
        <f t="shared" si="559"/>
        <v>0</v>
      </c>
      <c r="W1587" s="98"/>
      <c r="X1587" s="84">
        <f>+IF(P1587="ACERO A36",VLOOKUP(Q1587,'[3]Tiempo Objeto'!$B$2:$C$12,2,FALSE),IF(P1587="INOXIDABLE",VLOOKUP(Q1587,'[3]Tiempo Objeto'!$B$14:$C$22,2,FALSE),IF(P1587="ALUMINIO",VLOOKUP(Q1587,'[3]Tiempo Objeto'!$B$24:$C$32,2,FALSE))))</f>
        <v>0.6133333333333334</v>
      </c>
      <c r="Y1587" s="84">
        <f t="shared" si="176"/>
        <v>0</v>
      </c>
      <c r="Z1587" s="80">
        <f t="shared" si="177"/>
        <v>0</v>
      </c>
      <c r="AA1587" s="100"/>
      <c r="AB1587" s="86">
        <f>+AA1587*Analisis!$J$6</f>
        <v>0</v>
      </c>
      <c r="AC1587" s="100"/>
      <c r="AD1587" s="85">
        <f t="shared" si="178"/>
        <v>0</v>
      </c>
      <c r="AE1587" s="86">
        <f>+AC1587*Analisis!$J$7</f>
        <v>0</v>
      </c>
      <c r="AF1587" s="308">
        <f>+H1587*0.0254*I1587*0.0254*2*(1+[3]Analisis!$G$2)</f>
        <v>0</v>
      </c>
      <c r="AG1587" s="86">
        <f>+AF1587*Analisis!$J$8</f>
        <v>0</v>
      </c>
      <c r="AH1587" s="309">
        <f t="shared" si="179"/>
        <v>0</v>
      </c>
      <c r="AI1587" s="86">
        <f>+AH1587/(1-Analisis!G1218)</f>
        <v>0</v>
      </c>
      <c r="AJ1587" s="86">
        <f t="shared" si="180"/>
        <v>0</v>
      </c>
      <c r="AK1587" s="86">
        <f t="shared" si="181"/>
        <v>0</v>
      </c>
      <c r="AL1587" s="310" t="e">
        <f>+VLOOKUP(B1587,#REF!,2,FALSE)</f>
        <v>#REF!</v>
      </c>
      <c r="AM1587" s="311" t="e">
        <f t="shared" si="183"/>
        <v>#REF!</v>
      </c>
      <c r="AN1587" s="312" t="e">
        <f t="shared" si="182"/>
        <v>#REF!</v>
      </c>
    </row>
    <row r="1588" spans="1:40" s="73" customFormat="1" x14ac:dyDescent="0.25">
      <c r="A1588" s="313"/>
      <c r="B1588" s="314"/>
      <c r="D1588" s="74">
        <f>IFERROR(VLOOKUP(B1588,'REQ. PINTADO'!B:C,2,0),0)</f>
        <v>0</v>
      </c>
      <c r="E1588" s="305">
        <f t="shared" si="172"/>
        <v>0</v>
      </c>
      <c r="F1588" s="103" t="s">
        <v>163</v>
      </c>
      <c r="G1588" s="75" t="s">
        <v>147</v>
      </c>
      <c r="H1588" s="90"/>
      <c r="I1588" s="90"/>
      <c r="J1588" s="76">
        <v>0.105</v>
      </c>
      <c r="K1588" s="306">
        <v>16.38</v>
      </c>
      <c r="L1588" s="78">
        <f t="shared" si="173"/>
        <v>0</v>
      </c>
      <c r="M1588" s="58">
        <f>+VLOOKUP(F1588,Material!$H$2:$M$17,6,FALSE)*H1588*I1588*(1+Material!$K$14)</f>
        <v>0</v>
      </c>
      <c r="N1588" s="79" t="str">
        <f>+N1207</f>
        <v>T5.0</v>
      </c>
      <c r="O1588" s="80">
        <f>+VLOOKUP(N1588,[3]Material!$A$3:$B$58,2,FALSE)</f>
        <v>5000</v>
      </c>
      <c r="P1588" s="79" t="s">
        <v>42</v>
      </c>
      <c r="Q1588" s="79" t="str">
        <f>+VLOOKUP(F1588,[3]Material!$C$2:$E$12,2,FALSE)</f>
        <v>Cal 12</v>
      </c>
      <c r="R1588" s="81">
        <f>+IF(P1588="ACERO A36",VLOOKUP(Q1588,'[3]Velocidades Std 1500 w'!$B$2:$F$15,5,FALSE),IF(P1588="INOXIDABLE",VLOOKUP(Q1588,'[3]Velocidades Std 1500 w'!$B$17:$F$28,5,FALSE),IF(P1588="ALUMINIO",VLOOKUP(Q1588,'[3]Velocidades Std 1500 w'!$B$30:$F$38,5,FALSE))))</f>
        <v>4.3859649122807014E-6</v>
      </c>
      <c r="S1588" s="82">
        <f t="shared" si="174"/>
        <v>2.1929824561403508E-2</v>
      </c>
      <c r="T1588" s="83">
        <f t="shared" si="175"/>
        <v>0</v>
      </c>
      <c r="U1588" s="307">
        <f t="shared" si="171"/>
        <v>0</v>
      </c>
      <c r="V1588" s="80">
        <f t="shared" si="559"/>
        <v>0</v>
      </c>
      <c r="W1588" s="98"/>
      <c r="X1588" s="84">
        <f>+IF(P1588="ACERO A36",VLOOKUP(Q1588,'[3]Tiempo Objeto'!$B$2:$C$12,2,FALSE),IF(P1588="INOXIDABLE",VLOOKUP(Q1588,'[3]Tiempo Objeto'!$B$14:$C$22,2,FALSE),IF(P1588="ALUMINIO",VLOOKUP(Q1588,'[3]Tiempo Objeto'!$B$24:$C$32,2,FALSE))))</f>
        <v>0.6133333333333334</v>
      </c>
      <c r="Y1588" s="84">
        <f t="shared" si="176"/>
        <v>0</v>
      </c>
      <c r="Z1588" s="80">
        <f t="shared" si="177"/>
        <v>0</v>
      </c>
      <c r="AA1588" s="100"/>
      <c r="AB1588" s="86">
        <f>+AA1588*Analisis!$J$6</f>
        <v>0</v>
      </c>
      <c r="AC1588" s="100"/>
      <c r="AD1588" s="85">
        <f t="shared" si="178"/>
        <v>0</v>
      </c>
      <c r="AE1588" s="86">
        <f>+AC1588*Analisis!$J$7</f>
        <v>0</v>
      </c>
      <c r="AF1588" s="308">
        <f>+H1588*0.0254*I1588*0.0254*2*(1+[3]Analisis!$G$2)</f>
        <v>0</v>
      </c>
      <c r="AG1588" s="86">
        <f>+AF1588*Analisis!$J$8</f>
        <v>0</v>
      </c>
      <c r="AH1588" s="309">
        <f t="shared" si="179"/>
        <v>0</v>
      </c>
      <c r="AI1588" s="86">
        <f>+AH1588/(1-Analisis!G1219)</f>
        <v>0</v>
      </c>
      <c r="AJ1588" s="86">
        <f t="shared" si="180"/>
        <v>0</v>
      </c>
      <c r="AK1588" s="86">
        <f t="shared" si="181"/>
        <v>0</v>
      </c>
      <c r="AL1588" s="310" t="e">
        <f>+VLOOKUP(B1588,#REF!,2,FALSE)</f>
        <v>#REF!</v>
      </c>
      <c r="AM1588" s="311" t="e">
        <f t="shared" si="183"/>
        <v>#REF!</v>
      </c>
      <c r="AN1588" s="312" t="e">
        <f t="shared" si="182"/>
        <v>#REF!</v>
      </c>
    </row>
    <row r="1589" spans="1:40" s="73" customFormat="1" x14ac:dyDescent="0.25">
      <c r="A1589" s="313"/>
      <c r="B1589" s="314"/>
      <c r="D1589" s="74">
        <f>IFERROR(VLOOKUP(B1589,'REQ. PINTADO'!B:C,2,0),0)</f>
        <v>0</v>
      </c>
      <c r="E1589" s="305">
        <f t="shared" si="172"/>
        <v>0</v>
      </c>
      <c r="F1589" s="103" t="s">
        <v>163</v>
      </c>
      <c r="G1589" s="75" t="s">
        <v>147</v>
      </c>
      <c r="H1589" s="90"/>
      <c r="I1589" s="90"/>
      <c r="J1589" s="76">
        <v>0.105</v>
      </c>
      <c r="K1589" s="306">
        <v>16.38</v>
      </c>
      <c r="L1589" s="78">
        <f t="shared" si="173"/>
        <v>0</v>
      </c>
      <c r="M1589" s="58">
        <f>+VLOOKUP(F1589,Material!$H$2:$M$17,6,FALSE)*H1589*I1589*(1+Material!$K$14)</f>
        <v>0</v>
      </c>
      <c r="N1589" s="79" t="str">
        <f>+N1208</f>
        <v>T5.0</v>
      </c>
      <c r="O1589" s="80">
        <f>+VLOOKUP(N1589,[3]Material!$A$3:$B$58,2,FALSE)</f>
        <v>5000</v>
      </c>
      <c r="P1589" s="79" t="s">
        <v>42</v>
      </c>
      <c r="Q1589" s="79" t="str">
        <f>+VLOOKUP(F1589,[3]Material!$C$2:$E$12,2,FALSE)</f>
        <v>Cal 12</v>
      </c>
      <c r="R1589" s="81">
        <f>+IF(P1589="ACERO A36",VLOOKUP(Q1589,'[3]Velocidades Std 1500 w'!$B$2:$F$15,5,FALSE),IF(P1589="INOXIDABLE",VLOOKUP(Q1589,'[3]Velocidades Std 1500 w'!$B$17:$F$28,5,FALSE),IF(P1589="ALUMINIO",VLOOKUP(Q1589,'[3]Velocidades Std 1500 w'!$B$30:$F$38,5,FALSE))))</f>
        <v>4.3859649122807014E-6</v>
      </c>
      <c r="S1589" s="82">
        <f t="shared" si="174"/>
        <v>2.1929824561403508E-2</v>
      </c>
      <c r="T1589" s="83">
        <f t="shared" si="175"/>
        <v>0</v>
      </c>
      <c r="U1589" s="307">
        <f t="shared" si="171"/>
        <v>0</v>
      </c>
      <c r="V1589" s="80">
        <f t="shared" si="559"/>
        <v>0</v>
      </c>
      <c r="W1589" s="98"/>
      <c r="X1589" s="84">
        <f>+IF(P1589="ACERO A36",VLOOKUP(Q1589,'[3]Tiempo Objeto'!$B$2:$C$12,2,FALSE),IF(P1589="INOXIDABLE",VLOOKUP(Q1589,'[3]Tiempo Objeto'!$B$14:$C$22,2,FALSE),IF(P1589="ALUMINIO",VLOOKUP(Q1589,'[3]Tiempo Objeto'!$B$24:$C$32,2,FALSE))))</f>
        <v>0.6133333333333334</v>
      </c>
      <c r="Y1589" s="84">
        <f t="shared" si="176"/>
        <v>0</v>
      </c>
      <c r="Z1589" s="80">
        <f t="shared" si="177"/>
        <v>0</v>
      </c>
      <c r="AA1589" s="100"/>
      <c r="AB1589" s="86">
        <f>+AA1589*Analisis!$J$6</f>
        <v>0</v>
      </c>
      <c r="AC1589" s="100"/>
      <c r="AD1589" s="85">
        <f t="shared" si="178"/>
        <v>0</v>
      </c>
      <c r="AE1589" s="86">
        <f>+AC1589*Analisis!$J$7</f>
        <v>0</v>
      </c>
      <c r="AF1589" s="308">
        <f>+H1589*0.0254*I1589*0.0254*2*(1+[3]Analisis!$G$2)</f>
        <v>0</v>
      </c>
      <c r="AG1589" s="86">
        <f>+AF1589*Analisis!$J$8</f>
        <v>0</v>
      </c>
      <c r="AH1589" s="309">
        <f t="shared" si="179"/>
        <v>0</v>
      </c>
      <c r="AI1589" s="86">
        <f>+AH1589/(1-Analisis!G1220)</f>
        <v>0</v>
      </c>
      <c r="AJ1589" s="86">
        <f t="shared" si="180"/>
        <v>0</v>
      </c>
      <c r="AK1589" s="86">
        <f t="shared" si="181"/>
        <v>0</v>
      </c>
      <c r="AL1589" s="310" t="e">
        <f>+VLOOKUP(B1589,#REF!,2,FALSE)</f>
        <v>#REF!</v>
      </c>
      <c r="AM1589" s="311" t="e">
        <f t="shared" si="183"/>
        <v>#REF!</v>
      </c>
      <c r="AN1589" s="312" t="e">
        <f t="shared" si="182"/>
        <v>#REF!</v>
      </c>
    </row>
    <row r="1590" spans="1:40" s="73" customFormat="1" x14ac:dyDescent="0.25">
      <c r="A1590" s="313"/>
      <c r="B1590" s="314"/>
      <c r="D1590" s="74">
        <f>IFERROR(VLOOKUP(B1590,'REQ. PINTADO'!B:C,2,0),0)</f>
        <v>0</v>
      </c>
      <c r="E1590" s="305">
        <f t="shared" ref="E1590:E1653" si="632">+AJ1590</f>
        <v>0</v>
      </c>
      <c r="F1590" s="103" t="s">
        <v>163</v>
      </c>
      <c r="G1590" s="75" t="s">
        <v>147</v>
      </c>
      <c r="H1590" s="90"/>
      <c r="I1590" s="90"/>
      <c r="J1590" s="76">
        <v>0.105</v>
      </c>
      <c r="K1590" s="306">
        <v>16.38</v>
      </c>
      <c r="L1590" s="78">
        <f t="shared" ref="L1590:L1653" si="633">+M1590*2.2/K1590</f>
        <v>0</v>
      </c>
      <c r="M1590" s="58">
        <f>+VLOOKUP(F1590,Material!$H$2:$M$17,6,FALSE)*H1590*I1590*(1+Material!$K$14)</f>
        <v>0</v>
      </c>
      <c r="N1590" s="79" t="str">
        <f>+N1209</f>
        <v>T5.0</v>
      </c>
      <c r="O1590" s="80">
        <f>+VLOOKUP(N1590,[3]Material!$A$3:$B$58,2,FALSE)</f>
        <v>5000</v>
      </c>
      <c r="P1590" s="79" t="s">
        <v>42</v>
      </c>
      <c r="Q1590" s="79" t="str">
        <f>+VLOOKUP(F1590,[3]Material!$C$2:$E$12,2,FALSE)</f>
        <v>Cal 12</v>
      </c>
      <c r="R1590" s="81">
        <f>+IF(P1590="ACERO A36",VLOOKUP(Q1590,'[3]Velocidades Std 1500 w'!$B$2:$F$15,5,FALSE),IF(P1590="INOXIDABLE",VLOOKUP(Q1590,'[3]Velocidades Std 1500 w'!$B$17:$F$28,5,FALSE),IF(P1590="ALUMINIO",VLOOKUP(Q1590,'[3]Velocidades Std 1500 w'!$B$30:$F$38,5,FALSE))))</f>
        <v>4.3859649122807014E-6</v>
      </c>
      <c r="S1590" s="82">
        <f t="shared" ref="S1590:S1653" si="634">+R1590*O1590</f>
        <v>2.1929824561403508E-2</v>
      </c>
      <c r="T1590" s="83">
        <f t="shared" ref="T1590:T1653" si="635">+R1590*U1590*3600</f>
        <v>0</v>
      </c>
      <c r="U1590" s="307">
        <f t="shared" ref="U1590:U1653" si="636">(+I1590*2+H1590*2+W1590*1.5)*25.4*1.05</f>
        <v>0</v>
      </c>
      <c r="V1590" s="80">
        <f t="shared" ref="V1590:V1653" si="637">+U1590*S1590</f>
        <v>0</v>
      </c>
      <c r="W1590" s="98"/>
      <c r="X1590" s="84">
        <f>+IF(P1590="ACERO A36",VLOOKUP(Q1590,'[3]Tiempo Objeto'!$B$2:$C$12,2,FALSE),IF(P1590="INOXIDABLE",VLOOKUP(Q1590,'[3]Tiempo Objeto'!$B$14:$C$22,2,FALSE),IF(P1590="ALUMINIO",VLOOKUP(Q1590,'[3]Tiempo Objeto'!$B$24:$C$32,2,FALSE))))</f>
        <v>0.6133333333333334</v>
      </c>
      <c r="Y1590" s="84">
        <f t="shared" ref="Y1590:Y1653" si="638">+X1590*W1590</f>
        <v>0</v>
      </c>
      <c r="Z1590" s="80">
        <f t="shared" ref="Z1590:Z1653" si="639">+Y1590*O1590/3600</f>
        <v>0</v>
      </c>
      <c r="AA1590" s="100"/>
      <c r="AB1590" s="86">
        <f>+AA1590*Analisis!$J$6</f>
        <v>0</v>
      </c>
      <c r="AC1590" s="100"/>
      <c r="AD1590" s="85">
        <f t="shared" ref="AD1590:AD1653" si="640">30*AC1590+AC1590*$D1590*1.5</f>
        <v>0</v>
      </c>
      <c r="AE1590" s="86">
        <f>+AC1590*Analisis!$J$7</f>
        <v>0</v>
      </c>
      <c r="AF1590" s="308">
        <f>+H1590*0.0254*I1590*0.0254*2*(1+[3]Analisis!$G$2)</f>
        <v>0</v>
      </c>
      <c r="AG1590" s="86">
        <f>+AF1590*Analisis!$J$8</f>
        <v>0</v>
      </c>
      <c r="AH1590" s="309">
        <f t="shared" ref="AH1590:AH1653" si="641">+AE1590+AB1590+Z1590+V1590+M1590+AG1590</f>
        <v>0</v>
      </c>
      <c r="AI1590" s="86">
        <f>+AH1590/(1-Analisis!G1221)</f>
        <v>0</v>
      </c>
      <c r="AJ1590" s="86">
        <f t="shared" ref="AJ1590:AJ1653" si="642">+AI1590/(1-0.07)</f>
        <v>0</v>
      </c>
      <c r="AK1590" s="86">
        <f t="shared" ref="AK1590:AK1653" si="643">+AJ1590*D1590</f>
        <v>0</v>
      </c>
      <c r="AL1590" s="310" t="e">
        <f>+VLOOKUP(B1590,#REF!,2,FALSE)</f>
        <v>#REF!</v>
      </c>
      <c r="AM1590" s="311" t="e">
        <f t="shared" ref="AM1590:AM1653" si="644">+AL1590-E1590</f>
        <v>#REF!</v>
      </c>
      <c r="AN1590" s="312" t="e">
        <f t="shared" ref="AN1590:AN1653" si="645">+AM1590/AL1590</f>
        <v>#REF!</v>
      </c>
    </row>
    <row r="1591" spans="1:40" s="73" customFormat="1" x14ac:dyDescent="0.25">
      <c r="A1591" s="313"/>
      <c r="B1591" s="314"/>
      <c r="D1591" s="74">
        <f>IFERROR(VLOOKUP(B1591,'REQ. PINTADO'!B:C,2,0),0)</f>
        <v>0</v>
      </c>
      <c r="E1591" s="305">
        <f t="shared" si="632"/>
        <v>0</v>
      </c>
      <c r="F1591" s="103" t="s">
        <v>163</v>
      </c>
      <c r="G1591" s="75" t="s">
        <v>147</v>
      </c>
      <c r="H1591" s="90"/>
      <c r="I1591" s="90"/>
      <c r="J1591" s="76">
        <v>0.105</v>
      </c>
      <c r="K1591" s="306">
        <v>16.38</v>
      </c>
      <c r="L1591" s="78">
        <f t="shared" si="633"/>
        <v>0</v>
      </c>
      <c r="M1591" s="58">
        <f>+VLOOKUP(F1591,Material!$H$2:$M$17,6,FALSE)*H1591*I1591*(1+Material!$K$14)</f>
        <v>0</v>
      </c>
      <c r="N1591" s="79" t="str">
        <f>+N1210</f>
        <v>T5.0</v>
      </c>
      <c r="O1591" s="80">
        <f>+VLOOKUP(N1591,[3]Material!$A$3:$B$58,2,FALSE)</f>
        <v>5000</v>
      </c>
      <c r="P1591" s="79" t="s">
        <v>42</v>
      </c>
      <c r="Q1591" s="79" t="str">
        <f>+VLOOKUP(F1591,[3]Material!$C$2:$E$12,2,FALSE)</f>
        <v>Cal 12</v>
      </c>
      <c r="R1591" s="81">
        <f>+IF(P1591="ACERO A36",VLOOKUP(Q1591,'[3]Velocidades Std 1500 w'!$B$2:$F$15,5,FALSE),IF(P1591="INOXIDABLE",VLOOKUP(Q1591,'[3]Velocidades Std 1500 w'!$B$17:$F$28,5,FALSE),IF(P1591="ALUMINIO",VLOOKUP(Q1591,'[3]Velocidades Std 1500 w'!$B$30:$F$38,5,FALSE))))</f>
        <v>4.3859649122807014E-6</v>
      </c>
      <c r="S1591" s="82">
        <f t="shared" si="634"/>
        <v>2.1929824561403508E-2</v>
      </c>
      <c r="T1591" s="83">
        <f t="shared" si="635"/>
        <v>0</v>
      </c>
      <c r="U1591" s="307">
        <f t="shared" si="636"/>
        <v>0</v>
      </c>
      <c r="V1591" s="80">
        <f t="shared" si="637"/>
        <v>0</v>
      </c>
      <c r="W1591" s="98"/>
      <c r="X1591" s="84">
        <f>+IF(P1591="ACERO A36",VLOOKUP(Q1591,'[3]Tiempo Objeto'!$B$2:$C$12,2,FALSE),IF(P1591="INOXIDABLE",VLOOKUP(Q1591,'[3]Tiempo Objeto'!$B$14:$C$22,2,FALSE),IF(P1591="ALUMINIO",VLOOKUP(Q1591,'[3]Tiempo Objeto'!$B$24:$C$32,2,FALSE))))</f>
        <v>0.6133333333333334</v>
      </c>
      <c r="Y1591" s="84">
        <f t="shared" si="638"/>
        <v>0</v>
      </c>
      <c r="Z1591" s="80">
        <f t="shared" si="639"/>
        <v>0</v>
      </c>
      <c r="AA1591" s="100"/>
      <c r="AB1591" s="86">
        <f>+AA1591*Analisis!$J$6</f>
        <v>0</v>
      </c>
      <c r="AC1591" s="100"/>
      <c r="AD1591" s="85">
        <f t="shared" si="640"/>
        <v>0</v>
      </c>
      <c r="AE1591" s="86">
        <f>+AC1591*Analisis!$J$7</f>
        <v>0</v>
      </c>
      <c r="AF1591" s="308">
        <f>+H1591*0.0254*I1591*0.0254*2*(1+[3]Analisis!$G$2)</f>
        <v>0</v>
      </c>
      <c r="AG1591" s="86">
        <f>+AF1591*Analisis!$J$8</f>
        <v>0</v>
      </c>
      <c r="AH1591" s="309">
        <f t="shared" si="641"/>
        <v>0</v>
      </c>
      <c r="AI1591" s="86">
        <f>+AH1591/(1-Analisis!G1222)</f>
        <v>0</v>
      </c>
      <c r="AJ1591" s="86">
        <f t="shared" si="642"/>
        <v>0</v>
      </c>
      <c r="AK1591" s="86">
        <f t="shared" si="643"/>
        <v>0</v>
      </c>
      <c r="AL1591" s="310" t="e">
        <f>+VLOOKUP(B1591,#REF!,2,FALSE)</f>
        <v>#REF!</v>
      </c>
      <c r="AM1591" s="311" t="e">
        <f t="shared" si="644"/>
        <v>#REF!</v>
      </c>
      <c r="AN1591" s="312" t="e">
        <f t="shared" si="645"/>
        <v>#REF!</v>
      </c>
    </row>
    <row r="1592" spans="1:40" s="73" customFormat="1" x14ac:dyDescent="0.25">
      <c r="A1592" s="313"/>
      <c r="B1592" s="314"/>
      <c r="D1592" s="74">
        <f>IFERROR(VLOOKUP(B1592,'REQ. PINTADO'!B:C,2,0),0)</f>
        <v>0</v>
      </c>
      <c r="E1592" s="305">
        <f t="shared" si="632"/>
        <v>0</v>
      </c>
      <c r="F1592" s="103" t="s">
        <v>163</v>
      </c>
      <c r="G1592" s="75" t="s">
        <v>147</v>
      </c>
      <c r="H1592" s="90"/>
      <c r="I1592" s="90"/>
      <c r="J1592" s="76">
        <v>0.105</v>
      </c>
      <c r="K1592" s="306">
        <v>16.38</v>
      </c>
      <c r="L1592" s="78">
        <f t="shared" si="633"/>
        <v>0</v>
      </c>
      <c r="M1592" s="58">
        <f>+VLOOKUP(F1592,Material!$H$2:$M$17,6,FALSE)*H1592*I1592*(1+Material!$K$14)</f>
        <v>0</v>
      </c>
      <c r="N1592" s="79" t="str">
        <f>+N1211</f>
        <v>T5.0</v>
      </c>
      <c r="O1592" s="80">
        <f>+VLOOKUP(N1592,[3]Material!$A$3:$B$58,2,FALSE)</f>
        <v>5000</v>
      </c>
      <c r="P1592" s="79" t="s">
        <v>42</v>
      </c>
      <c r="Q1592" s="79" t="str">
        <f>+VLOOKUP(F1592,[3]Material!$C$2:$E$12,2,FALSE)</f>
        <v>Cal 12</v>
      </c>
      <c r="R1592" s="81">
        <f>+IF(P1592="ACERO A36",VLOOKUP(Q1592,'[3]Velocidades Std 1500 w'!$B$2:$F$15,5,FALSE),IF(P1592="INOXIDABLE",VLOOKUP(Q1592,'[3]Velocidades Std 1500 w'!$B$17:$F$28,5,FALSE),IF(P1592="ALUMINIO",VLOOKUP(Q1592,'[3]Velocidades Std 1500 w'!$B$30:$F$38,5,FALSE))))</f>
        <v>4.3859649122807014E-6</v>
      </c>
      <c r="S1592" s="82">
        <f t="shared" si="634"/>
        <v>2.1929824561403508E-2</v>
      </c>
      <c r="T1592" s="83">
        <f t="shared" si="635"/>
        <v>0</v>
      </c>
      <c r="U1592" s="307">
        <f t="shared" si="636"/>
        <v>0</v>
      </c>
      <c r="V1592" s="80">
        <f t="shared" si="637"/>
        <v>0</v>
      </c>
      <c r="W1592" s="98"/>
      <c r="X1592" s="84">
        <f>+IF(P1592="ACERO A36",VLOOKUP(Q1592,'[3]Tiempo Objeto'!$B$2:$C$12,2,FALSE),IF(P1592="INOXIDABLE",VLOOKUP(Q1592,'[3]Tiempo Objeto'!$B$14:$C$22,2,FALSE),IF(P1592="ALUMINIO",VLOOKUP(Q1592,'[3]Tiempo Objeto'!$B$24:$C$32,2,FALSE))))</f>
        <v>0.6133333333333334</v>
      </c>
      <c r="Y1592" s="84">
        <f t="shared" si="638"/>
        <v>0</v>
      </c>
      <c r="Z1592" s="80">
        <f t="shared" si="639"/>
        <v>0</v>
      </c>
      <c r="AA1592" s="100"/>
      <c r="AB1592" s="86">
        <f>+AA1592*Analisis!$J$6</f>
        <v>0</v>
      </c>
      <c r="AC1592" s="100"/>
      <c r="AD1592" s="85">
        <f t="shared" si="640"/>
        <v>0</v>
      </c>
      <c r="AE1592" s="86">
        <f>+AC1592*Analisis!$J$7</f>
        <v>0</v>
      </c>
      <c r="AF1592" s="308">
        <f>+H1592*0.0254*I1592*0.0254*2*(1+[3]Analisis!$G$2)</f>
        <v>0</v>
      </c>
      <c r="AG1592" s="86">
        <f>+AF1592*Analisis!$J$8</f>
        <v>0</v>
      </c>
      <c r="AH1592" s="309">
        <f t="shared" si="641"/>
        <v>0</v>
      </c>
      <c r="AI1592" s="86">
        <f>+AH1592/(1-Analisis!G1223)</f>
        <v>0</v>
      </c>
      <c r="AJ1592" s="86">
        <f t="shared" si="642"/>
        <v>0</v>
      </c>
      <c r="AK1592" s="86">
        <f t="shared" si="643"/>
        <v>0</v>
      </c>
      <c r="AL1592" s="310" t="e">
        <f>+VLOOKUP(B1592,#REF!,2,FALSE)</f>
        <v>#REF!</v>
      </c>
      <c r="AM1592" s="311" t="e">
        <f t="shared" si="644"/>
        <v>#REF!</v>
      </c>
      <c r="AN1592" s="312" t="e">
        <f t="shared" si="645"/>
        <v>#REF!</v>
      </c>
    </row>
    <row r="1593" spans="1:40" s="73" customFormat="1" x14ac:dyDescent="0.25">
      <c r="A1593" s="313"/>
      <c r="B1593" s="314"/>
      <c r="D1593" s="74">
        <f>IFERROR(VLOOKUP(B1593,'REQ. PINTADO'!B:C,2,0),0)</f>
        <v>0</v>
      </c>
      <c r="E1593" s="305">
        <f t="shared" si="632"/>
        <v>0</v>
      </c>
      <c r="F1593" s="103" t="s">
        <v>163</v>
      </c>
      <c r="G1593" s="75" t="s">
        <v>147</v>
      </c>
      <c r="H1593" s="90"/>
      <c r="I1593" s="90"/>
      <c r="J1593" s="76">
        <v>0.105</v>
      </c>
      <c r="K1593" s="306">
        <v>16.38</v>
      </c>
      <c r="L1593" s="78">
        <f t="shared" si="633"/>
        <v>0</v>
      </c>
      <c r="M1593" s="58">
        <f>+VLOOKUP(F1593,Material!$H$2:$M$17,6,FALSE)*H1593*I1593*(1+Material!$K$14)</f>
        <v>0</v>
      </c>
      <c r="N1593" s="79" t="str">
        <f>+N1212</f>
        <v>T5.0</v>
      </c>
      <c r="O1593" s="80">
        <f>+VLOOKUP(N1593,[3]Material!$A$3:$B$58,2,FALSE)</f>
        <v>5000</v>
      </c>
      <c r="P1593" s="79" t="s">
        <v>42</v>
      </c>
      <c r="Q1593" s="79" t="str">
        <f>+VLOOKUP(F1593,[3]Material!$C$2:$E$12,2,FALSE)</f>
        <v>Cal 12</v>
      </c>
      <c r="R1593" s="81">
        <f>+IF(P1593="ACERO A36",VLOOKUP(Q1593,'[3]Velocidades Std 1500 w'!$B$2:$F$15,5,FALSE),IF(P1593="INOXIDABLE",VLOOKUP(Q1593,'[3]Velocidades Std 1500 w'!$B$17:$F$28,5,FALSE),IF(P1593="ALUMINIO",VLOOKUP(Q1593,'[3]Velocidades Std 1500 w'!$B$30:$F$38,5,FALSE))))</f>
        <v>4.3859649122807014E-6</v>
      </c>
      <c r="S1593" s="82">
        <f t="shared" si="634"/>
        <v>2.1929824561403508E-2</v>
      </c>
      <c r="T1593" s="83">
        <f t="shared" si="635"/>
        <v>0</v>
      </c>
      <c r="U1593" s="307">
        <f t="shared" si="636"/>
        <v>0</v>
      </c>
      <c r="V1593" s="80">
        <f t="shared" si="637"/>
        <v>0</v>
      </c>
      <c r="W1593" s="98"/>
      <c r="X1593" s="84">
        <f>+IF(P1593="ACERO A36",VLOOKUP(Q1593,'[3]Tiempo Objeto'!$B$2:$C$12,2,FALSE),IF(P1593="INOXIDABLE",VLOOKUP(Q1593,'[3]Tiempo Objeto'!$B$14:$C$22,2,FALSE),IF(P1593="ALUMINIO",VLOOKUP(Q1593,'[3]Tiempo Objeto'!$B$24:$C$32,2,FALSE))))</f>
        <v>0.6133333333333334</v>
      </c>
      <c r="Y1593" s="84">
        <f t="shared" si="638"/>
        <v>0</v>
      </c>
      <c r="Z1593" s="80">
        <f t="shared" si="639"/>
        <v>0</v>
      </c>
      <c r="AA1593" s="100"/>
      <c r="AB1593" s="86">
        <f>+AA1593*Analisis!$J$6</f>
        <v>0</v>
      </c>
      <c r="AC1593" s="100"/>
      <c r="AD1593" s="85">
        <f t="shared" si="640"/>
        <v>0</v>
      </c>
      <c r="AE1593" s="86">
        <f>+AC1593*Analisis!$J$7</f>
        <v>0</v>
      </c>
      <c r="AF1593" s="308">
        <f>+H1593*0.0254*I1593*0.0254*2*(1+[3]Analisis!$G$2)</f>
        <v>0</v>
      </c>
      <c r="AG1593" s="86">
        <f>+AF1593*Analisis!$J$8</f>
        <v>0</v>
      </c>
      <c r="AH1593" s="309">
        <f t="shared" si="641"/>
        <v>0</v>
      </c>
      <c r="AI1593" s="86">
        <f>+AH1593/(1-Analisis!G1224)</f>
        <v>0</v>
      </c>
      <c r="AJ1593" s="86">
        <f t="shared" si="642"/>
        <v>0</v>
      </c>
      <c r="AK1593" s="86">
        <f t="shared" si="643"/>
        <v>0</v>
      </c>
      <c r="AL1593" s="310" t="e">
        <f>+VLOOKUP(B1593,#REF!,2,FALSE)</f>
        <v>#REF!</v>
      </c>
      <c r="AM1593" s="311" t="e">
        <f t="shared" si="644"/>
        <v>#REF!</v>
      </c>
      <c r="AN1593" s="312" t="e">
        <f t="shared" si="645"/>
        <v>#REF!</v>
      </c>
    </row>
    <row r="1594" spans="1:40" s="73" customFormat="1" x14ac:dyDescent="0.25">
      <c r="A1594" s="313"/>
      <c r="B1594" s="314"/>
      <c r="D1594" s="74">
        <f>IFERROR(VLOOKUP(B1594,'REQ. PINTADO'!B:C,2,0),0)</f>
        <v>0</v>
      </c>
      <c r="E1594" s="305">
        <f t="shared" si="632"/>
        <v>0</v>
      </c>
      <c r="F1594" s="103" t="s">
        <v>163</v>
      </c>
      <c r="G1594" s="75" t="s">
        <v>147</v>
      </c>
      <c r="H1594" s="90"/>
      <c r="I1594" s="90"/>
      <c r="J1594" s="76">
        <v>0.105</v>
      </c>
      <c r="K1594" s="306">
        <v>16.38</v>
      </c>
      <c r="L1594" s="78">
        <f t="shared" si="633"/>
        <v>0</v>
      </c>
      <c r="M1594" s="58">
        <f>+VLOOKUP(F1594,Material!$H$2:$M$17,6,FALSE)*H1594*I1594*(1+Material!$K$14)</f>
        <v>0</v>
      </c>
      <c r="N1594" s="79" t="str">
        <f>+N1213</f>
        <v>T5.0</v>
      </c>
      <c r="O1594" s="80">
        <f>+VLOOKUP(N1594,[3]Material!$A$3:$B$58,2,FALSE)</f>
        <v>5000</v>
      </c>
      <c r="P1594" s="79" t="s">
        <v>42</v>
      </c>
      <c r="Q1594" s="79" t="str">
        <f>+VLOOKUP(F1594,[3]Material!$C$2:$E$12,2,FALSE)</f>
        <v>Cal 12</v>
      </c>
      <c r="R1594" s="81">
        <f>+IF(P1594="ACERO A36",VLOOKUP(Q1594,'[3]Velocidades Std 1500 w'!$B$2:$F$15,5,FALSE),IF(P1594="INOXIDABLE",VLOOKUP(Q1594,'[3]Velocidades Std 1500 w'!$B$17:$F$28,5,FALSE),IF(P1594="ALUMINIO",VLOOKUP(Q1594,'[3]Velocidades Std 1500 w'!$B$30:$F$38,5,FALSE))))</f>
        <v>4.3859649122807014E-6</v>
      </c>
      <c r="S1594" s="82">
        <f t="shared" si="634"/>
        <v>2.1929824561403508E-2</v>
      </c>
      <c r="T1594" s="83">
        <f t="shared" si="635"/>
        <v>0</v>
      </c>
      <c r="U1594" s="307">
        <f t="shared" si="636"/>
        <v>0</v>
      </c>
      <c r="V1594" s="80">
        <f t="shared" si="637"/>
        <v>0</v>
      </c>
      <c r="W1594" s="98"/>
      <c r="X1594" s="84">
        <f>+IF(P1594="ACERO A36",VLOOKUP(Q1594,'[3]Tiempo Objeto'!$B$2:$C$12,2,FALSE),IF(P1594="INOXIDABLE",VLOOKUP(Q1594,'[3]Tiempo Objeto'!$B$14:$C$22,2,FALSE),IF(P1594="ALUMINIO",VLOOKUP(Q1594,'[3]Tiempo Objeto'!$B$24:$C$32,2,FALSE))))</f>
        <v>0.6133333333333334</v>
      </c>
      <c r="Y1594" s="84">
        <f t="shared" si="638"/>
        <v>0</v>
      </c>
      <c r="Z1594" s="80">
        <f t="shared" si="639"/>
        <v>0</v>
      </c>
      <c r="AA1594" s="100"/>
      <c r="AB1594" s="86">
        <f>+AA1594*Analisis!$J$6</f>
        <v>0</v>
      </c>
      <c r="AC1594" s="100"/>
      <c r="AD1594" s="85">
        <f t="shared" si="640"/>
        <v>0</v>
      </c>
      <c r="AE1594" s="86">
        <f>+AC1594*Analisis!$J$7</f>
        <v>0</v>
      </c>
      <c r="AF1594" s="308">
        <f>+H1594*0.0254*I1594*0.0254*2*(1+[3]Analisis!$G$2)</f>
        <v>0</v>
      </c>
      <c r="AG1594" s="86">
        <f>+AF1594*Analisis!$J$8</f>
        <v>0</v>
      </c>
      <c r="AH1594" s="309">
        <f t="shared" si="641"/>
        <v>0</v>
      </c>
      <c r="AI1594" s="86">
        <f>+AH1594/(1-Analisis!G1225)</f>
        <v>0</v>
      </c>
      <c r="AJ1594" s="86">
        <f t="shared" si="642"/>
        <v>0</v>
      </c>
      <c r="AK1594" s="86">
        <f t="shared" si="643"/>
        <v>0</v>
      </c>
      <c r="AL1594" s="310" t="e">
        <f>+VLOOKUP(B1594,#REF!,2,FALSE)</f>
        <v>#REF!</v>
      </c>
      <c r="AM1594" s="311" t="e">
        <f t="shared" si="644"/>
        <v>#REF!</v>
      </c>
      <c r="AN1594" s="312" t="e">
        <f t="shared" si="645"/>
        <v>#REF!</v>
      </c>
    </row>
    <row r="1595" spans="1:40" s="73" customFormat="1" x14ac:dyDescent="0.25">
      <c r="A1595" s="313"/>
      <c r="B1595" s="314"/>
      <c r="D1595" s="74">
        <f>IFERROR(VLOOKUP(B1595,'REQ. PINTADO'!B:C,2,0),0)</f>
        <v>0</v>
      </c>
      <c r="E1595" s="305">
        <f t="shared" si="632"/>
        <v>0</v>
      </c>
      <c r="F1595" s="103" t="s">
        <v>163</v>
      </c>
      <c r="G1595" s="75" t="s">
        <v>147</v>
      </c>
      <c r="H1595" s="90"/>
      <c r="I1595" s="90"/>
      <c r="J1595" s="76">
        <v>0.105</v>
      </c>
      <c r="K1595" s="306">
        <v>16.38</v>
      </c>
      <c r="L1595" s="78">
        <f t="shared" si="633"/>
        <v>0</v>
      </c>
      <c r="M1595" s="58">
        <f>+VLOOKUP(F1595,Material!$H$2:$M$17,6,FALSE)*H1595*I1595*(1+Material!$K$14)</f>
        <v>0</v>
      </c>
      <c r="N1595" s="79" t="str">
        <f>+N1214</f>
        <v>T5.0</v>
      </c>
      <c r="O1595" s="80">
        <f>+VLOOKUP(N1595,[3]Material!$A$3:$B$58,2,FALSE)</f>
        <v>5000</v>
      </c>
      <c r="P1595" s="79" t="s">
        <v>42</v>
      </c>
      <c r="Q1595" s="79" t="str">
        <f>+VLOOKUP(F1595,[3]Material!$C$2:$E$12,2,FALSE)</f>
        <v>Cal 12</v>
      </c>
      <c r="R1595" s="81">
        <f>+IF(P1595="ACERO A36",VLOOKUP(Q1595,'[3]Velocidades Std 1500 w'!$B$2:$F$15,5,FALSE),IF(P1595="INOXIDABLE",VLOOKUP(Q1595,'[3]Velocidades Std 1500 w'!$B$17:$F$28,5,FALSE),IF(P1595="ALUMINIO",VLOOKUP(Q1595,'[3]Velocidades Std 1500 w'!$B$30:$F$38,5,FALSE))))</f>
        <v>4.3859649122807014E-6</v>
      </c>
      <c r="S1595" s="82">
        <f t="shared" si="634"/>
        <v>2.1929824561403508E-2</v>
      </c>
      <c r="T1595" s="83">
        <f t="shared" si="635"/>
        <v>0</v>
      </c>
      <c r="U1595" s="307">
        <f t="shared" si="636"/>
        <v>0</v>
      </c>
      <c r="V1595" s="80">
        <f t="shared" si="637"/>
        <v>0</v>
      </c>
      <c r="W1595" s="98"/>
      <c r="X1595" s="84">
        <f>+IF(P1595="ACERO A36",VLOOKUP(Q1595,'[3]Tiempo Objeto'!$B$2:$C$12,2,FALSE),IF(P1595="INOXIDABLE",VLOOKUP(Q1595,'[3]Tiempo Objeto'!$B$14:$C$22,2,FALSE),IF(P1595="ALUMINIO",VLOOKUP(Q1595,'[3]Tiempo Objeto'!$B$24:$C$32,2,FALSE))))</f>
        <v>0.6133333333333334</v>
      </c>
      <c r="Y1595" s="84">
        <f t="shared" si="638"/>
        <v>0</v>
      </c>
      <c r="Z1595" s="80">
        <f t="shared" si="639"/>
        <v>0</v>
      </c>
      <c r="AA1595" s="100"/>
      <c r="AB1595" s="86">
        <f>+AA1595*Analisis!$J$6</f>
        <v>0</v>
      </c>
      <c r="AC1595" s="100"/>
      <c r="AD1595" s="85">
        <f t="shared" si="640"/>
        <v>0</v>
      </c>
      <c r="AE1595" s="86">
        <f>+AC1595*Analisis!$J$7</f>
        <v>0</v>
      </c>
      <c r="AF1595" s="308">
        <f>+H1595*0.0254*I1595*0.0254*2*(1+[3]Analisis!$G$2)</f>
        <v>0</v>
      </c>
      <c r="AG1595" s="86">
        <f>+AF1595*Analisis!$J$8</f>
        <v>0</v>
      </c>
      <c r="AH1595" s="309">
        <f t="shared" si="641"/>
        <v>0</v>
      </c>
      <c r="AI1595" s="86">
        <f>+AH1595/(1-Analisis!G1226)</f>
        <v>0</v>
      </c>
      <c r="AJ1595" s="86">
        <f t="shared" si="642"/>
        <v>0</v>
      </c>
      <c r="AK1595" s="86">
        <f t="shared" si="643"/>
        <v>0</v>
      </c>
      <c r="AL1595" s="310" t="e">
        <f>+VLOOKUP(B1595,#REF!,2,FALSE)</f>
        <v>#REF!</v>
      </c>
      <c r="AM1595" s="311" t="e">
        <f t="shared" si="644"/>
        <v>#REF!</v>
      </c>
      <c r="AN1595" s="312" t="e">
        <f t="shared" si="645"/>
        <v>#REF!</v>
      </c>
    </row>
    <row r="1596" spans="1:40" s="73" customFormat="1" x14ac:dyDescent="0.25">
      <c r="A1596" s="313"/>
      <c r="B1596" s="314"/>
      <c r="D1596" s="74">
        <f>IFERROR(VLOOKUP(B1596,'REQ. PINTADO'!B:C,2,0),0)</f>
        <v>0</v>
      </c>
      <c r="E1596" s="305">
        <f t="shared" si="632"/>
        <v>0</v>
      </c>
      <c r="F1596" s="103" t="s">
        <v>163</v>
      </c>
      <c r="G1596" s="75" t="s">
        <v>147</v>
      </c>
      <c r="H1596" s="90"/>
      <c r="I1596" s="90"/>
      <c r="J1596" s="76">
        <v>0.105</v>
      </c>
      <c r="K1596" s="306">
        <v>16.38</v>
      </c>
      <c r="L1596" s="78">
        <f t="shared" si="633"/>
        <v>0</v>
      </c>
      <c r="M1596" s="58">
        <f>+VLOOKUP(F1596,Material!$H$2:$M$17,6,FALSE)*H1596*I1596*(1+Material!$K$14)</f>
        <v>0</v>
      </c>
      <c r="N1596" s="79" t="str">
        <f>+N1215</f>
        <v>T5.0</v>
      </c>
      <c r="O1596" s="80">
        <f>+VLOOKUP(N1596,[3]Material!$A$3:$B$58,2,FALSE)</f>
        <v>5000</v>
      </c>
      <c r="P1596" s="79" t="s">
        <v>42</v>
      </c>
      <c r="Q1596" s="79" t="str">
        <f>+VLOOKUP(F1596,[3]Material!$C$2:$E$12,2,FALSE)</f>
        <v>Cal 12</v>
      </c>
      <c r="R1596" s="81">
        <f>+IF(P1596="ACERO A36",VLOOKUP(Q1596,'[3]Velocidades Std 1500 w'!$B$2:$F$15,5,FALSE),IF(P1596="INOXIDABLE",VLOOKUP(Q1596,'[3]Velocidades Std 1500 w'!$B$17:$F$28,5,FALSE),IF(P1596="ALUMINIO",VLOOKUP(Q1596,'[3]Velocidades Std 1500 w'!$B$30:$F$38,5,FALSE))))</f>
        <v>4.3859649122807014E-6</v>
      </c>
      <c r="S1596" s="82">
        <f t="shared" si="634"/>
        <v>2.1929824561403508E-2</v>
      </c>
      <c r="T1596" s="83">
        <f t="shared" si="635"/>
        <v>0</v>
      </c>
      <c r="U1596" s="307">
        <f t="shared" si="636"/>
        <v>0</v>
      </c>
      <c r="V1596" s="80">
        <f t="shared" si="637"/>
        <v>0</v>
      </c>
      <c r="W1596" s="98"/>
      <c r="X1596" s="84">
        <f>+IF(P1596="ACERO A36",VLOOKUP(Q1596,'[3]Tiempo Objeto'!$B$2:$C$12,2,FALSE),IF(P1596="INOXIDABLE",VLOOKUP(Q1596,'[3]Tiempo Objeto'!$B$14:$C$22,2,FALSE),IF(P1596="ALUMINIO",VLOOKUP(Q1596,'[3]Tiempo Objeto'!$B$24:$C$32,2,FALSE))))</f>
        <v>0.6133333333333334</v>
      </c>
      <c r="Y1596" s="84">
        <f t="shared" si="638"/>
        <v>0</v>
      </c>
      <c r="Z1596" s="80">
        <f t="shared" si="639"/>
        <v>0</v>
      </c>
      <c r="AA1596" s="100"/>
      <c r="AB1596" s="86">
        <f>+AA1596*Analisis!$J$6</f>
        <v>0</v>
      </c>
      <c r="AC1596" s="100"/>
      <c r="AD1596" s="85">
        <f t="shared" si="640"/>
        <v>0</v>
      </c>
      <c r="AE1596" s="86">
        <f>+AC1596*Analisis!$J$7</f>
        <v>0</v>
      </c>
      <c r="AF1596" s="308">
        <f>+H1596*0.0254*I1596*0.0254*2*(1+[3]Analisis!$G$2)</f>
        <v>0</v>
      </c>
      <c r="AG1596" s="86">
        <f>+AF1596*Analisis!$J$8</f>
        <v>0</v>
      </c>
      <c r="AH1596" s="309">
        <f t="shared" si="641"/>
        <v>0</v>
      </c>
      <c r="AI1596" s="86">
        <f>+AH1596/(1-Analisis!G1227)</f>
        <v>0</v>
      </c>
      <c r="AJ1596" s="86">
        <f t="shared" si="642"/>
        <v>0</v>
      </c>
      <c r="AK1596" s="86">
        <f t="shared" si="643"/>
        <v>0</v>
      </c>
      <c r="AL1596" s="310" t="e">
        <f>+VLOOKUP(B1596,#REF!,2,FALSE)</f>
        <v>#REF!</v>
      </c>
      <c r="AM1596" s="311" t="e">
        <f t="shared" si="644"/>
        <v>#REF!</v>
      </c>
      <c r="AN1596" s="312" t="e">
        <f t="shared" si="645"/>
        <v>#REF!</v>
      </c>
    </row>
    <row r="1597" spans="1:40" s="73" customFormat="1" x14ac:dyDescent="0.25">
      <c r="A1597" s="313"/>
      <c r="B1597" s="314"/>
      <c r="D1597" s="74">
        <f>IFERROR(VLOOKUP(B1597,'REQ. PINTADO'!B:C,2,0),0)</f>
        <v>0</v>
      </c>
      <c r="E1597" s="305">
        <f t="shared" si="632"/>
        <v>0</v>
      </c>
      <c r="F1597" s="103" t="s">
        <v>163</v>
      </c>
      <c r="G1597" s="75" t="s">
        <v>147</v>
      </c>
      <c r="H1597" s="90"/>
      <c r="I1597" s="90"/>
      <c r="J1597" s="76">
        <v>0.105</v>
      </c>
      <c r="K1597" s="306">
        <v>16.38</v>
      </c>
      <c r="L1597" s="78">
        <f t="shared" si="633"/>
        <v>0</v>
      </c>
      <c r="M1597" s="58">
        <f>+VLOOKUP(F1597,Material!$H$2:$M$17,6,FALSE)*H1597*I1597*(1+Material!$K$14)</f>
        <v>0</v>
      </c>
      <c r="N1597" s="79" t="str">
        <f>+N1216</f>
        <v>T5.0</v>
      </c>
      <c r="O1597" s="80">
        <f>+VLOOKUP(N1597,[3]Material!$A$3:$B$58,2,FALSE)</f>
        <v>5000</v>
      </c>
      <c r="P1597" s="79" t="s">
        <v>42</v>
      </c>
      <c r="Q1597" s="79" t="str">
        <f>+VLOOKUP(F1597,[3]Material!$C$2:$E$12,2,FALSE)</f>
        <v>Cal 12</v>
      </c>
      <c r="R1597" s="81">
        <f>+IF(P1597="ACERO A36",VLOOKUP(Q1597,'[3]Velocidades Std 1500 w'!$B$2:$F$15,5,FALSE),IF(P1597="INOXIDABLE",VLOOKUP(Q1597,'[3]Velocidades Std 1500 w'!$B$17:$F$28,5,FALSE),IF(P1597="ALUMINIO",VLOOKUP(Q1597,'[3]Velocidades Std 1500 w'!$B$30:$F$38,5,FALSE))))</f>
        <v>4.3859649122807014E-6</v>
      </c>
      <c r="S1597" s="82">
        <f t="shared" si="634"/>
        <v>2.1929824561403508E-2</v>
      </c>
      <c r="T1597" s="83">
        <f t="shared" si="635"/>
        <v>0</v>
      </c>
      <c r="U1597" s="307">
        <f t="shared" si="636"/>
        <v>0</v>
      </c>
      <c r="V1597" s="80">
        <f t="shared" si="637"/>
        <v>0</v>
      </c>
      <c r="W1597" s="98"/>
      <c r="X1597" s="84">
        <f>+IF(P1597="ACERO A36",VLOOKUP(Q1597,'[3]Tiempo Objeto'!$B$2:$C$12,2,FALSE),IF(P1597="INOXIDABLE",VLOOKUP(Q1597,'[3]Tiempo Objeto'!$B$14:$C$22,2,FALSE),IF(P1597="ALUMINIO",VLOOKUP(Q1597,'[3]Tiempo Objeto'!$B$24:$C$32,2,FALSE))))</f>
        <v>0.6133333333333334</v>
      </c>
      <c r="Y1597" s="84">
        <f t="shared" si="638"/>
        <v>0</v>
      </c>
      <c r="Z1597" s="80">
        <f t="shared" si="639"/>
        <v>0</v>
      </c>
      <c r="AA1597" s="100"/>
      <c r="AB1597" s="86">
        <f>+AA1597*Analisis!$J$6</f>
        <v>0</v>
      </c>
      <c r="AC1597" s="100"/>
      <c r="AD1597" s="85">
        <f t="shared" si="640"/>
        <v>0</v>
      </c>
      <c r="AE1597" s="86">
        <f>+AC1597*Analisis!$J$7</f>
        <v>0</v>
      </c>
      <c r="AF1597" s="308">
        <f>+H1597*0.0254*I1597*0.0254*2*(1+[3]Analisis!$G$2)</f>
        <v>0</v>
      </c>
      <c r="AG1597" s="86">
        <f>+AF1597*Analisis!$J$8</f>
        <v>0</v>
      </c>
      <c r="AH1597" s="309">
        <f t="shared" si="641"/>
        <v>0</v>
      </c>
      <c r="AI1597" s="86">
        <f>+AH1597/(1-Analisis!G1228)</f>
        <v>0</v>
      </c>
      <c r="AJ1597" s="86">
        <f t="shared" si="642"/>
        <v>0</v>
      </c>
      <c r="AK1597" s="86">
        <f t="shared" si="643"/>
        <v>0</v>
      </c>
      <c r="AL1597" s="310" t="e">
        <f>+VLOOKUP(B1597,#REF!,2,FALSE)</f>
        <v>#REF!</v>
      </c>
      <c r="AM1597" s="311" t="e">
        <f t="shared" si="644"/>
        <v>#REF!</v>
      </c>
      <c r="AN1597" s="312" t="e">
        <f t="shared" si="645"/>
        <v>#REF!</v>
      </c>
    </row>
    <row r="1598" spans="1:40" s="73" customFormat="1" x14ac:dyDescent="0.25">
      <c r="A1598" s="313"/>
      <c r="B1598" s="314"/>
      <c r="D1598" s="74">
        <f>IFERROR(VLOOKUP(B1598,'REQ. PINTADO'!B:C,2,0),0)</f>
        <v>0</v>
      </c>
      <c r="E1598" s="305">
        <f t="shared" si="632"/>
        <v>0</v>
      </c>
      <c r="F1598" s="103" t="s">
        <v>163</v>
      </c>
      <c r="G1598" s="75" t="s">
        <v>147</v>
      </c>
      <c r="H1598" s="90"/>
      <c r="I1598" s="90"/>
      <c r="J1598" s="76">
        <v>0.105</v>
      </c>
      <c r="K1598" s="306">
        <v>16.38</v>
      </c>
      <c r="L1598" s="78">
        <f t="shared" si="633"/>
        <v>0</v>
      </c>
      <c r="M1598" s="58">
        <f>+VLOOKUP(F1598,Material!$H$2:$M$17,6,FALSE)*H1598*I1598*(1+Material!$K$14)</f>
        <v>0</v>
      </c>
      <c r="N1598" s="79" t="str">
        <f>+N1217</f>
        <v>T5.0</v>
      </c>
      <c r="O1598" s="80">
        <f>+VLOOKUP(N1598,[3]Material!$A$3:$B$58,2,FALSE)</f>
        <v>5000</v>
      </c>
      <c r="P1598" s="79" t="s">
        <v>42</v>
      </c>
      <c r="Q1598" s="79" t="str">
        <f>+VLOOKUP(F1598,[3]Material!$C$2:$E$12,2,FALSE)</f>
        <v>Cal 12</v>
      </c>
      <c r="R1598" s="81">
        <f>+IF(P1598="ACERO A36",VLOOKUP(Q1598,'[3]Velocidades Std 1500 w'!$B$2:$F$15,5,FALSE),IF(P1598="INOXIDABLE",VLOOKUP(Q1598,'[3]Velocidades Std 1500 w'!$B$17:$F$28,5,FALSE),IF(P1598="ALUMINIO",VLOOKUP(Q1598,'[3]Velocidades Std 1500 w'!$B$30:$F$38,5,FALSE))))</f>
        <v>4.3859649122807014E-6</v>
      </c>
      <c r="S1598" s="82">
        <f t="shared" si="634"/>
        <v>2.1929824561403508E-2</v>
      </c>
      <c r="T1598" s="83">
        <f t="shared" si="635"/>
        <v>0</v>
      </c>
      <c r="U1598" s="307">
        <f t="shared" si="636"/>
        <v>0</v>
      </c>
      <c r="V1598" s="80">
        <f t="shared" si="637"/>
        <v>0</v>
      </c>
      <c r="W1598" s="98"/>
      <c r="X1598" s="84">
        <f>+IF(P1598="ACERO A36",VLOOKUP(Q1598,'[3]Tiempo Objeto'!$B$2:$C$12,2,FALSE),IF(P1598="INOXIDABLE",VLOOKUP(Q1598,'[3]Tiempo Objeto'!$B$14:$C$22,2,FALSE),IF(P1598="ALUMINIO",VLOOKUP(Q1598,'[3]Tiempo Objeto'!$B$24:$C$32,2,FALSE))))</f>
        <v>0.6133333333333334</v>
      </c>
      <c r="Y1598" s="84">
        <f t="shared" si="638"/>
        <v>0</v>
      </c>
      <c r="Z1598" s="80">
        <f t="shared" si="639"/>
        <v>0</v>
      </c>
      <c r="AA1598" s="100"/>
      <c r="AB1598" s="86">
        <f>+AA1598*Analisis!$J$6</f>
        <v>0</v>
      </c>
      <c r="AC1598" s="100"/>
      <c r="AD1598" s="85">
        <f t="shared" si="640"/>
        <v>0</v>
      </c>
      <c r="AE1598" s="86">
        <f>+AC1598*Analisis!$J$7</f>
        <v>0</v>
      </c>
      <c r="AF1598" s="308">
        <f>+H1598*0.0254*I1598*0.0254*2*(1+[3]Analisis!$G$2)</f>
        <v>0</v>
      </c>
      <c r="AG1598" s="86">
        <f>+AF1598*Analisis!$J$8</f>
        <v>0</v>
      </c>
      <c r="AH1598" s="309">
        <f t="shared" si="641"/>
        <v>0</v>
      </c>
      <c r="AI1598" s="86">
        <f>+AH1598/(1-Analisis!G1229)</f>
        <v>0</v>
      </c>
      <c r="AJ1598" s="86">
        <f t="shared" si="642"/>
        <v>0</v>
      </c>
      <c r="AK1598" s="86">
        <f t="shared" si="643"/>
        <v>0</v>
      </c>
      <c r="AL1598" s="310" t="e">
        <f>+VLOOKUP(B1598,#REF!,2,FALSE)</f>
        <v>#REF!</v>
      </c>
      <c r="AM1598" s="311" t="e">
        <f t="shared" si="644"/>
        <v>#REF!</v>
      </c>
      <c r="AN1598" s="312" t="e">
        <f t="shared" si="645"/>
        <v>#REF!</v>
      </c>
    </row>
    <row r="1599" spans="1:40" s="73" customFormat="1" x14ac:dyDescent="0.25">
      <c r="A1599" s="313"/>
      <c r="B1599" s="314"/>
      <c r="D1599" s="74">
        <f>IFERROR(VLOOKUP(B1599,'REQ. PINTADO'!B:C,2,0),0)</f>
        <v>0</v>
      </c>
      <c r="E1599" s="305">
        <f t="shared" si="632"/>
        <v>0</v>
      </c>
      <c r="F1599" s="103" t="s">
        <v>163</v>
      </c>
      <c r="G1599" s="75" t="s">
        <v>147</v>
      </c>
      <c r="H1599" s="90"/>
      <c r="I1599" s="90"/>
      <c r="J1599" s="76">
        <v>0.105</v>
      </c>
      <c r="K1599" s="306">
        <v>16.38</v>
      </c>
      <c r="L1599" s="78">
        <f t="shared" si="633"/>
        <v>0</v>
      </c>
      <c r="M1599" s="58">
        <f>+VLOOKUP(F1599,Material!$H$2:$M$17,6,FALSE)*H1599*I1599*(1+Material!$K$14)</f>
        <v>0</v>
      </c>
      <c r="N1599" s="79" t="str">
        <f>+N1218</f>
        <v>T5.0</v>
      </c>
      <c r="O1599" s="80">
        <f>+VLOOKUP(N1599,[3]Material!$A$3:$B$58,2,FALSE)</f>
        <v>5000</v>
      </c>
      <c r="P1599" s="79" t="s">
        <v>42</v>
      </c>
      <c r="Q1599" s="79" t="str">
        <f>+VLOOKUP(F1599,[3]Material!$C$2:$E$12,2,FALSE)</f>
        <v>Cal 12</v>
      </c>
      <c r="R1599" s="81">
        <f>+IF(P1599="ACERO A36",VLOOKUP(Q1599,'[3]Velocidades Std 1500 w'!$B$2:$F$15,5,FALSE),IF(P1599="INOXIDABLE",VLOOKUP(Q1599,'[3]Velocidades Std 1500 w'!$B$17:$F$28,5,FALSE),IF(P1599="ALUMINIO",VLOOKUP(Q1599,'[3]Velocidades Std 1500 w'!$B$30:$F$38,5,FALSE))))</f>
        <v>4.3859649122807014E-6</v>
      </c>
      <c r="S1599" s="82">
        <f t="shared" si="634"/>
        <v>2.1929824561403508E-2</v>
      </c>
      <c r="T1599" s="83">
        <f t="shared" si="635"/>
        <v>0</v>
      </c>
      <c r="U1599" s="307">
        <f t="shared" si="636"/>
        <v>0</v>
      </c>
      <c r="V1599" s="80">
        <f t="shared" si="637"/>
        <v>0</v>
      </c>
      <c r="W1599" s="98"/>
      <c r="X1599" s="84">
        <f>+IF(P1599="ACERO A36",VLOOKUP(Q1599,'[3]Tiempo Objeto'!$B$2:$C$12,2,FALSE),IF(P1599="INOXIDABLE",VLOOKUP(Q1599,'[3]Tiempo Objeto'!$B$14:$C$22,2,FALSE),IF(P1599="ALUMINIO",VLOOKUP(Q1599,'[3]Tiempo Objeto'!$B$24:$C$32,2,FALSE))))</f>
        <v>0.6133333333333334</v>
      </c>
      <c r="Y1599" s="84">
        <f t="shared" si="638"/>
        <v>0</v>
      </c>
      <c r="Z1599" s="80">
        <f t="shared" si="639"/>
        <v>0</v>
      </c>
      <c r="AA1599" s="100"/>
      <c r="AB1599" s="86">
        <f>+AA1599*Analisis!$J$6</f>
        <v>0</v>
      </c>
      <c r="AC1599" s="100"/>
      <c r="AD1599" s="85">
        <f t="shared" si="640"/>
        <v>0</v>
      </c>
      <c r="AE1599" s="86">
        <f>+AC1599*Analisis!$J$7</f>
        <v>0</v>
      </c>
      <c r="AF1599" s="308">
        <f>+H1599*0.0254*I1599*0.0254*2*(1+[3]Analisis!$G$2)</f>
        <v>0</v>
      </c>
      <c r="AG1599" s="86">
        <f>+AF1599*Analisis!$J$8</f>
        <v>0</v>
      </c>
      <c r="AH1599" s="309">
        <f t="shared" si="641"/>
        <v>0</v>
      </c>
      <c r="AI1599" s="86">
        <f>+AH1599/(1-Analisis!G1230)</f>
        <v>0</v>
      </c>
      <c r="AJ1599" s="86">
        <f t="shared" si="642"/>
        <v>0</v>
      </c>
      <c r="AK1599" s="86">
        <f t="shared" si="643"/>
        <v>0</v>
      </c>
      <c r="AL1599" s="310" t="e">
        <f>+VLOOKUP(B1599,#REF!,2,FALSE)</f>
        <v>#REF!</v>
      </c>
      <c r="AM1599" s="311" t="e">
        <f t="shared" si="644"/>
        <v>#REF!</v>
      </c>
      <c r="AN1599" s="312" t="e">
        <f t="shared" si="645"/>
        <v>#REF!</v>
      </c>
    </row>
    <row r="1600" spans="1:40" s="73" customFormat="1" x14ac:dyDescent="0.25">
      <c r="A1600" s="313"/>
      <c r="B1600" s="314"/>
      <c r="D1600" s="74">
        <f>IFERROR(VLOOKUP(B1600,'REQ. PINTADO'!B:C,2,0),0)</f>
        <v>0</v>
      </c>
      <c r="E1600" s="305">
        <f t="shared" si="632"/>
        <v>0</v>
      </c>
      <c r="F1600" s="103" t="s">
        <v>163</v>
      </c>
      <c r="G1600" s="75" t="s">
        <v>147</v>
      </c>
      <c r="H1600" s="90"/>
      <c r="I1600" s="90"/>
      <c r="J1600" s="76">
        <v>0.105</v>
      </c>
      <c r="K1600" s="306">
        <v>16.38</v>
      </c>
      <c r="L1600" s="78">
        <f t="shared" si="633"/>
        <v>0</v>
      </c>
      <c r="M1600" s="58">
        <f>+VLOOKUP(F1600,Material!$H$2:$M$17,6,FALSE)*H1600*I1600*(1+Material!$K$14)</f>
        <v>0</v>
      </c>
      <c r="N1600" s="79" t="str">
        <f>+N1219</f>
        <v>T5.0</v>
      </c>
      <c r="O1600" s="80">
        <f>+VLOOKUP(N1600,[3]Material!$A$3:$B$58,2,FALSE)</f>
        <v>5000</v>
      </c>
      <c r="P1600" s="79" t="s">
        <v>42</v>
      </c>
      <c r="Q1600" s="79" t="str">
        <f>+VLOOKUP(F1600,[3]Material!$C$2:$E$12,2,FALSE)</f>
        <v>Cal 12</v>
      </c>
      <c r="R1600" s="81">
        <f>+IF(P1600="ACERO A36",VLOOKUP(Q1600,'[3]Velocidades Std 1500 w'!$B$2:$F$15,5,FALSE),IF(P1600="INOXIDABLE",VLOOKUP(Q1600,'[3]Velocidades Std 1500 w'!$B$17:$F$28,5,FALSE),IF(P1600="ALUMINIO",VLOOKUP(Q1600,'[3]Velocidades Std 1500 w'!$B$30:$F$38,5,FALSE))))</f>
        <v>4.3859649122807014E-6</v>
      </c>
      <c r="S1600" s="82">
        <f t="shared" si="634"/>
        <v>2.1929824561403508E-2</v>
      </c>
      <c r="T1600" s="83">
        <f t="shared" si="635"/>
        <v>0</v>
      </c>
      <c r="U1600" s="307">
        <f t="shared" si="636"/>
        <v>0</v>
      </c>
      <c r="V1600" s="80">
        <f t="shared" si="637"/>
        <v>0</v>
      </c>
      <c r="W1600" s="98"/>
      <c r="X1600" s="84">
        <f>+IF(P1600="ACERO A36",VLOOKUP(Q1600,'[3]Tiempo Objeto'!$B$2:$C$12,2,FALSE),IF(P1600="INOXIDABLE",VLOOKUP(Q1600,'[3]Tiempo Objeto'!$B$14:$C$22,2,FALSE),IF(P1600="ALUMINIO",VLOOKUP(Q1600,'[3]Tiempo Objeto'!$B$24:$C$32,2,FALSE))))</f>
        <v>0.6133333333333334</v>
      </c>
      <c r="Y1600" s="84">
        <f t="shared" si="638"/>
        <v>0</v>
      </c>
      <c r="Z1600" s="80">
        <f t="shared" si="639"/>
        <v>0</v>
      </c>
      <c r="AA1600" s="100"/>
      <c r="AB1600" s="86">
        <f>+AA1600*Analisis!$J$6</f>
        <v>0</v>
      </c>
      <c r="AC1600" s="100"/>
      <c r="AD1600" s="85">
        <f t="shared" si="640"/>
        <v>0</v>
      </c>
      <c r="AE1600" s="86">
        <f>+AC1600*Analisis!$J$7</f>
        <v>0</v>
      </c>
      <c r="AF1600" s="308">
        <f>+H1600*0.0254*I1600*0.0254*2*(1+[3]Analisis!$G$2)</f>
        <v>0</v>
      </c>
      <c r="AG1600" s="86">
        <f>+AF1600*Analisis!$J$8</f>
        <v>0</v>
      </c>
      <c r="AH1600" s="309">
        <f t="shared" si="641"/>
        <v>0</v>
      </c>
      <c r="AI1600" s="86">
        <f>+AH1600/(1-Analisis!G1231)</f>
        <v>0</v>
      </c>
      <c r="AJ1600" s="86">
        <f t="shared" si="642"/>
        <v>0</v>
      </c>
      <c r="AK1600" s="86">
        <f t="shared" si="643"/>
        <v>0</v>
      </c>
      <c r="AL1600" s="310" t="e">
        <f>+VLOOKUP(B1600,#REF!,2,FALSE)</f>
        <v>#REF!</v>
      </c>
      <c r="AM1600" s="311" t="e">
        <f t="shared" si="644"/>
        <v>#REF!</v>
      </c>
      <c r="AN1600" s="312" t="e">
        <f t="shared" si="645"/>
        <v>#REF!</v>
      </c>
    </row>
    <row r="1601" spans="1:40" s="73" customFormat="1" x14ac:dyDescent="0.25">
      <c r="A1601" s="313"/>
      <c r="B1601" s="314"/>
      <c r="D1601" s="74">
        <f>IFERROR(VLOOKUP(B1601,'REQ. PINTADO'!B:C,2,0),0)</f>
        <v>0</v>
      </c>
      <c r="E1601" s="305">
        <f t="shared" si="632"/>
        <v>0</v>
      </c>
      <c r="F1601" s="103" t="s">
        <v>163</v>
      </c>
      <c r="G1601" s="75" t="s">
        <v>147</v>
      </c>
      <c r="H1601" s="90"/>
      <c r="I1601" s="90"/>
      <c r="J1601" s="76">
        <v>0.105</v>
      </c>
      <c r="K1601" s="306">
        <v>16.38</v>
      </c>
      <c r="L1601" s="78">
        <f t="shared" si="633"/>
        <v>0</v>
      </c>
      <c r="M1601" s="58">
        <f>+VLOOKUP(F1601,Material!$H$2:$M$17,6,FALSE)*H1601*I1601*(1+Material!$K$14)</f>
        <v>0</v>
      </c>
      <c r="N1601" s="79" t="str">
        <f>+N1220</f>
        <v>T5.0</v>
      </c>
      <c r="O1601" s="80">
        <f>+VLOOKUP(N1601,[3]Material!$A$3:$B$58,2,FALSE)</f>
        <v>5000</v>
      </c>
      <c r="P1601" s="79" t="s">
        <v>42</v>
      </c>
      <c r="Q1601" s="79" t="str">
        <f>+VLOOKUP(F1601,[3]Material!$C$2:$E$12,2,FALSE)</f>
        <v>Cal 12</v>
      </c>
      <c r="R1601" s="81">
        <f>+IF(P1601="ACERO A36",VLOOKUP(Q1601,'[3]Velocidades Std 1500 w'!$B$2:$F$15,5,FALSE),IF(P1601="INOXIDABLE",VLOOKUP(Q1601,'[3]Velocidades Std 1500 w'!$B$17:$F$28,5,FALSE),IF(P1601="ALUMINIO",VLOOKUP(Q1601,'[3]Velocidades Std 1500 w'!$B$30:$F$38,5,FALSE))))</f>
        <v>4.3859649122807014E-6</v>
      </c>
      <c r="S1601" s="82">
        <f t="shared" si="634"/>
        <v>2.1929824561403508E-2</v>
      </c>
      <c r="T1601" s="83">
        <f t="shared" si="635"/>
        <v>0</v>
      </c>
      <c r="U1601" s="307">
        <f t="shared" si="636"/>
        <v>0</v>
      </c>
      <c r="V1601" s="80">
        <f t="shared" si="637"/>
        <v>0</v>
      </c>
      <c r="W1601" s="98"/>
      <c r="X1601" s="84">
        <f>+IF(P1601="ACERO A36",VLOOKUP(Q1601,'[3]Tiempo Objeto'!$B$2:$C$12,2,FALSE),IF(P1601="INOXIDABLE",VLOOKUP(Q1601,'[3]Tiempo Objeto'!$B$14:$C$22,2,FALSE),IF(P1601="ALUMINIO",VLOOKUP(Q1601,'[3]Tiempo Objeto'!$B$24:$C$32,2,FALSE))))</f>
        <v>0.6133333333333334</v>
      </c>
      <c r="Y1601" s="84">
        <f t="shared" si="638"/>
        <v>0</v>
      </c>
      <c r="Z1601" s="80">
        <f t="shared" si="639"/>
        <v>0</v>
      </c>
      <c r="AA1601" s="100"/>
      <c r="AB1601" s="86">
        <f>+AA1601*Analisis!$J$6</f>
        <v>0</v>
      </c>
      <c r="AC1601" s="100"/>
      <c r="AD1601" s="85">
        <f t="shared" si="640"/>
        <v>0</v>
      </c>
      <c r="AE1601" s="86">
        <f>+AC1601*Analisis!$J$7</f>
        <v>0</v>
      </c>
      <c r="AF1601" s="308">
        <f>+H1601*0.0254*I1601*0.0254*2*(1+[3]Analisis!$G$2)</f>
        <v>0</v>
      </c>
      <c r="AG1601" s="86">
        <f>+AF1601*Analisis!$J$8</f>
        <v>0</v>
      </c>
      <c r="AH1601" s="309">
        <f t="shared" si="641"/>
        <v>0</v>
      </c>
      <c r="AI1601" s="86">
        <f>+AH1601/(1-Analisis!G1232)</f>
        <v>0</v>
      </c>
      <c r="AJ1601" s="86">
        <f t="shared" si="642"/>
        <v>0</v>
      </c>
      <c r="AK1601" s="86">
        <f t="shared" si="643"/>
        <v>0</v>
      </c>
      <c r="AL1601" s="310" t="e">
        <f>+VLOOKUP(B1601,#REF!,2,FALSE)</f>
        <v>#REF!</v>
      </c>
      <c r="AM1601" s="311" t="e">
        <f t="shared" si="644"/>
        <v>#REF!</v>
      </c>
      <c r="AN1601" s="312" t="e">
        <f t="shared" si="645"/>
        <v>#REF!</v>
      </c>
    </row>
    <row r="1602" spans="1:40" s="73" customFormat="1" x14ac:dyDescent="0.25">
      <c r="A1602" s="313"/>
      <c r="B1602" s="314"/>
      <c r="D1602" s="74">
        <f>IFERROR(VLOOKUP(B1602,'REQ. PINTADO'!B:C,2,0),0)</f>
        <v>0</v>
      </c>
      <c r="E1602" s="305">
        <f t="shared" si="632"/>
        <v>0</v>
      </c>
      <c r="F1602" s="103" t="s">
        <v>163</v>
      </c>
      <c r="G1602" s="75" t="s">
        <v>147</v>
      </c>
      <c r="H1602" s="90"/>
      <c r="I1602" s="90"/>
      <c r="J1602" s="76">
        <v>0.105</v>
      </c>
      <c r="K1602" s="306">
        <v>16.38</v>
      </c>
      <c r="L1602" s="78">
        <f t="shared" si="633"/>
        <v>0</v>
      </c>
      <c r="M1602" s="58">
        <f>+VLOOKUP(F1602,Material!$H$2:$M$17,6,FALSE)*H1602*I1602*(1+Material!$K$14)</f>
        <v>0</v>
      </c>
      <c r="N1602" s="79" t="str">
        <f>+N1221</f>
        <v>T5.0</v>
      </c>
      <c r="O1602" s="80">
        <f>+VLOOKUP(N1602,[3]Material!$A$3:$B$58,2,FALSE)</f>
        <v>5000</v>
      </c>
      <c r="P1602" s="79" t="s">
        <v>42</v>
      </c>
      <c r="Q1602" s="79" t="str">
        <f>+VLOOKUP(F1602,[3]Material!$C$2:$E$12,2,FALSE)</f>
        <v>Cal 12</v>
      </c>
      <c r="R1602" s="81">
        <f>+IF(P1602="ACERO A36",VLOOKUP(Q1602,'[3]Velocidades Std 1500 w'!$B$2:$F$15,5,FALSE),IF(P1602="INOXIDABLE",VLOOKUP(Q1602,'[3]Velocidades Std 1500 w'!$B$17:$F$28,5,FALSE),IF(P1602="ALUMINIO",VLOOKUP(Q1602,'[3]Velocidades Std 1500 w'!$B$30:$F$38,5,FALSE))))</f>
        <v>4.3859649122807014E-6</v>
      </c>
      <c r="S1602" s="82">
        <f t="shared" si="634"/>
        <v>2.1929824561403508E-2</v>
      </c>
      <c r="T1602" s="83">
        <f t="shared" si="635"/>
        <v>0</v>
      </c>
      <c r="U1602" s="307">
        <f t="shared" si="636"/>
        <v>0</v>
      </c>
      <c r="V1602" s="80">
        <f t="shared" si="637"/>
        <v>0</v>
      </c>
      <c r="W1602" s="98"/>
      <c r="X1602" s="84">
        <f>+IF(P1602="ACERO A36",VLOOKUP(Q1602,'[3]Tiempo Objeto'!$B$2:$C$12,2,FALSE),IF(P1602="INOXIDABLE",VLOOKUP(Q1602,'[3]Tiempo Objeto'!$B$14:$C$22,2,FALSE),IF(P1602="ALUMINIO",VLOOKUP(Q1602,'[3]Tiempo Objeto'!$B$24:$C$32,2,FALSE))))</f>
        <v>0.6133333333333334</v>
      </c>
      <c r="Y1602" s="84">
        <f t="shared" si="638"/>
        <v>0</v>
      </c>
      <c r="Z1602" s="80">
        <f t="shared" si="639"/>
        <v>0</v>
      </c>
      <c r="AA1602" s="100"/>
      <c r="AB1602" s="86">
        <f>+AA1602*Analisis!$J$6</f>
        <v>0</v>
      </c>
      <c r="AC1602" s="100"/>
      <c r="AD1602" s="85">
        <f t="shared" si="640"/>
        <v>0</v>
      </c>
      <c r="AE1602" s="86">
        <f>+AC1602*Analisis!$J$7</f>
        <v>0</v>
      </c>
      <c r="AF1602" s="308">
        <f>+H1602*0.0254*I1602*0.0254*2*(1+[3]Analisis!$G$2)</f>
        <v>0</v>
      </c>
      <c r="AG1602" s="86">
        <f>+AF1602*Analisis!$J$8</f>
        <v>0</v>
      </c>
      <c r="AH1602" s="309">
        <f t="shared" si="641"/>
        <v>0</v>
      </c>
      <c r="AI1602" s="86">
        <f>+AH1602/(1-Analisis!G1233)</f>
        <v>0</v>
      </c>
      <c r="AJ1602" s="86">
        <f t="shared" si="642"/>
        <v>0</v>
      </c>
      <c r="AK1602" s="86">
        <f t="shared" si="643"/>
        <v>0</v>
      </c>
      <c r="AL1602" s="310" t="e">
        <f>+VLOOKUP(B1602,#REF!,2,FALSE)</f>
        <v>#REF!</v>
      </c>
      <c r="AM1602" s="311" t="e">
        <f t="shared" si="644"/>
        <v>#REF!</v>
      </c>
      <c r="AN1602" s="312" t="e">
        <f t="shared" si="645"/>
        <v>#REF!</v>
      </c>
    </row>
    <row r="1603" spans="1:40" s="73" customFormat="1" x14ac:dyDescent="0.25">
      <c r="A1603" s="313"/>
      <c r="B1603" s="314"/>
      <c r="D1603" s="74">
        <f>IFERROR(VLOOKUP(B1603,'REQ. PINTADO'!B:C,2,0),0)</f>
        <v>0</v>
      </c>
      <c r="E1603" s="305">
        <f t="shared" si="632"/>
        <v>0</v>
      </c>
      <c r="F1603" s="103" t="s">
        <v>163</v>
      </c>
      <c r="G1603" s="75" t="s">
        <v>147</v>
      </c>
      <c r="H1603" s="90"/>
      <c r="I1603" s="90"/>
      <c r="J1603" s="76">
        <v>0.105</v>
      </c>
      <c r="K1603" s="306">
        <v>16.38</v>
      </c>
      <c r="L1603" s="78">
        <f t="shared" si="633"/>
        <v>0</v>
      </c>
      <c r="M1603" s="58">
        <f>+VLOOKUP(F1603,Material!$H$2:$M$17,6,FALSE)*H1603*I1603*(1+Material!$K$14)</f>
        <v>0</v>
      </c>
      <c r="N1603" s="79" t="str">
        <f>+N1222</f>
        <v>T5.0</v>
      </c>
      <c r="O1603" s="80">
        <f>+VLOOKUP(N1603,[3]Material!$A$3:$B$58,2,FALSE)</f>
        <v>5000</v>
      </c>
      <c r="P1603" s="79" t="s">
        <v>42</v>
      </c>
      <c r="Q1603" s="79" t="str">
        <f>+VLOOKUP(F1603,[3]Material!$C$2:$E$12,2,FALSE)</f>
        <v>Cal 12</v>
      </c>
      <c r="R1603" s="81">
        <f>+IF(P1603="ACERO A36",VLOOKUP(Q1603,'[3]Velocidades Std 1500 w'!$B$2:$F$15,5,FALSE),IF(P1603="INOXIDABLE",VLOOKUP(Q1603,'[3]Velocidades Std 1500 w'!$B$17:$F$28,5,FALSE),IF(P1603="ALUMINIO",VLOOKUP(Q1603,'[3]Velocidades Std 1500 w'!$B$30:$F$38,5,FALSE))))</f>
        <v>4.3859649122807014E-6</v>
      </c>
      <c r="S1603" s="82">
        <f t="shared" si="634"/>
        <v>2.1929824561403508E-2</v>
      </c>
      <c r="T1603" s="83">
        <f t="shared" si="635"/>
        <v>0</v>
      </c>
      <c r="U1603" s="307">
        <f t="shared" si="636"/>
        <v>0</v>
      </c>
      <c r="V1603" s="80">
        <f t="shared" si="637"/>
        <v>0</v>
      </c>
      <c r="W1603" s="98"/>
      <c r="X1603" s="84">
        <f>+IF(P1603="ACERO A36",VLOOKUP(Q1603,'[3]Tiempo Objeto'!$B$2:$C$12,2,FALSE),IF(P1603="INOXIDABLE",VLOOKUP(Q1603,'[3]Tiempo Objeto'!$B$14:$C$22,2,FALSE),IF(P1603="ALUMINIO",VLOOKUP(Q1603,'[3]Tiempo Objeto'!$B$24:$C$32,2,FALSE))))</f>
        <v>0.6133333333333334</v>
      </c>
      <c r="Y1603" s="84">
        <f t="shared" si="638"/>
        <v>0</v>
      </c>
      <c r="Z1603" s="80">
        <f t="shared" si="639"/>
        <v>0</v>
      </c>
      <c r="AA1603" s="100"/>
      <c r="AB1603" s="86">
        <f>+AA1603*Analisis!$J$6</f>
        <v>0</v>
      </c>
      <c r="AC1603" s="100"/>
      <c r="AD1603" s="85">
        <f t="shared" si="640"/>
        <v>0</v>
      </c>
      <c r="AE1603" s="86">
        <f>+AC1603*Analisis!$J$7</f>
        <v>0</v>
      </c>
      <c r="AF1603" s="308">
        <f>+H1603*0.0254*I1603*0.0254*2*(1+[3]Analisis!$G$2)</f>
        <v>0</v>
      </c>
      <c r="AG1603" s="86">
        <f>+AF1603*Analisis!$J$8</f>
        <v>0</v>
      </c>
      <c r="AH1603" s="309">
        <f t="shared" si="641"/>
        <v>0</v>
      </c>
      <c r="AI1603" s="86">
        <f>+AH1603/(1-Analisis!G1234)</f>
        <v>0</v>
      </c>
      <c r="AJ1603" s="86">
        <f t="shared" si="642"/>
        <v>0</v>
      </c>
      <c r="AK1603" s="86">
        <f t="shared" si="643"/>
        <v>0</v>
      </c>
      <c r="AL1603" s="310" t="e">
        <f>+VLOOKUP(B1603,#REF!,2,FALSE)</f>
        <v>#REF!</v>
      </c>
      <c r="AM1603" s="311" t="e">
        <f t="shared" si="644"/>
        <v>#REF!</v>
      </c>
      <c r="AN1603" s="312" t="e">
        <f t="shared" si="645"/>
        <v>#REF!</v>
      </c>
    </row>
    <row r="1604" spans="1:40" s="73" customFormat="1" x14ac:dyDescent="0.25">
      <c r="A1604" s="313"/>
      <c r="B1604" s="314"/>
      <c r="D1604" s="74">
        <f>IFERROR(VLOOKUP(B1604,'REQ. PINTADO'!B:C,2,0),0)</f>
        <v>0</v>
      </c>
      <c r="E1604" s="305">
        <f t="shared" si="632"/>
        <v>0</v>
      </c>
      <c r="F1604" s="103" t="s">
        <v>163</v>
      </c>
      <c r="G1604" s="75" t="s">
        <v>147</v>
      </c>
      <c r="H1604" s="90"/>
      <c r="I1604" s="90"/>
      <c r="J1604" s="76">
        <v>0.105</v>
      </c>
      <c r="K1604" s="306">
        <v>16.38</v>
      </c>
      <c r="L1604" s="78">
        <f t="shared" si="633"/>
        <v>0</v>
      </c>
      <c r="M1604" s="58">
        <f>+VLOOKUP(F1604,Material!$H$2:$M$17,6,FALSE)*H1604*I1604*(1+Material!$K$14)</f>
        <v>0</v>
      </c>
      <c r="N1604" s="79" t="str">
        <f>+N1223</f>
        <v>T5.0</v>
      </c>
      <c r="O1604" s="80">
        <f>+VLOOKUP(N1604,[3]Material!$A$3:$B$58,2,FALSE)</f>
        <v>5000</v>
      </c>
      <c r="P1604" s="79" t="s">
        <v>42</v>
      </c>
      <c r="Q1604" s="79" t="str">
        <f>+VLOOKUP(F1604,[3]Material!$C$2:$E$12,2,FALSE)</f>
        <v>Cal 12</v>
      </c>
      <c r="R1604" s="81">
        <f>+IF(P1604="ACERO A36",VLOOKUP(Q1604,'[3]Velocidades Std 1500 w'!$B$2:$F$15,5,FALSE),IF(P1604="INOXIDABLE",VLOOKUP(Q1604,'[3]Velocidades Std 1500 w'!$B$17:$F$28,5,FALSE),IF(P1604="ALUMINIO",VLOOKUP(Q1604,'[3]Velocidades Std 1500 w'!$B$30:$F$38,5,FALSE))))</f>
        <v>4.3859649122807014E-6</v>
      </c>
      <c r="S1604" s="82">
        <f t="shared" si="634"/>
        <v>2.1929824561403508E-2</v>
      </c>
      <c r="T1604" s="83">
        <f t="shared" si="635"/>
        <v>0</v>
      </c>
      <c r="U1604" s="307">
        <f t="shared" si="636"/>
        <v>0</v>
      </c>
      <c r="V1604" s="80">
        <f t="shared" si="637"/>
        <v>0</v>
      </c>
      <c r="W1604" s="98"/>
      <c r="X1604" s="84">
        <f>+IF(P1604="ACERO A36",VLOOKUP(Q1604,'[3]Tiempo Objeto'!$B$2:$C$12,2,FALSE),IF(P1604="INOXIDABLE",VLOOKUP(Q1604,'[3]Tiempo Objeto'!$B$14:$C$22,2,FALSE),IF(P1604="ALUMINIO",VLOOKUP(Q1604,'[3]Tiempo Objeto'!$B$24:$C$32,2,FALSE))))</f>
        <v>0.6133333333333334</v>
      </c>
      <c r="Y1604" s="84">
        <f t="shared" si="638"/>
        <v>0</v>
      </c>
      <c r="Z1604" s="80">
        <f t="shared" si="639"/>
        <v>0</v>
      </c>
      <c r="AA1604" s="100"/>
      <c r="AB1604" s="86">
        <f>+AA1604*Analisis!$J$6</f>
        <v>0</v>
      </c>
      <c r="AC1604" s="100"/>
      <c r="AD1604" s="85">
        <f t="shared" si="640"/>
        <v>0</v>
      </c>
      <c r="AE1604" s="86">
        <f>+AC1604*Analisis!$J$7</f>
        <v>0</v>
      </c>
      <c r="AF1604" s="308">
        <f>+H1604*0.0254*I1604*0.0254*2*(1+[3]Analisis!$G$2)</f>
        <v>0</v>
      </c>
      <c r="AG1604" s="86">
        <f>+AF1604*Analisis!$J$8</f>
        <v>0</v>
      </c>
      <c r="AH1604" s="309">
        <f t="shared" si="641"/>
        <v>0</v>
      </c>
      <c r="AI1604" s="86">
        <f>+AH1604/(1-Analisis!G1235)</f>
        <v>0</v>
      </c>
      <c r="AJ1604" s="86">
        <f t="shared" si="642"/>
        <v>0</v>
      </c>
      <c r="AK1604" s="86">
        <f t="shared" si="643"/>
        <v>0</v>
      </c>
      <c r="AL1604" s="310" t="e">
        <f>+VLOOKUP(B1604,#REF!,2,FALSE)</f>
        <v>#REF!</v>
      </c>
      <c r="AM1604" s="311" t="e">
        <f t="shared" si="644"/>
        <v>#REF!</v>
      </c>
      <c r="AN1604" s="312" t="e">
        <f t="shared" si="645"/>
        <v>#REF!</v>
      </c>
    </row>
    <row r="1605" spans="1:40" s="73" customFormat="1" x14ac:dyDescent="0.25">
      <c r="A1605" s="313"/>
      <c r="B1605" s="314"/>
      <c r="D1605" s="74">
        <f>IFERROR(VLOOKUP(B1605,'REQ. PINTADO'!B:C,2,0),0)</f>
        <v>0</v>
      </c>
      <c r="E1605" s="305">
        <f t="shared" si="632"/>
        <v>0</v>
      </c>
      <c r="F1605" s="103" t="s">
        <v>163</v>
      </c>
      <c r="G1605" s="75" t="s">
        <v>147</v>
      </c>
      <c r="H1605" s="90"/>
      <c r="I1605" s="90"/>
      <c r="J1605" s="76">
        <v>0.105</v>
      </c>
      <c r="K1605" s="306">
        <v>16.38</v>
      </c>
      <c r="L1605" s="78">
        <f t="shared" si="633"/>
        <v>0</v>
      </c>
      <c r="M1605" s="58">
        <f>+VLOOKUP(F1605,Material!$H$2:$M$17,6,FALSE)*H1605*I1605*(1+Material!$K$14)</f>
        <v>0</v>
      </c>
      <c r="N1605" s="79" t="str">
        <f>+N1224</f>
        <v>T5.0</v>
      </c>
      <c r="O1605" s="80">
        <f>+VLOOKUP(N1605,[3]Material!$A$3:$B$58,2,FALSE)</f>
        <v>5000</v>
      </c>
      <c r="P1605" s="79" t="s">
        <v>42</v>
      </c>
      <c r="Q1605" s="79" t="str">
        <f>+VLOOKUP(F1605,[3]Material!$C$2:$E$12,2,FALSE)</f>
        <v>Cal 12</v>
      </c>
      <c r="R1605" s="81">
        <f>+IF(P1605="ACERO A36",VLOOKUP(Q1605,'[3]Velocidades Std 1500 w'!$B$2:$F$15,5,FALSE),IF(P1605="INOXIDABLE",VLOOKUP(Q1605,'[3]Velocidades Std 1500 w'!$B$17:$F$28,5,FALSE),IF(P1605="ALUMINIO",VLOOKUP(Q1605,'[3]Velocidades Std 1500 w'!$B$30:$F$38,5,FALSE))))</f>
        <v>4.3859649122807014E-6</v>
      </c>
      <c r="S1605" s="82">
        <f t="shared" si="634"/>
        <v>2.1929824561403508E-2</v>
      </c>
      <c r="T1605" s="83">
        <f t="shared" si="635"/>
        <v>0</v>
      </c>
      <c r="U1605" s="307">
        <f t="shared" si="636"/>
        <v>0</v>
      </c>
      <c r="V1605" s="80">
        <f t="shared" si="637"/>
        <v>0</v>
      </c>
      <c r="W1605" s="98"/>
      <c r="X1605" s="84">
        <f>+IF(P1605="ACERO A36",VLOOKUP(Q1605,'[3]Tiempo Objeto'!$B$2:$C$12,2,FALSE),IF(P1605="INOXIDABLE",VLOOKUP(Q1605,'[3]Tiempo Objeto'!$B$14:$C$22,2,FALSE),IF(P1605="ALUMINIO",VLOOKUP(Q1605,'[3]Tiempo Objeto'!$B$24:$C$32,2,FALSE))))</f>
        <v>0.6133333333333334</v>
      </c>
      <c r="Y1605" s="84">
        <f t="shared" si="638"/>
        <v>0</v>
      </c>
      <c r="Z1605" s="80">
        <f t="shared" si="639"/>
        <v>0</v>
      </c>
      <c r="AA1605" s="100"/>
      <c r="AB1605" s="86">
        <f>+AA1605*Analisis!$J$6</f>
        <v>0</v>
      </c>
      <c r="AC1605" s="100"/>
      <c r="AD1605" s="85">
        <f t="shared" si="640"/>
        <v>0</v>
      </c>
      <c r="AE1605" s="86">
        <f>+AC1605*Analisis!$J$7</f>
        <v>0</v>
      </c>
      <c r="AF1605" s="308">
        <f>+H1605*0.0254*I1605*0.0254*2*(1+[3]Analisis!$G$2)</f>
        <v>0</v>
      </c>
      <c r="AG1605" s="86">
        <f>+AF1605*Analisis!$J$8</f>
        <v>0</v>
      </c>
      <c r="AH1605" s="309">
        <f t="shared" si="641"/>
        <v>0</v>
      </c>
      <c r="AI1605" s="86">
        <f>+AH1605/(1-Analisis!G1236)</f>
        <v>0</v>
      </c>
      <c r="AJ1605" s="86">
        <f t="shared" si="642"/>
        <v>0</v>
      </c>
      <c r="AK1605" s="86">
        <f t="shared" si="643"/>
        <v>0</v>
      </c>
      <c r="AL1605" s="310" t="e">
        <f>+VLOOKUP(B1605,#REF!,2,FALSE)</f>
        <v>#REF!</v>
      </c>
      <c r="AM1605" s="311" t="e">
        <f t="shared" si="644"/>
        <v>#REF!</v>
      </c>
      <c r="AN1605" s="312" t="e">
        <f t="shared" si="645"/>
        <v>#REF!</v>
      </c>
    </row>
    <row r="1606" spans="1:40" s="73" customFormat="1" x14ac:dyDescent="0.25">
      <c r="A1606" s="313"/>
      <c r="B1606" s="314"/>
      <c r="D1606" s="74">
        <f>IFERROR(VLOOKUP(B1606,'REQ. PINTADO'!B:C,2,0),0)</f>
        <v>0</v>
      </c>
      <c r="E1606" s="305">
        <f t="shared" si="632"/>
        <v>0</v>
      </c>
      <c r="F1606" s="103" t="s">
        <v>163</v>
      </c>
      <c r="G1606" s="75" t="s">
        <v>147</v>
      </c>
      <c r="H1606" s="90"/>
      <c r="I1606" s="90"/>
      <c r="J1606" s="76">
        <v>0.105</v>
      </c>
      <c r="K1606" s="306">
        <v>16.38</v>
      </c>
      <c r="L1606" s="78">
        <f t="shared" si="633"/>
        <v>0</v>
      </c>
      <c r="M1606" s="58">
        <f>+VLOOKUP(F1606,Material!$H$2:$M$17,6,FALSE)*H1606*I1606*(1+Material!$K$14)</f>
        <v>0</v>
      </c>
      <c r="N1606" s="79" t="str">
        <f>+N1225</f>
        <v>T5.0</v>
      </c>
      <c r="O1606" s="80">
        <f>+VLOOKUP(N1606,[3]Material!$A$3:$B$58,2,FALSE)</f>
        <v>5000</v>
      </c>
      <c r="P1606" s="79" t="s">
        <v>42</v>
      </c>
      <c r="Q1606" s="79" t="str">
        <f>+VLOOKUP(F1606,[3]Material!$C$2:$E$12,2,FALSE)</f>
        <v>Cal 12</v>
      </c>
      <c r="R1606" s="81">
        <f>+IF(P1606="ACERO A36",VLOOKUP(Q1606,'[3]Velocidades Std 1500 w'!$B$2:$F$15,5,FALSE),IF(P1606="INOXIDABLE",VLOOKUP(Q1606,'[3]Velocidades Std 1500 w'!$B$17:$F$28,5,FALSE),IF(P1606="ALUMINIO",VLOOKUP(Q1606,'[3]Velocidades Std 1500 w'!$B$30:$F$38,5,FALSE))))</f>
        <v>4.3859649122807014E-6</v>
      </c>
      <c r="S1606" s="82">
        <f t="shared" si="634"/>
        <v>2.1929824561403508E-2</v>
      </c>
      <c r="T1606" s="83">
        <f t="shared" si="635"/>
        <v>0</v>
      </c>
      <c r="U1606" s="307">
        <f t="shared" si="636"/>
        <v>0</v>
      </c>
      <c r="V1606" s="80">
        <f t="shared" si="637"/>
        <v>0</v>
      </c>
      <c r="W1606" s="98"/>
      <c r="X1606" s="84">
        <f>+IF(P1606="ACERO A36",VLOOKUP(Q1606,'[3]Tiempo Objeto'!$B$2:$C$12,2,FALSE),IF(P1606="INOXIDABLE",VLOOKUP(Q1606,'[3]Tiempo Objeto'!$B$14:$C$22,2,FALSE),IF(P1606="ALUMINIO",VLOOKUP(Q1606,'[3]Tiempo Objeto'!$B$24:$C$32,2,FALSE))))</f>
        <v>0.6133333333333334</v>
      </c>
      <c r="Y1606" s="84">
        <f t="shared" si="638"/>
        <v>0</v>
      </c>
      <c r="Z1606" s="80">
        <f t="shared" si="639"/>
        <v>0</v>
      </c>
      <c r="AA1606" s="100"/>
      <c r="AB1606" s="86">
        <f>+AA1606*Analisis!$J$6</f>
        <v>0</v>
      </c>
      <c r="AC1606" s="100"/>
      <c r="AD1606" s="85">
        <f t="shared" si="640"/>
        <v>0</v>
      </c>
      <c r="AE1606" s="86">
        <f>+AC1606*Analisis!$J$7</f>
        <v>0</v>
      </c>
      <c r="AF1606" s="308">
        <f>+H1606*0.0254*I1606*0.0254*2*(1+[3]Analisis!$G$2)</f>
        <v>0</v>
      </c>
      <c r="AG1606" s="86">
        <f>+AF1606*Analisis!$J$8</f>
        <v>0</v>
      </c>
      <c r="AH1606" s="309">
        <f t="shared" si="641"/>
        <v>0</v>
      </c>
      <c r="AI1606" s="86">
        <f>+AH1606/(1-Analisis!G1237)</f>
        <v>0</v>
      </c>
      <c r="AJ1606" s="86">
        <f t="shared" si="642"/>
        <v>0</v>
      </c>
      <c r="AK1606" s="86">
        <f t="shared" si="643"/>
        <v>0</v>
      </c>
      <c r="AL1606" s="310" t="e">
        <f>+VLOOKUP(B1606,#REF!,2,FALSE)</f>
        <v>#REF!</v>
      </c>
      <c r="AM1606" s="311" t="e">
        <f t="shared" si="644"/>
        <v>#REF!</v>
      </c>
      <c r="AN1606" s="312" t="e">
        <f t="shared" si="645"/>
        <v>#REF!</v>
      </c>
    </row>
    <row r="1607" spans="1:40" s="73" customFormat="1" x14ac:dyDescent="0.25">
      <c r="A1607" s="313"/>
      <c r="B1607" s="314"/>
      <c r="D1607" s="74">
        <f>IFERROR(VLOOKUP(B1607,'REQ. PINTADO'!B:C,2,0),0)</f>
        <v>0</v>
      </c>
      <c r="E1607" s="305">
        <f t="shared" si="632"/>
        <v>0</v>
      </c>
      <c r="F1607" s="103" t="s">
        <v>163</v>
      </c>
      <c r="G1607" s="75" t="s">
        <v>147</v>
      </c>
      <c r="H1607" s="90"/>
      <c r="I1607" s="90"/>
      <c r="J1607" s="76">
        <v>0.105</v>
      </c>
      <c r="K1607" s="306">
        <v>16.38</v>
      </c>
      <c r="L1607" s="78">
        <f t="shared" si="633"/>
        <v>0</v>
      </c>
      <c r="M1607" s="58">
        <f>+VLOOKUP(F1607,Material!$H$2:$M$17,6,FALSE)*H1607*I1607*(1+Material!$K$14)</f>
        <v>0</v>
      </c>
      <c r="N1607" s="79" t="str">
        <f>+N1226</f>
        <v>T5.0</v>
      </c>
      <c r="O1607" s="80">
        <f>+VLOOKUP(N1607,[3]Material!$A$3:$B$58,2,FALSE)</f>
        <v>5000</v>
      </c>
      <c r="P1607" s="79" t="s">
        <v>42</v>
      </c>
      <c r="Q1607" s="79" t="str">
        <f>+VLOOKUP(F1607,[3]Material!$C$2:$E$12,2,FALSE)</f>
        <v>Cal 12</v>
      </c>
      <c r="R1607" s="81">
        <f>+IF(P1607="ACERO A36",VLOOKUP(Q1607,'[3]Velocidades Std 1500 w'!$B$2:$F$15,5,FALSE),IF(P1607="INOXIDABLE",VLOOKUP(Q1607,'[3]Velocidades Std 1500 w'!$B$17:$F$28,5,FALSE),IF(P1607="ALUMINIO",VLOOKUP(Q1607,'[3]Velocidades Std 1500 w'!$B$30:$F$38,5,FALSE))))</f>
        <v>4.3859649122807014E-6</v>
      </c>
      <c r="S1607" s="82">
        <f t="shared" si="634"/>
        <v>2.1929824561403508E-2</v>
      </c>
      <c r="T1607" s="83">
        <f t="shared" si="635"/>
        <v>0</v>
      </c>
      <c r="U1607" s="307">
        <f t="shared" si="636"/>
        <v>0</v>
      </c>
      <c r="V1607" s="80">
        <f t="shared" si="637"/>
        <v>0</v>
      </c>
      <c r="W1607" s="98"/>
      <c r="X1607" s="84">
        <f>+IF(P1607="ACERO A36",VLOOKUP(Q1607,'[3]Tiempo Objeto'!$B$2:$C$12,2,FALSE),IF(P1607="INOXIDABLE",VLOOKUP(Q1607,'[3]Tiempo Objeto'!$B$14:$C$22,2,FALSE),IF(P1607="ALUMINIO",VLOOKUP(Q1607,'[3]Tiempo Objeto'!$B$24:$C$32,2,FALSE))))</f>
        <v>0.6133333333333334</v>
      </c>
      <c r="Y1607" s="84">
        <f t="shared" si="638"/>
        <v>0</v>
      </c>
      <c r="Z1607" s="80">
        <f t="shared" si="639"/>
        <v>0</v>
      </c>
      <c r="AA1607" s="100"/>
      <c r="AB1607" s="86">
        <f>+AA1607*Analisis!$J$6</f>
        <v>0</v>
      </c>
      <c r="AC1607" s="100"/>
      <c r="AD1607" s="85">
        <f t="shared" si="640"/>
        <v>0</v>
      </c>
      <c r="AE1607" s="86">
        <f>+AC1607*Analisis!$J$7</f>
        <v>0</v>
      </c>
      <c r="AF1607" s="308">
        <f>+H1607*0.0254*I1607*0.0254*2*(1+[3]Analisis!$G$2)</f>
        <v>0</v>
      </c>
      <c r="AG1607" s="86">
        <f>+AF1607*Analisis!$J$8</f>
        <v>0</v>
      </c>
      <c r="AH1607" s="309">
        <f t="shared" si="641"/>
        <v>0</v>
      </c>
      <c r="AI1607" s="86">
        <f>+AH1607/(1-Analisis!G1238)</f>
        <v>0</v>
      </c>
      <c r="AJ1607" s="86">
        <f t="shared" si="642"/>
        <v>0</v>
      </c>
      <c r="AK1607" s="86">
        <f t="shared" si="643"/>
        <v>0</v>
      </c>
      <c r="AL1607" s="310" t="e">
        <f>+VLOOKUP(B1607,#REF!,2,FALSE)</f>
        <v>#REF!</v>
      </c>
      <c r="AM1607" s="311" t="e">
        <f t="shared" si="644"/>
        <v>#REF!</v>
      </c>
      <c r="AN1607" s="312" t="e">
        <f t="shared" si="645"/>
        <v>#REF!</v>
      </c>
    </row>
    <row r="1608" spans="1:40" s="73" customFormat="1" x14ac:dyDescent="0.25">
      <c r="A1608" s="313"/>
      <c r="B1608" s="314"/>
      <c r="D1608" s="74">
        <f>IFERROR(VLOOKUP(B1608,'REQ. PINTADO'!B:C,2,0),0)</f>
        <v>0</v>
      </c>
      <c r="E1608" s="305">
        <f t="shared" si="632"/>
        <v>0</v>
      </c>
      <c r="F1608" s="103" t="s">
        <v>163</v>
      </c>
      <c r="G1608" s="75" t="s">
        <v>147</v>
      </c>
      <c r="H1608" s="90"/>
      <c r="I1608" s="90"/>
      <c r="J1608" s="76">
        <v>0.105</v>
      </c>
      <c r="K1608" s="306">
        <v>16.38</v>
      </c>
      <c r="L1608" s="78">
        <f t="shared" si="633"/>
        <v>0</v>
      </c>
      <c r="M1608" s="58">
        <f>+VLOOKUP(F1608,Material!$H$2:$M$17,6,FALSE)*H1608*I1608*(1+Material!$K$14)</f>
        <v>0</v>
      </c>
      <c r="N1608" s="79" t="str">
        <f>+N1227</f>
        <v>T5.0</v>
      </c>
      <c r="O1608" s="80">
        <f>+VLOOKUP(N1608,[3]Material!$A$3:$B$58,2,FALSE)</f>
        <v>5000</v>
      </c>
      <c r="P1608" s="79" t="s">
        <v>42</v>
      </c>
      <c r="Q1608" s="79" t="str">
        <f>+VLOOKUP(F1608,[3]Material!$C$2:$E$12,2,FALSE)</f>
        <v>Cal 12</v>
      </c>
      <c r="R1608" s="81">
        <f>+IF(P1608="ACERO A36",VLOOKUP(Q1608,'[3]Velocidades Std 1500 w'!$B$2:$F$15,5,FALSE),IF(P1608="INOXIDABLE",VLOOKUP(Q1608,'[3]Velocidades Std 1500 w'!$B$17:$F$28,5,FALSE),IF(P1608="ALUMINIO",VLOOKUP(Q1608,'[3]Velocidades Std 1500 w'!$B$30:$F$38,5,FALSE))))</f>
        <v>4.3859649122807014E-6</v>
      </c>
      <c r="S1608" s="82">
        <f t="shared" si="634"/>
        <v>2.1929824561403508E-2</v>
      </c>
      <c r="T1608" s="83">
        <f t="shared" si="635"/>
        <v>0</v>
      </c>
      <c r="U1608" s="307">
        <f t="shared" si="636"/>
        <v>0</v>
      </c>
      <c r="V1608" s="80">
        <f t="shared" si="637"/>
        <v>0</v>
      </c>
      <c r="W1608" s="98"/>
      <c r="X1608" s="84">
        <f>+IF(P1608="ACERO A36",VLOOKUP(Q1608,'[3]Tiempo Objeto'!$B$2:$C$12,2,FALSE),IF(P1608="INOXIDABLE",VLOOKUP(Q1608,'[3]Tiempo Objeto'!$B$14:$C$22,2,FALSE),IF(P1608="ALUMINIO",VLOOKUP(Q1608,'[3]Tiempo Objeto'!$B$24:$C$32,2,FALSE))))</f>
        <v>0.6133333333333334</v>
      </c>
      <c r="Y1608" s="84">
        <f t="shared" si="638"/>
        <v>0</v>
      </c>
      <c r="Z1608" s="80">
        <f t="shared" si="639"/>
        <v>0</v>
      </c>
      <c r="AA1608" s="100"/>
      <c r="AB1608" s="86">
        <f>+AA1608*Analisis!$J$6</f>
        <v>0</v>
      </c>
      <c r="AC1608" s="100"/>
      <c r="AD1608" s="85">
        <f t="shared" si="640"/>
        <v>0</v>
      </c>
      <c r="AE1608" s="86">
        <f>+AC1608*Analisis!$J$7</f>
        <v>0</v>
      </c>
      <c r="AF1608" s="308">
        <f>+H1608*0.0254*I1608*0.0254*2*(1+[3]Analisis!$G$2)</f>
        <v>0</v>
      </c>
      <c r="AG1608" s="86">
        <f>+AF1608*Analisis!$J$8</f>
        <v>0</v>
      </c>
      <c r="AH1608" s="309">
        <f t="shared" si="641"/>
        <v>0</v>
      </c>
      <c r="AI1608" s="86">
        <f>+AH1608/(1-Analisis!G1239)</f>
        <v>0</v>
      </c>
      <c r="AJ1608" s="86">
        <f t="shared" si="642"/>
        <v>0</v>
      </c>
      <c r="AK1608" s="86">
        <f t="shared" si="643"/>
        <v>0</v>
      </c>
      <c r="AL1608" s="310" t="e">
        <f>+VLOOKUP(B1608,#REF!,2,FALSE)</f>
        <v>#REF!</v>
      </c>
      <c r="AM1608" s="311" t="e">
        <f t="shared" si="644"/>
        <v>#REF!</v>
      </c>
      <c r="AN1608" s="312" t="e">
        <f t="shared" si="645"/>
        <v>#REF!</v>
      </c>
    </row>
    <row r="1609" spans="1:40" s="73" customFormat="1" x14ac:dyDescent="0.25">
      <c r="A1609" s="313"/>
      <c r="B1609" s="314"/>
      <c r="D1609" s="74">
        <f>IFERROR(VLOOKUP(B1609,'REQ. PINTADO'!B:C,2,0),0)</f>
        <v>0</v>
      </c>
      <c r="E1609" s="305">
        <f t="shared" si="632"/>
        <v>0</v>
      </c>
      <c r="F1609" s="103" t="s">
        <v>163</v>
      </c>
      <c r="G1609" s="75" t="s">
        <v>147</v>
      </c>
      <c r="H1609" s="90"/>
      <c r="I1609" s="90"/>
      <c r="J1609" s="76">
        <v>0.105</v>
      </c>
      <c r="K1609" s="306">
        <v>16.38</v>
      </c>
      <c r="L1609" s="78">
        <f t="shared" si="633"/>
        <v>0</v>
      </c>
      <c r="M1609" s="58">
        <f>+VLOOKUP(F1609,Material!$H$2:$M$17,6,FALSE)*H1609*I1609*(1+Material!$K$14)</f>
        <v>0</v>
      </c>
      <c r="N1609" s="79" t="str">
        <f>+N1228</f>
        <v>T5.0</v>
      </c>
      <c r="O1609" s="80">
        <f>+VLOOKUP(N1609,[3]Material!$A$3:$B$58,2,FALSE)</f>
        <v>5000</v>
      </c>
      <c r="P1609" s="79" t="s">
        <v>42</v>
      </c>
      <c r="Q1609" s="79" t="str">
        <f>+VLOOKUP(F1609,[3]Material!$C$2:$E$12,2,FALSE)</f>
        <v>Cal 12</v>
      </c>
      <c r="R1609" s="81">
        <f>+IF(P1609="ACERO A36",VLOOKUP(Q1609,'[3]Velocidades Std 1500 w'!$B$2:$F$15,5,FALSE),IF(P1609="INOXIDABLE",VLOOKUP(Q1609,'[3]Velocidades Std 1500 w'!$B$17:$F$28,5,FALSE),IF(P1609="ALUMINIO",VLOOKUP(Q1609,'[3]Velocidades Std 1500 w'!$B$30:$F$38,5,FALSE))))</f>
        <v>4.3859649122807014E-6</v>
      </c>
      <c r="S1609" s="82">
        <f t="shared" si="634"/>
        <v>2.1929824561403508E-2</v>
      </c>
      <c r="T1609" s="83">
        <f t="shared" si="635"/>
        <v>0</v>
      </c>
      <c r="U1609" s="307">
        <f t="shared" si="636"/>
        <v>0</v>
      </c>
      <c r="V1609" s="80">
        <f t="shared" si="637"/>
        <v>0</v>
      </c>
      <c r="W1609" s="98"/>
      <c r="X1609" s="84">
        <f>+IF(P1609="ACERO A36",VLOOKUP(Q1609,'[3]Tiempo Objeto'!$B$2:$C$12,2,FALSE),IF(P1609="INOXIDABLE",VLOOKUP(Q1609,'[3]Tiempo Objeto'!$B$14:$C$22,2,FALSE),IF(P1609="ALUMINIO",VLOOKUP(Q1609,'[3]Tiempo Objeto'!$B$24:$C$32,2,FALSE))))</f>
        <v>0.6133333333333334</v>
      </c>
      <c r="Y1609" s="84">
        <f t="shared" si="638"/>
        <v>0</v>
      </c>
      <c r="Z1609" s="80">
        <f t="shared" si="639"/>
        <v>0</v>
      </c>
      <c r="AA1609" s="100"/>
      <c r="AB1609" s="86">
        <f>+AA1609*Analisis!$J$6</f>
        <v>0</v>
      </c>
      <c r="AC1609" s="100"/>
      <c r="AD1609" s="85">
        <f t="shared" si="640"/>
        <v>0</v>
      </c>
      <c r="AE1609" s="86">
        <f>+AC1609*Analisis!$J$7</f>
        <v>0</v>
      </c>
      <c r="AF1609" s="308">
        <f>+H1609*0.0254*I1609*0.0254*2*(1+[3]Analisis!$G$2)</f>
        <v>0</v>
      </c>
      <c r="AG1609" s="86">
        <f>+AF1609*Analisis!$J$8</f>
        <v>0</v>
      </c>
      <c r="AH1609" s="309">
        <f t="shared" si="641"/>
        <v>0</v>
      </c>
      <c r="AI1609" s="86">
        <f>+AH1609/(1-Analisis!G1240)</f>
        <v>0</v>
      </c>
      <c r="AJ1609" s="86">
        <f t="shared" si="642"/>
        <v>0</v>
      </c>
      <c r="AK1609" s="86">
        <f t="shared" si="643"/>
        <v>0</v>
      </c>
      <c r="AL1609" s="310" t="e">
        <f>+VLOOKUP(B1609,#REF!,2,FALSE)</f>
        <v>#REF!</v>
      </c>
      <c r="AM1609" s="311" t="e">
        <f t="shared" si="644"/>
        <v>#REF!</v>
      </c>
      <c r="AN1609" s="312" t="e">
        <f t="shared" si="645"/>
        <v>#REF!</v>
      </c>
    </row>
    <row r="1610" spans="1:40" s="73" customFormat="1" x14ac:dyDescent="0.25">
      <c r="A1610" s="313"/>
      <c r="B1610" s="314"/>
      <c r="D1610" s="74">
        <f>IFERROR(VLOOKUP(B1610,'REQ. PINTADO'!B:C,2,0),0)</f>
        <v>0</v>
      </c>
      <c r="E1610" s="305">
        <f t="shared" si="632"/>
        <v>0</v>
      </c>
      <c r="F1610" s="103" t="s">
        <v>163</v>
      </c>
      <c r="G1610" s="75" t="s">
        <v>147</v>
      </c>
      <c r="H1610" s="90"/>
      <c r="I1610" s="90"/>
      <c r="J1610" s="76">
        <v>0.105</v>
      </c>
      <c r="K1610" s="306">
        <v>16.38</v>
      </c>
      <c r="L1610" s="78">
        <f t="shared" si="633"/>
        <v>0</v>
      </c>
      <c r="M1610" s="58">
        <f>+VLOOKUP(F1610,Material!$H$2:$M$17,6,FALSE)*H1610*I1610*(1+Material!$K$14)</f>
        <v>0</v>
      </c>
      <c r="N1610" s="79" t="str">
        <f>+N1229</f>
        <v>T5.0</v>
      </c>
      <c r="O1610" s="80">
        <f>+VLOOKUP(N1610,[3]Material!$A$3:$B$58,2,FALSE)</f>
        <v>5000</v>
      </c>
      <c r="P1610" s="79" t="s">
        <v>42</v>
      </c>
      <c r="Q1610" s="79" t="str">
        <f>+VLOOKUP(F1610,[3]Material!$C$2:$E$12,2,FALSE)</f>
        <v>Cal 12</v>
      </c>
      <c r="R1610" s="81">
        <f>+IF(P1610="ACERO A36",VLOOKUP(Q1610,'[3]Velocidades Std 1500 w'!$B$2:$F$15,5,FALSE),IF(P1610="INOXIDABLE",VLOOKUP(Q1610,'[3]Velocidades Std 1500 w'!$B$17:$F$28,5,FALSE),IF(P1610="ALUMINIO",VLOOKUP(Q1610,'[3]Velocidades Std 1500 w'!$B$30:$F$38,5,FALSE))))</f>
        <v>4.3859649122807014E-6</v>
      </c>
      <c r="S1610" s="82">
        <f t="shared" si="634"/>
        <v>2.1929824561403508E-2</v>
      </c>
      <c r="T1610" s="83">
        <f t="shared" si="635"/>
        <v>0</v>
      </c>
      <c r="U1610" s="307">
        <f t="shared" si="636"/>
        <v>0</v>
      </c>
      <c r="V1610" s="80">
        <f t="shared" si="637"/>
        <v>0</v>
      </c>
      <c r="W1610" s="98"/>
      <c r="X1610" s="84">
        <f>+IF(P1610="ACERO A36",VLOOKUP(Q1610,'[3]Tiempo Objeto'!$B$2:$C$12,2,FALSE),IF(P1610="INOXIDABLE",VLOOKUP(Q1610,'[3]Tiempo Objeto'!$B$14:$C$22,2,FALSE),IF(P1610="ALUMINIO",VLOOKUP(Q1610,'[3]Tiempo Objeto'!$B$24:$C$32,2,FALSE))))</f>
        <v>0.6133333333333334</v>
      </c>
      <c r="Y1610" s="84">
        <f t="shared" si="638"/>
        <v>0</v>
      </c>
      <c r="Z1610" s="80">
        <f t="shared" si="639"/>
        <v>0</v>
      </c>
      <c r="AA1610" s="100"/>
      <c r="AB1610" s="86">
        <f>+AA1610*Analisis!$J$6</f>
        <v>0</v>
      </c>
      <c r="AC1610" s="100"/>
      <c r="AD1610" s="85">
        <f t="shared" si="640"/>
        <v>0</v>
      </c>
      <c r="AE1610" s="86">
        <f>+AC1610*Analisis!$J$7</f>
        <v>0</v>
      </c>
      <c r="AF1610" s="308">
        <f>+H1610*0.0254*I1610*0.0254*2*(1+[3]Analisis!$G$2)</f>
        <v>0</v>
      </c>
      <c r="AG1610" s="86">
        <f>+AF1610*Analisis!$J$8</f>
        <v>0</v>
      </c>
      <c r="AH1610" s="309">
        <f t="shared" si="641"/>
        <v>0</v>
      </c>
      <c r="AI1610" s="86">
        <f>+AH1610/(1-Analisis!G1241)</f>
        <v>0</v>
      </c>
      <c r="AJ1610" s="86">
        <f t="shared" si="642"/>
        <v>0</v>
      </c>
      <c r="AK1610" s="86">
        <f t="shared" si="643"/>
        <v>0</v>
      </c>
      <c r="AL1610" s="310" t="e">
        <f>+VLOOKUP(B1610,#REF!,2,FALSE)</f>
        <v>#REF!</v>
      </c>
      <c r="AM1610" s="311" t="e">
        <f t="shared" si="644"/>
        <v>#REF!</v>
      </c>
      <c r="AN1610" s="312" t="e">
        <f t="shared" si="645"/>
        <v>#REF!</v>
      </c>
    </row>
    <row r="1611" spans="1:40" s="73" customFormat="1" x14ac:dyDescent="0.25">
      <c r="A1611" s="313"/>
      <c r="B1611" s="314"/>
      <c r="D1611" s="74">
        <f>IFERROR(VLOOKUP(B1611,'REQ. PINTADO'!B:C,2,0),0)</f>
        <v>0</v>
      </c>
      <c r="E1611" s="305">
        <f t="shared" si="632"/>
        <v>0</v>
      </c>
      <c r="F1611" s="103" t="s">
        <v>163</v>
      </c>
      <c r="G1611" s="75" t="s">
        <v>147</v>
      </c>
      <c r="H1611" s="90"/>
      <c r="I1611" s="90"/>
      <c r="J1611" s="76">
        <v>0.105</v>
      </c>
      <c r="K1611" s="306">
        <v>16.38</v>
      </c>
      <c r="L1611" s="78">
        <f t="shared" si="633"/>
        <v>0</v>
      </c>
      <c r="M1611" s="58">
        <f>+VLOOKUP(F1611,Material!$H$2:$M$17,6,FALSE)*H1611*I1611*(1+Material!$K$14)</f>
        <v>0</v>
      </c>
      <c r="N1611" s="79" t="str">
        <f>+N1230</f>
        <v>T5.0</v>
      </c>
      <c r="O1611" s="80">
        <f>+VLOOKUP(N1611,[3]Material!$A$3:$B$58,2,FALSE)</f>
        <v>5000</v>
      </c>
      <c r="P1611" s="79" t="s">
        <v>42</v>
      </c>
      <c r="Q1611" s="79" t="str">
        <f>+VLOOKUP(F1611,[3]Material!$C$2:$E$12,2,FALSE)</f>
        <v>Cal 12</v>
      </c>
      <c r="R1611" s="81">
        <f>+IF(P1611="ACERO A36",VLOOKUP(Q1611,'[3]Velocidades Std 1500 w'!$B$2:$F$15,5,FALSE),IF(P1611="INOXIDABLE",VLOOKUP(Q1611,'[3]Velocidades Std 1500 w'!$B$17:$F$28,5,FALSE),IF(P1611="ALUMINIO",VLOOKUP(Q1611,'[3]Velocidades Std 1500 w'!$B$30:$F$38,5,FALSE))))</f>
        <v>4.3859649122807014E-6</v>
      </c>
      <c r="S1611" s="82">
        <f t="shared" si="634"/>
        <v>2.1929824561403508E-2</v>
      </c>
      <c r="T1611" s="83">
        <f t="shared" si="635"/>
        <v>0</v>
      </c>
      <c r="U1611" s="307">
        <f t="shared" si="636"/>
        <v>0</v>
      </c>
      <c r="V1611" s="80">
        <f t="shared" si="637"/>
        <v>0</v>
      </c>
      <c r="W1611" s="98"/>
      <c r="X1611" s="84">
        <f>+IF(P1611="ACERO A36",VLOOKUP(Q1611,'[3]Tiempo Objeto'!$B$2:$C$12,2,FALSE),IF(P1611="INOXIDABLE",VLOOKUP(Q1611,'[3]Tiempo Objeto'!$B$14:$C$22,2,FALSE),IF(P1611="ALUMINIO",VLOOKUP(Q1611,'[3]Tiempo Objeto'!$B$24:$C$32,2,FALSE))))</f>
        <v>0.6133333333333334</v>
      </c>
      <c r="Y1611" s="84">
        <f t="shared" si="638"/>
        <v>0</v>
      </c>
      <c r="Z1611" s="80">
        <f t="shared" si="639"/>
        <v>0</v>
      </c>
      <c r="AA1611" s="100"/>
      <c r="AB1611" s="86">
        <f>+AA1611*Analisis!$J$6</f>
        <v>0</v>
      </c>
      <c r="AC1611" s="100"/>
      <c r="AD1611" s="85">
        <f t="shared" si="640"/>
        <v>0</v>
      </c>
      <c r="AE1611" s="86">
        <f>+AC1611*Analisis!$J$7</f>
        <v>0</v>
      </c>
      <c r="AF1611" s="308">
        <f>+H1611*0.0254*I1611*0.0254*2*(1+[3]Analisis!$G$2)</f>
        <v>0</v>
      </c>
      <c r="AG1611" s="86">
        <f>+AF1611*Analisis!$J$8</f>
        <v>0</v>
      </c>
      <c r="AH1611" s="309">
        <f t="shared" si="641"/>
        <v>0</v>
      </c>
      <c r="AI1611" s="86">
        <f>+AH1611/(1-Analisis!G1242)</f>
        <v>0</v>
      </c>
      <c r="AJ1611" s="86">
        <f t="shared" si="642"/>
        <v>0</v>
      </c>
      <c r="AK1611" s="86">
        <f t="shared" si="643"/>
        <v>0</v>
      </c>
      <c r="AL1611" s="310" t="e">
        <f>+VLOOKUP(B1611,#REF!,2,FALSE)</f>
        <v>#REF!</v>
      </c>
      <c r="AM1611" s="311" t="e">
        <f t="shared" si="644"/>
        <v>#REF!</v>
      </c>
      <c r="AN1611" s="312" t="e">
        <f t="shared" si="645"/>
        <v>#REF!</v>
      </c>
    </row>
    <row r="1612" spans="1:40" s="73" customFormat="1" x14ac:dyDescent="0.25">
      <c r="A1612" s="313"/>
      <c r="B1612" s="314"/>
      <c r="D1612" s="74">
        <f>IFERROR(VLOOKUP(B1612,'REQ. PINTADO'!B:C,2,0),0)</f>
        <v>0</v>
      </c>
      <c r="E1612" s="305">
        <f t="shared" si="632"/>
        <v>0</v>
      </c>
      <c r="F1612" s="103" t="s">
        <v>163</v>
      </c>
      <c r="G1612" s="75" t="s">
        <v>147</v>
      </c>
      <c r="H1612" s="90"/>
      <c r="I1612" s="90"/>
      <c r="J1612" s="76">
        <v>0.105</v>
      </c>
      <c r="K1612" s="306">
        <v>16.38</v>
      </c>
      <c r="L1612" s="78">
        <f t="shared" si="633"/>
        <v>0</v>
      </c>
      <c r="M1612" s="58">
        <f>+VLOOKUP(F1612,Material!$H$2:$M$17,6,FALSE)*H1612*I1612*(1+Material!$K$14)</f>
        <v>0</v>
      </c>
      <c r="N1612" s="79" t="str">
        <f>+N1231</f>
        <v>T5.0</v>
      </c>
      <c r="O1612" s="80">
        <f>+VLOOKUP(N1612,[3]Material!$A$3:$B$58,2,FALSE)</f>
        <v>5000</v>
      </c>
      <c r="P1612" s="79" t="s">
        <v>42</v>
      </c>
      <c r="Q1612" s="79" t="str">
        <f>+VLOOKUP(F1612,[3]Material!$C$2:$E$12,2,FALSE)</f>
        <v>Cal 12</v>
      </c>
      <c r="R1612" s="81">
        <f>+IF(P1612="ACERO A36",VLOOKUP(Q1612,'[3]Velocidades Std 1500 w'!$B$2:$F$15,5,FALSE),IF(P1612="INOXIDABLE",VLOOKUP(Q1612,'[3]Velocidades Std 1500 w'!$B$17:$F$28,5,FALSE),IF(P1612="ALUMINIO",VLOOKUP(Q1612,'[3]Velocidades Std 1500 w'!$B$30:$F$38,5,FALSE))))</f>
        <v>4.3859649122807014E-6</v>
      </c>
      <c r="S1612" s="82">
        <f t="shared" si="634"/>
        <v>2.1929824561403508E-2</v>
      </c>
      <c r="T1612" s="83">
        <f t="shared" si="635"/>
        <v>0</v>
      </c>
      <c r="U1612" s="307">
        <f t="shared" si="636"/>
        <v>0</v>
      </c>
      <c r="V1612" s="80">
        <f t="shared" si="637"/>
        <v>0</v>
      </c>
      <c r="W1612" s="98"/>
      <c r="X1612" s="84">
        <f>+IF(P1612="ACERO A36",VLOOKUP(Q1612,'[3]Tiempo Objeto'!$B$2:$C$12,2,FALSE),IF(P1612="INOXIDABLE",VLOOKUP(Q1612,'[3]Tiempo Objeto'!$B$14:$C$22,2,FALSE),IF(P1612="ALUMINIO",VLOOKUP(Q1612,'[3]Tiempo Objeto'!$B$24:$C$32,2,FALSE))))</f>
        <v>0.6133333333333334</v>
      </c>
      <c r="Y1612" s="84">
        <f t="shared" si="638"/>
        <v>0</v>
      </c>
      <c r="Z1612" s="80">
        <f t="shared" si="639"/>
        <v>0</v>
      </c>
      <c r="AA1612" s="100"/>
      <c r="AB1612" s="86">
        <f>+AA1612*Analisis!$J$6</f>
        <v>0</v>
      </c>
      <c r="AC1612" s="100"/>
      <c r="AD1612" s="85">
        <f t="shared" si="640"/>
        <v>0</v>
      </c>
      <c r="AE1612" s="86">
        <f>+AC1612*Analisis!$J$7</f>
        <v>0</v>
      </c>
      <c r="AF1612" s="308">
        <f>+H1612*0.0254*I1612*0.0254*2*(1+[3]Analisis!$G$2)</f>
        <v>0</v>
      </c>
      <c r="AG1612" s="86">
        <f>+AF1612*Analisis!$J$8</f>
        <v>0</v>
      </c>
      <c r="AH1612" s="309">
        <f t="shared" si="641"/>
        <v>0</v>
      </c>
      <c r="AI1612" s="86">
        <f>+AH1612/(1-Analisis!G1243)</f>
        <v>0</v>
      </c>
      <c r="AJ1612" s="86">
        <f t="shared" si="642"/>
        <v>0</v>
      </c>
      <c r="AK1612" s="86">
        <f t="shared" si="643"/>
        <v>0</v>
      </c>
      <c r="AL1612" s="310" t="e">
        <f>+VLOOKUP(B1612,#REF!,2,FALSE)</f>
        <v>#REF!</v>
      </c>
      <c r="AM1612" s="311" t="e">
        <f t="shared" si="644"/>
        <v>#REF!</v>
      </c>
      <c r="AN1612" s="312" t="e">
        <f t="shared" si="645"/>
        <v>#REF!</v>
      </c>
    </row>
    <row r="1613" spans="1:40" s="73" customFormat="1" x14ac:dyDescent="0.25">
      <c r="A1613" s="313"/>
      <c r="B1613" s="314"/>
      <c r="D1613" s="74">
        <f>IFERROR(VLOOKUP(B1613,'REQ. PINTADO'!B:C,2,0),0)</f>
        <v>0</v>
      </c>
      <c r="E1613" s="305">
        <f t="shared" si="632"/>
        <v>0</v>
      </c>
      <c r="F1613" s="103" t="s">
        <v>163</v>
      </c>
      <c r="G1613" s="75" t="s">
        <v>147</v>
      </c>
      <c r="H1613" s="90"/>
      <c r="I1613" s="90"/>
      <c r="J1613" s="76">
        <v>0.105</v>
      </c>
      <c r="K1613" s="306">
        <v>16.38</v>
      </c>
      <c r="L1613" s="78">
        <f t="shared" si="633"/>
        <v>0</v>
      </c>
      <c r="M1613" s="58">
        <f>+VLOOKUP(F1613,Material!$H$2:$M$17,6,FALSE)*H1613*I1613*(1+Material!$K$14)</f>
        <v>0</v>
      </c>
      <c r="N1613" s="79" t="str">
        <f>+N1232</f>
        <v>T5.0</v>
      </c>
      <c r="O1613" s="80">
        <f>+VLOOKUP(N1613,[3]Material!$A$3:$B$58,2,FALSE)</f>
        <v>5000</v>
      </c>
      <c r="P1613" s="79" t="s">
        <v>42</v>
      </c>
      <c r="Q1613" s="79" t="str">
        <f>+VLOOKUP(F1613,[3]Material!$C$2:$E$12,2,FALSE)</f>
        <v>Cal 12</v>
      </c>
      <c r="R1613" s="81">
        <f>+IF(P1613="ACERO A36",VLOOKUP(Q1613,'[3]Velocidades Std 1500 w'!$B$2:$F$15,5,FALSE),IF(P1613="INOXIDABLE",VLOOKUP(Q1613,'[3]Velocidades Std 1500 w'!$B$17:$F$28,5,FALSE),IF(P1613="ALUMINIO",VLOOKUP(Q1613,'[3]Velocidades Std 1500 w'!$B$30:$F$38,5,FALSE))))</f>
        <v>4.3859649122807014E-6</v>
      </c>
      <c r="S1613" s="82">
        <f t="shared" si="634"/>
        <v>2.1929824561403508E-2</v>
      </c>
      <c r="T1613" s="83">
        <f t="shared" si="635"/>
        <v>0</v>
      </c>
      <c r="U1613" s="307">
        <f t="shared" si="636"/>
        <v>0</v>
      </c>
      <c r="V1613" s="80">
        <f t="shared" si="637"/>
        <v>0</v>
      </c>
      <c r="W1613" s="98"/>
      <c r="X1613" s="84">
        <f>+IF(P1613="ACERO A36",VLOOKUP(Q1613,'[3]Tiempo Objeto'!$B$2:$C$12,2,FALSE),IF(P1613="INOXIDABLE",VLOOKUP(Q1613,'[3]Tiempo Objeto'!$B$14:$C$22,2,FALSE),IF(P1613="ALUMINIO",VLOOKUP(Q1613,'[3]Tiempo Objeto'!$B$24:$C$32,2,FALSE))))</f>
        <v>0.6133333333333334</v>
      </c>
      <c r="Y1613" s="84">
        <f t="shared" si="638"/>
        <v>0</v>
      </c>
      <c r="Z1613" s="80">
        <f t="shared" si="639"/>
        <v>0</v>
      </c>
      <c r="AA1613" s="100"/>
      <c r="AB1613" s="86">
        <f>+AA1613*Analisis!$J$6</f>
        <v>0</v>
      </c>
      <c r="AC1613" s="100"/>
      <c r="AD1613" s="85">
        <f t="shared" si="640"/>
        <v>0</v>
      </c>
      <c r="AE1613" s="86">
        <f>+AC1613*Analisis!$J$7</f>
        <v>0</v>
      </c>
      <c r="AF1613" s="308">
        <f>+H1613*0.0254*I1613*0.0254*2*(1+[3]Analisis!$G$2)</f>
        <v>0</v>
      </c>
      <c r="AG1613" s="86">
        <f>+AF1613*Analisis!$J$8</f>
        <v>0</v>
      </c>
      <c r="AH1613" s="309">
        <f t="shared" si="641"/>
        <v>0</v>
      </c>
      <c r="AI1613" s="86">
        <f>+AH1613/(1-Analisis!G1244)</f>
        <v>0</v>
      </c>
      <c r="AJ1613" s="86">
        <f t="shared" si="642"/>
        <v>0</v>
      </c>
      <c r="AK1613" s="86">
        <f t="shared" si="643"/>
        <v>0</v>
      </c>
      <c r="AL1613" s="310" t="e">
        <f>+VLOOKUP(B1613,#REF!,2,FALSE)</f>
        <v>#REF!</v>
      </c>
      <c r="AM1613" s="311" t="e">
        <f t="shared" si="644"/>
        <v>#REF!</v>
      </c>
      <c r="AN1613" s="312" t="e">
        <f t="shared" si="645"/>
        <v>#REF!</v>
      </c>
    </row>
    <row r="1614" spans="1:40" s="73" customFormat="1" x14ac:dyDescent="0.25">
      <c r="A1614" s="313"/>
      <c r="B1614" s="314"/>
      <c r="D1614" s="74">
        <f>IFERROR(VLOOKUP(B1614,'REQ. PINTADO'!B:C,2,0),0)</f>
        <v>0</v>
      </c>
      <c r="E1614" s="305">
        <f t="shared" si="632"/>
        <v>0</v>
      </c>
      <c r="F1614" s="103" t="s">
        <v>163</v>
      </c>
      <c r="G1614" s="75" t="s">
        <v>147</v>
      </c>
      <c r="H1614" s="90"/>
      <c r="I1614" s="90"/>
      <c r="J1614" s="76">
        <v>0.105</v>
      </c>
      <c r="K1614" s="306">
        <v>16.38</v>
      </c>
      <c r="L1614" s="78">
        <f t="shared" si="633"/>
        <v>0</v>
      </c>
      <c r="M1614" s="58">
        <f>+VLOOKUP(F1614,Material!$H$2:$M$17,6,FALSE)*H1614*I1614*(1+Material!$K$14)</f>
        <v>0</v>
      </c>
      <c r="N1614" s="79" t="str">
        <f>+N1233</f>
        <v>T5.0</v>
      </c>
      <c r="O1614" s="80">
        <f>+VLOOKUP(N1614,[3]Material!$A$3:$B$58,2,FALSE)</f>
        <v>5000</v>
      </c>
      <c r="P1614" s="79" t="s">
        <v>42</v>
      </c>
      <c r="Q1614" s="79" t="str">
        <f>+VLOOKUP(F1614,[3]Material!$C$2:$E$12,2,FALSE)</f>
        <v>Cal 12</v>
      </c>
      <c r="R1614" s="81">
        <f>+IF(P1614="ACERO A36",VLOOKUP(Q1614,'[3]Velocidades Std 1500 w'!$B$2:$F$15,5,FALSE),IF(P1614="INOXIDABLE",VLOOKUP(Q1614,'[3]Velocidades Std 1500 w'!$B$17:$F$28,5,FALSE),IF(P1614="ALUMINIO",VLOOKUP(Q1614,'[3]Velocidades Std 1500 w'!$B$30:$F$38,5,FALSE))))</f>
        <v>4.3859649122807014E-6</v>
      </c>
      <c r="S1614" s="82">
        <f t="shared" si="634"/>
        <v>2.1929824561403508E-2</v>
      </c>
      <c r="T1614" s="83">
        <f t="shared" si="635"/>
        <v>0</v>
      </c>
      <c r="U1614" s="307">
        <f t="shared" si="636"/>
        <v>0</v>
      </c>
      <c r="V1614" s="80">
        <f t="shared" si="637"/>
        <v>0</v>
      </c>
      <c r="W1614" s="98"/>
      <c r="X1614" s="84">
        <f>+IF(P1614="ACERO A36",VLOOKUP(Q1614,'[3]Tiempo Objeto'!$B$2:$C$12,2,FALSE),IF(P1614="INOXIDABLE",VLOOKUP(Q1614,'[3]Tiempo Objeto'!$B$14:$C$22,2,FALSE),IF(P1614="ALUMINIO",VLOOKUP(Q1614,'[3]Tiempo Objeto'!$B$24:$C$32,2,FALSE))))</f>
        <v>0.6133333333333334</v>
      </c>
      <c r="Y1614" s="84">
        <f t="shared" si="638"/>
        <v>0</v>
      </c>
      <c r="Z1614" s="80">
        <f t="shared" si="639"/>
        <v>0</v>
      </c>
      <c r="AA1614" s="100"/>
      <c r="AB1614" s="86">
        <f>+AA1614*Analisis!$J$6</f>
        <v>0</v>
      </c>
      <c r="AC1614" s="100"/>
      <c r="AD1614" s="85">
        <f t="shared" si="640"/>
        <v>0</v>
      </c>
      <c r="AE1614" s="86">
        <f>+AC1614*Analisis!$J$7</f>
        <v>0</v>
      </c>
      <c r="AF1614" s="308">
        <f>+H1614*0.0254*I1614*0.0254*2*(1+[3]Analisis!$G$2)</f>
        <v>0</v>
      </c>
      <c r="AG1614" s="86">
        <f>+AF1614*Analisis!$J$8</f>
        <v>0</v>
      </c>
      <c r="AH1614" s="309">
        <f t="shared" si="641"/>
        <v>0</v>
      </c>
      <c r="AI1614" s="86">
        <f>+AH1614/(1-Analisis!G1245)</f>
        <v>0</v>
      </c>
      <c r="AJ1614" s="86">
        <f t="shared" si="642"/>
        <v>0</v>
      </c>
      <c r="AK1614" s="86">
        <f t="shared" si="643"/>
        <v>0</v>
      </c>
      <c r="AL1614" s="310" t="e">
        <f>+VLOOKUP(B1614,#REF!,2,FALSE)</f>
        <v>#REF!</v>
      </c>
      <c r="AM1614" s="311" t="e">
        <f t="shared" si="644"/>
        <v>#REF!</v>
      </c>
      <c r="AN1614" s="312" t="e">
        <f t="shared" si="645"/>
        <v>#REF!</v>
      </c>
    </row>
    <row r="1615" spans="1:40" s="73" customFormat="1" x14ac:dyDescent="0.25">
      <c r="A1615" s="313"/>
      <c r="B1615" s="314"/>
      <c r="D1615" s="74">
        <f>IFERROR(VLOOKUP(B1615,'REQ. PINTADO'!B:C,2,0),0)</f>
        <v>0</v>
      </c>
      <c r="E1615" s="305">
        <f t="shared" si="632"/>
        <v>0</v>
      </c>
      <c r="F1615" s="103" t="s">
        <v>163</v>
      </c>
      <c r="G1615" s="75" t="s">
        <v>147</v>
      </c>
      <c r="H1615" s="90"/>
      <c r="I1615" s="90"/>
      <c r="J1615" s="76">
        <v>0.105</v>
      </c>
      <c r="K1615" s="306">
        <v>16.38</v>
      </c>
      <c r="L1615" s="78">
        <f t="shared" si="633"/>
        <v>0</v>
      </c>
      <c r="M1615" s="58">
        <f>+VLOOKUP(F1615,Material!$H$2:$M$17,6,FALSE)*H1615*I1615*(1+Material!$K$14)</f>
        <v>0</v>
      </c>
      <c r="N1615" s="79" t="str">
        <f>+N1234</f>
        <v>T5.0</v>
      </c>
      <c r="O1615" s="80">
        <f>+VLOOKUP(N1615,[3]Material!$A$3:$B$58,2,FALSE)</f>
        <v>5000</v>
      </c>
      <c r="P1615" s="79" t="s">
        <v>42</v>
      </c>
      <c r="Q1615" s="79" t="str">
        <f>+VLOOKUP(F1615,[3]Material!$C$2:$E$12,2,FALSE)</f>
        <v>Cal 12</v>
      </c>
      <c r="R1615" s="81">
        <f>+IF(P1615="ACERO A36",VLOOKUP(Q1615,'[3]Velocidades Std 1500 w'!$B$2:$F$15,5,FALSE),IF(P1615="INOXIDABLE",VLOOKUP(Q1615,'[3]Velocidades Std 1500 w'!$B$17:$F$28,5,FALSE),IF(P1615="ALUMINIO",VLOOKUP(Q1615,'[3]Velocidades Std 1500 w'!$B$30:$F$38,5,FALSE))))</f>
        <v>4.3859649122807014E-6</v>
      </c>
      <c r="S1615" s="82">
        <f t="shared" si="634"/>
        <v>2.1929824561403508E-2</v>
      </c>
      <c r="T1615" s="83">
        <f t="shared" si="635"/>
        <v>0</v>
      </c>
      <c r="U1615" s="307">
        <f t="shared" si="636"/>
        <v>0</v>
      </c>
      <c r="V1615" s="80">
        <f t="shared" si="637"/>
        <v>0</v>
      </c>
      <c r="W1615" s="98"/>
      <c r="X1615" s="84">
        <f>+IF(P1615="ACERO A36",VLOOKUP(Q1615,'[3]Tiempo Objeto'!$B$2:$C$12,2,FALSE),IF(P1615="INOXIDABLE",VLOOKUP(Q1615,'[3]Tiempo Objeto'!$B$14:$C$22,2,FALSE),IF(P1615="ALUMINIO",VLOOKUP(Q1615,'[3]Tiempo Objeto'!$B$24:$C$32,2,FALSE))))</f>
        <v>0.6133333333333334</v>
      </c>
      <c r="Y1615" s="84">
        <f t="shared" si="638"/>
        <v>0</v>
      </c>
      <c r="Z1615" s="80">
        <f t="shared" si="639"/>
        <v>0</v>
      </c>
      <c r="AA1615" s="100"/>
      <c r="AB1615" s="86">
        <f>+AA1615*Analisis!$J$6</f>
        <v>0</v>
      </c>
      <c r="AC1615" s="100"/>
      <c r="AD1615" s="85">
        <f t="shared" si="640"/>
        <v>0</v>
      </c>
      <c r="AE1615" s="86">
        <f>+AC1615*Analisis!$J$7</f>
        <v>0</v>
      </c>
      <c r="AF1615" s="308">
        <f>+H1615*0.0254*I1615*0.0254*2*(1+[3]Analisis!$G$2)</f>
        <v>0</v>
      </c>
      <c r="AG1615" s="86">
        <f>+AF1615*Analisis!$J$8</f>
        <v>0</v>
      </c>
      <c r="AH1615" s="309">
        <f t="shared" si="641"/>
        <v>0</v>
      </c>
      <c r="AI1615" s="86">
        <f>+AH1615/(1-Analisis!G1246)</f>
        <v>0</v>
      </c>
      <c r="AJ1615" s="86">
        <f t="shared" si="642"/>
        <v>0</v>
      </c>
      <c r="AK1615" s="86">
        <f t="shared" si="643"/>
        <v>0</v>
      </c>
      <c r="AL1615" s="310" t="e">
        <f>+VLOOKUP(B1615,#REF!,2,FALSE)</f>
        <v>#REF!</v>
      </c>
      <c r="AM1615" s="311" t="e">
        <f t="shared" si="644"/>
        <v>#REF!</v>
      </c>
      <c r="AN1615" s="312" t="e">
        <f t="shared" si="645"/>
        <v>#REF!</v>
      </c>
    </row>
    <row r="1616" spans="1:40" s="73" customFormat="1" x14ac:dyDescent="0.25">
      <c r="A1616" s="313"/>
      <c r="B1616" s="314"/>
      <c r="D1616" s="74">
        <f>IFERROR(VLOOKUP(B1616,'REQ. PINTADO'!B:C,2,0),0)</f>
        <v>0</v>
      </c>
      <c r="E1616" s="305">
        <f t="shared" si="632"/>
        <v>0</v>
      </c>
      <c r="F1616" s="103" t="s">
        <v>163</v>
      </c>
      <c r="G1616" s="75" t="s">
        <v>147</v>
      </c>
      <c r="H1616" s="90"/>
      <c r="I1616" s="90"/>
      <c r="J1616" s="76">
        <v>0.105</v>
      </c>
      <c r="K1616" s="306">
        <v>16.38</v>
      </c>
      <c r="L1616" s="78">
        <f t="shared" si="633"/>
        <v>0</v>
      </c>
      <c r="M1616" s="58">
        <f>+VLOOKUP(F1616,Material!$H$2:$M$17,6,FALSE)*H1616*I1616*(1+Material!$K$14)</f>
        <v>0</v>
      </c>
      <c r="N1616" s="79" t="str">
        <f>+N1235</f>
        <v>T5.0</v>
      </c>
      <c r="O1616" s="80">
        <f>+VLOOKUP(N1616,[3]Material!$A$3:$B$58,2,FALSE)</f>
        <v>5000</v>
      </c>
      <c r="P1616" s="79" t="s">
        <v>42</v>
      </c>
      <c r="Q1616" s="79" t="str">
        <f>+VLOOKUP(F1616,[3]Material!$C$2:$E$12,2,FALSE)</f>
        <v>Cal 12</v>
      </c>
      <c r="R1616" s="81">
        <f>+IF(P1616="ACERO A36",VLOOKUP(Q1616,'[3]Velocidades Std 1500 w'!$B$2:$F$15,5,FALSE),IF(P1616="INOXIDABLE",VLOOKUP(Q1616,'[3]Velocidades Std 1500 w'!$B$17:$F$28,5,FALSE),IF(P1616="ALUMINIO",VLOOKUP(Q1616,'[3]Velocidades Std 1500 w'!$B$30:$F$38,5,FALSE))))</f>
        <v>4.3859649122807014E-6</v>
      </c>
      <c r="S1616" s="82">
        <f t="shared" si="634"/>
        <v>2.1929824561403508E-2</v>
      </c>
      <c r="T1616" s="83">
        <f t="shared" si="635"/>
        <v>0</v>
      </c>
      <c r="U1616" s="307">
        <f t="shared" si="636"/>
        <v>0</v>
      </c>
      <c r="V1616" s="80">
        <f t="shared" si="637"/>
        <v>0</v>
      </c>
      <c r="W1616" s="98"/>
      <c r="X1616" s="84">
        <f>+IF(P1616="ACERO A36",VLOOKUP(Q1616,'[3]Tiempo Objeto'!$B$2:$C$12,2,FALSE),IF(P1616="INOXIDABLE",VLOOKUP(Q1616,'[3]Tiempo Objeto'!$B$14:$C$22,2,FALSE),IF(P1616="ALUMINIO",VLOOKUP(Q1616,'[3]Tiempo Objeto'!$B$24:$C$32,2,FALSE))))</f>
        <v>0.6133333333333334</v>
      </c>
      <c r="Y1616" s="84">
        <f t="shared" si="638"/>
        <v>0</v>
      </c>
      <c r="Z1616" s="80">
        <f t="shared" si="639"/>
        <v>0</v>
      </c>
      <c r="AA1616" s="100"/>
      <c r="AB1616" s="86">
        <f>+AA1616*Analisis!$J$6</f>
        <v>0</v>
      </c>
      <c r="AC1616" s="100"/>
      <c r="AD1616" s="85">
        <f t="shared" si="640"/>
        <v>0</v>
      </c>
      <c r="AE1616" s="86">
        <f>+AC1616*Analisis!$J$7</f>
        <v>0</v>
      </c>
      <c r="AF1616" s="308">
        <f>+H1616*0.0254*I1616*0.0254*2*(1+[3]Analisis!$G$2)</f>
        <v>0</v>
      </c>
      <c r="AG1616" s="86">
        <f>+AF1616*Analisis!$J$8</f>
        <v>0</v>
      </c>
      <c r="AH1616" s="309">
        <f t="shared" si="641"/>
        <v>0</v>
      </c>
      <c r="AI1616" s="86">
        <f>+AH1616/(1-Analisis!G1247)</f>
        <v>0</v>
      </c>
      <c r="AJ1616" s="86">
        <f t="shared" si="642"/>
        <v>0</v>
      </c>
      <c r="AK1616" s="86">
        <f t="shared" si="643"/>
        <v>0</v>
      </c>
      <c r="AL1616" s="310" t="e">
        <f>+VLOOKUP(B1616,#REF!,2,FALSE)</f>
        <v>#REF!</v>
      </c>
      <c r="AM1616" s="311" t="e">
        <f t="shared" si="644"/>
        <v>#REF!</v>
      </c>
      <c r="AN1616" s="312" t="e">
        <f t="shared" si="645"/>
        <v>#REF!</v>
      </c>
    </row>
    <row r="1617" spans="1:40" s="73" customFormat="1" x14ac:dyDescent="0.25">
      <c r="A1617" s="313"/>
      <c r="B1617" s="314"/>
      <c r="D1617" s="74">
        <f>IFERROR(VLOOKUP(B1617,'REQ. PINTADO'!B:C,2,0),0)</f>
        <v>0</v>
      </c>
      <c r="E1617" s="305">
        <f t="shared" si="632"/>
        <v>0</v>
      </c>
      <c r="F1617" s="103" t="s">
        <v>163</v>
      </c>
      <c r="G1617" s="75" t="s">
        <v>147</v>
      </c>
      <c r="H1617" s="90"/>
      <c r="I1617" s="90"/>
      <c r="J1617" s="76">
        <v>0.105</v>
      </c>
      <c r="K1617" s="306">
        <v>16.38</v>
      </c>
      <c r="L1617" s="78">
        <f t="shared" si="633"/>
        <v>0</v>
      </c>
      <c r="M1617" s="58">
        <f>+VLOOKUP(F1617,Material!$H$2:$M$17,6,FALSE)*H1617*I1617*(1+Material!$K$14)</f>
        <v>0</v>
      </c>
      <c r="N1617" s="79" t="str">
        <f>+N1236</f>
        <v>T5.0</v>
      </c>
      <c r="O1617" s="80">
        <f>+VLOOKUP(N1617,[3]Material!$A$3:$B$58,2,FALSE)</f>
        <v>5000</v>
      </c>
      <c r="P1617" s="79" t="s">
        <v>42</v>
      </c>
      <c r="Q1617" s="79" t="str">
        <f>+VLOOKUP(F1617,[3]Material!$C$2:$E$12,2,FALSE)</f>
        <v>Cal 12</v>
      </c>
      <c r="R1617" s="81">
        <f>+IF(P1617="ACERO A36",VLOOKUP(Q1617,'[3]Velocidades Std 1500 w'!$B$2:$F$15,5,FALSE),IF(P1617="INOXIDABLE",VLOOKUP(Q1617,'[3]Velocidades Std 1500 w'!$B$17:$F$28,5,FALSE),IF(P1617="ALUMINIO",VLOOKUP(Q1617,'[3]Velocidades Std 1500 w'!$B$30:$F$38,5,FALSE))))</f>
        <v>4.3859649122807014E-6</v>
      </c>
      <c r="S1617" s="82">
        <f t="shared" si="634"/>
        <v>2.1929824561403508E-2</v>
      </c>
      <c r="T1617" s="83">
        <f t="shared" si="635"/>
        <v>0</v>
      </c>
      <c r="U1617" s="307">
        <f t="shared" si="636"/>
        <v>0</v>
      </c>
      <c r="V1617" s="80">
        <f t="shared" si="637"/>
        <v>0</v>
      </c>
      <c r="W1617" s="98"/>
      <c r="X1617" s="84">
        <f>+IF(P1617="ACERO A36",VLOOKUP(Q1617,'[3]Tiempo Objeto'!$B$2:$C$12,2,FALSE),IF(P1617="INOXIDABLE",VLOOKUP(Q1617,'[3]Tiempo Objeto'!$B$14:$C$22,2,FALSE),IF(P1617="ALUMINIO",VLOOKUP(Q1617,'[3]Tiempo Objeto'!$B$24:$C$32,2,FALSE))))</f>
        <v>0.6133333333333334</v>
      </c>
      <c r="Y1617" s="84">
        <f t="shared" si="638"/>
        <v>0</v>
      </c>
      <c r="Z1617" s="80">
        <f t="shared" si="639"/>
        <v>0</v>
      </c>
      <c r="AA1617" s="100"/>
      <c r="AB1617" s="86">
        <f>+AA1617*Analisis!$J$6</f>
        <v>0</v>
      </c>
      <c r="AC1617" s="100"/>
      <c r="AD1617" s="85">
        <f t="shared" si="640"/>
        <v>0</v>
      </c>
      <c r="AE1617" s="86">
        <f>+AC1617*Analisis!$J$7</f>
        <v>0</v>
      </c>
      <c r="AF1617" s="308">
        <f>+H1617*0.0254*I1617*0.0254*2*(1+[3]Analisis!$G$2)</f>
        <v>0</v>
      </c>
      <c r="AG1617" s="86">
        <f>+AF1617*Analisis!$J$8</f>
        <v>0</v>
      </c>
      <c r="AH1617" s="309">
        <f t="shared" si="641"/>
        <v>0</v>
      </c>
      <c r="AI1617" s="86">
        <f>+AH1617/(1-Analisis!G1248)</f>
        <v>0</v>
      </c>
      <c r="AJ1617" s="86">
        <f t="shared" si="642"/>
        <v>0</v>
      </c>
      <c r="AK1617" s="86">
        <f t="shared" si="643"/>
        <v>0</v>
      </c>
      <c r="AL1617" s="310" t="e">
        <f>+VLOOKUP(B1617,#REF!,2,FALSE)</f>
        <v>#REF!</v>
      </c>
      <c r="AM1617" s="311" t="e">
        <f t="shared" si="644"/>
        <v>#REF!</v>
      </c>
      <c r="AN1617" s="312" t="e">
        <f t="shared" si="645"/>
        <v>#REF!</v>
      </c>
    </row>
    <row r="1618" spans="1:40" s="73" customFormat="1" x14ac:dyDescent="0.25">
      <c r="A1618" s="313"/>
      <c r="B1618" s="314"/>
      <c r="D1618" s="74">
        <f>IFERROR(VLOOKUP(B1618,'REQ. PINTADO'!B:C,2,0),0)</f>
        <v>0</v>
      </c>
      <c r="E1618" s="305">
        <f t="shared" si="632"/>
        <v>0</v>
      </c>
      <c r="F1618" s="103" t="s">
        <v>163</v>
      </c>
      <c r="G1618" s="75" t="s">
        <v>147</v>
      </c>
      <c r="H1618" s="90"/>
      <c r="I1618" s="90"/>
      <c r="J1618" s="76">
        <v>0.105</v>
      </c>
      <c r="K1618" s="306">
        <v>16.38</v>
      </c>
      <c r="L1618" s="78">
        <f t="shared" si="633"/>
        <v>0</v>
      </c>
      <c r="M1618" s="58">
        <f>+VLOOKUP(F1618,Material!$H$2:$M$17,6,FALSE)*H1618*I1618*(1+Material!$K$14)</f>
        <v>0</v>
      </c>
      <c r="N1618" s="79" t="str">
        <f>+N1237</f>
        <v>T5.0</v>
      </c>
      <c r="O1618" s="80">
        <f>+VLOOKUP(N1618,[3]Material!$A$3:$B$58,2,FALSE)</f>
        <v>5000</v>
      </c>
      <c r="P1618" s="79" t="s">
        <v>42</v>
      </c>
      <c r="Q1618" s="79" t="str">
        <f>+VLOOKUP(F1618,[3]Material!$C$2:$E$12,2,FALSE)</f>
        <v>Cal 12</v>
      </c>
      <c r="R1618" s="81">
        <f>+IF(P1618="ACERO A36",VLOOKUP(Q1618,'[3]Velocidades Std 1500 w'!$B$2:$F$15,5,FALSE),IF(P1618="INOXIDABLE",VLOOKUP(Q1618,'[3]Velocidades Std 1500 w'!$B$17:$F$28,5,FALSE),IF(P1618="ALUMINIO",VLOOKUP(Q1618,'[3]Velocidades Std 1500 w'!$B$30:$F$38,5,FALSE))))</f>
        <v>4.3859649122807014E-6</v>
      </c>
      <c r="S1618" s="82">
        <f t="shared" si="634"/>
        <v>2.1929824561403508E-2</v>
      </c>
      <c r="T1618" s="83">
        <f t="shared" si="635"/>
        <v>0</v>
      </c>
      <c r="U1618" s="307">
        <f t="shared" si="636"/>
        <v>0</v>
      </c>
      <c r="V1618" s="80">
        <f t="shared" si="637"/>
        <v>0</v>
      </c>
      <c r="W1618" s="98"/>
      <c r="X1618" s="84">
        <f>+IF(P1618="ACERO A36",VLOOKUP(Q1618,'[3]Tiempo Objeto'!$B$2:$C$12,2,FALSE),IF(P1618="INOXIDABLE",VLOOKUP(Q1618,'[3]Tiempo Objeto'!$B$14:$C$22,2,FALSE),IF(P1618="ALUMINIO",VLOOKUP(Q1618,'[3]Tiempo Objeto'!$B$24:$C$32,2,FALSE))))</f>
        <v>0.6133333333333334</v>
      </c>
      <c r="Y1618" s="84">
        <f t="shared" si="638"/>
        <v>0</v>
      </c>
      <c r="Z1618" s="80">
        <f t="shared" si="639"/>
        <v>0</v>
      </c>
      <c r="AA1618" s="100"/>
      <c r="AB1618" s="86">
        <f>+AA1618*Analisis!$J$6</f>
        <v>0</v>
      </c>
      <c r="AC1618" s="100"/>
      <c r="AD1618" s="85">
        <f t="shared" si="640"/>
        <v>0</v>
      </c>
      <c r="AE1618" s="86">
        <f>+AC1618*Analisis!$J$7</f>
        <v>0</v>
      </c>
      <c r="AF1618" s="308">
        <f>+H1618*0.0254*I1618*0.0254*2*(1+[3]Analisis!$G$2)</f>
        <v>0</v>
      </c>
      <c r="AG1618" s="86">
        <f>+AF1618*Analisis!$J$8</f>
        <v>0</v>
      </c>
      <c r="AH1618" s="309">
        <f t="shared" si="641"/>
        <v>0</v>
      </c>
      <c r="AI1618" s="86">
        <f>+AH1618/(1-Analisis!G1249)</f>
        <v>0</v>
      </c>
      <c r="AJ1618" s="86">
        <f t="shared" si="642"/>
        <v>0</v>
      </c>
      <c r="AK1618" s="86">
        <f t="shared" si="643"/>
        <v>0</v>
      </c>
      <c r="AL1618" s="310" t="e">
        <f>+VLOOKUP(B1618,#REF!,2,FALSE)</f>
        <v>#REF!</v>
      </c>
      <c r="AM1618" s="311" t="e">
        <f t="shared" si="644"/>
        <v>#REF!</v>
      </c>
      <c r="AN1618" s="312" t="e">
        <f t="shared" si="645"/>
        <v>#REF!</v>
      </c>
    </row>
    <row r="1619" spans="1:40" s="73" customFormat="1" x14ac:dyDescent="0.25">
      <c r="A1619" s="313"/>
      <c r="B1619" s="314"/>
      <c r="D1619" s="74">
        <f>IFERROR(VLOOKUP(B1619,'REQ. PINTADO'!B:C,2,0),0)</f>
        <v>0</v>
      </c>
      <c r="E1619" s="305">
        <f t="shared" si="632"/>
        <v>0</v>
      </c>
      <c r="F1619" s="103" t="s">
        <v>163</v>
      </c>
      <c r="G1619" s="75" t="s">
        <v>147</v>
      </c>
      <c r="H1619" s="90"/>
      <c r="I1619" s="90"/>
      <c r="J1619" s="76">
        <v>0.105</v>
      </c>
      <c r="K1619" s="306">
        <v>16.38</v>
      </c>
      <c r="L1619" s="78">
        <f t="shared" si="633"/>
        <v>0</v>
      </c>
      <c r="M1619" s="58">
        <f>+VLOOKUP(F1619,Material!$H$2:$M$17,6,FALSE)*H1619*I1619*(1+Material!$K$14)</f>
        <v>0</v>
      </c>
      <c r="N1619" s="79" t="str">
        <f>+N1238</f>
        <v>T5.0</v>
      </c>
      <c r="O1619" s="80">
        <f>+VLOOKUP(N1619,[3]Material!$A$3:$B$58,2,FALSE)</f>
        <v>5000</v>
      </c>
      <c r="P1619" s="79" t="s">
        <v>42</v>
      </c>
      <c r="Q1619" s="79" t="str">
        <f>+VLOOKUP(F1619,[3]Material!$C$2:$E$12,2,FALSE)</f>
        <v>Cal 12</v>
      </c>
      <c r="R1619" s="81">
        <f>+IF(P1619="ACERO A36",VLOOKUP(Q1619,'[3]Velocidades Std 1500 w'!$B$2:$F$15,5,FALSE),IF(P1619="INOXIDABLE",VLOOKUP(Q1619,'[3]Velocidades Std 1500 w'!$B$17:$F$28,5,FALSE),IF(P1619="ALUMINIO",VLOOKUP(Q1619,'[3]Velocidades Std 1500 w'!$B$30:$F$38,5,FALSE))))</f>
        <v>4.3859649122807014E-6</v>
      </c>
      <c r="S1619" s="82">
        <f t="shared" si="634"/>
        <v>2.1929824561403508E-2</v>
      </c>
      <c r="T1619" s="83">
        <f t="shared" si="635"/>
        <v>0</v>
      </c>
      <c r="U1619" s="307">
        <f t="shared" si="636"/>
        <v>0</v>
      </c>
      <c r="V1619" s="80">
        <f t="shared" si="637"/>
        <v>0</v>
      </c>
      <c r="W1619" s="98"/>
      <c r="X1619" s="84">
        <f>+IF(P1619="ACERO A36",VLOOKUP(Q1619,'[3]Tiempo Objeto'!$B$2:$C$12,2,FALSE),IF(P1619="INOXIDABLE",VLOOKUP(Q1619,'[3]Tiempo Objeto'!$B$14:$C$22,2,FALSE),IF(P1619="ALUMINIO",VLOOKUP(Q1619,'[3]Tiempo Objeto'!$B$24:$C$32,2,FALSE))))</f>
        <v>0.6133333333333334</v>
      </c>
      <c r="Y1619" s="84">
        <f t="shared" si="638"/>
        <v>0</v>
      </c>
      <c r="Z1619" s="80">
        <f t="shared" si="639"/>
        <v>0</v>
      </c>
      <c r="AA1619" s="100"/>
      <c r="AB1619" s="86">
        <f>+AA1619*Analisis!$J$6</f>
        <v>0</v>
      </c>
      <c r="AC1619" s="100"/>
      <c r="AD1619" s="85">
        <f t="shared" si="640"/>
        <v>0</v>
      </c>
      <c r="AE1619" s="86">
        <f>+AC1619*Analisis!$J$7</f>
        <v>0</v>
      </c>
      <c r="AF1619" s="308">
        <f>+H1619*0.0254*I1619*0.0254*2*(1+[3]Analisis!$G$2)</f>
        <v>0</v>
      </c>
      <c r="AG1619" s="86">
        <f>+AF1619*Analisis!$J$8</f>
        <v>0</v>
      </c>
      <c r="AH1619" s="309">
        <f t="shared" si="641"/>
        <v>0</v>
      </c>
      <c r="AI1619" s="86">
        <f>+AH1619/(1-Analisis!G1250)</f>
        <v>0</v>
      </c>
      <c r="AJ1619" s="86">
        <f t="shared" si="642"/>
        <v>0</v>
      </c>
      <c r="AK1619" s="86">
        <f t="shared" si="643"/>
        <v>0</v>
      </c>
      <c r="AL1619" s="310" t="e">
        <f>+VLOOKUP(B1619,#REF!,2,FALSE)</f>
        <v>#REF!</v>
      </c>
      <c r="AM1619" s="311" t="e">
        <f t="shared" si="644"/>
        <v>#REF!</v>
      </c>
      <c r="AN1619" s="312" t="e">
        <f t="shared" si="645"/>
        <v>#REF!</v>
      </c>
    </row>
    <row r="1620" spans="1:40" s="73" customFormat="1" x14ac:dyDescent="0.25">
      <c r="A1620" s="313"/>
      <c r="B1620" s="314"/>
      <c r="D1620" s="74">
        <f>IFERROR(VLOOKUP(B1620,'REQ. PINTADO'!B:C,2,0),0)</f>
        <v>0</v>
      </c>
      <c r="E1620" s="305">
        <f t="shared" si="632"/>
        <v>0</v>
      </c>
      <c r="F1620" s="103" t="s">
        <v>163</v>
      </c>
      <c r="G1620" s="75" t="s">
        <v>147</v>
      </c>
      <c r="H1620" s="90"/>
      <c r="I1620" s="90"/>
      <c r="J1620" s="76">
        <v>0.105</v>
      </c>
      <c r="K1620" s="306">
        <v>16.38</v>
      </c>
      <c r="L1620" s="78">
        <f t="shared" si="633"/>
        <v>0</v>
      </c>
      <c r="M1620" s="58">
        <f>+VLOOKUP(F1620,Material!$H$2:$M$17,6,FALSE)*H1620*I1620*(1+Material!$K$14)</f>
        <v>0</v>
      </c>
      <c r="N1620" s="79" t="str">
        <f>+N1239</f>
        <v>T5.0</v>
      </c>
      <c r="O1620" s="80">
        <f>+VLOOKUP(N1620,[3]Material!$A$3:$B$58,2,FALSE)</f>
        <v>5000</v>
      </c>
      <c r="P1620" s="79" t="s">
        <v>42</v>
      </c>
      <c r="Q1620" s="79" t="str">
        <f>+VLOOKUP(F1620,[3]Material!$C$2:$E$12,2,FALSE)</f>
        <v>Cal 12</v>
      </c>
      <c r="R1620" s="81">
        <f>+IF(P1620="ACERO A36",VLOOKUP(Q1620,'[3]Velocidades Std 1500 w'!$B$2:$F$15,5,FALSE),IF(P1620="INOXIDABLE",VLOOKUP(Q1620,'[3]Velocidades Std 1500 w'!$B$17:$F$28,5,FALSE),IF(P1620="ALUMINIO",VLOOKUP(Q1620,'[3]Velocidades Std 1500 w'!$B$30:$F$38,5,FALSE))))</f>
        <v>4.3859649122807014E-6</v>
      </c>
      <c r="S1620" s="82">
        <f t="shared" si="634"/>
        <v>2.1929824561403508E-2</v>
      </c>
      <c r="T1620" s="83">
        <f t="shared" si="635"/>
        <v>0</v>
      </c>
      <c r="U1620" s="307">
        <f t="shared" si="636"/>
        <v>0</v>
      </c>
      <c r="V1620" s="80">
        <f t="shared" si="637"/>
        <v>0</v>
      </c>
      <c r="W1620" s="98"/>
      <c r="X1620" s="84">
        <f>+IF(P1620="ACERO A36",VLOOKUP(Q1620,'[3]Tiempo Objeto'!$B$2:$C$12,2,FALSE),IF(P1620="INOXIDABLE",VLOOKUP(Q1620,'[3]Tiempo Objeto'!$B$14:$C$22,2,FALSE),IF(P1620="ALUMINIO",VLOOKUP(Q1620,'[3]Tiempo Objeto'!$B$24:$C$32,2,FALSE))))</f>
        <v>0.6133333333333334</v>
      </c>
      <c r="Y1620" s="84">
        <f t="shared" si="638"/>
        <v>0</v>
      </c>
      <c r="Z1620" s="80">
        <f t="shared" si="639"/>
        <v>0</v>
      </c>
      <c r="AA1620" s="100"/>
      <c r="AB1620" s="86">
        <f>+AA1620*Analisis!$J$6</f>
        <v>0</v>
      </c>
      <c r="AC1620" s="100"/>
      <c r="AD1620" s="85">
        <f t="shared" si="640"/>
        <v>0</v>
      </c>
      <c r="AE1620" s="86">
        <f>+AC1620*Analisis!$J$7</f>
        <v>0</v>
      </c>
      <c r="AF1620" s="308">
        <f>+H1620*0.0254*I1620*0.0254*2*(1+[3]Analisis!$G$2)</f>
        <v>0</v>
      </c>
      <c r="AG1620" s="86">
        <f>+AF1620*Analisis!$J$8</f>
        <v>0</v>
      </c>
      <c r="AH1620" s="309">
        <f t="shared" si="641"/>
        <v>0</v>
      </c>
      <c r="AI1620" s="86">
        <f>+AH1620/(1-Analisis!G1251)</f>
        <v>0</v>
      </c>
      <c r="AJ1620" s="86">
        <f t="shared" si="642"/>
        <v>0</v>
      </c>
      <c r="AK1620" s="86">
        <f t="shared" si="643"/>
        <v>0</v>
      </c>
      <c r="AL1620" s="310" t="e">
        <f>+VLOOKUP(B1620,#REF!,2,FALSE)</f>
        <v>#REF!</v>
      </c>
      <c r="AM1620" s="311" t="e">
        <f t="shared" si="644"/>
        <v>#REF!</v>
      </c>
      <c r="AN1620" s="312" t="e">
        <f t="shared" si="645"/>
        <v>#REF!</v>
      </c>
    </row>
    <row r="1621" spans="1:40" s="73" customFormat="1" x14ac:dyDescent="0.25">
      <c r="A1621" s="313"/>
      <c r="B1621" s="314"/>
      <c r="D1621" s="74">
        <f>IFERROR(VLOOKUP(B1621,'REQ. PINTADO'!B:C,2,0),0)</f>
        <v>0</v>
      </c>
      <c r="E1621" s="305">
        <f t="shared" si="632"/>
        <v>0</v>
      </c>
      <c r="F1621" s="103" t="s">
        <v>163</v>
      </c>
      <c r="G1621" s="75" t="s">
        <v>147</v>
      </c>
      <c r="H1621" s="90"/>
      <c r="I1621" s="90"/>
      <c r="J1621" s="76">
        <v>0.105</v>
      </c>
      <c r="K1621" s="306">
        <v>16.38</v>
      </c>
      <c r="L1621" s="78">
        <f t="shared" si="633"/>
        <v>0</v>
      </c>
      <c r="M1621" s="58">
        <f>+VLOOKUP(F1621,Material!$H$2:$M$17,6,FALSE)*H1621*I1621*(1+Material!$K$14)</f>
        <v>0</v>
      </c>
      <c r="N1621" s="79" t="str">
        <f>+N1240</f>
        <v>T5.0</v>
      </c>
      <c r="O1621" s="80">
        <f>+VLOOKUP(N1621,[3]Material!$A$3:$B$58,2,FALSE)</f>
        <v>5000</v>
      </c>
      <c r="P1621" s="79" t="s">
        <v>42</v>
      </c>
      <c r="Q1621" s="79" t="str">
        <f>+VLOOKUP(F1621,[3]Material!$C$2:$E$12,2,FALSE)</f>
        <v>Cal 12</v>
      </c>
      <c r="R1621" s="81">
        <f>+IF(P1621="ACERO A36",VLOOKUP(Q1621,'[3]Velocidades Std 1500 w'!$B$2:$F$15,5,FALSE),IF(P1621="INOXIDABLE",VLOOKUP(Q1621,'[3]Velocidades Std 1500 w'!$B$17:$F$28,5,FALSE),IF(P1621="ALUMINIO",VLOOKUP(Q1621,'[3]Velocidades Std 1500 w'!$B$30:$F$38,5,FALSE))))</f>
        <v>4.3859649122807014E-6</v>
      </c>
      <c r="S1621" s="82">
        <f t="shared" si="634"/>
        <v>2.1929824561403508E-2</v>
      </c>
      <c r="T1621" s="83">
        <f t="shared" si="635"/>
        <v>0</v>
      </c>
      <c r="U1621" s="307">
        <f t="shared" si="636"/>
        <v>0</v>
      </c>
      <c r="V1621" s="80">
        <f t="shared" si="637"/>
        <v>0</v>
      </c>
      <c r="W1621" s="98"/>
      <c r="X1621" s="84">
        <f>+IF(P1621="ACERO A36",VLOOKUP(Q1621,'[3]Tiempo Objeto'!$B$2:$C$12,2,FALSE),IF(P1621="INOXIDABLE",VLOOKUP(Q1621,'[3]Tiempo Objeto'!$B$14:$C$22,2,FALSE),IF(P1621="ALUMINIO",VLOOKUP(Q1621,'[3]Tiempo Objeto'!$B$24:$C$32,2,FALSE))))</f>
        <v>0.6133333333333334</v>
      </c>
      <c r="Y1621" s="84">
        <f t="shared" si="638"/>
        <v>0</v>
      </c>
      <c r="Z1621" s="80">
        <f t="shared" si="639"/>
        <v>0</v>
      </c>
      <c r="AA1621" s="100"/>
      <c r="AB1621" s="86">
        <f>+AA1621*Analisis!$J$6</f>
        <v>0</v>
      </c>
      <c r="AC1621" s="100"/>
      <c r="AD1621" s="85">
        <f t="shared" si="640"/>
        <v>0</v>
      </c>
      <c r="AE1621" s="86">
        <f>+AC1621*Analisis!$J$7</f>
        <v>0</v>
      </c>
      <c r="AF1621" s="308">
        <f>+H1621*0.0254*I1621*0.0254*2*(1+[3]Analisis!$G$2)</f>
        <v>0</v>
      </c>
      <c r="AG1621" s="86">
        <f>+AF1621*Analisis!$J$8</f>
        <v>0</v>
      </c>
      <c r="AH1621" s="309">
        <f t="shared" si="641"/>
        <v>0</v>
      </c>
      <c r="AI1621" s="86">
        <f>+AH1621/(1-Analisis!G1252)</f>
        <v>0</v>
      </c>
      <c r="AJ1621" s="86">
        <f t="shared" si="642"/>
        <v>0</v>
      </c>
      <c r="AK1621" s="86">
        <f t="shared" si="643"/>
        <v>0</v>
      </c>
      <c r="AL1621" s="310" t="e">
        <f>+VLOOKUP(B1621,#REF!,2,FALSE)</f>
        <v>#REF!</v>
      </c>
      <c r="AM1621" s="311" t="e">
        <f t="shared" si="644"/>
        <v>#REF!</v>
      </c>
      <c r="AN1621" s="312" t="e">
        <f t="shared" si="645"/>
        <v>#REF!</v>
      </c>
    </row>
    <row r="1622" spans="1:40" s="73" customFormat="1" x14ac:dyDescent="0.25">
      <c r="A1622" s="313"/>
      <c r="B1622" s="314"/>
      <c r="D1622" s="74">
        <f>IFERROR(VLOOKUP(B1622,'REQ. PINTADO'!B:C,2,0),0)</f>
        <v>0</v>
      </c>
      <c r="E1622" s="305">
        <f t="shared" si="632"/>
        <v>0</v>
      </c>
      <c r="F1622" s="103" t="s">
        <v>163</v>
      </c>
      <c r="G1622" s="75" t="s">
        <v>147</v>
      </c>
      <c r="H1622" s="90"/>
      <c r="I1622" s="90"/>
      <c r="J1622" s="76">
        <v>0.105</v>
      </c>
      <c r="K1622" s="306">
        <v>16.38</v>
      </c>
      <c r="L1622" s="78">
        <f t="shared" si="633"/>
        <v>0</v>
      </c>
      <c r="M1622" s="58">
        <f>+VLOOKUP(F1622,Material!$H$2:$M$17,6,FALSE)*H1622*I1622*(1+Material!$K$14)</f>
        <v>0</v>
      </c>
      <c r="N1622" s="79" t="str">
        <f>+N1241</f>
        <v>T5.0</v>
      </c>
      <c r="O1622" s="80">
        <f>+VLOOKUP(N1622,[3]Material!$A$3:$B$58,2,FALSE)</f>
        <v>5000</v>
      </c>
      <c r="P1622" s="79" t="s">
        <v>42</v>
      </c>
      <c r="Q1622" s="79" t="str">
        <f>+VLOOKUP(F1622,[3]Material!$C$2:$E$12,2,FALSE)</f>
        <v>Cal 12</v>
      </c>
      <c r="R1622" s="81">
        <f>+IF(P1622="ACERO A36",VLOOKUP(Q1622,'[3]Velocidades Std 1500 w'!$B$2:$F$15,5,FALSE),IF(P1622="INOXIDABLE",VLOOKUP(Q1622,'[3]Velocidades Std 1500 w'!$B$17:$F$28,5,FALSE),IF(P1622="ALUMINIO",VLOOKUP(Q1622,'[3]Velocidades Std 1500 w'!$B$30:$F$38,5,FALSE))))</f>
        <v>4.3859649122807014E-6</v>
      </c>
      <c r="S1622" s="82">
        <f t="shared" si="634"/>
        <v>2.1929824561403508E-2</v>
      </c>
      <c r="T1622" s="83">
        <f t="shared" si="635"/>
        <v>0</v>
      </c>
      <c r="U1622" s="307">
        <f t="shared" si="636"/>
        <v>0</v>
      </c>
      <c r="V1622" s="80">
        <f t="shared" si="637"/>
        <v>0</v>
      </c>
      <c r="W1622" s="98"/>
      <c r="X1622" s="84">
        <f>+IF(P1622="ACERO A36",VLOOKUP(Q1622,'[3]Tiempo Objeto'!$B$2:$C$12,2,FALSE),IF(P1622="INOXIDABLE",VLOOKUP(Q1622,'[3]Tiempo Objeto'!$B$14:$C$22,2,FALSE),IF(P1622="ALUMINIO",VLOOKUP(Q1622,'[3]Tiempo Objeto'!$B$24:$C$32,2,FALSE))))</f>
        <v>0.6133333333333334</v>
      </c>
      <c r="Y1622" s="84">
        <f t="shared" si="638"/>
        <v>0</v>
      </c>
      <c r="Z1622" s="80">
        <f t="shared" si="639"/>
        <v>0</v>
      </c>
      <c r="AA1622" s="100"/>
      <c r="AB1622" s="86">
        <f>+AA1622*Analisis!$J$6</f>
        <v>0</v>
      </c>
      <c r="AC1622" s="100"/>
      <c r="AD1622" s="85">
        <f t="shared" si="640"/>
        <v>0</v>
      </c>
      <c r="AE1622" s="86">
        <f>+AC1622*Analisis!$J$7</f>
        <v>0</v>
      </c>
      <c r="AF1622" s="308">
        <f>+H1622*0.0254*I1622*0.0254*2*(1+[3]Analisis!$G$2)</f>
        <v>0</v>
      </c>
      <c r="AG1622" s="86">
        <f>+AF1622*Analisis!$J$8</f>
        <v>0</v>
      </c>
      <c r="AH1622" s="309">
        <f t="shared" si="641"/>
        <v>0</v>
      </c>
      <c r="AI1622" s="86">
        <f>+AH1622/(1-Analisis!G1253)</f>
        <v>0</v>
      </c>
      <c r="AJ1622" s="86">
        <f t="shared" si="642"/>
        <v>0</v>
      </c>
      <c r="AK1622" s="86">
        <f t="shared" si="643"/>
        <v>0</v>
      </c>
      <c r="AL1622" s="310" t="e">
        <f>+VLOOKUP(B1622,#REF!,2,FALSE)</f>
        <v>#REF!</v>
      </c>
      <c r="AM1622" s="311" t="e">
        <f t="shared" si="644"/>
        <v>#REF!</v>
      </c>
      <c r="AN1622" s="312" t="e">
        <f t="shared" si="645"/>
        <v>#REF!</v>
      </c>
    </row>
    <row r="1623" spans="1:40" s="73" customFormat="1" x14ac:dyDescent="0.25">
      <c r="A1623" s="313"/>
      <c r="B1623" s="314"/>
      <c r="D1623" s="74">
        <f>IFERROR(VLOOKUP(B1623,'REQ. PINTADO'!B:C,2,0),0)</f>
        <v>0</v>
      </c>
      <c r="E1623" s="305">
        <f t="shared" si="632"/>
        <v>0</v>
      </c>
      <c r="F1623" s="103" t="s">
        <v>163</v>
      </c>
      <c r="G1623" s="75" t="s">
        <v>147</v>
      </c>
      <c r="H1623" s="90"/>
      <c r="I1623" s="90"/>
      <c r="J1623" s="76">
        <v>0.105</v>
      </c>
      <c r="K1623" s="306">
        <v>16.38</v>
      </c>
      <c r="L1623" s="78">
        <f t="shared" si="633"/>
        <v>0</v>
      </c>
      <c r="M1623" s="58">
        <f>+VLOOKUP(F1623,Material!$H$2:$M$17,6,FALSE)*H1623*I1623*(1+Material!$K$14)</f>
        <v>0</v>
      </c>
      <c r="N1623" s="79" t="str">
        <f>+N1242</f>
        <v>T5.0</v>
      </c>
      <c r="O1623" s="80">
        <f>+VLOOKUP(N1623,[3]Material!$A$3:$B$58,2,FALSE)</f>
        <v>5000</v>
      </c>
      <c r="P1623" s="79" t="s">
        <v>42</v>
      </c>
      <c r="Q1623" s="79" t="str">
        <f>+VLOOKUP(F1623,[3]Material!$C$2:$E$12,2,FALSE)</f>
        <v>Cal 12</v>
      </c>
      <c r="R1623" s="81">
        <f>+IF(P1623="ACERO A36",VLOOKUP(Q1623,'[3]Velocidades Std 1500 w'!$B$2:$F$15,5,FALSE),IF(P1623="INOXIDABLE",VLOOKUP(Q1623,'[3]Velocidades Std 1500 w'!$B$17:$F$28,5,FALSE),IF(P1623="ALUMINIO",VLOOKUP(Q1623,'[3]Velocidades Std 1500 w'!$B$30:$F$38,5,FALSE))))</f>
        <v>4.3859649122807014E-6</v>
      </c>
      <c r="S1623" s="82">
        <f t="shared" si="634"/>
        <v>2.1929824561403508E-2</v>
      </c>
      <c r="T1623" s="83">
        <f t="shared" si="635"/>
        <v>0</v>
      </c>
      <c r="U1623" s="307">
        <f t="shared" si="636"/>
        <v>0</v>
      </c>
      <c r="V1623" s="80">
        <f t="shared" si="637"/>
        <v>0</v>
      </c>
      <c r="W1623" s="98"/>
      <c r="X1623" s="84">
        <f>+IF(P1623="ACERO A36",VLOOKUP(Q1623,'[3]Tiempo Objeto'!$B$2:$C$12,2,FALSE),IF(P1623="INOXIDABLE",VLOOKUP(Q1623,'[3]Tiempo Objeto'!$B$14:$C$22,2,FALSE),IF(P1623="ALUMINIO",VLOOKUP(Q1623,'[3]Tiempo Objeto'!$B$24:$C$32,2,FALSE))))</f>
        <v>0.6133333333333334</v>
      </c>
      <c r="Y1623" s="84">
        <f t="shared" si="638"/>
        <v>0</v>
      </c>
      <c r="Z1623" s="80">
        <f t="shared" si="639"/>
        <v>0</v>
      </c>
      <c r="AA1623" s="100"/>
      <c r="AB1623" s="86">
        <f>+AA1623*Analisis!$J$6</f>
        <v>0</v>
      </c>
      <c r="AC1623" s="100"/>
      <c r="AD1623" s="85">
        <f t="shared" si="640"/>
        <v>0</v>
      </c>
      <c r="AE1623" s="86">
        <f>+AC1623*Analisis!$J$7</f>
        <v>0</v>
      </c>
      <c r="AF1623" s="308">
        <f>+H1623*0.0254*I1623*0.0254*2*(1+[3]Analisis!$G$2)</f>
        <v>0</v>
      </c>
      <c r="AG1623" s="86">
        <f>+AF1623*Analisis!$J$8</f>
        <v>0</v>
      </c>
      <c r="AH1623" s="309">
        <f t="shared" si="641"/>
        <v>0</v>
      </c>
      <c r="AI1623" s="86">
        <f>+AH1623/(1-Analisis!G1254)</f>
        <v>0</v>
      </c>
      <c r="AJ1623" s="86">
        <f t="shared" si="642"/>
        <v>0</v>
      </c>
      <c r="AK1623" s="86">
        <f t="shared" si="643"/>
        <v>0</v>
      </c>
      <c r="AL1623" s="310" t="e">
        <f>+VLOOKUP(B1623,#REF!,2,FALSE)</f>
        <v>#REF!</v>
      </c>
      <c r="AM1623" s="311" t="e">
        <f t="shared" si="644"/>
        <v>#REF!</v>
      </c>
      <c r="AN1623" s="312" t="e">
        <f t="shared" si="645"/>
        <v>#REF!</v>
      </c>
    </row>
    <row r="1624" spans="1:40" s="73" customFormat="1" x14ac:dyDescent="0.25">
      <c r="A1624" s="313"/>
      <c r="B1624" s="314"/>
      <c r="D1624" s="74">
        <f>IFERROR(VLOOKUP(B1624,'REQ. PINTADO'!B:C,2,0),0)</f>
        <v>0</v>
      </c>
      <c r="E1624" s="305">
        <f t="shared" si="632"/>
        <v>0</v>
      </c>
      <c r="F1624" s="103" t="s">
        <v>163</v>
      </c>
      <c r="G1624" s="75" t="s">
        <v>147</v>
      </c>
      <c r="H1624" s="90"/>
      <c r="I1624" s="90"/>
      <c r="J1624" s="76">
        <v>0.105</v>
      </c>
      <c r="K1624" s="306">
        <v>16.38</v>
      </c>
      <c r="L1624" s="78">
        <f t="shared" si="633"/>
        <v>0</v>
      </c>
      <c r="M1624" s="58">
        <f>+VLOOKUP(F1624,Material!$H$2:$M$17,6,FALSE)*H1624*I1624*(1+Material!$K$14)</f>
        <v>0</v>
      </c>
      <c r="N1624" s="79" t="str">
        <f>+N1243</f>
        <v>T5.0</v>
      </c>
      <c r="O1624" s="80">
        <f>+VLOOKUP(N1624,[3]Material!$A$3:$B$58,2,FALSE)</f>
        <v>5000</v>
      </c>
      <c r="P1624" s="79" t="s">
        <v>42</v>
      </c>
      <c r="Q1624" s="79" t="str">
        <f>+VLOOKUP(F1624,[3]Material!$C$2:$E$12,2,FALSE)</f>
        <v>Cal 12</v>
      </c>
      <c r="R1624" s="81">
        <f>+IF(P1624="ACERO A36",VLOOKUP(Q1624,'[3]Velocidades Std 1500 w'!$B$2:$F$15,5,FALSE),IF(P1624="INOXIDABLE",VLOOKUP(Q1624,'[3]Velocidades Std 1500 w'!$B$17:$F$28,5,FALSE),IF(P1624="ALUMINIO",VLOOKUP(Q1624,'[3]Velocidades Std 1500 w'!$B$30:$F$38,5,FALSE))))</f>
        <v>4.3859649122807014E-6</v>
      </c>
      <c r="S1624" s="82">
        <f t="shared" si="634"/>
        <v>2.1929824561403508E-2</v>
      </c>
      <c r="T1624" s="83">
        <f t="shared" si="635"/>
        <v>0</v>
      </c>
      <c r="U1624" s="307">
        <f t="shared" si="636"/>
        <v>0</v>
      </c>
      <c r="V1624" s="80">
        <f t="shared" si="637"/>
        <v>0</v>
      </c>
      <c r="W1624" s="98"/>
      <c r="X1624" s="84">
        <f>+IF(P1624="ACERO A36",VLOOKUP(Q1624,'[3]Tiempo Objeto'!$B$2:$C$12,2,FALSE),IF(P1624="INOXIDABLE",VLOOKUP(Q1624,'[3]Tiempo Objeto'!$B$14:$C$22,2,FALSE),IF(P1624="ALUMINIO",VLOOKUP(Q1624,'[3]Tiempo Objeto'!$B$24:$C$32,2,FALSE))))</f>
        <v>0.6133333333333334</v>
      </c>
      <c r="Y1624" s="84">
        <f t="shared" si="638"/>
        <v>0</v>
      </c>
      <c r="Z1624" s="80">
        <f t="shared" si="639"/>
        <v>0</v>
      </c>
      <c r="AA1624" s="100"/>
      <c r="AB1624" s="86">
        <f>+AA1624*Analisis!$J$6</f>
        <v>0</v>
      </c>
      <c r="AC1624" s="100"/>
      <c r="AD1624" s="85">
        <f t="shared" si="640"/>
        <v>0</v>
      </c>
      <c r="AE1624" s="86">
        <f>+AC1624*Analisis!$J$7</f>
        <v>0</v>
      </c>
      <c r="AF1624" s="308">
        <f>+H1624*0.0254*I1624*0.0254*2*(1+[3]Analisis!$G$2)</f>
        <v>0</v>
      </c>
      <c r="AG1624" s="86">
        <f>+AF1624*Analisis!$J$8</f>
        <v>0</v>
      </c>
      <c r="AH1624" s="309">
        <f t="shared" si="641"/>
        <v>0</v>
      </c>
      <c r="AI1624" s="86">
        <f>+AH1624/(1-Analisis!G1255)</f>
        <v>0</v>
      </c>
      <c r="AJ1624" s="86">
        <f t="shared" si="642"/>
        <v>0</v>
      </c>
      <c r="AK1624" s="86">
        <f t="shared" si="643"/>
        <v>0</v>
      </c>
      <c r="AL1624" s="310" t="e">
        <f>+VLOOKUP(B1624,#REF!,2,FALSE)</f>
        <v>#REF!</v>
      </c>
      <c r="AM1624" s="311" t="e">
        <f t="shared" si="644"/>
        <v>#REF!</v>
      </c>
      <c r="AN1624" s="312" t="e">
        <f t="shared" si="645"/>
        <v>#REF!</v>
      </c>
    </row>
    <row r="1625" spans="1:40" s="73" customFormat="1" x14ac:dyDescent="0.25">
      <c r="A1625" s="313"/>
      <c r="B1625" s="314"/>
      <c r="D1625" s="74">
        <f>IFERROR(VLOOKUP(B1625,'REQ. PINTADO'!B:C,2,0),0)</f>
        <v>0</v>
      </c>
      <c r="E1625" s="305">
        <f t="shared" si="632"/>
        <v>0</v>
      </c>
      <c r="F1625" s="103" t="s">
        <v>163</v>
      </c>
      <c r="G1625" s="75" t="s">
        <v>147</v>
      </c>
      <c r="H1625" s="90"/>
      <c r="I1625" s="90"/>
      <c r="J1625" s="76">
        <v>0.105</v>
      </c>
      <c r="K1625" s="306">
        <v>16.38</v>
      </c>
      <c r="L1625" s="78">
        <f t="shared" si="633"/>
        <v>0</v>
      </c>
      <c r="M1625" s="58">
        <f>+VLOOKUP(F1625,Material!$H$2:$M$17,6,FALSE)*H1625*I1625*(1+Material!$K$14)</f>
        <v>0</v>
      </c>
      <c r="N1625" s="79" t="str">
        <f>+N1244</f>
        <v>T5.0</v>
      </c>
      <c r="O1625" s="80">
        <f>+VLOOKUP(N1625,[3]Material!$A$3:$B$58,2,FALSE)</f>
        <v>5000</v>
      </c>
      <c r="P1625" s="79" t="s">
        <v>42</v>
      </c>
      <c r="Q1625" s="79" t="str">
        <f>+VLOOKUP(F1625,[3]Material!$C$2:$E$12,2,FALSE)</f>
        <v>Cal 12</v>
      </c>
      <c r="R1625" s="81">
        <f>+IF(P1625="ACERO A36",VLOOKUP(Q1625,'[3]Velocidades Std 1500 w'!$B$2:$F$15,5,FALSE),IF(P1625="INOXIDABLE",VLOOKUP(Q1625,'[3]Velocidades Std 1500 w'!$B$17:$F$28,5,FALSE),IF(P1625="ALUMINIO",VLOOKUP(Q1625,'[3]Velocidades Std 1500 w'!$B$30:$F$38,5,FALSE))))</f>
        <v>4.3859649122807014E-6</v>
      </c>
      <c r="S1625" s="82">
        <f t="shared" si="634"/>
        <v>2.1929824561403508E-2</v>
      </c>
      <c r="T1625" s="83">
        <f t="shared" si="635"/>
        <v>0</v>
      </c>
      <c r="U1625" s="307">
        <f t="shared" si="636"/>
        <v>0</v>
      </c>
      <c r="V1625" s="80">
        <f t="shared" si="637"/>
        <v>0</v>
      </c>
      <c r="W1625" s="98"/>
      <c r="X1625" s="84">
        <f>+IF(P1625="ACERO A36",VLOOKUP(Q1625,'[3]Tiempo Objeto'!$B$2:$C$12,2,FALSE),IF(P1625="INOXIDABLE",VLOOKUP(Q1625,'[3]Tiempo Objeto'!$B$14:$C$22,2,FALSE),IF(P1625="ALUMINIO",VLOOKUP(Q1625,'[3]Tiempo Objeto'!$B$24:$C$32,2,FALSE))))</f>
        <v>0.6133333333333334</v>
      </c>
      <c r="Y1625" s="84">
        <f t="shared" si="638"/>
        <v>0</v>
      </c>
      <c r="Z1625" s="80">
        <f t="shared" si="639"/>
        <v>0</v>
      </c>
      <c r="AA1625" s="100"/>
      <c r="AB1625" s="86">
        <f>+AA1625*Analisis!$J$6</f>
        <v>0</v>
      </c>
      <c r="AC1625" s="100"/>
      <c r="AD1625" s="85">
        <f t="shared" si="640"/>
        <v>0</v>
      </c>
      <c r="AE1625" s="86">
        <f>+AC1625*Analisis!$J$7</f>
        <v>0</v>
      </c>
      <c r="AF1625" s="308">
        <f>+H1625*0.0254*I1625*0.0254*2*(1+[3]Analisis!$G$2)</f>
        <v>0</v>
      </c>
      <c r="AG1625" s="86">
        <f>+AF1625*Analisis!$J$8</f>
        <v>0</v>
      </c>
      <c r="AH1625" s="309">
        <f t="shared" si="641"/>
        <v>0</v>
      </c>
      <c r="AI1625" s="86">
        <f>+AH1625/(1-Analisis!G1256)</f>
        <v>0</v>
      </c>
      <c r="AJ1625" s="86">
        <f t="shared" si="642"/>
        <v>0</v>
      </c>
      <c r="AK1625" s="86">
        <f t="shared" si="643"/>
        <v>0</v>
      </c>
      <c r="AL1625" s="310" t="e">
        <f>+VLOOKUP(B1625,#REF!,2,FALSE)</f>
        <v>#REF!</v>
      </c>
      <c r="AM1625" s="311" t="e">
        <f t="shared" si="644"/>
        <v>#REF!</v>
      </c>
      <c r="AN1625" s="312" t="e">
        <f t="shared" si="645"/>
        <v>#REF!</v>
      </c>
    </row>
    <row r="1626" spans="1:40" s="73" customFormat="1" x14ac:dyDescent="0.25">
      <c r="A1626" s="313"/>
      <c r="B1626" s="314"/>
      <c r="D1626" s="74">
        <f>IFERROR(VLOOKUP(B1626,'REQ. PINTADO'!B:C,2,0),0)</f>
        <v>0</v>
      </c>
      <c r="E1626" s="305">
        <f t="shared" si="632"/>
        <v>0</v>
      </c>
      <c r="F1626" s="103" t="s">
        <v>163</v>
      </c>
      <c r="G1626" s="75" t="s">
        <v>147</v>
      </c>
      <c r="H1626" s="90"/>
      <c r="I1626" s="90"/>
      <c r="J1626" s="76">
        <v>0.105</v>
      </c>
      <c r="K1626" s="306">
        <v>16.38</v>
      </c>
      <c r="L1626" s="78">
        <f t="shared" si="633"/>
        <v>0</v>
      </c>
      <c r="M1626" s="58">
        <f>+VLOOKUP(F1626,Material!$H$2:$M$17,6,FALSE)*H1626*I1626*(1+Material!$K$14)</f>
        <v>0</v>
      </c>
      <c r="N1626" s="79" t="str">
        <f>+N1245</f>
        <v>T5.0</v>
      </c>
      <c r="O1626" s="80">
        <f>+VLOOKUP(N1626,[3]Material!$A$3:$B$58,2,FALSE)</f>
        <v>5000</v>
      </c>
      <c r="P1626" s="79" t="s">
        <v>42</v>
      </c>
      <c r="Q1626" s="79" t="str">
        <f>+VLOOKUP(F1626,[3]Material!$C$2:$E$12,2,FALSE)</f>
        <v>Cal 12</v>
      </c>
      <c r="R1626" s="81">
        <f>+IF(P1626="ACERO A36",VLOOKUP(Q1626,'[3]Velocidades Std 1500 w'!$B$2:$F$15,5,FALSE),IF(P1626="INOXIDABLE",VLOOKUP(Q1626,'[3]Velocidades Std 1500 w'!$B$17:$F$28,5,FALSE),IF(P1626="ALUMINIO",VLOOKUP(Q1626,'[3]Velocidades Std 1500 w'!$B$30:$F$38,5,FALSE))))</f>
        <v>4.3859649122807014E-6</v>
      </c>
      <c r="S1626" s="82">
        <f t="shared" si="634"/>
        <v>2.1929824561403508E-2</v>
      </c>
      <c r="T1626" s="83">
        <f t="shared" si="635"/>
        <v>0</v>
      </c>
      <c r="U1626" s="307">
        <f t="shared" si="636"/>
        <v>0</v>
      </c>
      <c r="V1626" s="80">
        <f t="shared" si="637"/>
        <v>0</v>
      </c>
      <c r="W1626" s="98"/>
      <c r="X1626" s="84">
        <f>+IF(P1626="ACERO A36",VLOOKUP(Q1626,'[3]Tiempo Objeto'!$B$2:$C$12,2,FALSE),IF(P1626="INOXIDABLE",VLOOKUP(Q1626,'[3]Tiempo Objeto'!$B$14:$C$22,2,FALSE),IF(P1626="ALUMINIO",VLOOKUP(Q1626,'[3]Tiempo Objeto'!$B$24:$C$32,2,FALSE))))</f>
        <v>0.6133333333333334</v>
      </c>
      <c r="Y1626" s="84">
        <f t="shared" si="638"/>
        <v>0</v>
      </c>
      <c r="Z1626" s="80">
        <f t="shared" si="639"/>
        <v>0</v>
      </c>
      <c r="AA1626" s="100"/>
      <c r="AB1626" s="86">
        <f>+AA1626*Analisis!$J$6</f>
        <v>0</v>
      </c>
      <c r="AC1626" s="100"/>
      <c r="AD1626" s="85">
        <f t="shared" si="640"/>
        <v>0</v>
      </c>
      <c r="AE1626" s="86">
        <f>+AC1626*Analisis!$J$7</f>
        <v>0</v>
      </c>
      <c r="AF1626" s="308">
        <f>+H1626*0.0254*I1626*0.0254*2*(1+[3]Analisis!$G$2)</f>
        <v>0</v>
      </c>
      <c r="AG1626" s="86">
        <f>+AF1626*Analisis!$J$8</f>
        <v>0</v>
      </c>
      <c r="AH1626" s="309">
        <f t="shared" si="641"/>
        <v>0</v>
      </c>
      <c r="AI1626" s="86">
        <f>+AH1626/(1-Analisis!G1257)</f>
        <v>0</v>
      </c>
      <c r="AJ1626" s="86">
        <f t="shared" si="642"/>
        <v>0</v>
      </c>
      <c r="AK1626" s="86">
        <f t="shared" si="643"/>
        <v>0</v>
      </c>
      <c r="AL1626" s="310" t="e">
        <f>+VLOOKUP(B1626,#REF!,2,FALSE)</f>
        <v>#REF!</v>
      </c>
      <c r="AM1626" s="311" t="e">
        <f t="shared" si="644"/>
        <v>#REF!</v>
      </c>
      <c r="AN1626" s="312" t="e">
        <f t="shared" si="645"/>
        <v>#REF!</v>
      </c>
    </row>
    <row r="1627" spans="1:40" s="73" customFormat="1" x14ac:dyDescent="0.25">
      <c r="A1627" s="313"/>
      <c r="B1627" s="314"/>
      <c r="D1627" s="74">
        <f>IFERROR(VLOOKUP(B1627,'REQ. PINTADO'!B:C,2,0),0)</f>
        <v>0</v>
      </c>
      <c r="E1627" s="305">
        <f t="shared" si="632"/>
        <v>0</v>
      </c>
      <c r="F1627" s="103" t="s">
        <v>163</v>
      </c>
      <c r="G1627" s="75" t="s">
        <v>147</v>
      </c>
      <c r="H1627" s="90"/>
      <c r="I1627" s="90"/>
      <c r="J1627" s="76">
        <v>0.105</v>
      </c>
      <c r="K1627" s="306">
        <v>16.38</v>
      </c>
      <c r="L1627" s="78">
        <f t="shared" si="633"/>
        <v>0</v>
      </c>
      <c r="M1627" s="58">
        <f>+VLOOKUP(F1627,Material!$H$2:$M$17,6,FALSE)*H1627*I1627*(1+Material!$K$14)</f>
        <v>0</v>
      </c>
      <c r="N1627" s="79" t="str">
        <f>+N1246</f>
        <v>T5.0</v>
      </c>
      <c r="O1627" s="80">
        <f>+VLOOKUP(N1627,[3]Material!$A$3:$B$58,2,FALSE)</f>
        <v>5000</v>
      </c>
      <c r="P1627" s="79" t="s">
        <v>42</v>
      </c>
      <c r="Q1627" s="79" t="str">
        <f>+VLOOKUP(F1627,[3]Material!$C$2:$E$12,2,FALSE)</f>
        <v>Cal 12</v>
      </c>
      <c r="R1627" s="81">
        <f>+IF(P1627="ACERO A36",VLOOKUP(Q1627,'[3]Velocidades Std 1500 w'!$B$2:$F$15,5,FALSE),IF(P1627="INOXIDABLE",VLOOKUP(Q1627,'[3]Velocidades Std 1500 w'!$B$17:$F$28,5,FALSE),IF(P1627="ALUMINIO",VLOOKUP(Q1627,'[3]Velocidades Std 1500 w'!$B$30:$F$38,5,FALSE))))</f>
        <v>4.3859649122807014E-6</v>
      </c>
      <c r="S1627" s="82">
        <f t="shared" si="634"/>
        <v>2.1929824561403508E-2</v>
      </c>
      <c r="T1627" s="83">
        <f t="shared" si="635"/>
        <v>0</v>
      </c>
      <c r="U1627" s="307">
        <f t="shared" si="636"/>
        <v>0</v>
      </c>
      <c r="V1627" s="80">
        <f t="shared" si="637"/>
        <v>0</v>
      </c>
      <c r="W1627" s="98"/>
      <c r="X1627" s="84">
        <f>+IF(P1627="ACERO A36",VLOOKUP(Q1627,'[3]Tiempo Objeto'!$B$2:$C$12,2,FALSE),IF(P1627="INOXIDABLE",VLOOKUP(Q1627,'[3]Tiempo Objeto'!$B$14:$C$22,2,FALSE),IF(P1627="ALUMINIO",VLOOKUP(Q1627,'[3]Tiempo Objeto'!$B$24:$C$32,2,FALSE))))</f>
        <v>0.6133333333333334</v>
      </c>
      <c r="Y1627" s="84">
        <f t="shared" si="638"/>
        <v>0</v>
      </c>
      <c r="Z1627" s="80">
        <f t="shared" si="639"/>
        <v>0</v>
      </c>
      <c r="AA1627" s="100"/>
      <c r="AB1627" s="86">
        <f>+AA1627*Analisis!$J$6</f>
        <v>0</v>
      </c>
      <c r="AC1627" s="100"/>
      <c r="AD1627" s="85">
        <f t="shared" si="640"/>
        <v>0</v>
      </c>
      <c r="AE1627" s="86">
        <f>+AC1627*Analisis!$J$7</f>
        <v>0</v>
      </c>
      <c r="AF1627" s="308">
        <f>+H1627*0.0254*I1627*0.0254*2*(1+[3]Analisis!$G$2)</f>
        <v>0</v>
      </c>
      <c r="AG1627" s="86">
        <f>+AF1627*Analisis!$J$8</f>
        <v>0</v>
      </c>
      <c r="AH1627" s="309">
        <f t="shared" si="641"/>
        <v>0</v>
      </c>
      <c r="AI1627" s="86">
        <f>+AH1627/(1-Analisis!G1258)</f>
        <v>0</v>
      </c>
      <c r="AJ1627" s="86">
        <f t="shared" si="642"/>
        <v>0</v>
      </c>
      <c r="AK1627" s="86">
        <f t="shared" si="643"/>
        <v>0</v>
      </c>
      <c r="AL1627" s="310" t="e">
        <f>+VLOOKUP(B1627,#REF!,2,FALSE)</f>
        <v>#REF!</v>
      </c>
      <c r="AM1627" s="311" t="e">
        <f t="shared" si="644"/>
        <v>#REF!</v>
      </c>
      <c r="AN1627" s="312" t="e">
        <f t="shared" si="645"/>
        <v>#REF!</v>
      </c>
    </row>
    <row r="1628" spans="1:40" s="73" customFormat="1" x14ac:dyDescent="0.25">
      <c r="A1628" s="313"/>
      <c r="B1628" s="314"/>
      <c r="D1628" s="74">
        <f>IFERROR(VLOOKUP(B1628,'REQ. PINTADO'!B:C,2,0),0)</f>
        <v>0</v>
      </c>
      <c r="E1628" s="305">
        <f t="shared" si="632"/>
        <v>0</v>
      </c>
      <c r="F1628" s="103" t="s">
        <v>163</v>
      </c>
      <c r="G1628" s="75" t="s">
        <v>147</v>
      </c>
      <c r="H1628" s="90"/>
      <c r="I1628" s="90"/>
      <c r="J1628" s="76">
        <v>0.105</v>
      </c>
      <c r="K1628" s="306">
        <v>16.38</v>
      </c>
      <c r="L1628" s="78">
        <f t="shared" si="633"/>
        <v>0</v>
      </c>
      <c r="M1628" s="58">
        <f>+VLOOKUP(F1628,Material!$H$2:$M$17,6,FALSE)*H1628*I1628*(1+Material!$K$14)</f>
        <v>0</v>
      </c>
      <c r="N1628" s="79" t="str">
        <f>+N1247</f>
        <v>T5.0</v>
      </c>
      <c r="O1628" s="80">
        <f>+VLOOKUP(N1628,[3]Material!$A$3:$B$58,2,FALSE)</f>
        <v>5000</v>
      </c>
      <c r="P1628" s="79" t="s">
        <v>42</v>
      </c>
      <c r="Q1628" s="79" t="str">
        <f>+VLOOKUP(F1628,[3]Material!$C$2:$E$12,2,FALSE)</f>
        <v>Cal 12</v>
      </c>
      <c r="R1628" s="81">
        <f>+IF(P1628="ACERO A36",VLOOKUP(Q1628,'[3]Velocidades Std 1500 w'!$B$2:$F$15,5,FALSE),IF(P1628="INOXIDABLE",VLOOKUP(Q1628,'[3]Velocidades Std 1500 w'!$B$17:$F$28,5,FALSE),IF(P1628="ALUMINIO",VLOOKUP(Q1628,'[3]Velocidades Std 1500 w'!$B$30:$F$38,5,FALSE))))</f>
        <v>4.3859649122807014E-6</v>
      </c>
      <c r="S1628" s="82">
        <f t="shared" si="634"/>
        <v>2.1929824561403508E-2</v>
      </c>
      <c r="T1628" s="83">
        <f t="shared" si="635"/>
        <v>0</v>
      </c>
      <c r="U1628" s="307">
        <f t="shared" si="636"/>
        <v>0</v>
      </c>
      <c r="V1628" s="80">
        <f t="shared" si="637"/>
        <v>0</v>
      </c>
      <c r="W1628" s="98"/>
      <c r="X1628" s="84">
        <f>+IF(P1628="ACERO A36",VLOOKUP(Q1628,'[3]Tiempo Objeto'!$B$2:$C$12,2,FALSE),IF(P1628="INOXIDABLE",VLOOKUP(Q1628,'[3]Tiempo Objeto'!$B$14:$C$22,2,FALSE),IF(P1628="ALUMINIO",VLOOKUP(Q1628,'[3]Tiempo Objeto'!$B$24:$C$32,2,FALSE))))</f>
        <v>0.6133333333333334</v>
      </c>
      <c r="Y1628" s="84">
        <f t="shared" si="638"/>
        <v>0</v>
      </c>
      <c r="Z1628" s="80">
        <f t="shared" si="639"/>
        <v>0</v>
      </c>
      <c r="AA1628" s="100"/>
      <c r="AB1628" s="86">
        <f>+AA1628*Analisis!$J$6</f>
        <v>0</v>
      </c>
      <c r="AC1628" s="100"/>
      <c r="AD1628" s="85">
        <f t="shared" si="640"/>
        <v>0</v>
      </c>
      <c r="AE1628" s="86">
        <f>+AC1628*Analisis!$J$7</f>
        <v>0</v>
      </c>
      <c r="AF1628" s="308">
        <f>+H1628*0.0254*I1628*0.0254*2*(1+[3]Analisis!$G$2)</f>
        <v>0</v>
      </c>
      <c r="AG1628" s="86">
        <f>+AF1628*Analisis!$J$8</f>
        <v>0</v>
      </c>
      <c r="AH1628" s="309">
        <f t="shared" si="641"/>
        <v>0</v>
      </c>
      <c r="AI1628" s="86">
        <f>+AH1628/(1-Analisis!G1259)</f>
        <v>0</v>
      </c>
      <c r="AJ1628" s="86">
        <f t="shared" si="642"/>
        <v>0</v>
      </c>
      <c r="AK1628" s="86">
        <f t="shared" si="643"/>
        <v>0</v>
      </c>
      <c r="AL1628" s="310" t="e">
        <f>+VLOOKUP(B1628,#REF!,2,FALSE)</f>
        <v>#REF!</v>
      </c>
      <c r="AM1628" s="311" t="e">
        <f t="shared" si="644"/>
        <v>#REF!</v>
      </c>
      <c r="AN1628" s="312" t="e">
        <f t="shared" si="645"/>
        <v>#REF!</v>
      </c>
    </row>
    <row r="1629" spans="1:40" s="73" customFormat="1" x14ac:dyDescent="0.25">
      <c r="A1629" s="313"/>
      <c r="B1629" s="314"/>
      <c r="D1629" s="74">
        <f>IFERROR(VLOOKUP(B1629,'REQ. PINTADO'!B:C,2,0),0)</f>
        <v>0</v>
      </c>
      <c r="E1629" s="305">
        <f t="shared" si="632"/>
        <v>0</v>
      </c>
      <c r="F1629" s="103" t="s">
        <v>163</v>
      </c>
      <c r="G1629" s="75" t="s">
        <v>147</v>
      </c>
      <c r="H1629" s="90"/>
      <c r="I1629" s="90"/>
      <c r="J1629" s="76">
        <v>0.105</v>
      </c>
      <c r="K1629" s="306">
        <v>16.38</v>
      </c>
      <c r="L1629" s="78">
        <f t="shared" si="633"/>
        <v>0</v>
      </c>
      <c r="M1629" s="58">
        <f>+VLOOKUP(F1629,Material!$H$2:$M$17,6,FALSE)*H1629*I1629*(1+Material!$K$14)</f>
        <v>0</v>
      </c>
      <c r="N1629" s="79" t="str">
        <f>+N1248</f>
        <v>T5.0</v>
      </c>
      <c r="O1629" s="80">
        <f>+VLOOKUP(N1629,[3]Material!$A$3:$B$58,2,FALSE)</f>
        <v>5000</v>
      </c>
      <c r="P1629" s="79" t="s">
        <v>42</v>
      </c>
      <c r="Q1629" s="79" t="str">
        <f>+VLOOKUP(F1629,[3]Material!$C$2:$E$12,2,FALSE)</f>
        <v>Cal 12</v>
      </c>
      <c r="R1629" s="81">
        <f>+IF(P1629="ACERO A36",VLOOKUP(Q1629,'[3]Velocidades Std 1500 w'!$B$2:$F$15,5,FALSE),IF(P1629="INOXIDABLE",VLOOKUP(Q1629,'[3]Velocidades Std 1500 w'!$B$17:$F$28,5,FALSE),IF(P1629="ALUMINIO",VLOOKUP(Q1629,'[3]Velocidades Std 1500 w'!$B$30:$F$38,5,FALSE))))</f>
        <v>4.3859649122807014E-6</v>
      </c>
      <c r="S1629" s="82">
        <f t="shared" si="634"/>
        <v>2.1929824561403508E-2</v>
      </c>
      <c r="T1629" s="83">
        <f t="shared" si="635"/>
        <v>0</v>
      </c>
      <c r="U1629" s="307">
        <f t="shared" si="636"/>
        <v>0</v>
      </c>
      <c r="V1629" s="80">
        <f t="shared" si="637"/>
        <v>0</v>
      </c>
      <c r="W1629" s="98"/>
      <c r="X1629" s="84">
        <f>+IF(P1629="ACERO A36",VLOOKUP(Q1629,'[3]Tiempo Objeto'!$B$2:$C$12,2,FALSE),IF(P1629="INOXIDABLE",VLOOKUP(Q1629,'[3]Tiempo Objeto'!$B$14:$C$22,2,FALSE),IF(P1629="ALUMINIO",VLOOKUP(Q1629,'[3]Tiempo Objeto'!$B$24:$C$32,2,FALSE))))</f>
        <v>0.6133333333333334</v>
      </c>
      <c r="Y1629" s="84">
        <f t="shared" si="638"/>
        <v>0</v>
      </c>
      <c r="Z1629" s="80">
        <f t="shared" si="639"/>
        <v>0</v>
      </c>
      <c r="AA1629" s="100"/>
      <c r="AB1629" s="86">
        <f>+AA1629*Analisis!$J$6</f>
        <v>0</v>
      </c>
      <c r="AC1629" s="100"/>
      <c r="AD1629" s="85">
        <f t="shared" si="640"/>
        <v>0</v>
      </c>
      <c r="AE1629" s="86">
        <f>+AC1629*Analisis!$J$7</f>
        <v>0</v>
      </c>
      <c r="AF1629" s="308">
        <f>+H1629*0.0254*I1629*0.0254*2*(1+[3]Analisis!$G$2)</f>
        <v>0</v>
      </c>
      <c r="AG1629" s="86">
        <f>+AF1629*Analisis!$J$8</f>
        <v>0</v>
      </c>
      <c r="AH1629" s="309">
        <f t="shared" si="641"/>
        <v>0</v>
      </c>
      <c r="AI1629" s="86">
        <f>+AH1629/(1-Analisis!G1260)</f>
        <v>0</v>
      </c>
      <c r="AJ1629" s="86">
        <f t="shared" si="642"/>
        <v>0</v>
      </c>
      <c r="AK1629" s="86">
        <f t="shared" si="643"/>
        <v>0</v>
      </c>
      <c r="AL1629" s="310" t="e">
        <f>+VLOOKUP(B1629,#REF!,2,FALSE)</f>
        <v>#REF!</v>
      </c>
      <c r="AM1629" s="311" t="e">
        <f t="shared" si="644"/>
        <v>#REF!</v>
      </c>
      <c r="AN1629" s="312" t="e">
        <f t="shared" si="645"/>
        <v>#REF!</v>
      </c>
    </row>
    <row r="1630" spans="1:40" s="73" customFormat="1" x14ac:dyDescent="0.25">
      <c r="A1630" s="313"/>
      <c r="B1630" s="314"/>
      <c r="D1630" s="74">
        <f>IFERROR(VLOOKUP(B1630,'REQ. PINTADO'!B:C,2,0),0)</f>
        <v>0</v>
      </c>
      <c r="E1630" s="305">
        <f t="shared" si="632"/>
        <v>0</v>
      </c>
      <c r="F1630" s="103" t="s">
        <v>163</v>
      </c>
      <c r="G1630" s="75" t="s">
        <v>147</v>
      </c>
      <c r="H1630" s="90"/>
      <c r="I1630" s="90"/>
      <c r="J1630" s="76">
        <v>0.105</v>
      </c>
      <c r="K1630" s="306">
        <v>16.38</v>
      </c>
      <c r="L1630" s="78">
        <f t="shared" si="633"/>
        <v>0</v>
      </c>
      <c r="M1630" s="58">
        <f>+VLOOKUP(F1630,Material!$H$2:$M$17,6,FALSE)*H1630*I1630*(1+Material!$K$14)</f>
        <v>0</v>
      </c>
      <c r="N1630" s="79" t="str">
        <f>+N1249</f>
        <v>T5.0</v>
      </c>
      <c r="O1630" s="80">
        <f>+VLOOKUP(N1630,[3]Material!$A$3:$B$58,2,FALSE)</f>
        <v>5000</v>
      </c>
      <c r="P1630" s="79" t="s">
        <v>42</v>
      </c>
      <c r="Q1630" s="79" t="str">
        <f>+VLOOKUP(F1630,[3]Material!$C$2:$E$12,2,FALSE)</f>
        <v>Cal 12</v>
      </c>
      <c r="R1630" s="81">
        <f>+IF(P1630="ACERO A36",VLOOKUP(Q1630,'[3]Velocidades Std 1500 w'!$B$2:$F$15,5,FALSE),IF(P1630="INOXIDABLE",VLOOKUP(Q1630,'[3]Velocidades Std 1500 w'!$B$17:$F$28,5,FALSE),IF(P1630="ALUMINIO",VLOOKUP(Q1630,'[3]Velocidades Std 1500 w'!$B$30:$F$38,5,FALSE))))</f>
        <v>4.3859649122807014E-6</v>
      </c>
      <c r="S1630" s="82">
        <f t="shared" si="634"/>
        <v>2.1929824561403508E-2</v>
      </c>
      <c r="T1630" s="83">
        <f t="shared" si="635"/>
        <v>0</v>
      </c>
      <c r="U1630" s="307">
        <f t="shared" si="636"/>
        <v>0</v>
      </c>
      <c r="V1630" s="80">
        <f t="shared" si="637"/>
        <v>0</v>
      </c>
      <c r="W1630" s="98"/>
      <c r="X1630" s="84">
        <f>+IF(P1630="ACERO A36",VLOOKUP(Q1630,'[3]Tiempo Objeto'!$B$2:$C$12,2,FALSE),IF(P1630="INOXIDABLE",VLOOKUP(Q1630,'[3]Tiempo Objeto'!$B$14:$C$22,2,FALSE),IF(P1630="ALUMINIO",VLOOKUP(Q1630,'[3]Tiempo Objeto'!$B$24:$C$32,2,FALSE))))</f>
        <v>0.6133333333333334</v>
      </c>
      <c r="Y1630" s="84">
        <f t="shared" si="638"/>
        <v>0</v>
      </c>
      <c r="Z1630" s="80">
        <f t="shared" si="639"/>
        <v>0</v>
      </c>
      <c r="AA1630" s="100"/>
      <c r="AB1630" s="86">
        <f>+AA1630*Analisis!$J$6</f>
        <v>0</v>
      </c>
      <c r="AC1630" s="100"/>
      <c r="AD1630" s="85">
        <f t="shared" si="640"/>
        <v>0</v>
      </c>
      <c r="AE1630" s="86">
        <f>+AC1630*Analisis!$J$7</f>
        <v>0</v>
      </c>
      <c r="AF1630" s="308">
        <f>+H1630*0.0254*I1630*0.0254*2*(1+[3]Analisis!$G$2)</f>
        <v>0</v>
      </c>
      <c r="AG1630" s="86">
        <f>+AF1630*Analisis!$J$8</f>
        <v>0</v>
      </c>
      <c r="AH1630" s="309">
        <f t="shared" si="641"/>
        <v>0</v>
      </c>
      <c r="AI1630" s="86">
        <f>+AH1630/(1-Analisis!G1261)</f>
        <v>0</v>
      </c>
      <c r="AJ1630" s="86">
        <f t="shared" si="642"/>
        <v>0</v>
      </c>
      <c r="AK1630" s="86">
        <f t="shared" si="643"/>
        <v>0</v>
      </c>
      <c r="AL1630" s="310" t="e">
        <f>+VLOOKUP(B1630,#REF!,2,FALSE)</f>
        <v>#REF!</v>
      </c>
      <c r="AM1630" s="311" t="e">
        <f t="shared" si="644"/>
        <v>#REF!</v>
      </c>
      <c r="AN1630" s="312" t="e">
        <f t="shared" si="645"/>
        <v>#REF!</v>
      </c>
    </row>
    <row r="1631" spans="1:40" s="73" customFormat="1" x14ac:dyDescent="0.25">
      <c r="A1631" s="313"/>
      <c r="B1631" s="314"/>
      <c r="D1631" s="74">
        <f>IFERROR(VLOOKUP(B1631,'REQ. PINTADO'!B:C,2,0),0)</f>
        <v>0</v>
      </c>
      <c r="E1631" s="305">
        <f t="shared" si="632"/>
        <v>0</v>
      </c>
      <c r="F1631" s="103" t="s">
        <v>163</v>
      </c>
      <c r="G1631" s="75" t="s">
        <v>147</v>
      </c>
      <c r="H1631" s="90"/>
      <c r="I1631" s="90"/>
      <c r="J1631" s="76">
        <v>0.105</v>
      </c>
      <c r="K1631" s="306">
        <v>16.38</v>
      </c>
      <c r="L1631" s="78">
        <f t="shared" si="633"/>
        <v>0</v>
      </c>
      <c r="M1631" s="58">
        <f>+VLOOKUP(F1631,Material!$H$2:$M$17,6,FALSE)*H1631*I1631*(1+Material!$K$14)</f>
        <v>0</v>
      </c>
      <c r="N1631" s="79" t="str">
        <f>+N1250</f>
        <v>T5.0</v>
      </c>
      <c r="O1631" s="80">
        <f>+VLOOKUP(N1631,[3]Material!$A$3:$B$58,2,FALSE)</f>
        <v>5000</v>
      </c>
      <c r="P1631" s="79" t="s">
        <v>42</v>
      </c>
      <c r="Q1631" s="79" t="str">
        <f>+VLOOKUP(F1631,[3]Material!$C$2:$E$12,2,FALSE)</f>
        <v>Cal 12</v>
      </c>
      <c r="R1631" s="81">
        <f>+IF(P1631="ACERO A36",VLOOKUP(Q1631,'[3]Velocidades Std 1500 w'!$B$2:$F$15,5,FALSE),IF(P1631="INOXIDABLE",VLOOKUP(Q1631,'[3]Velocidades Std 1500 w'!$B$17:$F$28,5,FALSE),IF(P1631="ALUMINIO",VLOOKUP(Q1631,'[3]Velocidades Std 1500 w'!$B$30:$F$38,5,FALSE))))</f>
        <v>4.3859649122807014E-6</v>
      </c>
      <c r="S1631" s="82">
        <f t="shared" si="634"/>
        <v>2.1929824561403508E-2</v>
      </c>
      <c r="T1631" s="83">
        <f t="shared" si="635"/>
        <v>0</v>
      </c>
      <c r="U1631" s="307">
        <f t="shared" si="636"/>
        <v>0</v>
      </c>
      <c r="V1631" s="80">
        <f t="shared" si="637"/>
        <v>0</v>
      </c>
      <c r="W1631" s="98"/>
      <c r="X1631" s="84">
        <f>+IF(P1631="ACERO A36",VLOOKUP(Q1631,'[3]Tiempo Objeto'!$B$2:$C$12,2,FALSE),IF(P1631="INOXIDABLE",VLOOKUP(Q1631,'[3]Tiempo Objeto'!$B$14:$C$22,2,FALSE),IF(P1631="ALUMINIO",VLOOKUP(Q1631,'[3]Tiempo Objeto'!$B$24:$C$32,2,FALSE))))</f>
        <v>0.6133333333333334</v>
      </c>
      <c r="Y1631" s="84">
        <f t="shared" si="638"/>
        <v>0</v>
      </c>
      <c r="Z1631" s="80">
        <f t="shared" si="639"/>
        <v>0</v>
      </c>
      <c r="AA1631" s="100"/>
      <c r="AB1631" s="86">
        <f>+AA1631*Analisis!$J$6</f>
        <v>0</v>
      </c>
      <c r="AC1631" s="100"/>
      <c r="AD1631" s="85">
        <f t="shared" si="640"/>
        <v>0</v>
      </c>
      <c r="AE1631" s="86">
        <f>+AC1631*Analisis!$J$7</f>
        <v>0</v>
      </c>
      <c r="AF1631" s="308">
        <f>+H1631*0.0254*I1631*0.0254*2*(1+[3]Analisis!$G$2)</f>
        <v>0</v>
      </c>
      <c r="AG1631" s="86">
        <f>+AF1631*Analisis!$J$8</f>
        <v>0</v>
      </c>
      <c r="AH1631" s="309">
        <f t="shared" si="641"/>
        <v>0</v>
      </c>
      <c r="AI1631" s="86">
        <f>+AH1631/(1-Analisis!G1262)</f>
        <v>0</v>
      </c>
      <c r="AJ1631" s="86">
        <f t="shared" si="642"/>
        <v>0</v>
      </c>
      <c r="AK1631" s="86">
        <f t="shared" si="643"/>
        <v>0</v>
      </c>
      <c r="AL1631" s="310" t="e">
        <f>+VLOOKUP(B1631,#REF!,2,FALSE)</f>
        <v>#REF!</v>
      </c>
      <c r="AM1631" s="311" t="e">
        <f t="shared" si="644"/>
        <v>#REF!</v>
      </c>
      <c r="AN1631" s="312" t="e">
        <f t="shared" si="645"/>
        <v>#REF!</v>
      </c>
    </row>
    <row r="1632" spans="1:40" s="73" customFormat="1" x14ac:dyDescent="0.25">
      <c r="A1632" s="313"/>
      <c r="B1632" s="314"/>
      <c r="D1632" s="74">
        <f>IFERROR(VLOOKUP(B1632,'REQ. PINTADO'!B:C,2,0),0)</f>
        <v>0</v>
      </c>
      <c r="E1632" s="305">
        <f t="shared" si="632"/>
        <v>0</v>
      </c>
      <c r="F1632" s="103" t="s">
        <v>163</v>
      </c>
      <c r="G1632" s="75" t="s">
        <v>147</v>
      </c>
      <c r="H1632" s="90"/>
      <c r="I1632" s="90"/>
      <c r="J1632" s="76">
        <v>0.105</v>
      </c>
      <c r="K1632" s="306">
        <v>16.38</v>
      </c>
      <c r="L1632" s="78">
        <f t="shared" si="633"/>
        <v>0</v>
      </c>
      <c r="M1632" s="58">
        <f>+VLOOKUP(F1632,Material!$H$2:$M$17,6,FALSE)*H1632*I1632*(1+Material!$K$14)</f>
        <v>0</v>
      </c>
      <c r="N1632" s="79" t="str">
        <f>+N1251</f>
        <v>T5.0</v>
      </c>
      <c r="O1632" s="80">
        <f>+VLOOKUP(N1632,[3]Material!$A$3:$B$58,2,FALSE)</f>
        <v>5000</v>
      </c>
      <c r="P1632" s="79" t="s">
        <v>42</v>
      </c>
      <c r="Q1632" s="79" t="str">
        <f>+VLOOKUP(F1632,[3]Material!$C$2:$E$12,2,FALSE)</f>
        <v>Cal 12</v>
      </c>
      <c r="R1632" s="81">
        <f>+IF(P1632="ACERO A36",VLOOKUP(Q1632,'[3]Velocidades Std 1500 w'!$B$2:$F$15,5,FALSE),IF(P1632="INOXIDABLE",VLOOKUP(Q1632,'[3]Velocidades Std 1500 w'!$B$17:$F$28,5,FALSE),IF(P1632="ALUMINIO",VLOOKUP(Q1632,'[3]Velocidades Std 1500 w'!$B$30:$F$38,5,FALSE))))</f>
        <v>4.3859649122807014E-6</v>
      </c>
      <c r="S1632" s="82">
        <f t="shared" si="634"/>
        <v>2.1929824561403508E-2</v>
      </c>
      <c r="T1632" s="83">
        <f t="shared" si="635"/>
        <v>0</v>
      </c>
      <c r="U1632" s="307">
        <f t="shared" si="636"/>
        <v>0</v>
      </c>
      <c r="V1632" s="80">
        <f t="shared" si="637"/>
        <v>0</v>
      </c>
      <c r="W1632" s="98"/>
      <c r="X1632" s="84">
        <f>+IF(P1632="ACERO A36",VLOOKUP(Q1632,'[3]Tiempo Objeto'!$B$2:$C$12,2,FALSE),IF(P1632="INOXIDABLE",VLOOKUP(Q1632,'[3]Tiempo Objeto'!$B$14:$C$22,2,FALSE),IF(P1632="ALUMINIO",VLOOKUP(Q1632,'[3]Tiempo Objeto'!$B$24:$C$32,2,FALSE))))</f>
        <v>0.6133333333333334</v>
      </c>
      <c r="Y1632" s="84">
        <f t="shared" si="638"/>
        <v>0</v>
      </c>
      <c r="Z1632" s="80">
        <f t="shared" si="639"/>
        <v>0</v>
      </c>
      <c r="AA1632" s="100"/>
      <c r="AB1632" s="86">
        <f>+AA1632*Analisis!$J$6</f>
        <v>0</v>
      </c>
      <c r="AC1632" s="100"/>
      <c r="AD1632" s="85">
        <f t="shared" si="640"/>
        <v>0</v>
      </c>
      <c r="AE1632" s="86">
        <f>+AC1632*Analisis!$J$7</f>
        <v>0</v>
      </c>
      <c r="AF1632" s="308">
        <f>+H1632*0.0254*I1632*0.0254*2*(1+[3]Analisis!$G$2)</f>
        <v>0</v>
      </c>
      <c r="AG1632" s="86">
        <f>+AF1632*Analisis!$J$8</f>
        <v>0</v>
      </c>
      <c r="AH1632" s="309">
        <f t="shared" si="641"/>
        <v>0</v>
      </c>
      <c r="AI1632" s="86">
        <f>+AH1632/(1-Analisis!G1263)</f>
        <v>0</v>
      </c>
      <c r="AJ1632" s="86">
        <f t="shared" si="642"/>
        <v>0</v>
      </c>
      <c r="AK1632" s="86">
        <f t="shared" si="643"/>
        <v>0</v>
      </c>
      <c r="AL1632" s="310" t="e">
        <f>+VLOOKUP(B1632,#REF!,2,FALSE)</f>
        <v>#REF!</v>
      </c>
      <c r="AM1632" s="311" t="e">
        <f t="shared" si="644"/>
        <v>#REF!</v>
      </c>
      <c r="AN1632" s="312" t="e">
        <f t="shared" si="645"/>
        <v>#REF!</v>
      </c>
    </row>
    <row r="1633" spans="1:40" s="73" customFormat="1" x14ac:dyDescent="0.25">
      <c r="A1633" s="313"/>
      <c r="B1633" s="314"/>
      <c r="D1633" s="74">
        <f>IFERROR(VLOOKUP(B1633,'REQ. PINTADO'!B:C,2,0),0)</f>
        <v>0</v>
      </c>
      <c r="E1633" s="305">
        <f t="shared" si="632"/>
        <v>0</v>
      </c>
      <c r="F1633" s="103" t="s">
        <v>163</v>
      </c>
      <c r="G1633" s="75" t="s">
        <v>147</v>
      </c>
      <c r="H1633" s="90"/>
      <c r="I1633" s="90"/>
      <c r="J1633" s="76">
        <v>0.105</v>
      </c>
      <c r="K1633" s="306">
        <v>16.38</v>
      </c>
      <c r="L1633" s="78">
        <f t="shared" si="633"/>
        <v>0</v>
      </c>
      <c r="M1633" s="58">
        <f>+VLOOKUP(F1633,Material!$H$2:$M$17,6,FALSE)*H1633*I1633*(1+Material!$K$14)</f>
        <v>0</v>
      </c>
      <c r="N1633" s="79" t="str">
        <f>+N1252</f>
        <v>T5.0</v>
      </c>
      <c r="O1633" s="80">
        <f>+VLOOKUP(N1633,[3]Material!$A$3:$B$58,2,FALSE)</f>
        <v>5000</v>
      </c>
      <c r="P1633" s="79" t="s">
        <v>42</v>
      </c>
      <c r="Q1633" s="79" t="str">
        <f>+VLOOKUP(F1633,[3]Material!$C$2:$E$12,2,FALSE)</f>
        <v>Cal 12</v>
      </c>
      <c r="R1633" s="81">
        <f>+IF(P1633="ACERO A36",VLOOKUP(Q1633,'[3]Velocidades Std 1500 w'!$B$2:$F$15,5,FALSE),IF(P1633="INOXIDABLE",VLOOKUP(Q1633,'[3]Velocidades Std 1500 w'!$B$17:$F$28,5,FALSE),IF(P1633="ALUMINIO",VLOOKUP(Q1633,'[3]Velocidades Std 1500 w'!$B$30:$F$38,5,FALSE))))</f>
        <v>4.3859649122807014E-6</v>
      </c>
      <c r="S1633" s="82">
        <f t="shared" si="634"/>
        <v>2.1929824561403508E-2</v>
      </c>
      <c r="T1633" s="83">
        <f t="shared" si="635"/>
        <v>0</v>
      </c>
      <c r="U1633" s="307">
        <f t="shared" si="636"/>
        <v>0</v>
      </c>
      <c r="V1633" s="80">
        <f t="shared" si="637"/>
        <v>0</v>
      </c>
      <c r="W1633" s="98"/>
      <c r="X1633" s="84">
        <f>+IF(P1633="ACERO A36",VLOOKUP(Q1633,'[3]Tiempo Objeto'!$B$2:$C$12,2,FALSE),IF(P1633="INOXIDABLE",VLOOKUP(Q1633,'[3]Tiempo Objeto'!$B$14:$C$22,2,FALSE),IF(P1633="ALUMINIO",VLOOKUP(Q1633,'[3]Tiempo Objeto'!$B$24:$C$32,2,FALSE))))</f>
        <v>0.6133333333333334</v>
      </c>
      <c r="Y1633" s="84">
        <f t="shared" si="638"/>
        <v>0</v>
      </c>
      <c r="Z1633" s="80">
        <f t="shared" si="639"/>
        <v>0</v>
      </c>
      <c r="AA1633" s="100"/>
      <c r="AB1633" s="86">
        <f>+AA1633*Analisis!$J$6</f>
        <v>0</v>
      </c>
      <c r="AC1633" s="100"/>
      <c r="AD1633" s="85">
        <f t="shared" si="640"/>
        <v>0</v>
      </c>
      <c r="AE1633" s="86">
        <f>+AC1633*Analisis!$J$7</f>
        <v>0</v>
      </c>
      <c r="AF1633" s="308">
        <f>+H1633*0.0254*I1633*0.0254*2*(1+[3]Analisis!$G$2)</f>
        <v>0</v>
      </c>
      <c r="AG1633" s="86">
        <f>+AF1633*Analisis!$J$8</f>
        <v>0</v>
      </c>
      <c r="AH1633" s="309">
        <f t="shared" si="641"/>
        <v>0</v>
      </c>
      <c r="AI1633" s="86">
        <f>+AH1633/(1-Analisis!G1264)</f>
        <v>0</v>
      </c>
      <c r="AJ1633" s="86">
        <f t="shared" si="642"/>
        <v>0</v>
      </c>
      <c r="AK1633" s="86">
        <f t="shared" si="643"/>
        <v>0</v>
      </c>
      <c r="AL1633" s="310" t="e">
        <f>+VLOOKUP(B1633,#REF!,2,FALSE)</f>
        <v>#REF!</v>
      </c>
      <c r="AM1633" s="311" t="e">
        <f t="shared" si="644"/>
        <v>#REF!</v>
      </c>
      <c r="AN1633" s="312" t="e">
        <f t="shared" si="645"/>
        <v>#REF!</v>
      </c>
    </row>
    <row r="1634" spans="1:40" s="73" customFormat="1" x14ac:dyDescent="0.25">
      <c r="A1634" s="313"/>
      <c r="B1634" s="314"/>
      <c r="D1634" s="74">
        <f>IFERROR(VLOOKUP(B1634,'REQ. PINTADO'!B:C,2,0),0)</f>
        <v>0</v>
      </c>
      <c r="E1634" s="305">
        <f t="shared" si="632"/>
        <v>0</v>
      </c>
      <c r="F1634" s="103" t="s">
        <v>163</v>
      </c>
      <c r="G1634" s="75" t="s">
        <v>147</v>
      </c>
      <c r="H1634" s="90"/>
      <c r="I1634" s="90"/>
      <c r="J1634" s="76">
        <v>0.105</v>
      </c>
      <c r="K1634" s="306">
        <v>16.38</v>
      </c>
      <c r="L1634" s="78">
        <f t="shared" si="633"/>
        <v>0</v>
      </c>
      <c r="M1634" s="58">
        <f>+VLOOKUP(F1634,Material!$H$2:$M$17,6,FALSE)*H1634*I1634*(1+Material!$K$14)</f>
        <v>0</v>
      </c>
      <c r="N1634" s="79" t="str">
        <f>+N1253</f>
        <v>T5.0</v>
      </c>
      <c r="O1634" s="80">
        <f>+VLOOKUP(N1634,[3]Material!$A$3:$B$58,2,FALSE)</f>
        <v>5000</v>
      </c>
      <c r="P1634" s="79" t="s">
        <v>42</v>
      </c>
      <c r="Q1634" s="79" t="str">
        <f>+VLOOKUP(F1634,[3]Material!$C$2:$E$12,2,FALSE)</f>
        <v>Cal 12</v>
      </c>
      <c r="R1634" s="81">
        <f>+IF(P1634="ACERO A36",VLOOKUP(Q1634,'[3]Velocidades Std 1500 w'!$B$2:$F$15,5,FALSE),IF(P1634="INOXIDABLE",VLOOKUP(Q1634,'[3]Velocidades Std 1500 w'!$B$17:$F$28,5,FALSE),IF(P1634="ALUMINIO",VLOOKUP(Q1634,'[3]Velocidades Std 1500 w'!$B$30:$F$38,5,FALSE))))</f>
        <v>4.3859649122807014E-6</v>
      </c>
      <c r="S1634" s="82">
        <f t="shared" si="634"/>
        <v>2.1929824561403508E-2</v>
      </c>
      <c r="T1634" s="83">
        <f t="shared" si="635"/>
        <v>0</v>
      </c>
      <c r="U1634" s="307">
        <f t="shared" si="636"/>
        <v>0</v>
      </c>
      <c r="V1634" s="80">
        <f t="shared" si="637"/>
        <v>0</v>
      </c>
      <c r="W1634" s="98"/>
      <c r="X1634" s="84">
        <f>+IF(P1634="ACERO A36",VLOOKUP(Q1634,'[3]Tiempo Objeto'!$B$2:$C$12,2,FALSE),IF(P1634="INOXIDABLE",VLOOKUP(Q1634,'[3]Tiempo Objeto'!$B$14:$C$22,2,FALSE),IF(P1634="ALUMINIO",VLOOKUP(Q1634,'[3]Tiempo Objeto'!$B$24:$C$32,2,FALSE))))</f>
        <v>0.6133333333333334</v>
      </c>
      <c r="Y1634" s="84">
        <f t="shared" si="638"/>
        <v>0</v>
      </c>
      <c r="Z1634" s="80">
        <f t="shared" si="639"/>
        <v>0</v>
      </c>
      <c r="AA1634" s="100"/>
      <c r="AB1634" s="86">
        <f>+AA1634*Analisis!$J$6</f>
        <v>0</v>
      </c>
      <c r="AC1634" s="100"/>
      <c r="AD1634" s="85">
        <f t="shared" si="640"/>
        <v>0</v>
      </c>
      <c r="AE1634" s="86">
        <f>+AC1634*Analisis!$J$7</f>
        <v>0</v>
      </c>
      <c r="AF1634" s="308">
        <f>+H1634*0.0254*I1634*0.0254*2*(1+[3]Analisis!$G$2)</f>
        <v>0</v>
      </c>
      <c r="AG1634" s="86">
        <f>+AF1634*Analisis!$J$8</f>
        <v>0</v>
      </c>
      <c r="AH1634" s="309">
        <f t="shared" si="641"/>
        <v>0</v>
      </c>
      <c r="AI1634" s="86">
        <f>+AH1634/(1-Analisis!G1265)</f>
        <v>0</v>
      </c>
      <c r="AJ1634" s="86">
        <f t="shared" si="642"/>
        <v>0</v>
      </c>
      <c r="AK1634" s="86">
        <f t="shared" si="643"/>
        <v>0</v>
      </c>
      <c r="AL1634" s="310" t="e">
        <f>+VLOOKUP(B1634,#REF!,2,FALSE)</f>
        <v>#REF!</v>
      </c>
      <c r="AM1634" s="311" t="e">
        <f t="shared" si="644"/>
        <v>#REF!</v>
      </c>
      <c r="AN1634" s="312" t="e">
        <f t="shared" si="645"/>
        <v>#REF!</v>
      </c>
    </row>
    <row r="1635" spans="1:40" s="73" customFormat="1" x14ac:dyDescent="0.25">
      <c r="A1635" s="313"/>
      <c r="B1635" s="314"/>
      <c r="D1635" s="74">
        <f>IFERROR(VLOOKUP(B1635,'REQ. PINTADO'!B:C,2,0),0)</f>
        <v>0</v>
      </c>
      <c r="E1635" s="305">
        <f t="shared" si="632"/>
        <v>0</v>
      </c>
      <c r="F1635" s="103" t="s">
        <v>163</v>
      </c>
      <c r="G1635" s="75" t="s">
        <v>147</v>
      </c>
      <c r="H1635" s="90"/>
      <c r="I1635" s="90"/>
      <c r="J1635" s="76">
        <v>0.105</v>
      </c>
      <c r="K1635" s="306">
        <v>16.38</v>
      </c>
      <c r="L1635" s="78">
        <f t="shared" si="633"/>
        <v>0</v>
      </c>
      <c r="M1635" s="58">
        <f>+VLOOKUP(F1635,Material!$H$2:$M$17,6,FALSE)*H1635*I1635*(1+Material!$K$14)</f>
        <v>0</v>
      </c>
      <c r="N1635" s="79" t="str">
        <f>+N1254</f>
        <v>T5.0</v>
      </c>
      <c r="O1635" s="80">
        <f>+VLOOKUP(N1635,[3]Material!$A$3:$B$58,2,FALSE)</f>
        <v>5000</v>
      </c>
      <c r="P1635" s="79" t="s">
        <v>42</v>
      </c>
      <c r="Q1635" s="79" t="str">
        <f>+VLOOKUP(F1635,[3]Material!$C$2:$E$12,2,FALSE)</f>
        <v>Cal 12</v>
      </c>
      <c r="R1635" s="81">
        <f>+IF(P1635="ACERO A36",VLOOKUP(Q1635,'[3]Velocidades Std 1500 w'!$B$2:$F$15,5,FALSE),IF(P1635="INOXIDABLE",VLOOKUP(Q1635,'[3]Velocidades Std 1500 w'!$B$17:$F$28,5,FALSE),IF(P1635="ALUMINIO",VLOOKUP(Q1635,'[3]Velocidades Std 1500 w'!$B$30:$F$38,5,FALSE))))</f>
        <v>4.3859649122807014E-6</v>
      </c>
      <c r="S1635" s="82">
        <f t="shared" si="634"/>
        <v>2.1929824561403508E-2</v>
      </c>
      <c r="T1635" s="83">
        <f t="shared" si="635"/>
        <v>0</v>
      </c>
      <c r="U1635" s="307">
        <f t="shared" si="636"/>
        <v>0</v>
      </c>
      <c r="V1635" s="80">
        <f t="shared" si="637"/>
        <v>0</v>
      </c>
      <c r="W1635" s="98"/>
      <c r="X1635" s="84">
        <f>+IF(P1635="ACERO A36",VLOOKUP(Q1635,'[3]Tiempo Objeto'!$B$2:$C$12,2,FALSE),IF(P1635="INOXIDABLE",VLOOKUP(Q1635,'[3]Tiempo Objeto'!$B$14:$C$22,2,FALSE),IF(P1635="ALUMINIO",VLOOKUP(Q1635,'[3]Tiempo Objeto'!$B$24:$C$32,2,FALSE))))</f>
        <v>0.6133333333333334</v>
      </c>
      <c r="Y1635" s="84">
        <f t="shared" si="638"/>
        <v>0</v>
      </c>
      <c r="Z1635" s="80">
        <f t="shared" si="639"/>
        <v>0</v>
      </c>
      <c r="AA1635" s="100"/>
      <c r="AB1635" s="86">
        <f>+AA1635*Analisis!$J$6</f>
        <v>0</v>
      </c>
      <c r="AC1635" s="100"/>
      <c r="AD1635" s="85">
        <f t="shared" si="640"/>
        <v>0</v>
      </c>
      <c r="AE1635" s="86">
        <f>+AC1635*Analisis!$J$7</f>
        <v>0</v>
      </c>
      <c r="AF1635" s="308">
        <f>+H1635*0.0254*I1635*0.0254*2*(1+[3]Analisis!$G$2)</f>
        <v>0</v>
      </c>
      <c r="AG1635" s="86">
        <f>+AF1635*Analisis!$J$8</f>
        <v>0</v>
      </c>
      <c r="AH1635" s="309">
        <f t="shared" si="641"/>
        <v>0</v>
      </c>
      <c r="AI1635" s="86">
        <f>+AH1635/(1-Analisis!G1266)</f>
        <v>0</v>
      </c>
      <c r="AJ1635" s="86">
        <f t="shared" si="642"/>
        <v>0</v>
      </c>
      <c r="AK1635" s="86">
        <f t="shared" si="643"/>
        <v>0</v>
      </c>
      <c r="AL1635" s="310" t="e">
        <f>+VLOOKUP(B1635,#REF!,2,FALSE)</f>
        <v>#REF!</v>
      </c>
      <c r="AM1635" s="311" t="e">
        <f t="shared" si="644"/>
        <v>#REF!</v>
      </c>
      <c r="AN1635" s="312" t="e">
        <f t="shared" si="645"/>
        <v>#REF!</v>
      </c>
    </row>
    <row r="1636" spans="1:40" s="73" customFormat="1" x14ac:dyDescent="0.25">
      <c r="A1636" s="313"/>
      <c r="B1636" s="314"/>
      <c r="D1636" s="74">
        <f>IFERROR(VLOOKUP(B1636,'REQ. PINTADO'!B:C,2,0),0)</f>
        <v>0</v>
      </c>
      <c r="E1636" s="305">
        <f t="shared" si="632"/>
        <v>0</v>
      </c>
      <c r="F1636" s="103" t="s">
        <v>163</v>
      </c>
      <c r="G1636" s="75" t="s">
        <v>147</v>
      </c>
      <c r="H1636" s="90"/>
      <c r="I1636" s="90"/>
      <c r="J1636" s="76">
        <v>0.105</v>
      </c>
      <c r="K1636" s="306">
        <v>16.38</v>
      </c>
      <c r="L1636" s="78">
        <f t="shared" si="633"/>
        <v>0</v>
      </c>
      <c r="M1636" s="58">
        <f>+VLOOKUP(F1636,Material!$H$2:$M$17,6,FALSE)*H1636*I1636*(1+Material!$K$14)</f>
        <v>0</v>
      </c>
      <c r="N1636" s="79" t="str">
        <f>+N1255</f>
        <v>T5.0</v>
      </c>
      <c r="O1636" s="80">
        <f>+VLOOKUP(N1636,[3]Material!$A$3:$B$58,2,FALSE)</f>
        <v>5000</v>
      </c>
      <c r="P1636" s="79" t="s">
        <v>42</v>
      </c>
      <c r="Q1636" s="79" t="str">
        <f>+VLOOKUP(F1636,[3]Material!$C$2:$E$12,2,FALSE)</f>
        <v>Cal 12</v>
      </c>
      <c r="R1636" s="81">
        <f>+IF(P1636="ACERO A36",VLOOKUP(Q1636,'[3]Velocidades Std 1500 w'!$B$2:$F$15,5,FALSE),IF(P1636="INOXIDABLE",VLOOKUP(Q1636,'[3]Velocidades Std 1500 w'!$B$17:$F$28,5,FALSE),IF(P1636="ALUMINIO",VLOOKUP(Q1636,'[3]Velocidades Std 1500 w'!$B$30:$F$38,5,FALSE))))</f>
        <v>4.3859649122807014E-6</v>
      </c>
      <c r="S1636" s="82">
        <f t="shared" si="634"/>
        <v>2.1929824561403508E-2</v>
      </c>
      <c r="T1636" s="83">
        <f t="shared" si="635"/>
        <v>0</v>
      </c>
      <c r="U1636" s="307">
        <f t="shared" si="636"/>
        <v>0</v>
      </c>
      <c r="V1636" s="80">
        <f t="shared" si="637"/>
        <v>0</v>
      </c>
      <c r="W1636" s="98"/>
      <c r="X1636" s="84">
        <f>+IF(P1636="ACERO A36",VLOOKUP(Q1636,'[3]Tiempo Objeto'!$B$2:$C$12,2,FALSE),IF(P1636="INOXIDABLE",VLOOKUP(Q1636,'[3]Tiempo Objeto'!$B$14:$C$22,2,FALSE),IF(P1636="ALUMINIO",VLOOKUP(Q1636,'[3]Tiempo Objeto'!$B$24:$C$32,2,FALSE))))</f>
        <v>0.6133333333333334</v>
      </c>
      <c r="Y1636" s="84">
        <f t="shared" si="638"/>
        <v>0</v>
      </c>
      <c r="Z1636" s="80">
        <f t="shared" si="639"/>
        <v>0</v>
      </c>
      <c r="AA1636" s="100"/>
      <c r="AB1636" s="86">
        <f>+AA1636*Analisis!$J$6</f>
        <v>0</v>
      </c>
      <c r="AC1636" s="100"/>
      <c r="AD1636" s="85">
        <f t="shared" si="640"/>
        <v>0</v>
      </c>
      <c r="AE1636" s="86">
        <f>+AC1636*Analisis!$J$7</f>
        <v>0</v>
      </c>
      <c r="AF1636" s="308">
        <f>+H1636*0.0254*I1636*0.0254*2*(1+[3]Analisis!$G$2)</f>
        <v>0</v>
      </c>
      <c r="AG1636" s="86">
        <f>+AF1636*Analisis!$J$8</f>
        <v>0</v>
      </c>
      <c r="AH1636" s="309">
        <f t="shared" si="641"/>
        <v>0</v>
      </c>
      <c r="AI1636" s="86">
        <f>+AH1636/(1-Analisis!G1267)</f>
        <v>0</v>
      </c>
      <c r="AJ1636" s="86">
        <f t="shared" si="642"/>
        <v>0</v>
      </c>
      <c r="AK1636" s="86">
        <f t="shared" si="643"/>
        <v>0</v>
      </c>
      <c r="AL1636" s="310" t="e">
        <f>+VLOOKUP(B1636,#REF!,2,FALSE)</f>
        <v>#REF!</v>
      </c>
      <c r="AM1636" s="311" t="e">
        <f t="shared" si="644"/>
        <v>#REF!</v>
      </c>
      <c r="AN1636" s="312" t="e">
        <f t="shared" si="645"/>
        <v>#REF!</v>
      </c>
    </row>
    <row r="1637" spans="1:40" s="73" customFormat="1" x14ac:dyDescent="0.25">
      <c r="A1637" s="313"/>
      <c r="B1637" s="314"/>
      <c r="D1637" s="74">
        <f>IFERROR(VLOOKUP(B1637,'REQ. PINTADO'!B:C,2,0),0)</f>
        <v>0</v>
      </c>
      <c r="E1637" s="305">
        <f t="shared" si="632"/>
        <v>0</v>
      </c>
      <c r="F1637" s="103" t="s">
        <v>163</v>
      </c>
      <c r="G1637" s="75" t="s">
        <v>147</v>
      </c>
      <c r="H1637" s="90"/>
      <c r="I1637" s="90"/>
      <c r="J1637" s="76">
        <v>0.105</v>
      </c>
      <c r="K1637" s="306">
        <v>16.38</v>
      </c>
      <c r="L1637" s="78">
        <f t="shared" si="633"/>
        <v>0</v>
      </c>
      <c r="M1637" s="58">
        <f>+VLOOKUP(F1637,Material!$H$2:$M$17,6,FALSE)*H1637*I1637*(1+Material!$K$14)</f>
        <v>0</v>
      </c>
      <c r="N1637" s="79" t="str">
        <f>+N1256</f>
        <v>T5.0</v>
      </c>
      <c r="O1637" s="80">
        <f>+VLOOKUP(N1637,[3]Material!$A$3:$B$58,2,FALSE)</f>
        <v>5000</v>
      </c>
      <c r="P1637" s="79" t="s">
        <v>42</v>
      </c>
      <c r="Q1637" s="79" t="str">
        <f>+VLOOKUP(F1637,[3]Material!$C$2:$E$12,2,FALSE)</f>
        <v>Cal 12</v>
      </c>
      <c r="R1637" s="81">
        <f>+IF(P1637="ACERO A36",VLOOKUP(Q1637,'[3]Velocidades Std 1500 w'!$B$2:$F$15,5,FALSE),IF(P1637="INOXIDABLE",VLOOKUP(Q1637,'[3]Velocidades Std 1500 w'!$B$17:$F$28,5,FALSE),IF(P1637="ALUMINIO",VLOOKUP(Q1637,'[3]Velocidades Std 1500 w'!$B$30:$F$38,5,FALSE))))</f>
        <v>4.3859649122807014E-6</v>
      </c>
      <c r="S1637" s="82">
        <f t="shared" si="634"/>
        <v>2.1929824561403508E-2</v>
      </c>
      <c r="T1637" s="83">
        <f t="shared" si="635"/>
        <v>0</v>
      </c>
      <c r="U1637" s="307">
        <f t="shared" si="636"/>
        <v>0</v>
      </c>
      <c r="V1637" s="80">
        <f t="shared" si="637"/>
        <v>0</v>
      </c>
      <c r="W1637" s="98"/>
      <c r="X1637" s="84">
        <f>+IF(P1637="ACERO A36",VLOOKUP(Q1637,'[3]Tiempo Objeto'!$B$2:$C$12,2,FALSE),IF(P1637="INOXIDABLE",VLOOKUP(Q1637,'[3]Tiempo Objeto'!$B$14:$C$22,2,FALSE),IF(P1637="ALUMINIO",VLOOKUP(Q1637,'[3]Tiempo Objeto'!$B$24:$C$32,2,FALSE))))</f>
        <v>0.6133333333333334</v>
      </c>
      <c r="Y1637" s="84">
        <f t="shared" si="638"/>
        <v>0</v>
      </c>
      <c r="Z1637" s="80">
        <f t="shared" si="639"/>
        <v>0</v>
      </c>
      <c r="AA1637" s="100"/>
      <c r="AB1637" s="86">
        <f>+AA1637*Analisis!$J$6</f>
        <v>0</v>
      </c>
      <c r="AC1637" s="100"/>
      <c r="AD1637" s="85">
        <f t="shared" si="640"/>
        <v>0</v>
      </c>
      <c r="AE1637" s="86">
        <f>+AC1637*Analisis!$J$7</f>
        <v>0</v>
      </c>
      <c r="AF1637" s="308">
        <f>+H1637*0.0254*I1637*0.0254*2*(1+[3]Analisis!$G$2)</f>
        <v>0</v>
      </c>
      <c r="AG1637" s="86">
        <f>+AF1637*Analisis!$J$8</f>
        <v>0</v>
      </c>
      <c r="AH1637" s="309">
        <f t="shared" si="641"/>
        <v>0</v>
      </c>
      <c r="AI1637" s="86">
        <f>+AH1637/(1-Analisis!G1268)</f>
        <v>0</v>
      </c>
      <c r="AJ1637" s="86">
        <f t="shared" si="642"/>
        <v>0</v>
      </c>
      <c r="AK1637" s="86">
        <f t="shared" si="643"/>
        <v>0</v>
      </c>
      <c r="AL1637" s="310" t="e">
        <f>+VLOOKUP(B1637,#REF!,2,FALSE)</f>
        <v>#REF!</v>
      </c>
      <c r="AM1637" s="311" t="e">
        <f t="shared" si="644"/>
        <v>#REF!</v>
      </c>
      <c r="AN1637" s="312" t="e">
        <f t="shared" si="645"/>
        <v>#REF!</v>
      </c>
    </row>
    <row r="1638" spans="1:40" s="73" customFormat="1" x14ac:dyDescent="0.25">
      <c r="A1638" s="313"/>
      <c r="B1638" s="314"/>
      <c r="D1638" s="74">
        <f>IFERROR(VLOOKUP(B1638,'REQ. PINTADO'!B:C,2,0),0)</f>
        <v>0</v>
      </c>
      <c r="E1638" s="305">
        <f t="shared" si="632"/>
        <v>0</v>
      </c>
      <c r="F1638" s="103" t="s">
        <v>163</v>
      </c>
      <c r="G1638" s="75" t="s">
        <v>147</v>
      </c>
      <c r="H1638" s="90"/>
      <c r="I1638" s="90"/>
      <c r="J1638" s="76">
        <v>0.105</v>
      </c>
      <c r="K1638" s="306">
        <v>16.38</v>
      </c>
      <c r="L1638" s="78">
        <f t="shared" si="633"/>
        <v>0</v>
      </c>
      <c r="M1638" s="58">
        <f>+VLOOKUP(F1638,Material!$H$2:$M$17,6,FALSE)*H1638*I1638*(1+Material!$K$14)</f>
        <v>0</v>
      </c>
      <c r="N1638" s="79" t="str">
        <f>+N1257</f>
        <v>T5.0</v>
      </c>
      <c r="O1638" s="80">
        <f>+VLOOKUP(N1638,[3]Material!$A$3:$B$58,2,FALSE)</f>
        <v>5000</v>
      </c>
      <c r="P1638" s="79" t="s">
        <v>42</v>
      </c>
      <c r="Q1638" s="79" t="str">
        <f>+VLOOKUP(F1638,[3]Material!$C$2:$E$12,2,FALSE)</f>
        <v>Cal 12</v>
      </c>
      <c r="R1638" s="81">
        <f>+IF(P1638="ACERO A36",VLOOKUP(Q1638,'[3]Velocidades Std 1500 w'!$B$2:$F$15,5,FALSE),IF(P1638="INOXIDABLE",VLOOKUP(Q1638,'[3]Velocidades Std 1500 w'!$B$17:$F$28,5,FALSE),IF(P1638="ALUMINIO",VLOOKUP(Q1638,'[3]Velocidades Std 1500 w'!$B$30:$F$38,5,FALSE))))</f>
        <v>4.3859649122807014E-6</v>
      </c>
      <c r="S1638" s="82">
        <f t="shared" si="634"/>
        <v>2.1929824561403508E-2</v>
      </c>
      <c r="T1638" s="83">
        <f t="shared" si="635"/>
        <v>0</v>
      </c>
      <c r="U1638" s="307">
        <f t="shared" si="636"/>
        <v>0</v>
      </c>
      <c r="V1638" s="80">
        <f t="shared" si="637"/>
        <v>0</v>
      </c>
      <c r="W1638" s="98"/>
      <c r="X1638" s="84">
        <f>+IF(P1638="ACERO A36",VLOOKUP(Q1638,'[3]Tiempo Objeto'!$B$2:$C$12,2,FALSE),IF(P1638="INOXIDABLE",VLOOKUP(Q1638,'[3]Tiempo Objeto'!$B$14:$C$22,2,FALSE),IF(P1638="ALUMINIO",VLOOKUP(Q1638,'[3]Tiempo Objeto'!$B$24:$C$32,2,FALSE))))</f>
        <v>0.6133333333333334</v>
      </c>
      <c r="Y1638" s="84">
        <f t="shared" si="638"/>
        <v>0</v>
      </c>
      <c r="Z1638" s="80">
        <f t="shared" si="639"/>
        <v>0</v>
      </c>
      <c r="AA1638" s="100"/>
      <c r="AB1638" s="86">
        <f>+AA1638*Analisis!$J$6</f>
        <v>0</v>
      </c>
      <c r="AC1638" s="100"/>
      <c r="AD1638" s="85">
        <f t="shared" si="640"/>
        <v>0</v>
      </c>
      <c r="AE1638" s="86">
        <f>+AC1638*Analisis!$J$7</f>
        <v>0</v>
      </c>
      <c r="AF1638" s="308">
        <f>+H1638*0.0254*I1638*0.0254*2*(1+[3]Analisis!$G$2)</f>
        <v>0</v>
      </c>
      <c r="AG1638" s="86">
        <f>+AF1638*Analisis!$J$8</f>
        <v>0</v>
      </c>
      <c r="AH1638" s="309">
        <f t="shared" si="641"/>
        <v>0</v>
      </c>
      <c r="AI1638" s="86">
        <f>+AH1638/(1-Analisis!G1269)</f>
        <v>0</v>
      </c>
      <c r="AJ1638" s="86">
        <f t="shared" si="642"/>
        <v>0</v>
      </c>
      <c r="AK1638" s="86">
        <f t="shared" si="643"/>
        <v>0</v>
      </c>
      <c r="AL1638" s="310" t="e">
        <f>+VLOOKUP(B1638,#REF!,2,FALSE)</f>
        <v>#REF!</v>
      </c>
      <c r="AM1638" s="311" t="e">
        <f t="shared" si="644"/>
        <v>#REF!</v>
      </c>
      <c r="AN1638" s="312" t="e">
        <f t="shared" si="645"/>
        <v>#REF!</v>
      </c>
    </row>
    <row r="1639" spans="1:40" s="73" customFormat="1" x14ac:dyDescent="0.25">
      <c r="A1639" s="313"/>
      <c r="B1639" s="314"/>
      <c r="D1639" s="74">
        <f>IFERROR(VLOOKUP(B1639,'REQ. PINTADO'!B:C,2,0),0)</f>
        <v>0</v>
      </c>
      <c r="E1639" s="305">
        <f t="shared" si="632"/>
        <v>0</v>
      </c>
      <c r="F1639" s="103" t="s">
        <v>163</v>
      </c>
      <c r="G1639" s="75" t="s">
        <v>147</v>
      </c>
      <c r="H1639" s="90"/>
      <c r="I1639" s="90"/>
      <c r="J1639" s="76">
        <v>0.105</v>
      </c>
      <c r="K1639" s="306">
        <v>16.38</v>
      </c>
      <c r="L1639" s="78">
        <f t="shared" si="633"/>
        <v>0</v>
      </c>
      <c r="M1639" s="58">
        <f>+VLOOKUP(F1639,Material!$H$2:$M$17,6,FALSE)*H1639*I1639*(1+Material!$K$14)</f>
        <v>0</v>
      </c>
      <c r="N1639" s="79" t="str">
        <f>+N1258</f>
        <v>T5.0</v>
      </c>
      <c r="O1639" s="80">
        <f>+VLOOKUP(N1639,[3]Material!$A$3:$B$58,2,FALSE)</f>
        <v>5000</v>
      </c>
      <c r="P1639" s="79" t="s">
        <v>42</v>
      </c>
      <c r="Q1639" s="79" t="str">
        <f>+VLOOKUP(F1639,[3]Material!$C$2:$E$12,2,FALSE)</f>
        <v>Cal 12</v>
      </c>
      <c r="R1639" s="81">
        <f>+IF(P1639="ACERO A36",VLOOKUP(Q1639,'[3]Velocidades Std 1500 w'!$B$2:$F$15,5,FALSE),IF(P1639="INOXIDABLE",VLOOKUP(Q1639,'[3]Velocidades Std 1500 w'!$B$17:$F$28,5,FALSE),IF(P1639="ALUMINIO",VLOOKUP(Q1639,'[3]Velocidades Std 1500 w'!$B$30:$F$38,5,FALSE))))</f>
        <v>4.3859649122807014E-6</v>
      </c>
      <c r="S1639" s="82">
        <f t="shared" si="634"/>
        <v>2.1929824561403508E-2</v>
      </c>
      <c r="T1639" s="83">
        <f t="shared" si="635"/>
        <v>0</v>
      </c>
      <c r="U1639" s="307">
        <f t="shared" si="636"/>
        <v>0</v>
      </c>
      <c r="V1639" s="80">
        <f t="shared" si="637"/>
        <v>0</v>
      </c>
      <c r="W1639" s="98"/>
      <c r="X1639" s="84">
        <f>+IF(P1639="ACERO A36",VLOOKUP(Q1639,'[3]Tiempo Objeto'!$B$2:$C$12,2,FALSE),IF(P1639="INOXIDABLE",VLOOKUP(Q1639,'[3]Tiempo Objeto'!$B$14:$C$22,2,FALSE),IF(P1639="ALUMINIO",VLOOKUP(Q1639,'[3]Tiempo Objeto'!$B$24:$C$32,2,FALSE))))</f>
        <v>0.6133333333333334</v>
      </c>
      <c r="Y1639" s="84">
        <f t="shared" si="638"/>
        <v>0</v>
      </c>
      <c r="Z1639" s="80">
        <f t="shared" si="639"/>
        <v>0</v>
      </c>
      <c r="AA1639" s="100"/>
      <c r="AB1639" s="86">
        <f>+AA1639*Analisis!$J$6</f>
        <v>0</v>
      </c>
      <c r="AC1639" s="100"/>
      <c r="AD1639" s="85">
        <f t="shared" si="640"/>
        <v>0</v>
      </c>
      <c r="AE1639" s="86">
        <f>+AC1639*Analisis!$J$7</f>
        <v>0</v>
      </c>
      <c r="AF1639" s="308">
        <f>+H1639*0.0254*I1639*0.0254*2*(1+[3]Analisis!$G$2)</f>
        <v>0</v>
      </c>
      <c r="AG1639" s="86">
        <f>+AF1639*Analisis!$J$8</f>
        <v>0</v>
      </c>
      <c r="AH1639" s="309">
        <f t="shared" si="641"/>
        <v>0</v>
      </c>
      <c r="AI1639" s="86">
        <f>+AH1639/(1-Analisis!G1270)</f>
        <v>0</v>
      </c>
      <c r="AJ1639" s="86">
        <f t="shared" si="642"/>
        <v>0</v>
      </c>
      <c r="AK1639" s="86">
        <f t="shared" si="643"/>
        <v>0</v>
      </c>
      <c r="AL1639" s="310" t="e">
        <f>+VLOOKUP(B1639,#REF!,2,FALSE)</f>
        <v>#REF!</v>
      </c>
      <c r="AM1639" s="311" t="e">
        <f t="shared" si="644"/>
        <v>#REF!</v>
      </c>
      <c r="AN1639" s="312" t="e">
        <f t="shared" si="645"/>
        <v>#REF!</v>
      </c>
    </row>
    <row r="1640" spans="1:40" s="73" customFormat="1" x14ac:dyDescent="0.25">
      <c r="A1640" s="313"/>
      <c r="B1640" s="314"/>
      <c r="D1640" s="74">
        <f>IFERROR(VLOOKUP(B1640,'REQ. PINTADO'!B:C,2,0),0)</f>
        <v>0</v>
      </c>
      <c r="E1640" s="305">
        <f t="shared" si="632"/>
        <v>0</v>
      </c>
      <c r="F1640" s="103" t="s">
        <v>163</v>
      </c>
      <c r="G1640" s="75" t="s">
        <v>147</v>
      </c>
      <c r="H1640" s="90"/>
      <c r="I1640" s="90"/>
      <c r="J1640" s="76">
        <v>0.105</v>
      </c>
      <c r="K1640" s="306">
        <v>16.38</v>
      </c>
      <c r="L1640" s="78">
        <f t="shared" si="633"/>
        <v>0</v>
      </c>
      <c r="M1640" s="58">
        <f>+VLOOKUP(F1640,Material!$H$2:$M$17,6,FALSE)*H1640*I1640*(1+Material!$K$14)</f>
        <v>0</v>
      </c>
      <c r="N1640" s="79" t="str">
        <f>+N1259</f>
        <v>T5.0</v>
      </c>
      <c r="O1640" s="80">
        <f>+VLOOKUP(N1640,[3]Material!$A$3:$B$58,2,FALSE)</f>
        <v>5000</v>
      </c>
      <c r="P1640" s="79" t="s">
        <v>42</v>
      </c>
      <c r="Q1640" s="79" t="str">
        <f>+VLOOKUP(F1640,[3]Material!$C$2:$E$12,2,FALSE)</f>
        <v>Cal 12</v>
      </c>
      <c r="R1640" s="81">
        <f>+IF(P1640="ACERO A36",VLOOKUP(Q1640,'[3]Velocidades Std 1500 w'!$B$2:$F$15,5,FALSE),IF(P1640="INOXIDABLE",VLOOKUP(Q1640,'[3]Velocidades Std 1500 w'!$B$17:$F$28,5,FALSE),IF(P1640="ALUMINIO",VLOOKUP(Q1640,'[3]Velocidades Std 1500 w'!$B$30:$F$38,5,FALSE))))</f>
        <v>4.3859649122807014E-6</v>
      </c>
      <c r="S1640" s="82">
        <f t="shared" si="634"/>
        <v>2.1929824561403508E-2</v>
      </c>
      <c r="T1640" s="83">
        <f t="shared" si="635"/>
        <v>0</v>
      </c>
      <c r="U1640" s="307">
        <f t="shared" si="636"/>
        <v>0</v>
      </c>
      <c r="V1640" s="80">
        <f t="shared" si="637"/>
        <v>0</v>
      </c>
      <c r="W1640" s="98"/>
      <c r="X1640" s="84">
        <f>+IF(P1640="ACERO A36",VLOOKUP(Q1640,'[3]Tiempo Objeto'!$B$2:$C$12,2,FALSE),IF(P1640="INOXIDABLE",VLOOKUP(Q1640,'[3]Tiempo Objeto'!$B$14:$C$22,2,FALSE),IF(P1640="ALUMINIO",VLOOKUP(Q1640,'[3]Tiempo Objeto'!$B$24:$C$32,2,FALSE))))</f>
        <v>0.6133333333333334</v>
      </c>
      <c r="Y1640" s="84">
        <f t="shared" si="638"/>
        <v>0</v>
      </c>
      <c r="Z1640" s="80">
        <f t="shared" si="639"/>
        <v>0</v>
      </c>
      <c r="AA1640" s="100"/>
      <c r="AB1640" s="86">
        <f>+AA1640*Analisis!$J$6</f>
        <v>0</v>
      </c>
      <c r="AC1640" s="100"/>
      <c r="AD1640" s="85">
        <f t="shared" si="640"/>
        <v>0</v>
      </c>
      <c r="AE1640" s="86">
        <f>+AC1640*Analisis!$J$7</f>
        <v>0</v>
      </c>
      <c r="AF1640" s="308">
        <f>+H1640*0.0254*I1640*0.0254*2*(1+[3]Analisis!$G$2)</f>
        <v>0</v>
      </c>
      <c r="AG1640" s="86">
        <f>+AF1640*Analisis!$J$8</f>
        <v>0</v>
      </c>
      <c r="AH1640" s="309">
        <f t="shared" si="641"/>
        <v>0</v>
      </c>
      <c r="AI1640" s="86">
        <f>+AH1640/(1-Analisis!G1271)</f>
        <v>0</v>
      </c>
      <c r="AJ1640" s="86">
        <f t="shared" si="642"/>
        <v>0</v>
      </c>
      <c r="AK1640" s="86">
        <f t="shared" si="643"/>
        <v>0</v>
      </c>
      <c r="AL1640" s="310" t="e">
        <f>+VLOOKUP(B1640,#REF!,2,FALSE)</f>
        <v>#REF!</v>
      </c>
      <c r="AM1640" s="311" t="e">
        <f t="shared" si="644"/>
        <v>#REF!</v>
      </c>
      <c r="AN1640" s="312" t="e">
        <f t="shared" si="645"/>
        <v>#REF!</v>
      </c>
    </row>
    <row r="1641" spans="1:40" s="73" customFormat="1" x14ac:dyDescent="0.25">
      <c r="A1641" s="313"/>
      <c r="B1641" s="314"/>
      <c r="D1641" s="74">
        <f>IFERROR(VLOOKUP(B1641,'REQ. PINTADO'!B:C,2,0),0)</f>
        <v>0</v>
      </c>
      <c r="E1641" s="305">
        <f t="shared" si="632"/>
        <v>0</v>
      </c>
      <c r="F1641" s="103" t="s">
        <v>163</v>
      </c>
      <c r="G1641" s="75" t="s">
        <v>147</v>
      </c>
      <c r="H1641" s="90"/>
      <c r="I1641" s="90"/>
      <c r="J1641" s="76">
        <v>0.105</v>
      </c>
      <c r="K1641" s="306">
        <v>16.38</v>
      </c>
      <c r="L1641" s="78">
        <f t="shared" si="633"/>
        <v>0</v>
      </c>
      <c r="M1641" s="58">
        <f>+VLOOKUP(F1641,Material!$H$2:$M$17,6,FALSE)*H1641*I1641*(1+Material!$K$14)</f>
        <v>0</v>
      </c>
      <c r="N1641" s="79" t="str">
        <f>+N1260</f>
        <v>T5.0</v>
      </c>
      <c r="O1641" s="80">
        <f>+VLOOKUP(N1641,[3]Material!$A$3:$B$58,2,FALSE)</f>
        <v>5000</v>
      </c>
      <c r="P1641" s="79" t="s">
        <v>42</v>
      </c>
      <c r="Q1641" s="79" t="str">
        <f>+VLOOKUP(F1641,[3]Material!$C$2:$E$12,2,FALSE)</f>
        <v>Cal 12</v>
      </c>
      <c r="R1641" s="81">
        <f>+IF(P1641="ACERO A36",VLOOKUP(Q1641,'[3]Velocidades Std 1500 w'!$B$2:$F$15,5,FALSE),IF(P1641="INOXIDABLE",VLOOKUP(Q1641,'[3]Velocidades Std 1500 w'!$B$17:$F$28,5,FALSE),IF(P1641="ALUMINIO",VLOOKUP(Q1641,'[3]Velocidades Std 1500 w'!$B$30:$F$38,5,FALSE))))</f>
        <v>4.3859649122807014E-6</v>
      </c>
      <c r="S1641" s="82">
        <f t="shared" si="634"/>
        <v>2.1929824561403508E-2</v>
      </c>
      <c r="T1641" s="83">
        <f t="shared" si="635"/>
        <v>0</v>
      </c>
      <c r="U1641" s="307">
        <f t="shared" si="636"/>
        <v>0</v>
      </c>
      <c r="V1641" s="80">
        <f t="shared" si="637"/>
        <v>0</v>
      </c>
      <c r="W1641" s="98"/>
      <c r="X1641" s="84">
        <f>+IF(P1641="ACERO A36",VLOOKUP(Q1641,'[3]Tiempo Objeto'!$B$2:$C$12,2,FALSE),IF(P1641="INOXIDABLE",VLOOKUP(Q1641,'[3]Tiempo Objeto'!$B$14:$C$22,2,FALSE),IF(P1641="ALUMINIO",VLOOKUP(Q1641,'[3]Tiempo Objeto'!$B$24:$C$32,2,FALSE))))</f>
        <v>0.6133333333333334</v>
      </c>
      <c r="Y1641" s="84">
        <f t="shared" si="638"/>
        <v>0</v>
      </c>
      <c r="Z1641" s="80">
        <f t="shared" si="639"/>
        <v>0</v>
      </c>
      <c r="AA1641" s="100"/>
      <c r="AB1641" s="86">
        <f>+AA1641*Analisis!$J$6</f>
        <v>0</v>
      </c>
      <c r="AC1641" s="100"/>
      <c r="AD1641" s="85">
        <f t="shared" si="640"/>
        <v>0</v>
      </c>
      <c r="AE1641" s="86">
        <f>+AC1641*Analisis!$J$7</f>
        <v>0</v>
      </c>
      <c r="AF1641" s="308">
        <f>+H1641*0.0254*I1641*0.0254*2*(1+[3]Analisis!$G$2)</f>
        <v>0</v>
      </c>
      <c r="AG1641" s="86">
        <f>+AF1641*Analisis!$J$8</f>
        <v>0</v>
      </c>
      <c r="AH1641" s="309">
        <f t="shared" si="641"/>
        <v>0</v>
      </c>
      <c r="AI1641" s="86">
        <f>+AH1641/(1-Analisis!G1272)</f>
        <v>0</v>
      </c>
      <c r="AJ1641" s="86">
        <f t="shared" si="642"/>
        <v>0</v>
      </c>
      <c r="AK1641" s="86">
        <f t="shared" si="643"/>
        <v>0</v>
      </c>
      <c r="AL1641" s="310" t="e">
        <f>+VLOOKUP(B1641,#REF!,2,FALSE)</f>
        <v>#REF!</v>
      </c>
      <c r="AM1641" s="311" t="e">
        <f t="shared" si="644"/>
        <v>#REF!</v>
      </c>
      <c r="AN1641" s="312" t="e">
        <f t="shared" si="645"/>
        <v>#REF!</v>
      </c>
    </row>
    <row r="1642" spans="1:40" s="73" customFormat="1" x14ac:dyDescent="0.25">
      <c r="A1642" s="313"/>
      <c r="B1642" s="314"/>
      <c r="D1642" s="74">
        <f>IFERROR(VLOOKUP(B1642,'REQ. PINTADO'!B:C,2,0),0)</f>
        <v>0</v>
      </c>
      <c r="E1642" s="305">
        <f t="shared" si="632"/>
        <v>0</v>
      </c>
      <c r="F1642" s="103" t="s">
        <v>163</v>
      </c>
      <c r="G1642" s="75" t="s">
        <v>147</v>
      </c>
      <c r="H1642" s="90"/>
      <c r="I1642" s="90"/>
      <c r="J1642" s="76">
        <v>0.105</v>
      </c>
      <c r="K1642" s="306">
        <v>16.38</v>
      </c>
      <c r="L1642" s="78">
        <f t="shared" si="633"/>
        <v>0</v>
      </c>
      <c r="M1642" s="58">
        <f>+VLOOKUP(F1642,Material!$H$2:$M$17,6,FALSE)*H1642*I1642*(1+Material!$K$14)</f>
        <v>0</v>
      </c>
      <c r="N1642" s="79" t="str">
        <f>+N1261</f>
        <v>T5.0</v>
      </c>
      <c r="O1642" s="80">
        <f>+VLOOKUP(N1642,[3]Material!$A$3:$B$58,2,FALSE)</f>
        <v>5000</v>
      </c>
      <c r="P1642" s="79" t="s">
        <v>42</v>
      </c>
      <c r="Q1642" s="79" t="str">
        <f>+VLOOKUP(F1642,[3]Material!$C$2:$E$12,2,FALSE)</f>
        <v>Cal 12</v>
      </c>
      <c r="R1642" s="81">
        <f>+IF(P1642="ACERO A36",VLOOKUP(Q1642,'[3]Velocidades Std 1500 w'!$B$2:$F$15,5,FALSE),IF(P1642="INOXIDABLE",VLOOKUP(Q1642,'[3]Velocidades Std 1500 w'!$B$17:$F$28,5,FALSE),IF(P1642="ALUMINIO",VLOOKUP(Q1642,'[3]Velocidades Std 1500 w'!$B$30:$F$38,5,FALSE))))</f>
        <v>4.3859649122807014E-6</v>
      </c>
      <c r="S1642" s="82">
        <f t="shared" si="634"/>
        <v>2.1929824561403508E-2</v>
      </c>
      <c r="T1642" s="83">
        <f t="shared" si="635"/>
        <v>0</v>
      </c>
      <c r="U1642" s="307">
        <f t="shared" si="636"/>
        <v>0</v>
      </c>
      <c r="V1642" s="80">
        <f t="shared" si="637"/>
        <v>0</v>
      </c>
      <c r="W1642" s="98"/>
      <c r="X1642" s="84">
        <f>+IF(P1642="ACERO A36",VLOOKUP(Q1642,'[3]Tiempo Objeto'!$B$2:$C$12,2,FALSE),IF(P1642="INOXIDABLE",VLOOKUP(Q1642,'[3]Tiempo Objeto'!$B$14:$C$22,2,FALSE),IF(P1642="ALUMINIO",VLOOKUP(Q1642,'[3]Tiempo Objeto'!$B$24:$C$32,2,FALSE))))</f>
        <v>0.6133333333333334</v>
      </c>
      <c r="Y1642" s="84">
        <f t="shared" si="638"/>
        <v>0</v>
      </c>
      <c r="Z1642" s="80">
        <f t="shared" si="639"/>
        <v>0</v>
      </c>
      <c r="AA1642" s="100"/>
      <c r="AB1642" s="86">
        <f>+AA1642*Analisis!$J$6</f>
        <v>0</v>
      </c>
      <c r="AC1642" s="100"/>
      <c r="AD1642" s="85">
        <f t="shared" si="640"/>
        <v>0</v>
      </c>
      <c r="AE1642" s="86">
        <f>+AC1642*Analisis!$J$7</f>
        <v>0</v>
      </c>
      <c r="AF1642" s="308">
        <f>+H1642*0.0254*I1642*0.0254*2*(1+[3]Analisis!$G$2)</f>
        <v>0</v>
      </c>
      <c r="AG1642" s="86">
        <f>+AF1642*Analisis!$J$8</f>
        <v>0</v>
      </c>
      <c r="AH1642" s="309">
        <f t="shared" si="641"/>
        <v>0</v>
      </c>
      <c r="AI1642" s="86">
        <f>+AH1642/(1-Analisis!G1273)</f>
        <v>0</v>
      </c>
      <c r="AJ1642" s="86">
        <f t="shared" si="642"/>
        <v>0</v>
      </c>
      <c r="AK1642" s="86">
        <f t="shared" si="643"/>
        <v>0</v>
      </c>
      <c r="AL1642" s="310" t="e">
        <f>+VLOOKUP(B1642,#REF!,2,FALSE)</f>
        <v>#REF!</v>
      </c>
      <c r="AM1642" s="311" t="e">
        <f t="shared" si="644"/>
        <v>#REF!</v>
      </c>
      <c r="AN1642" s="312" t="e">
        <f t="shared" si="645"/>
        <v>#REF!</v>
      </c>
    </row>
    <row r="1643" spans="1:40" s="73" customFormat="1" x14ac:dyDescent="0.25">
      <c r="A1643" s="313"/>
      <c r="B1643" s="314"/>
      <c r="D1643" s="74">
        <f>IFERROR(VLOOKUP(B1643,'REQ. PINTADO'!B:C,2,0),0)</f>
        <v>0</v>
      </c>
      <c r="E1643" s="305">
        <f t="shared" si="632"/>
        <v>0</v>
      </c>
      <c r="F1643" s="103" t="s">
        <v>163</v>
      </c>
      <c r="G1643" s="75" t="s">
        <v>147</v>
      </c>
      <c r="H1643" s="90"/>
      <c r="I1643" s="90"/>
      <c r="J1643" s="76">
        <v>0.105</v>
      </c>
      <c r="K1643" s="306">
        <v>16.38</v>
      </c>
      <c r="L1643" s="78">
        <f t="shared" si="633"/>
        <v>0</v>
      </c>
      <c r="M1643" s="58">
        <f>+VLOOKUP(F1643,Material!$H$2:$M$17,6,FALSE)*H1643*I1643*(1+Material!$K$14)</f>
        <v>0</v>
      </c>
      <c r="N1643" s="79" t="str">
        <f>+N1262</f>
        <v>T5.0</v>
      </c>
      <c r="O1643" s="80">
        <f>+VLOOKUP(N1643,[3]Material!$A$3:$B$58,2,FALSE)</f>
        <v>5000</v>
      </c>
      <c r="P1643" s="79" t="s">
        <v>42</v>
      </c>
      <c r="Q1643" s="79" t="str">
        <f>+VLOOKUP(F1643,[3]Material!$C$2:$E$12,2,FALSE)</f>
        <v>Cal 12</v>
      </c>
      <c r="R1643" s="81">
        <f>+IF(P1643="ACERO A36",VLOOKUP(Q1643,'[3]Velocidades Std 1500 w'!$B$2:$F$15,5,FALSE),IF(P1643="INOXIDABLE",VLOOKUP(Q1643,'[3]Velocidades Std 1500 w'!$B$17:$F$28,5,FALSE),IF(P1643="ALUMINIO",VLOOKUP(Q1643,'[3]Velocidades Std 1500 w'!$B$30:$F$38,5,FALSE))))</f>
        <v>4.3859649122807014E-6</v>
      </c>
      <c r="S1643" s="82">
        <f t="shared" si="634"/>
        <v>2.1929824561403508E-2</v>
      </c>
      <c r="T1643" s="83">
        <f t="shared" si="635"/>
        <v>0</v>
      </c>
      <c r="U1643" s="307">
        <f t="shared" si="636"/>
        <v>0</v>
      </c>
      <c r="V1643" s="80">
        <f t="shared" si="637"/>
        <v>0</v>
      </c>
      <c r="W1643" s="98"/>
      <c r="X1643" s="84">
        <f>+IF(P1643="ACERO A36",VLOOKUP(Q1643,'[3]Tiempo Objeto'!$B$2:$C$12,2,FALSE),IF(P1643="INOXIDABLE",VLOOKUP(Q1643,'[3]Tiempo Objeto'!$B$14:$C$22,2,FALSE),IF(P1643="ALUMINIO",VLOOKUP(Q1643,'[3]Tiempo Objeto'!$B$24:$C$32,2,FALSE))))</f>
        <v>0.6133333333333334</v>
      </c>
      <c r="Y1643" s="84">
        <f t="shared" si="638"/>
        <v>0</v>
      </c>
      <c r="Z1643" s="80">
        <f t="shared" si="639"/>
        <v>0</v>
      </c>
      <c r="AA1643" s="100"/>
      <c r="AB1643" s="86">
        <f>+AA1643*Analisis!$J$6</f>
        <v>0</v>
      </c>
      <c r="AC1643" s="100"/>
      <c r="AD1643" s="85">
        <f t="shared" si="640"/>
        <v>0</v>
      </c>
      <c r="AE1643" s="86">
        <f>+AC1643*Analisis!$J$7</f>
        <v>0</v>
      </c>
      <c r="AF1643" s="308">
        <f>+H1643*0.0254*I1643*0.0254*2*(1+[3]Analisis!$G$2)</f>
        <v>0</v>
      </c>
      <c r="AG1643" s="86">
        <f>+AF1643*Analisis!$J$8</f>
        <v>0</v>
      </c>
      <c r="AH1643" s="309">
        <f t="shared" si="641"/>
        <v>0</v>
      </c>
      <c r="AI1643" s="86">
        <f>+AH1643/(1-Analisis!G1274)</f>
        <v>0</v>
      </c>
      <c r="AJ1643" s="86">
        <f t="shared" si="642"/>
        <v>0</v>
      </c>
      <c r="AK1643" s="86">
        <f t="shared" si="643"/>
        <v>0</v>
      </c>
      <c r="AL1643" s="310" t="e">
        <f>+VLOOKUP(B1643,#REF!,2,FALSE)</f>
        <v>#REF!</v>
      </c>
      <c r="AM1643" s="311" t="e">
        <f t="shared" si="644"/>
        <v>#REF!</v>
      </c>
      <c r="AN1643" s="312" t="e">
        <f t="shared" si="645"/>
        <v>#REF!</v>
      </c>
    </row>
    <row r="1644" spans="1:40" s="73" customFormat="1" x14ac:dyDescent="0.25">
      <c r="A1644" s="313"/>
      <c r="B1644" s="314"/>
      <c r="D1644" s="74">
        <f>IFERROR(VLOOKUP(B1644,'REQ. PINTADO'!B:C,2,0),0)</f>
        <v>0</v>
      </c>
      <c r="E1644" s="305">
        <f t="shared" si="632"/>
        <v>0</v>
      </c>
      <c r="F1644" s="103" t="s">
        <v>163</v>
      </c>
      <c r="G1644" s="75" t="s">
        <v>147</v>
      </c>
      <c r="H1644" s="90"/>
      <c r="I1644" s="90"/>
      <c r="J1644" s="76">
        <v>0.105</v>
      </c>
      <c r="K1644" s="306">
        <v>16.38</v>
      </c>
      <c r="L1644" s="78">
        <f t="shared" si="633"/>
        <v>0</v>
      </c>
      <c r="M1644" s="58">
        <f>+VLOOKUP(F1644,Material!$H$2:$M$17,6,FALSE)*H1644*I1644*(1+Material!$K$14)</f>
        <v>0</v>
      </c>
      <c r="N1644" s="79" t="str">
        <f>+N1263</f>
        <v>T5.0</v>
      </c>
      <c r="O1644" s="80">
        <f>+VLOOKUP(N1644,[3]Material!$A$3:$B$58,2,FALSE)</f>
        <v>5000</v>
      </c>
      <c r="P1644" s="79" t="s">
        <v>42</v>
      </c>
      <c r="Q1644" s="79" t="str">
        <f>+VLOOKUP(F1644,[3]Material!$C$2:$E$12,2,FALSE)</f>
        <v>Cal 12</v>
      </c>
      <c r="R1644" s="81">
        <f>+IF(P1644="ACERO A36",VLOOKUP(Q1644,'[3]Velocidades Std 1500 w'!$B$2:$F$15,5,FALSE),IF(P1644="INOXIDABLE",VLOOKUP(Q1644,'[3]Velocidades Std 1500 w'!$B$17:$F$28,5,FALSE),IF(P1644="ALUMINIO",VLOOKUP(Q1644,'[3]Velocidades Std 1500 w'!$B$30:$F$38,5,FALSE))))</f>
        <v>4.3859649122807014E-6</v>
      </c>
      <c r="S1644" s="82">
        <f t="shared" si="634"/>
        <v>2.1929824561403508E-2</v>
      </c>
      <c r="T1644" s="83">
        <f t="shared" si="635"/>
        <v>0</v>
      </c>
      <c r="U1644" s="307">
        <f t="shared" si="636"/>
        <v>0</v>
      </c>
      <c r="V1644" s="80">
        <f t="shared" si="637"/>
        <v>0</v>
      </c>
      <c r="W1644" s="98"/>
      <c r="X1644" s="84">
        <f>+IF(P1644="ACERO A36",VLOOKUP(Q1644,'[3]Tiempo Objeto'!$B$2:$C$12,2,FALSE),IF(P1644="INOXIDABLE",VLOOKUP(Q1644,'[3]Tiempo Objeto'!$B$14:$C$22,2,FALSE),IF(P1644="ALUMINIO",VLOOKUP(Q1644,'[3]Tiempo Objeto'!$B$24:$C$32,2,FALSE))))</f>
        <v>0.6133333333333334</v>
      </c>
      <c r="Y1644" s="84">
        <f t="shared" si="638"/>
        <v>0</v>
      </c>
      <c r="Z1644" s="80">
        <f t="shared" si="639"/>
        <v>0</v>
      </c>
      <c r="AA1644" s="100"/>
      <c r="AB1644" s="86">
        <f>+AA1644*Analisis!$J$6</f>
        <v>0</v>
      </c>
      <c r="AC1644" s="100"/>
      <c r="AD1644" s="85">
        <f t="shared" si="640"/>
        <v>0</v>
      </c>
      <c r="AE1644" s="86">
        <f>+AC1644*Analisis!$J$7</f>
        <v>0</v>
      </c>
      <c r="AF1644" s="308">
        <f>+H1644*0.0254*I1644*0.0254*2*(1+[3]Analisis!$G$2)</f>
        <v>0</v>
      </c>
      <c r="AG1644" s="86">
        <f>+AF1644*Analisis!$J$8</f>
        <v>0</v>
      </c>
      <c r="AH1644" s="309">
        <f t="shared" si="641"/>
        <v>0</v>
      </c>
      <c r="AI1644" s="86">
        <f>+AH1644/(1-Analisis!G1275)</f>
        <v>0</v>
      </c>
      <c r="AJ1644" s="86">
        <f t="shared" si="642"/>
        <v>0</v>
      </c>
      <c r="AK1644" s="86">
        <f t="shared" si="643"/>
        <v>0</v>
      </c>
      <c r="AL1644" s="310" t="e">
        <f>+VLOOKUP(B1644,#REF!,2,FALSE)</f>
        <v>#REF!</v>
      </c>
      <c r="AM1644" s="311" t="e">
        <f t="shared" si="644"/>
        <v>#REF!</v>
      </c>
      <c r="AN1644" s="312" t="e">
        <f t="shared" si="645"/>
        <v>#REF!</v>
      </c>
    </row>
    <row r="1645" spans="1:40" s="73" customFormat="1" x14ac:dyDescent="0.25">
      <c r="A1645" s="313"/>
      <c r="B1645" s="314"/>
      <c r="D1645" s="74">
        <f>IFERROR(VLOOKUP(B1645,'REQ. PINTADO'!B:C,2,0),0)</f>
        <v>0</v>
      </c>
      <c r="E1645" s="305">
        <f t="shared" si="632"/>
        <v>0</v>
      </c>
      <c r="F1645" s="103" t="s">
        <v>163</v>
      </c>
      <c r="G1645" s="75" t="s">
        <v>147</v>
      </c>
      <c r="H1645" s="90"/>
      <c r="I1645" s="90"/>
      <c r="J1645" s="76">
        <v>0.105</v>
      </c>
      <c r="K1645" s="306">
        <v>16.38</v>
      </c>
      <c r="L1645" s="78">
        <f t="shared" si="633"/>
        <v>0</v>
      </c>
      <c r="M1645" s="58">
        <f>+VLOOKUP(F1645,Material!$H$2:$M$17,6,FALSE)*H1645*I1645*(1+Material!$K$14)</f>
        <v>0</v>
      </c>
      <c r="N1645" s="79" t="str">
        <f>+N1264</f>
        <v>T5.0</v>
      </c>
      <c r="O1645" s="80">
        <f>+VLOOKUP(N1645,[3]Material!$A$3:$B$58,2,FALSE)</f>
        <v>5000</v>
      </c>
      <c r="P1645" s="79" t="s">
        <v>42</v>
      </c>
      <c r="Q1645" s="79" t="str">
        <f>+VLOOKUP(F1645,[3]Material!$C$2:$E$12,2,FALSE)</f>
        <v>Cal 12</v>
      </c>
      <c r="R1645" s="81">
        <f>+IF(P1645="ACERO A36",VLOOKUP(Q1645,'[3]Velocidades Std 1500 w'!$B$2:$F$15,5,FALSE),IF(P1645="INOXIDABLE",VLOOKUP(Q1645,'[3]Velocidades Std 1500 w'!$B$17:$F$28,5,FALSE),IF(P1645="ALUMINIO",VLOOKUP(Q1645,'[3]Velocidades Std 1500 w'!$B$30:$F$38,5,FALSE))))</f>
        <v>4.3859649122807014E-6</v>
      </c>
      <c r="S1645" s="82">
        <f t="shared" si="634"/>
        <v>2.1929824561403508E-2</v>
      </c>
      <c r="T1645" s="83">
        <f t="shared" si="635"/>
        <v>0</v>
      </c>
      <c r="U1645" s="307">
        <f t="shared" si="636"/>
        <v>0</v>
      </c>
      <c r="V1645" s="80">
        <f t="shared" si="637"/>
        <v>0</v>
      </c>
      <c r="W1645" s="98"/>
      <c r="X1645" s="84">
        <f>+IF(P1645="ACERO A36",VLOOKUP(Q1645,'[3]Tiempo Objeto'!$B$2:$C$12,2,FALSE),IF(P1645="INOXIDABLE",VLOOKUP(Q1645,'[3]Tiempo Objeto'!$B$14:$C$22,2,FALSE),IF(P1645="ALUMINIO",VLOOKUP(Q1645,'[3]Tiempo Objeto'!$B$24:$C$32,2,FALSE))))</f>
        <v>0.6133333333333334</v>
      </c>
      <c r="Y1645" s="84">
        <f t="shared" si="638"/>
        <v>0</v>
      </c>
      <c r="Z1645" s="80">
        <f t="shared" si="639"/>
        <v>0</v>
      </c>
      <c r="AA1645" s="100"/>
      <c r="AB1645" s="86">
        <f>+AA1645*Analisis!$J$6</f>
        <v>0</v>
      </c>
      <c r="AC1645" s="100"/>
      <c r="AD1645" s="85">
        <f t="shared" si="640"/>
        <v>0</v>
      </c>
      <c r="AE1645" s="86">
        <f>+AC1645*Analisis!$J$7</f>
        <v>0</v>
      </c>
      <c r="AF1645" s="308">
        <f>+H1645*0.0254*I1645*0.0254*2*(1+[3]Analisis!$G$2)</f>
        <v>0</v>
      </c>
      <c r="AG1645" s="86">
        <f>+AF1645*Analisis!$J$8</f>
        <v>0</v>
      </c>
      <c r="AH1645" s="309">
        <f t="shared" si="641"/>
        <v>0</v>
      </c>
      <c r="AI1645" s="86">
        <f>+AH1645/(1-Analisis!G1276)</f>
        <v>0</v>
      </c>
      <c r="AJ1645" s="86">
        <f t="shared" si="642"/>
        <v>0</v>
      </c>
      <c r="AK1645" s="86">
        <f t="shared" si="643"/>
        <v>0</v>
      </c>
      <c r="AL1645" s="310" t="e">
        <f>+VLOOKUP(B1645,#REF!,2,FALSE)</f>
        <v>#REF!</v>
      </c>
      <c r="AM1645" s="311" t="e">
        <f t="shared" si="644"/>
        <v>#REF!</v>
      </c>
      <c r="AN1645" s="312" t="e">
        <f t="shared" si="645"/>
        <v>#REF!</v>
      </c>
    </row>
    <row r="1646" spans="1:40" s="73" customFormat="1" x14ac:dyDescent="0.25">
      <c r="A1646" s="313"/>
      <c r="B1646" s="314"/>
      <c r="D1646" s="74">
        <f>IFERROR(VLOOKUP(B1646,'REQ. PINTADO'!B:C,2,0),0)</f>
        <v>0</v>
      </c>
      <c r="E1646" s="305">
        <f t="shared" si="632"/>
        <v>0</v>
      </c>
      <c r="F1646" s="103" t="s">
        <v>163</v>
      </c>
      <c r="G1646" s="75" t="s">
        <v>147</v>
      </c>
      <c r="H1646" s="90"/>
      <c r="I1646" s="90"/>
      <c r="J1646" s="76">
        <v>0.105</v>
      </c>
      <c r="K1646" s="306">
        <v>16.38</v>
      </c>
      <c r="L1646" s="78">
        <f t="shared" si="633"/>
        <v>0</v>
      </c>
      <c r="M1646" s="58">
        <f>+VLOOKUP(F1646,Material!$H$2:$M$17,6,FALSE)*H1646*I1646*(1+Material!$K$14)</f>
        <v>0</v>
      </c>
      <c r="N1646" s="79" t="str">
        <f>+N1265</f>
        <v>T5.0</v>
      </c>
      <c r="O1646" s="80">
        <f>+VLOOKUP(N1646,[3]Material!$A$3:$B$58,2,FALSE)</f>
        <v>5000</v>
      </c>
      <c r="P1646" s="79" t="s">
        <v>42</v>
      </c>
      <c r="Q1646" s="79" t="str">
        <f>+VLOOKUP(F1646,[3]Material!$C$2:$E$12,2,FALSE)</f>
        <v>Cal 12</v>
      </c>
      <c r="R1646" s="81">
        <f>+IF(P1646="ACERO A36",VLOOKUP(Q1646,'[3]Velocidades Std 1500 w'!$B$2:$F$15,5,FALSE),IF(P1646="INOXIDABLE",VLOOKUP(Q1646,'[3]Velocidades Std 1500 w'!$B$17:$F$28,5,FALSE),IF(P1646="ALUMINIO",VLOOKUP(Q1646,'[3]Velocidades Std 1500 w'!$B$30:$F$38,5,FALSE))))</f>
        <v>4.3859649122807014E-6</v>
      </c>
      <c r="S1646" s="82">
        <f t="shared" si="634"/>
        <v>2.1929824561403508E-2</v>
      </c>
      <c r="T1646" s="83">
        <f t="shared" si="635"/>
        <v>0</v>
      </c>
      <c r="U1646" s="307">
        <f t="shared" si="636"/>
        <v>0</v>
      </c>
      <c r="V1646" s="80">
        <f t="shared" si="637"/>
        <v>0</v>
      </c>
      <c r="W1646" s="98"/>
      <c r="X1646" s="84">
        <f>+IF(P1646="ACERO A36",VLOOKUP(Q1646,'[3]Tiempo Objeto'!$B$2:$C$12,2,FALSE),IF(P1646="INOXIDABLE",VLOOKUP(Q1646,'[3]Tiempo Objeto'!$B$14:$C$22,2,FALSE),IF(P1646="ALUMINIO",VLOOKUP(Q1646,'[3]Tiempo Objeto'!$B$24:$C$32,2,FALSE))))</f>
        <v>0.6133333333333334</v>
      </c>
      <c r="Y1646" s="84">
        <f t="shared" si="638"/>
        <v>0</v>
      </c>
      <c r="Z1646" s="80">
        <f t="shared" si="639"/>
        <v>0</v>
      </c>
      <c r="AA1646" s="100"/>
      <c r="AB1646" s="86">
        <f>+AA1646*Analisis!$J$6</f>
        <v>0</v>
      </c>
      <c r="AC1646" s="100"/>
      <c r="AD1646" s="85">
        <f t="shared" si="640"/>
        <v>0</v>
      </c>
      <c r="AE1646" s="86">
        <f>+AC1646*Analisis!$J$7</f>
        <v>0</v>
      </c>
      <c r="AF1646" s="308">
        <f>+H1646*0.0254*I1646*0.0254*2*(1+[3]Analisis!$G$2)</f>
        <v>0</v>
      </c>
      <c r="AG1646" s="86">
        <f>+AF1646*Analisis!$J$8</f>
        <v>0</v>
      </c>
      <c r="AH1646" s="309">
        <f t="shared" si="641"/>
        <v>0</v>
      </c>
      <c r="AI1646" s="86">
        <f>+AH1646/(1-Analisis!G1277)</f>
        <v>0</v>
      </c>
      <c r="AJ1646" s="86">
        <f t="shared" si="642"/>
        <v>0</v>
      </c>
      <c r="AK1646" s="86">
        <f t="shared" si="643"/>
        <v>0</v>
      </c>
      <c r="AL1646" s="310" t="e">
        <f>+VLOOKUP(B1646,#REF!,2,FALSE)</f>
        <v>#REF!</v>
      </c>
      <c r="AM1646" s="311" t="e">
        <f t="shared" si="644"/>
        <v>#REF!</v>
      </c>
      <c r="AN1646" s="312" t="e">
        <f t="shared" si="645"/>
        <v>#REF!</v>
      </c>
    </row>
    <row r="1647" spans="1:40" s="73" customFormat="1" x14ac:dyDescent="0.25">
      <c r="A1647" s="313"/>
      <c r="B1647" s="314"/>
      <c r="D1647" s="74">
        <f>IFERROR(VLOOKUP(B1647,'REQ. PINTADO'!B:C,2,0),0)</f>
        <v>0</v>
      </c>
      <c r="E1647" s="305">
        <f t="shared" si="632"/>
        <v>0</v>
      </c>
      <c r="F1647" s="103" t="s">
        <v>163</v>
      </c>
      <c r="G1647" s="75" t="s">
        <v>147</v>
      </c>
      <c r="H1647" s="90"/>
      <c r="I1647" s="90"/>
      <c r="J1647" s="76">
        <v>0.105</v>
      </c>
      <c r="K1647" s="306">
        <v>16.38</v>
      </c>
      <c r="L1647" s="78">
        <f t="shared" si="633"/>
        <v>0</v>
      </c>
      <c r="M1647" s="58">
        <f>+VLOOKUP(F1647,Material!$H$2:$M$17,6,FALSE)*H1647*I1647*(1+Material!$K$14)</f>
        <v>0</v>
      </c>
      <c r="N1647" s="79" t="str">
        <f>+N1266</f>
        <v>T5.0</v>
      </c>
      <c r="O1647" s="80">
        <f>+VLOOKUP(N1647,[3]Material!$A$3:$B$58,2,FALSE)</f>
        <v>5000</v>
      </c>
      <c r="P1647" s="79" t="s">
        <v>42</v>
      </c>
      <c r="Q1647" s="79" t="str">
        <f>+VLOOKUP(F1647,[3]Material!$C$2:$E$12,2,FALSE)</f>
        <v>Cal 12</v>
      </c>
      <c r="R1647" s="81">
        <f>+IF(P1647="ACERO A36",VLOOKUP(Q1647,'[3]Velocidades Std 1500 w'!$B$2:$F$15,5,FALSE),IF(P1647="INOXIDABLE",VLOOKUP(Q1647,'[3]Velocidades Std 1500 w'!$B$17:$F$28,5,FALSE),IF(P1647="ALUMINIO",VLOOKUP(Q1647,'[3]Velocidades Std 1500 w'!$B$30:$F$38,5,FALSE))))</f>
        <v>4.3859649122807014E-6</v>
      </c>
      <c r="S1647" s="82">
        <f t="shared" si="634"/>
        <v>2.1929824561403508E-2</v>
      </c>
      <c r="T1647" s="83">
        <f t="shared" si="635"/>
        <v>0</v>
      </c>
      <c r="U1647" s="307">
        <f t="shared" si="636"/>
        <v>0</v>
      </c>
      <c r="V1647" s="80">
        <f t="shared" si="637"/>
        <v>0</v>
      </c>
      <c r="W1647" s="98"/>
      <c r="X1647" s="84">
        <f>+IF(P1647="ACERO A36",VLOOKUP(Q1647,'[3]Tiempo Objeto'!$B$2:$C$12,2,FALSE),IF(P1647="INOXIDABLE",VLOOKUP(Q1647,'[3]Tiempo Objeto'!$B$14:$C$22,2,FALSE),IF(P1647="ALUMINIO",VLOOKUP(Q1647,'[3]Tiempo Objeto'!$B$24:$C$32,2,FALSE))))</f>
        <v>0.6133333333333334</v>
      </c>
      <c r="Y1647" s="84">
        <f t="shared" si="638"/>
        <v>0</v>
      </c>
      <c r="Z1647" s="80">
        <f t="shared" si="639"/>
        <v>0</v>
      </c>
      <c r="AA1647" s="100"/>
      <c r="AB1647" s="86">
        <f>+AA1647*Analisis!$J$6</f>
        <v>0</v>
      </c>
      <c r="AC1647" s="100"/>
      <c r="AD1647" s="85">
        <f t="shared" si="640"/>
        <v>0</v>
      </c>
      <c r="AE1647" s="86">
        <f>+AC1647*Analisis!$J$7</f>
        <v>0</v>
      </c>
      <c r="AF1647" s="308">
        <f>+H1647*0.0254*I1647*0.0254*2*(1+[3]Analisis!$G$2)</f>
        <v>0</v>
      </c>
      <c r="AG1647" s="86">
        <f>+AF1647*Analisis!$J$8</f>
        <v>0</v>
      </c>
      <c r="AH1647" s="309">
        <f t="shared" si="641"/>
        <v>0</v>
      </c>
      <c r="AI1647" s="86">
        <f>+AH1647/(1-Analisis!G1278)</f>
        <v>0</v>
      </c>
      <c r="AJ1647" s="86">
        <f t="shared" si="642"/>
        <v>0</v>
      </c>
      <c r="AK1647" s="86">
        <f t="shared" si="643"/>
        <v>0</v>
      </c>
      <c r="AL1647" s="310" t="e">
        <f>+VLOOKUP(B1647,#REF!,2,FALSE)</f>
        <v>#REF!</v>
      </c>
      <c r="AM1647" s="311" t="e">
        <f t="shared" si="644"/>
        <v>#REF!</v>
      </c>
      <c r="AN1647" s="312" t="e">
        <f t="shared" si="645"/>
        <v>#REF!</v>
      </c>
    </row>
    <row r="1648" spans="1:40" s="73" customFormat="1" x14ac:dyDescent="0.25">
      <c r="A1648" s="313"/>
      <c r="B1648" s="314"/>
      <c r="D1648" s="74">
        <f>IFERROR(VLOOKUP(B1648,'REQ. PINTADO'!B:C,2,0),0)</f>
        <v>0</v>
      </c>
      <c r="E1648" s="305">
        <f t="shared" si="632"/>
        <v>0</v>
      </c>
      <c r="F1648" s="103" t="s">
        <v>163</v>
      </c>
      <c r="G1648" s="75" t="s">
        <v>147</v>
      </c>
      <c r="H1648" s="90"/>
      <c r="I1648" s="90"/>
      <c r="J1648" s="76">
        <v>0.105</v>
      </c>
      <c r="K1648" s="306">
        <v>16.38</v>
      </c>
      <c r="L1648" s="78">
        <f t="shared" si="633"/>
        <v>0</v>
      </c>
      <c r="M1648" s="58">
        <f>+VLOOKUP(F1648,Material!$H$2:$M$17,6,FALSE)*H1648*I1648*(1+Material!$K$14)</f>
        <v>0</v>
      </c>
      <c r="N1648" s="79" t="str">
        <f>+N1267</f>
        <v>T5.0</v>
      </c>
      <c r="O1648" s="80">
        <f>+VLOOKUP(N1648,[3]Material!$A$3:$B$58,2,FALSE)</f>
        <v>5000</v>
      </c>
      <c r="P1648" s="79" t="s">
        <v>42</v>
      </c>
      <c r="Q1648" s="79" t="str">
        <f>+VLOOKUP(F1648,[3]Material!$C$2:$E$12,2,FALSE)</f>
        <v>Cal 12</v>
      </c>
      <c r="R1648" s="81">
        <f>+IF(P1648="ACERO A36",VLOOKUP(Q1648,'[3]Velocidades Std 1500 w'!$B$2:$F$15,5,FALSE),IF(P1648="INOXIDABLE",VLOOKUP(Q1648,'[3]Velocidades Std 1500 w'!$B$17:$F$28,5,FALSE),IF(P1648="ALUMINIO",VLOOKUP(Q1648,'[3]Velocidades Std 1500 w'!$B$30:$F$38,5,FALSE))))</f>
        <v>4.3859649122807014E-6</v>
      </c>
      <c r="S1648" s="82">
        <f t="shared" si="634"/>
        <v>2.1929824561403508E-2</v>
      </c>
      <c r="T1648" s="83">
        <f t="shared" si="635"/>
        <v>0</v>
      </c>
      <c r="U1648" s="307">
        <f t="shared" si="636"/>
        <v>0</v>
      </c>
      <c r="V1648" s="80">
        <f t="shared" si="637"/>
        <v>0</v>
      </c>
      <c r="W1648" s="98"/>
      <c r="X1648" s="84">
        <f>+IF(P1648="ACERO A36",VLOOKUP(Q1648,'[3]Tiempo Objeto'!$B$2:$C$12,2,FALSE),IF(P1648="INOXIDABLE",VLOOKUP(Q1648,'[3]Tiempo Objeto'!$B$14:$C$22,2,FALSE),IF(P1648="ALUMINIO",VLOOKUP(Q1648,'[3]Tiempo Objeto'!$B$24:$C$32,2,FALSE))))</f>
        <v>0.6133333333333334</v>
      </c>
      <c r="Y1648" s="84">
        <f t="shared" si="638"/>
        <v>0</v>
      </c>
      <c r="Z1648" s="80">
        <f t="shared" si="639"/>
        <v>0</v>
      </c>
      <c r="AA1648" s="100"/>
      <c r="AB1648" s="86">
        <f>+AA1648*Analisis!$J$6</f>
        <v>0</v>
      </c>
      <c r="AC1648" s="100"/>
      <c r="AD1648" s="85">
        <f t="shared" si="640"/>
        <v>0</v>
      </c>
      <c r="AE1648" s="86">
        <f>+AC1648*Analisis!$J$7</f>
        <v>0</v>
      </c>
      <c r="AF1648" s="308">
        <f>+H1648*0.0254*I1648*0.0254*2*(1+[3]Analisis!$G$2)</f>
        <v>0</v>
      </c>
      <c r="AG1648" s="86">
        <f>+AF1648*Analisis!$J$8</f>
        <v>0</v>
      </c>
      <c r="AH1648" s="309">
        <f t="shared" si="641"/>
        <v>0</v>
      </c>
      <c r="AI1648" s="86">
        <f>+AH1648/(1-Analisis!G1279)</f>
        <v>0</v>
      </c>
      <c r="AJ1648" s="86">
        <f t="shared" si="642"/>
        <v>0</v>
      </c>
      <c r="AK1648" s="86">
        <f t="shared" si="643"/>
        <v>0</v>
      </c>
      <c r="AL1648" s="310" t="e">
        <f>+VLOOKUP(B1648,#REF!,2,FALSE)</f>
        <v>#REF!</v>
      </c>
      <c r="AM1648" s="311" t="e">
        <f t="shared" si="644"/>
        <v>#REF!</v>
      </c>
      <c r="AN1648" s="312" t="e">
        <f t="shared" si="645"/>
        <v>#REF!</v>
      </c>
    </row>
    <row r="1649" spans="1:40" s="73" customFormat="1" x14ac:dyDescent="0.25">
      <c r="A1649" s="313"/>
      <c r="B1649" s="314"/>
      <c r="D1649" s="74">
        <f>IFERROR(VLOOKUP(B1649,'REQ. PINTADO'!B:C,2,0),0)</f>
        <v>0</v>
      </c>
      <c r="E1649" s="305">
        <f t="shared" si="632"/>
        <v>0</v>
      </c>
      <c r="F1649" s="103" t="s">
        <v>163</v>
      </c>
      <c r="G1649" s="75" t="s">
        <v>147</v>
      </c>
      <c r="H1649" s="90"/>
      <c r="I1649" s="90"/>
      <c r="J1649" s="76">
        <v>0.105</v>
      </c>
      <c r="K1649" s="306">
        <v>16.38</v>
      </c>
      <c r="L1649" s="78">
        <f t="shared" si="633"/>
        <v>0</v>
      </c>
      <c r="M1649" s="58">
        <f>+VLOOKUP(F1649,Material!$H$2:$M$17,6,FALSE)*H1649*I1649*(1+Material!$K$14)</f>
        <v>0</v>
      </c>
      <c r="N1649" s="79" t="str">
        <f>+N1268</f>
        <v>T5.0</v>
      </c>
      <c r="O1649" s="80">
        <f>+VLOOKUP(N1649,[3]Material!$A$3:$B$58,2,FALSE)</f>
        <v>5000</v>
      </c>
      <c r="P1649" s="79" t="s">
        <v>42</v>
      </c>
      <c r="Q1649" s="79" t="str">
        <f>+VLOOKUP(F1649,[3]Material!$C$2:$E$12,2,FALSE)</f>
        <v>Cal 12</v>
      </c>
      <c r="R1649" s="81">
        <f>+IF(P1649="ACERO A36",VLOOKUP(Q1649,'[3]Velocidades Std 1500 w'!$B$2:$F$15,5,FALSE),IF(P1649="INOXIDABLE",VLOOKUP(Q1649,'[3]Velocidades Std 1500 w'!$B$17:$F$28,5,FALSE),IF(P1649="ALUMINIO",VLOOKUP(Q1649,'[3]Velocidades Std 1500 w'!$B$30:$F$38,5,FALSE))))</f>
        <v>4.3859649122807014E-6</v>
      </c>
      <c r="S1649" s="82">
        <f t="shared" si="634"/>
        <v>2.1929824561403508E-2</v>
      </c>
      <c r="T1649" s="83">
        <f t="shared" si="635"/>
        <v>0</v>
      </c>
      <c r="U1649" s="307">
        <f t="shared" si="636"/>
        <v>0</v>
      </c>
      <c r="V1649" s="80">
        <f t="shared" si="637"/>
        <v>0</v>
      </c>
      <c r="W1649" s="98"/>
      <c r="X1649" s="84">
        <f>+IF(P1649="ACERO A36",VLOOKUP(Q1649,'[3]Tiempo Objeto'!$B$2:$C$12,2,FALSE),IF(P1649="INOXIDABLE",VLOOKUP(Q1649,'[3]Tiempo Objeto'!$B$14:$C$22,2,FALSE),IF(P1649="ALUMINIO",VLOOKUP(Q1649,'[3]Tiempo Objeto'!$B$24:$C$32,2,FALSE))))</f>
        <v>0.6133333333333334</v>
      </c>
      <c r="Y1649" s="84">
        <f t="shared" si="638"/>
        <v>0</v>
      </c>
      <c r="Z1649" s="80">
        <f t="shared" si="639"/>
        <v>0</v>
      </c>
      <c r="AA1649" s="100"/>
      <c r="AB1649" s="86">
        <f>+AA1649*Analisis!$J$6</f>
        <v>0</v>
      </c>
      <c r="AC1649" s="100"/>
      <c r="AD1649" s="85">
        <f t="shared" si="640"/>
        <v>0</v>
      </c>
      <c r="AE1649" s="86">
        <f>+AC1649*Analisis!$J$7</f>
        <v>0</v>
      </c>
      <c r="AF1649" s="308">
        <f>+H1649*0.0254*I1649*0.0254*2*(1+[3]Analisis!$G$2)</f>
        <v>0</v>
      </c>
      <c r="AG1649" s="86">
        <f>+AF1649*Analisis!$J$8</f>
        <v>0</v>
      </c>
      <c r="AH1649" s="309">
        <f t="shared" si="641"/>
        <v>0</v>
      </c>
      <c r="AI1649" s="86">
        <f>+AH1649/(1-Analisis!G1280)</f>
        <v>0</v>
      </c>
      <c r="AJ1649" s="86">
        <f t="shared" si="642"/>
        <v>0</v>
      </c>
      <c r="AK1649" s="86">
        <f t="shared" si="643"/>
        <v>0</v>
      </c>
      <c r="AL1649" s="310" t="e">
        <f>+VLOOKUP(B1649,#REF!,2,FALSE)</f>
        <v>#REF!</v>
      </c>
      <c r="AM1649" s="311" t="e">
        <f t="shared" si="644"/>
        <v>#REF!</v>
      </c>
      <c r="AN1649" s="312" t="e">
        <f t="shared" si="645"/>
        <v>#REF!</v>
      </c>
    </row>
    <row r="1650" spans="1:40" s="73" customFormat="1" x14ac:dyDescent="0.25">
      <c r="A1650" s="313"/>
      <c r="B1650" s="314"/>
      <c r="D1650" s="74">
        <f>IFERROR(VLOOKUP(B1650,'REQ. PINTADO'!B:C,2,0),0)</f>
        <v>0</v>
      </c>
      <c r="E1650" s="305">
        <f t="shared" si="632"/>
        <v>0</v>
      </c>
      <c r="F1650" s="103" t="s">
        <v>163</v>
      </c>
      <c r="G1650" s="75" t="s">
        <v>147</v>
      </c>
      <c r="H1650" s="90"/>
      <c r="I1650" s="90"/>
      <c r="J1650" s="76">
        <v>0.105</v>
      </c>
      <c r="K1650" s="306">
        <v>16.38</v>
      </c>
      <c r="L1650" s="78">
        <f t="shared" si="633"/>
        <v>0</v>
      </c>
      <c r="M1650" s="58">
        <f>+VLOOKUP(F1650,Material!$H$2:$M$17,6,FALSE)*H1650*I1650*(1+Material!$K$14)</f>
        <v>0</v>
      </c>
      <c r="N1650" s="79" t="str">
        <f>+N1269</f>
        <v>T5.0</v>
      </c>
      <c r="O1650" s="80">
        <f>+VLOOKUP(N1650,[3]Material!$A$3:$B$58,2,FALSE)</f>
        <v>5000</v>
      </c>
      <c r="P1650" s="79" t="s">
        <v>42</v>
      </c>
      <c r="Q1650" s="79" t="str">
        <f>+VLOOKUP(F1650,[3]Material!$C$2:$E$12,2,FALSE)</f>
        <v>Cal 12</v>
      </c>
      <c r="R1650" s="81">
        <f>+IF(P1650="ACERO A36",VLOOKUP(Q1650,'[3]Velocidades Std 1500 w'!$B$2:$F$15,5,FALSE),IF(P1650="INOXIDABLE",VLOOKUP(Q1650,'[3]Velocidades Std 1500 w'!$B$17:$F$28,5,FALSE),IF(P1650="ALUMINIO",VLOOKUP(Q1650,'[3]Velocidades Std 1500 w'!$B$30:$F$38,5,FALSE))))</f>
        <v>4.3859649122807014E-6</v>
      </c>
      <c r="S1650" s="82">
        <f t="shared" si="634"/>
        <v>2.1929824561403508E-2</v>
      </c>
      <c r="T1650" s="83">
        <f t="shared" si="635"/>
        <v>0</v>
      </c>
      <c r="U1650" s="307">
        <f t="shared" si="636"/>
        <v>0</v>
      </c>
      <c r="V1650" s="80">
        <f t="shared" si="637"/>
        <v>0</v>
      </c>
      <c r="W1650" s="98"/>
      <c r="X1650" s="84">
        <f>+IF(P1650="ACERO A36",VLOOKUP(Q1650,'[3]Tiempo Objeto'!$B$2:$C$12,2,FALSE),IF(P1650="INOXIDABLE",VLOOKUP(Q1650,'[3]Tiempo Objeto'!$B$14:$C$22,2,FALSE),IF(P1650="ALUMINIO",VLOOKUP(Q1650,'[3]Tiempo Objeto'!$B$24:$C$32,2,FALSE))))</f>
        <v>0.6133333333333334</v>
      </c>
      <c r="Y1650" s="84">
        <f t="shared" si="638"/>
        <v>0</v>
      </c>
      <c r="Z1650" s="80">
        <f t="shared" si="639"/>
        <v>0</v>
      </c>
      <c r="AA1650" s="100"/>
      <c r="AB1650" s="86">
        <f>+AA1650*Analisis!$J$6</f>
        <v>0</v>
      </c>
      <c r="AC1650" s="100"/>
      <c r="AD1650" s="85">
        <f t="shared" si="640"/>
        <v>0</v>
      </c>
      <c r="AE1650" s="86">
        <f>+AC1650*Analisis!$J$7</f>
        <v>0</v>
      </c>
      <c r="AF1650" s="308">
        <f>+H1650*0.0254*I1650*0.0254*2*(1+[3]Analisis!$G$2)</f>
        <v>0</v>
      </c>
      <c r="AG1650" s="86">
        <f>+AF1650*Analisis!$J$8</f>
        <v>0</v>
      </c>
      <c r="AH1650" s="309">
        <f t="shared" si="641"/>
        <v>0</v>
      </c>
      <c r="AI1650" s="86">
        <f>+AH1650/(1-Analisis!G1281)</f>
        <v>0</v>
      </c>
      <c r="AJ1650" s="86">
        <f t="shared" si="642"/>
        <v>0</v>
      </c>
      <c r="AK1650" s="86">
        <f t="shared" si="643"/>
        <v>0</v>
      </c>
      <c r="AL1650" s="310" t="e">
        <f>+VLOOKUP(B1650,#REF!,2,FALSE)</f>
        <v>#REF!</v>
      </c>
      <c r="AM1650" s="311" t="e">
        <f t="shared" si="644"/>
        <v>#REF!</v>
      </c>
      <c r="AN1650" s="312" t="e">
        <f t="shared" si="645"/>
        <v>#REF!</v>
      </c>
    </row>
    <row r="1651" spans="1:40" s="73" customFormat="1" x14ac:dyDescent="0.25">
      <c r="A1651" s="313"/>
      <c r="B1651" s="314"/>
      <c r="D1651" s="74">
        <f>IFERROR(VLOOKUP(B1651,'REQ. PINTADO'!B:C,2,0),0)</f>
        <v>0</v>
      </c>
      <c r="E1651" s="305">
        <f t="shared" si="632"/>
        <v>0</v>
      </c>
      <c r="F1651" s="103" t="s">
        <v>163</v>
      </c>
      <c r="G1651" s="75" t="s">
        <v>147</v>
      </c>
      <c r="H1651" s="90"/>
      <c r="I1651" s="90"/>
      <c r="J1651" s="76">
        <v>0.105</v>
      </c>
      <c r="K1651" s="306">
        <v>16.38</v>
      </c>
      <c r="L1651" s="78">
        <f t="shared" si="633"/>
        <v>0</v>
      </c>
      <c r="M1651" s="58">
        <f>+VLOOKUP(F1651,Material!$H$2:$M$17,6,FALSE)*H1651*I1651*(1+Material!$K$14)</f>
        <v>0</v>
      </c>
      <c r="N1651" s="79" t="str">
        <f>+N1270</f>
        <v>T5.0</v>
      </c>
      <c r="O1651" s="80">
        <f>+VLOOKUP(N1651,[3]Material!$A$3:$B$58,2,FALSE)</f>
        <v>5000</v>
      </c>
      <c r="P1651" s="79" t="s">
        <v>42</v>
      </c>
      <c r="Q1651" s="79" t="str">
        <f>+VLOOKUP(F1651,[3]Material!$C$2:$E$12,2,FALSE)</f>
        <v>Cal 12</v>
      </c>
      <c r="R1651" s="81">
        <f>+IF(P1651="ACERO A36",VLOOKUP(Q1651,'[3]Velocidades Std 1500 w'!$B$2:$F$15,5,FALSE),IF(P1651="INOXIDABLE",VLOOKUP(Q1651,'[3]Velocidades Std 1500 w'!$B$17:$F$28,5,FALSE),IF(P1651="ALUMINIO",VLOOKUP(Q1651,'[3]Velocidades Std 1500 w'!$B$30:$F$38,5,FALSE))))</f>
        <v>4.3859649122807014E-6</v>
      </c>
      <c r="S1651" s="82">
        <f t="shared" si="634"/>
        <v>2.1929824561403508E-2</v>
      </c>
      <c r="T1651" s="83">
        <f t="shared" si="635"/>
        <v>0</v>
      </c>
      <c r="U1651" s="307">
        <f t="shared" si="636"/>
        <v>0</v>
      </c>
      <c r="V1651" s="80">
        <f t="shared" si="637"/>
        <v>0</v>
      </c>
      <c r="W1651" s="98"/>
      <c r="X1651" s="84">
        <f>+IF(P1651="ACERO A36",VLOOKUP(Q1651,'[3]Tiempo Objeto'!$B$2:$C$12,2,FALSE),IF(P1651="INOXIDABLE",VLOOKUP(Q1651,'[3]Tiempo Objeto'!$B$14:$C$22,2,FALSE),IF(P1651="ALUMINIO",VLOOKUP(Q1651,'[3]Tiempo Objeto'!$B$24:$C$32,2,FALSE))))</f>
        <v>0.6133333333333334</v>
      </c>
      <c r="Y1651" s="84">
        <f t="shared" si="638"/>
        <v>0</v>
      </c>
      <c r="Z1651" s="80">
        <f t="shared" si="639"/>
        <v>0</v>
      </c>
      <c r="AA1651" s="100"/>
      <c r="AB1651" s="86">
        <f>+AA1651*Analisis!$J$6</f>
        <v>0</v>
      </c>
      <c r="AC1651" s="100"/>
      <c r="AD1651" s="85">
        <f t="shared" si="640"/>
        <v>0</v>
      </c>
      <c r="AE1651" s="86">
        <f>+AC1651*Analisis!$J$7</f>
        <v>0</v>
      </c>
      <c r="AF1651" s="308">
        <f>+H1651*0.0254*I1651*0.0254*2*(1+[3]Analisis!$G$2)</f>
        <v>0</v>
      </c>
      <c r="AG1651" s="86">
        <f>+AF1651*Analisis!$J$8</f>
        <v>0</v>
      </c>
      <c r="AH1651" s="309">
        <f t="shared" si="641"/>
        <v>0</v>
      </c>
      <c r="AI1651" s="86">
        <f>+AH1651/(1-Analisis!G1282)</f>
        <v>0</v>
      </c>
      <c r="AJ1651" s="86">
        <f t="shared" si="642"/>
        <v>0</v>
      </c>
      <c r="AK1651" s="86">
        <f t="shared" si="643"/>
        <v>0</v>
      </c>
      <c r="AL1651" s="310" t="e">
        <f>+VLOOKUP(B1651,#REF!,2,FALSE)</f>
        <v>#REF!</v>
      </c>
      <c r="AM1651" s="311" t="e">
        <f t="shared" si="644"/>
        <v>#REF!</v>
      </c>
      <c r="AN1651" s="312" t="e">
        <f t="shared" si="645"/>
        <v>#REF!</v>
      </c>
    </row>
    <row r="1652" spans="1:40" s="73" customFormat="1" x14ac:dyDescent="0.25">
      <c r="A1652" s="313"/>
      <c r="B1652" s="314"/>
      <c r="D1652" s="74">
        <f>IFERROR(VLOOKUP(B1652,'REQ. PINTADO'!B:C,2,0),0)</f>
        <v>0</v>
      </c>
      <c r="E1652" s="305">
        <f t="shared" si="632"/>
        <v>0</v>
      </c>
      <c r="F1652" s="103" t="s">
        <v>163</v>
      </c>
      <c r="G1652" s="75" t="s">
        <v>147</v>
      </c>
      <c r="H1652" s="90"/>
      <c r="I1652" s="90"/>
      <c r="J1652" s="76">
        <v>0.105</v>
      </c>
      <c r="K1652" s="306">
        <v>16.38</v>
      </c>
      <c r="L1652" s="78">
        <f t="shared" si="633"/>
        <v>0</v>
      </c>
      <c r="M1652" s="58">
        <f>+VLOOKUP(F1652,Material!$H$2:$M$17,6,FALSE)*H1652*I1652*(1+Material!$K$14)</f>
        <v>0</v>
      </c>
      <c r="N1652" s="79" t="str">
        <f>+N1271</f>
        <v>T5.0</v>
      </c>
      <c r="O1652" s="80">
        <f>+VLOOKUP(N1652,[3]Material!$A$3:$B$58,2,FALSE)</f>
        <v>5000</v>
      </c>
      <c r="P1652" s="79" t="s">
        <v>42</v>
      </c>
      <c r="Q1652" s="79" t="str">
        <f>+VLOOKUP(F1652,[3]Material!$C$2:$E$12,2,FALSE)</f>
        <v>Cal 12</v>
      </c>
      <c r="R1652" s="81">
        <f>+IF(P1652="ACERO A36",VLOOKUP(Q1652,'[3]Velocidades Std 1500 w'!$B$2:$F$15,5,FALSE),IF(P1652="INOXIDABLE",VLOOKUP(Q1652,'[3]Velocidades Std 1500 w'!$B$17:$F$28,5,FALSE),IF(P1652="ALUMINIO",VLOOKUP(Q1652,'[3]Velocidades Std 1500 w'!$B$30:$F$38,5,FALSE))))</f>
        <v>4.3859649122807014E-6</v>
      </c>
      <c r="S1652" s="82">
        <f t="shared" si="634"/>
        <v>2.1929824561403508E-2</v>
      </c>
      <c r="T1652" s="83">
        <f t="shared" si="635"/>
        <v>0</v>
      </c>
      <c r="U1652" s="307">
        <f t="shared" si="636"/>
        <v>0</v>
      </c>
      <c r="V1652" s="80">
        <f t="shared" si="637"/>
        <v>0</v>
      </c>
      <c r="W1652" s="98"/>
      <c r="X1652" s="84">
        <f>+IF(P1652="ACERO A36",VLOOKUP(Q1652,'[3]Tiempo Objeto'!$B$2:$C$12,2,FALSE),IF(P1652="INOXIDABLE",VLOOKUP(Q1652,'[3]Tiempo Objeto'!$B$14:$C$22,2,FALSE),IF(P1652="ALUMINIO",VLOOKUP(Q1652,'[3]Tiempo Objeto'!$B$24:$C$32,2,FALSE))))</f>
        <v>0.6133333333333334</v>
      </c>
      <c r="Y1652" s="84">
        <f t="shared" si="638"/>
        <v>0</v>
      </c>
      <c r="Z1652" s="80">
        <f t="shared" si="639"/>
        <v>0</v>
      </c>
      <c r="AA1652" s="100"/>
      <c r="AB1652" s="86">
        <f>+AA1652*Analisis!$J$6</f>
        <v>0</v>
      </c>
      <c r="AC1652" s="100"/>
      <c r="AD1652" s="85">
        <f t="shared" si="640"/>
        <v>0</v>
      </c>
      <c r="AE1652" s="86">
        <f>+AC1652*Analisis!$J$7</f>
        <v>0</v>
      </c>
      <c r="AF1652" s="308">
        <f>+H1652*0.0254*I1652*0.0254*2*(1+[3]Analisis!$G$2)</f>
        <v>0</v>
      </c>
      <c r="AG1652" s="86">
        <f>+AF1652*Analisis!$J$8</f>
        <v>0</v>
      </c>
      <c r="AH1652" s="309">
        <f t="shared" si="641"/>
        <v>0</v>
      </c>
      <c r="AI1652" s="86">
        <f>+AH1652/(1-Analisis!G1283)</f>
        <v>0</v>
      </c>
      <c r="AJ1652" s="86">
        <f t="shared" si="642"/>
        <v>0</v>
      </c>
      <c r="AK1652" s="86">
        <f t="shared" si="643"/>
        <v>0</v>
      </c>
      <c r="AL1652" s="310" t="e">
        <f>+VLOOKUP(B1652,#REF!,2,FALSE)</f>
        <v>#REF!</v>
      </c>
      <c r="AM1652" s="311" t="e">
        <f t="shared" si="644"/>
        <v>#REF!</v>
      </c>
      <c r="AN1652" s="312" t="e">
        <f t="shared" si="645"/>
        <v>#REF!</v>
      </c>
    </row>
    <row r="1653" spans="1:40" s="73" customFormat="1" x14ac:dyDescent="0.25">
      <c r="A1653" s="313"/>
      <c r="B1653" s="314"/>
      <c r="D1653" s="74">
        <f>IFERROR(VLOOKUP(B1653,'REQ. PINTADO'!B:C,2,0),0)</f>
        <v>0</v>
      </c>
      <c r="E1653" s="305">
        <f t="shared" si="632"/>
        <v>0</v>
      </c>
      <c r="F1653" s="103" t="s">
        <v>163</v>
      </c>
      <c r="G1653" s="75" t="s">
        <v>147</v>
      </c>
      <c r="H1653" s="90"/>
      <c r="I1653" s="90"/>
      <c r="J1653" s="76">
        <v>0.105</v>
      </c>
      <c r="K1653" s="306">
        <v>16.38</v>
      </c>
      <c r="L1653" s="78">
        <f t="shared" si="633"/>
        <v>0</v>
      </c>
      <c r="M1653" s="58">
        <f>+VLOOKUP(F1653,Material!$H$2:$M$17,6,FALSE)*H1653*I1653*(1+Material!$K$14)</f>
        <v>0</v>
      </c>
      <c r="N1653" s="79" t="str">
        <f>+N1272</f>
        <v>T5.0</v>
      </c>
      <c r="O1653" s="80">
        <f>+VLOOKUP(N1653,[3]Material!$A$3:$B$58,2,FALSE)</f>
        <v>5000</v>
      </c>
      <c r="P1653" s="79" t="s">
        <v>42</v>
      </c>
      <c r="Q1653" s="79" t="str">
        <f>+VLOOKUP(F1653,[3]Material!$C$2:$E$12,2,FALSE)</f>
        <v>Cal 12</v>
      </c>
      <c r="R1653" s="81">
        <f>+IF(P1653="ACERO A36",VLOOKUP(Q1653,'[3]Velocidades Std 1500 w'!$B$2:$F$15,5,FALSE),IF(P1653="INOXIDABLE",VLOOKUP(Q1653,'[3]Velocidades Std 1500 w'!$B$17:$F$28,5,FALSE),IF(P1653="ALUMINIO",VLOOKUP(Q1653,'[3]Velocidades Std 1500 w'!$B$30:$F$38,5,FALSE))))</f>
        <v>4.3859649122807014E-6</v>
      </c>
      <c r="S1653" s="82">
        <f t="shared" si="634"/>
        <v>2.1929824561403508E-2</v>
      </c>
      <c r="T1653" s="83">
        <f t="shared" si="635"/>
        <v>0</v>
      </c>
      <c r="U1653" s="307">
        <f t="shared" si="636"/>
        <v>0</v>
      </c>
      <c r="V1653" s="80">
        <f t="shared" si="637"/>
        <v>0</v>
      </c>
      <c r="W1653" s="98"/>
      <c r="X1653" s="84">
        <f>+IF(P1653="ACERO A36",VLOOKUP(Q1653,'[3]Tiempo Objeto'!$B$2:$C$12,2,FALSE),IF(P1653="INOXIDABLE",VLOOKUP(Q1653,'[3]Tiempo Objeto'!$B$14:$C$22,2,FALSE),IF(P1653="ALUMINIO",VLOOKUP(Q1653,'[3]Tiempo Objeto'!$B$24:$C$32,2,FALSE))))</f>
        <v>0.6133333333333334</v>
      </c>
      <c r="Y1653" s="84">
        <f t="shared" si="638"/>
        <v>0</v>
      </c>
      <c r="Z1653" s="80">
        <f t="shared" si="639"/>
        <v>0</v>
      </c>
      <c r="AA1653" s="100"/>
      <c r="AB1653" s="86">
        <f>+AA1653*Analisis!$J$6</f>
        <v>0</v>
      </c>
      <c r="AC1653" s="100"/>
      <c r="AD1653" s="85">
        <f t="shared" si="640"/>
        <v>0</v>
      </c>
      <c r="AE1653" s="86">
        <f>+AC1653*Analisis!$J$7</f>
        <v>0</v>
      </c>
      <c r="AF1653" s="308">
        <f>+H1653*0.0254*I1653*0.0254*2*(1+[3]Analisis!$G$2)</f>
        <v>0</v>
      </c>
      <c r="AG1653" s="86">
        <f>+AF1653*Analisis!$J$8</f>
        <v>0</v>
      </c>
      <c r="AH1653" s="309">
        <f t="shared" si="641"/>
        <v>0</v>
      </c>
      <c r="AI1653" s="86">
        <f>+AH1653/(1-Analisis!G1284)</f>
        <v>0</v>
      </c>
      <c r="AJ1653" s="86">
        <f t="shared" si="642"/>
        <v>0</v>
      </c>
      <c r="AK1653" s="86">
        <f t="shared" si="643"/>
        <v>0</v>
      </c>
      <c r="AL1653" s="310" t="e">
        <f>+VLOOKUP(B1653,#REF!,2,FALSE)</f>
        <v>#REF!</v>
      </c>
      <c r="AM1653" s="311" t="e">
        <f t="shared" si="644"/>
        <v>#REF!</v>
      </c>
      <c r="AN1653" s="312" t="e">
        <f t="shared" si="645"/>
        <v>#REF!</v>
      </c>
    </row>
    <row r="1654" spans="1:40" s="73" customFormat="1" x14ac:dyDescent="0.25">
      <c r="A1654" s="313"/>
      <c r="B1654" s="314"/>
      <c r="D1654" s="74">
        <f>IFERROR(VLOOKUP(B1654,'REQ. PINTADO'!B:C,2,0),0)</f>
        <v>0</v>
      </c>
      <c r="E1654" s="305">
        <f t="shared" ref="E1654:E1717" si="646">+AJ1654</f>
        <v>0</v>
      </c>
      <c r="F1654" s="103" t="s">
        <v>163</v>
      </c>
      <c r="G1654" s="75" t="s">
        <v>147</v>
      </c>
      <c r="H1654" s="90"/>
      <c r="I1654" s="90"/>
      <c r="J1654" s="76">
        <v>0.105</v>
      </c>
      <c r="K1654" s="306">
        <v>16.38</v>
      </c>
      <c r="L1654" s="78">
        <f t="shared" ref="L1654:L1717" si="647">+M1654*2.2/K1654</f>
        <v>0</v>
      </c>
      <c r="M1654" s="58">
        <f>+VLOOKUP(F1654,Material!$H$2:$M$17,6,FALSE)*H1654*I1654*(1+Material!$K$14)</f>
        <v>0</v>
      </c>
      <c r="N1654" s="79" t="str">
        <f>+N1273</f>
        <v>T5.0</v>
      </c>
      <c r="O1654" s="80">
        <f>+VLOOKUP(N1654,[3]Material!$A$3:$B$58,2,FALSE)</f>
        <v>5000</v>
      </c>
      <c r="P1654" s="79" t="s">
        <v>42</v>
      </c>
      <c r="Q1654" s="79" t="str">
        <f>+VLOOKUP(F1654,[3]Material!$C$2:$E$12,2,FALSE)</f>
        <v>Cal 12</v>
      </c>
      <c r="R1654" s="81">
        <f>+IF(P1654="ACERO A36",VLOOKUP(Q1654,'[3]Velocidades Std 1500 w'!$B$2:$F$15,5,FALSE),IF(P1654="INOXIDABLE",VLOOKUP(Q1654,'[3]Velocidades Std 1500 w'!$B$17:$F$28,5,FALSE),IF(P1654="ALUMINIO",VLOOKUP(Q1654,'[3]Velocidades Std 1500 w'!$B$30:$F$38,5,FALSE))))</f>
        <v>4.3859649122807014E-6</v>
      </c>
      <c r="S1654" s="82">
        <f t="shared" ref="S1654:S1717" si="648">+R1654*O1654</f>
        <v>2.1929824561403508E-2</v>
      </c>
      <c r="T1654" s="83">
        <f t="shared" ref="T1654:T1717" si="649">+R1654*U1654*3600</f>
        <v>0</v>
      </c>
      <c r="U1654" s="307">
        <f t="shared" ref="U1654:U1717" si="650">(+I1654*2+H1654*2+W1654*1.5)*25.4*1.05</f>
        <v>0</v>
      </c>
      <c r="V1654" s="80">
        <f t="shared" ref="V1654:V1717" si="651">+U1654*S1654</f>
        <v>0</v>
      </c>
      <c r="W1654" s="98"/>
      <c r="X1654" s="84">
        <f>+IF(P1654="ACERO A36",VLOOKUP(Q1654,'[3]Tiempo Objeto'!$B$2:$C$12,2,FALSE),IF(P1654="INOXIDABLE",VLOOKUP(Q1654,'[3]Tiempo Objeto'!$B$14:$C$22,2,FALSE),IF(P1654="ALUMINIO",VLOOKUP(Q1654,'[3]Tiempo Objeto'!$B$24:$C$32,2,FALSE))))</f>
        <v>0.6133333333333334</v>
      </c>
      <c r="Y1654" s="84">
        <f t="shared" ref="Y1654:Y1717" si="652">+X1654*W1654</f>
        <v>0</v>
      </c>
      <c r="Z1654" s="80">
        <f t="shared" ref="Z1654:Z1717" si="653">+Y1654*O1654/3600</f>
        <v>0</v>
      </c>
      <c r="AA1654" s="100"/>
      <c r="AB1654" s="86">
        <f>+AA1654*Analisis!$J$6</f>
        <v>0</v>
      </c>
      <c r="AC1654" s="100"/>
      <c r="AD1654" s="85">
        <f t="shared" ref="AD1654:AD1717" si="654">30*AC1654+AC1654*$D1654*1.5</f>
        <v>0</v>
      </c>
      <c r="AE1654" s="86">
        <f>+AC1654*Analisis!$J$7</f>
        <v>0</v>
      </c>
      <c r="AF1654" s="308">
        <f>+H1654*0.0254*I1654*0.0254*2*(1+[3]Analisis!$G$2)</f>
        <v>0</v>
      </c>
      <c r="AG1654" s="86">
        <f>+AF1654*Analisis!$J$8</f>
        <v>0</v>
      </c>
      <c r="AH1654" s="309">
        <f t="shared" ref="AH1654:AH1717" si="655">+AE1654+AB1654+Z1654+V1654+M1654+AG1654</f>
        <v>0</v>
      </c>
      <c r="AI1654" s="86">
        <f>+AH1654/(1-Analisis!G1285)</f>
        <v>0</v>
      </c>
      <c r="AJ1654" s="86">
        <f t="shared" ref="AJ1654:AJ1717" si="656">+AI1654/(1-0.07)</f>
        <v>0</v>
      </c>
      <c r="AK1654" s="86">
        <f t="shared" ref="AK1654:AK1717" si="657">+AJ1654*D1654</f>
        <v>0</v>
      </c>
      <c r="AL1654" s="310" t="e">
        <f>+VLOOKUP(B1654,#REF!,2,FALSE)</f>
        <v>#REF!</v>
      </c>
      <c r="AM1654" s="311" t="e">
        <f t="shared" ref="AM1654:AM1717" si="658">+AL1654-E1654</f>
        <v>#REF!</v>
      </c>
      <c r="AN1654" s="312" t="e">
        <f t="shared" ref="AN1654:AN1717" si="659">+AM1654/AL1654</f>
        <v>#REF!</v>
      </c>
    </row>
    <row r="1655" spans="1:40" s="73" customFormat="1" x14ac:dyDescent="0.25">
      <c r="A1655" s="313"/>
      <c r="B1655" s="314"/>
      <c r="D1655" s="74">
        <f>IFERROR(VLOOKUP(B1655,'REQ. PINTADO'!B:C,2,0),0)</f>
        <v>0</v>
      </c>
      <c r="E1655" s="305">
        <f t="shared" si="646"/>
        <v>0</v>
      </c>
      <c r="F1655" s="103" t="s">
        <v>163</v>
      </c>
      <c r="G1655" s="75" t="s">
        <v>147</v>
      </c>
      <c r="H1655" s="90"/>
      <c r="I1655" s="90"/>
      <c r="J1655" s="76">
        <v>0.105</v>
      </c>
      <c r="K1655" s="306">
        <v>16.38</v>
      </c>
      <c r="L1655" s="78">
        <f t="shared" si="647"/>
        <v>0</v>
      </c>
      <c r="M1655" s="58">
        <f>+VLOOKUP(F1655,Material!$H$2:$M$17,6,FALSE)*H1655*I1655*(1+Material!$K$14)</f>
        <v>0</v>
      </c>
      <c r="N1655" s="79" t="str">
        <f>+N1274</f>
        <v>T5.0</v>
      </c>
      <c r="O1655" s="80">
        <f>+VLOOKUP(N1655,[3]Material!$A$3:$B$58,2,FALSE)</f>
        <v>5000</v>
      </c>
      <c r="P1655" s="79" t="s">
        <v>42</v>
      </c>
      <c r="Q1655" s="79" t="str">
        <f>+VLOOKUP(F1655,[3]Material!$C$2:$E$12,2,FALSE)</f>
        <v>Cal 12</v>
      </c>
      <c r="R1655" s="81">
        <f>+IF(P1655="ACERO A36",VLOOKUP(Q1655,'[3]Velocidades Std 1500 w'!$B$2:$F$15,5,FALSE),IF(P1655="INOXIDABLE",VLOOKUP(Q1655,'[3]Velocidades Std 1500 w'!$B$17:$F$28,5,FALSE),IF(P1655="ALUMINIO",VLOOKUP(Q1655,'[3]Velocidades Std 1500 w'!$B$30:$F$38,5,FALSE))))</f>
        <v>4.3859649122807014E-6</v>
      </c>
      <c r="S1655" s="82">
        <f t="shared" si="648"/>
        <v>2.1929824561403508E-2</v>
      </c>
      <c r="T1655" s="83">
        <f t="shared" si="649"/>
        <v>0</v>
      </c>
      <c r="U1655" s="307">
        <f t="shared" si="650"/>
        <v>0</v>
      </c>
      <c r="V1655" s="80">
        <f t="shared" si="651"/>
        <v>0</v>
      </c>
      <c r="W1655" s="98"/>
      <c r="X1655" s="84">
        <f>+IF(P1655="ACERO A36",VLOOKUP(Q1655,'[3]Tiempo Objeto'!$B$2:$C$12,2,FALSE),IF(P1655="INOXIDABLE",VLOOKUP(Q1655,'[3]Tiempo Objeto'!$B$14:$C$22,2,FALSE),IF(P1655="ALUMINIO",VLOOKUP(Q1655,'[3]Tiempo Objeto'!$B$24:$C$32,2,FALSE))))</f>
        <v>0.6133333333333334</v>
      </c>
      <c r="Y1655" s="84">
        <f t="shared" si="652"/>
        <v>0</v>
      </c>
      <c r="Z1655" s="80">
        <f t="shared" si="653"/>
        <v>0</v>
      </c>
      <c r="AA1655" s="100"/>
      <c r="AB1655" s="86">
        <f>+AA1655*Analisis!$J$6</f>
        <v>0</v>
      </c>
      <c r="AC1655" s="100"/>
      <c r="AD1655" s="85">
        <f t="shared" si="654"/>
        <v>0</v>
      </c>
      <c r="AE1655" s="86">
        <f>+AC1655*Analisis!$J$7</f>
        <v>0</v>
      </c>
      <c r="AF1655" s="308">
        <f>+H1655*0.0254*I1655*0.0254*2*(1+[3]Analisis!$G$2)</f>
        <v>0</v>
      </c>
      <c r="AG1655" s="86">
        <f>+AF1655*Analisis!$J$8</f>
        <v>0</v>
      </c>
      <c r="AH1655" s="309">
        <f t="shared" si="655"/>
        <v>0</v>
      </c>
      <c r="AI1655" s="86">
        <f>+AH1655/(1-Analisis!G1286)</f>
        <v>0</v>
      </c>
      <c r="AJ1655" s="86">
        <f t="shared" si="656"/>
        <v>0</v>
      </c>
      <c r="AK1655" s="86">
        <f t="shared" si="657"/>
        <v>0</v>
      </c>
      <c r="AL1655" s="310" t="e">
        <f>+VLOOKUP(B1655,#REF!,2,FALSE)</f>
        <v>#REF!</v>
      </c>
      <c r="AM1655" s="311" t="e">
        <f t="shared" si="658"/>
        <v>#REF!</v>
      </c>
      <c r="AN1655" s="312" t="e">
        <f t="shared" si="659"/>
        <v>#REF!</v>
      </c>
    </row>
    <row r="1656" spans="1:40" s="73" customFormat="1" x14ac:dyDescent="0.25">
      <c r="A1656" s="313"/>
      <c r="B1656" s="314"/>
      <c r="D1656" s="74">
        <f>IFERROR(VLOOKUP(B1656,'REQ. PINTADO'!B:C,2,0),0)</f>
        <v>0</v>
      </c>
      <c r="E1656" s="305">
        <f t="shared" si="646"/>
        <v>0</v>
      </c>
      <c r="F1656" s="103" t="s">
        <v>163</v>
      </c>
      <c r="G1656" s="75" t="s">
        <v>147</v>
      </c>
      <c r="H1656" s="90"/>
      <c r="I1656" s="90"/>
      <c r="J1656" s="76">
        <v>0.105</v>
      </c>
      <c r="K1656" s="306">
        <v>16.38</v>
      </c>
      <c r="L1656" s="78">
        <f t="shared" si="647"/>
        <v>0</v>
      </c>
      <c r="M1656" s="58">
        <f>+VLOOKUP(F1656,Material!$H$2:$M$17,6,FALSE)*H1656*I1656*(1+Material!$K$14)</f>
        <v>0</v>
      </c>
      <c r="N1656" s="79" t="str">
        <f>+N1275</f>
        <v>T5.0</v>
      </c>
      <c r="O1656" s="80">
        <f>+VLOOKUP(N1656,[3]Material!$A$3:$B$58,2,FALSE)</f>
        <v>5000</v>
      </c>
      <c r="P1656" s="79" t="s">
        <v>42</v>
      </c>
      <c r="Q1656" s="79" t="str">
        <f>+VLOOKUP(F1656,[3]Material!$C$2:$E$12,2,FALSE)</f>
        <v>Cal 12</v>
      </c>
      <c r="R1656" s="81">
        <f>+IF(P1656="ACERO A36",VLOOKUP(Q1656,'[3]Velocidades Std 1500 w'!$B$2:$F$15,5,FALSE),IF(P1656="INOXIDABLE",VLOOKUP(Q1656,'[3]Velocidades Std 1500 w'!$B$17:$F$28,5,FALSE),IF(P1656="ALUMINIO",VLOOKUP(Q1656,'[3]Velocidades Std 1500 w'!$B$30:$F$38,5,FALSE))))</f>
        <v>4.3859649122807014E-6</v>
      </c>
      <c r="S1656" s="82">
        <f t="shared" si="648"/>
        <v>2.1929824561403508E-2</v>
      </c>
      <c r="T1656" s="83">
        <f t="shared" si="649"/>
        <v>0</v>
      </c>
      <c r="U1656" s="307">
        <f t="shared" si="650"/>
        <v>0</v>
      </c>
      <c r="V1656" s="80">
        <f t="shared" si="651"/>
        <v>0</v>
      </c>
      <c r="W1656" s="98"/>
      <c r="X1656" s="84">
        <f>+IF(P1656="ACERO A36",VLOOKUP(Q1656,'[3]Tiempo Objeto'!$B$2:$C$12,2,FALSE),IF(P1656="INOXIDABLE",VLOOKUP(Q1656,'[3]Tiempo Objeto'!$B$14:$C$22,2,FALSE),IF(P1656="ALUMINIO",VLOOKUP(Q1656,'[3]Tiempo Objeto'!$B$24:$C$32,2,FALSE))))</f>
        <v>0.6133333333333334</v>
      </c>
      <c r="Y1656" s="84">
        <f t="shared" si="652"/>
        <v>0</v>
      </c>
      <c r="Z1656" s="80">
        <f t="shared" si="653"/>
        <v>0</v>
      </c>
      <c r="AA1656" s="100"/>
      <c r="AB1656" s="86">
        <f>+AA1656*Analisis!$J$6</f>
        <v>0</v>
      </c>
      <c r="AC1656" s="100"/>
      <c r="AD1656" s="85">
        <f t="shared" si="654"/>
        <v>0</v>
      </c>
      <c r="AE1656" s="86">
        <f>+AC1656*Analisis!$J$7</f>
        <v>0</v>
      </c>
      <c r="AF1656" s="308">
        <f>+H1656*0.0254*I1656*0.0254*2*(1+[3]Analisis!$G$2)</f>
        <v>0</v>
      </c>
      <c r="AG1656" s="86">
        <f>+AF1656*Analisis!$J$8</f>
        <v>0</v>
      </c>
      <c r="AH1656" s="309">
        <f t="shared" si="655"/>
        <v>0</v>
      </c>
      <c r="AI1656" s="86">
        <f>+AH1656/(1-Analisis!G1287)</f>
        <v>0</v>
      </c>
      <c r="AJ1656" s="86">
        <f t="shared" si="656"/>
        <v>0</v>
      </c>
      <c r="AK1656" s="86">
        <f t="shared" si="657"/>
        <v>0</v>
      </c>
      <c r="AL1656" s="310" t="e">
        <f>+VLOOKUP(B1656,#REF!,2,FALSE)</f>
        <v>#REF!</v>
      </c>
      <c r="AM1656" s="311" t="e">
        <f t="shared" si="658"/>
        <v>#REF!</v>
      </c>
      <c r="AN1656" s="312" t="e">
        <f t="shared" si="659"/>
        <v>#REF!</v>
      </c>
    </row>
    <row r="1657" spans="1:40" s="73" customFormat="1" x14ac:dyDescent="0.25">
      <c r="A1657" s="313"/>
      <c r="B1657" s="314"/>
      <c r="D1657" s="74">
        <f>IFERROR(VLOOKUP(B1657,'REQ. PINTADO'!B:C,2,0),0)</f>
        <v>0</v>
      </c>
      <c r="E1657" s="305">
        <f t="shared" si="646"/>
        <v>0</v>
      </c>
      <c r="F1657" s="103" t="s">
        <v>163</v>
      </c>
      <c r="G1657" s="75" t="s">
        <v>147</v>
      </c>
      <c r="H1657" s="90"/>
      <c r="I1657" s="90"/>
      <c r="J1657" s="76">
        <v>0.105</v>
      </c>
      <c r="K1657" s="306">
        <v>16.38</v>
      </c>
      <c r="L1657" s="78">
        <f t="shared" si="647"/>
        <v>0</v>
      </c>
      <c r="M1657" s="58">
        <f>+VLOOKUP(F1657,Material!$H$2:$M$17,6,FALSE)*H1657*I1657*(1+Material!$K$14)</f>
        <v>0</v>
      </c>
      <c r="N1657" s="79" t="str">
        <f>+N1276</f>
        <v>T5.0</v>
      </c>
      <c r="O1657" s="80">
        <f>+VLOOKUP(N1657,[3]Material!$A$3:$B$58,2,FALSE)</f>
        <v>5000</v>
      </c>
      <c r="P1657" s="79" t="s">
        <v>42</v>
      </c>
      <c r="Q1657" s="79" t="str">
        <f>+VLOOKUP(F1657,[3]Material!$C$2:$E$12,2,FALSE)</f>
        <v>Cal 12</v>
      </c>
      <c r="R1657" s="81">
        <f>+IF(P1657="ACERO A36",VLOOKUP(Q1657,'[3]Velocidades Std 1500 w'!$B$2:$F$15,5,FALSE),IF(P1657="INOXIDABLE",VLOOKUP(Q1657,'[3]Velocidades Std 1500 w'!$B$17:$F$28,5,FALSE),IF(P1657="ALUMINIO",VLOOKUP(Q1657,'[3]Velocidades Std 1500 w'!$B$30:$F$38,5,FALSE))))</f>
        <v>4.3859649122807014E-6</v>
      </c>
      <c r="S1657" s="82">
        <f t="shared" si="648"/>
        <v>2.1929824561403508E-2</v>
      </c>
      <c r="T1657" s="83">
        <f t="shared" si="649"/>
        <v>0</v>
      </c>
      <c r="U1657" s="307">
        <f t="shared" si="650"/>
        <v>0</v>
      </c>
      <c r="V1657" s="80">
        <f t="shared" si="651"/>
        <v>0</v>
      </c>
      <c r="W1657" s="98"/>
      <c r="X1657" s="84">
        <f>+IF(P1657="ACERO A36",VLOOKUP(Q1657,'[3]Tiempo Objeto'!$B$2:$C$12,2,FALSE),IF(P1657="INOXIDABLE",VLOOKUP(Q1657,'[3]Tiempo Objeto'!$B$14:$C$22,2,FALSE),IF(P1657="ALUMINIO",VLOOKUP(Q1657,'[3]Tiempo Objeto'!$B$24:$C$32,2,FALSE))))</f>
        <v>0.6133333333333334</v>
      </c>
      <c r="Y1657" s="84">
        <f t="shared" si="652"/>
        <v>0</v>
      </c>
      <c r="Z1657" s="80">
        <f t="shared" si="653"/>
        <v>0</v>
      </c>
      <c r="AA1657" s="100"/>
      <c r="AB1657" s="86">
        <f>+AA1657*Analisis!$J$6</f>
        <v>0</v>
      </c>
      <c r="AC1657" s="100"/>
      <c r="AD1657" s="85">
        <f t="shared" si="654"/>
        <v>0</v>
      </c>
      <c r="AE1657" s="86">
        <f>+AC1657*Analisis!$J$7</f>
        <v>0</v>
      </c>
      <c r="AF1657" s="308">
        <f>+H1657*0.0254*I1657*0.0254*2*(1+[3]Analisis!$G$2)</f>
        <v>0</v>
      </c>
      <c r="AG1657" s="86">
        <f>+AF1657*Analisis!$J$8</f>
        <v>0</v>
      </c>
      <c r="AH1657" s="309">
        <f t="shared" si="655"/>
        <v>0</v>
      </c>
      <c r="AI1657" s="86">
        <f>+AH1657/(1-Analisis!G1288)</f>
        <v>0</v>
      </c>
      <c r="AJ1657" s="86">
        <f t="shared" si="656"/>
        <v>0</v>
      </c>
      <c r="AK1657" s="86">
        <f t="shared" si="657"/>
        <v>0</v>
      </c>
      <c r="AL1657" s="310" t="e">
        <f>+VLOOKUP(B1657,#REF!,2,FALSE)</f>
        <v>#REF!</v>
      </c>
      <c r="AM1657" s="311" t="e">
        <f t="shared" si="658"/>
        <v>#REF!</v>
      </c>
      <c r="AN1657" s="312" t="e">
        <f t="shared" si="659"/>
        <v>#REF!</v>
      </c>
    </row>
    <row r="1658" spans="1:40" s="73" customFormat="1" x14ac:dyDescent="0.25">
      <c r="A1658" s="313"/>
      <c r="B1658" s="314"/>
      <c r="D1658" s="74">
        <f>IFERROR(VLOOKUP(B1658,'REQ. PINTADO'!B:C,2,0),0)</f>
        <v>0</v>
      </c>
      <c r="E1658" s="305">
        <f t="shared" si="646"/>
        <v>0</v>
      </c>
      <c r="F1658" s="103" t="s">
        <v>163</v>
      </c>
      <c r="G1658" s="75" t="s">
        <v>147</v>
      </c>
      <c r="H1658" s="90"/>
      <c r="I1658" s="90"/>
      <c r="J1658" s="76">
        <v>0.105</v>
      </c>
      <c r="K1658" s="306">
        <v>16.38</v>
      </c>
      <c r="L1658" s="78">
        <f t="shared" si="647"/>
        <v>0</v>
      </c>
      <c r="M1658" s="58">
        <f>+VLOOKUP(F1658,Material!$H$2:$M$17,6,FALSE)*H1658*I1658*(1+Material!$K$14)</f>
        <v>0</v>
      </c>
      <c r="N1658" s="79" t="str">
        <f>+N1277</f>
        <v>T5.0</v>
      </c>
      <c r="O1658" s="80">
        <f>+VLOOKUP(N1658,[3]Material!$A$3:$B$58,2,FALSE)</f>
        <v>5000</v>
      </c>
      <c r="P1658" s="79" t="s">
        <v>42</v>
      </c>
      <c r="Q1658" s="79" t="str">
        <f>+VLOOKUP(F1658,[3]Material!$C$2:$E$12,2,FALSE)</f>
        <v>Cal 12</v>
      </c>
      <c r="R1658" s="81">
        <f>+IF(P1658="ACERO A36",VLOOKUP(Q1658,'[3]Velocidades Std 1500 w'!$B$2:$F$15,5,FALSE),IF(P1658="INOXIDABLE",VLOOKUP(Q1658,'[3]Velocidades Std 1500 w'!$B$17:$F$28,5,FALSE),IF(P1658="ALUMINIO",VLOOKUP(Q1658,'[3]Velocidades Std 1500 w'!$B$30:$F$38,5,FALSE))))</f>
        <v>4.3859649122807014E-6</v>
      </c>
      <c r="S1658" s="82">
        <f t="shared" si="648"/>
        <v>2.1929824561403508E-2</v>
      </c>
      <c r="T1658" s="83">
        <f t="shared" si="649"/>
        <v>0</v>
      </c>
      <c r="U1658" s="307">
        <f t="shared" si="650"/>
        <v>0</v>
      </c>
      <c r="V1658" s="80">
        <f t="shared" si="651"/>
        <v>0</v>
      </c>
      <c r="W1658" s="98"/>
      <c r="X1658" s="84">
        <f>+IF(P1658="ACERO A36",VLOOKUP(Q1658,'[3]Tiempo Objeto'!$B$2:$C$12,2,FALSE),IF(P1658="INOXIDABLE",VLOOKUP(Q1658,'[3]Tiempo Objeto'!$B$14:$C$22,2,FALSE),IF(P1658="ALUMINIO",VLOOKUP(Q1658,'[3]Tiempo Objeto'!$B$24:$C$32,2,FALSE))))</f>
        <v>0.6133333333333334</v>
      </c>
      <c r="Y1658" s="84">
        <f t="shared" si="652"/>
        <v>0</v>
      </c>
      <c r="Z1658" s="80">
        <f t="shared" si="653"/>
        <v>0</v>
      </c>
      <c r="AA1658" s="100"/>
      <c r="AB1658" s="86">
        <f>+AA1658*Analisis!$J$6</f>
        <v>0</v>
      </c>
      <c r="AC1658" s="100"/>
      <c r="AD1658" s="85">
        <f t="shared" si="654"/>
        <v>0</v>
      </c>
      <c r="AE1658" s="86">
        <f>+AC1658*Analisis!$J$7</f>
        <v>0</v>
      </c>
      <c r="AF1658" s="308">
        <f>+H1658*0.0254*I1658*0.0254*2*(1+[3]Analisis!$G$2)</f>
        <v>0</v>
      </c>
      <c r="AG1658" s="86">
        <f>+AF1658*Analisis!$J$8</f>
        <v>0</v>
      </c>
      <c r="AH1658" s="309">
        <f t="shared" si="655"/>
        <v>0</v>
      </c>
      <c r="AI1658" s="86">
        <f>+AH1658/(1-Analisis!G1289)</f>
        <v>0</v>
      </c>
      <c r="AJ1658" s="86">
        <f t="shared" si="656"/>
        <v>0</v>
      </c>
      <c r="AK1658" s="86">
        <f t="shared" si="657"/>
        <v>0</v>
      </c>
      <c r="AL1658" s="310" t="e">
        <f>+VLOOKUP(B1658,#REF!,2,FALSE)</f>
        <v>#REF!</v>
      </c>
      <c r="AM1658" s="311" t="e">
        <f t="shared" si="658"/>
        <v>#REF!</v>
      </c>
      <c r="AN1658" s="312" t="e">
        <f t="shared" si="659"/>
        <v>#REF!</v>
      </c>
    </row>
    <row r="1659" spans="1:40" s="73" customFormat="1" x14ac:dyDescent="0.25">
      <c r="A1659" s="313"/>
      <c r="B1659" s="314"/>
      <c r="D1659" s="74">
        <f>IFERROR(VLOOKUP(B1659,'REQ. PINTADO'!B:C,2,0),0)</f>
        <v>0</v>
      </c>
      <c r="E1659" s="305">
        <f t="shared" si="646"/>
        <v>0</v>
      </c>
      <c r="F1659" s="103" t="s">
        <v>163</v>
      </c>
      <c r="G1659" s="75" t="s">
        <v>147</v>
      </c>
      <c r="H1659" s="90"/>
      <c r="I1659" s="90"/>
      <c r="J1659" s="76">
        <v>0.105</v>
      </c>
      <c r="K1659" s="306">
        <v>16.38</v>
      </c>
      <c r="L1659" s="78">
        <f t="shared" si="647"/>
        <v>0</v>
      </c>
      <c r="M1659" s="58">
        <f>+VLOOKUP(F1659,Material!$H$2:$M$17,6,FALSE)*H1659*I1659*(1+Material!$K$14)</f>
        <v>0</v>
      </c>
      <c r="N1659" s="79" t="str">
        <f>+N1278</f>
        <v>T5.0</v>
      </c>
      <c r="O1659" s="80">
        <f>+VLOOKUP(N1659,[3]Material!$A$3:$B$58,2,FALSE)</f>
        <v>5000</v>
      </c>
      <c r="P1659" s="79" t="s">
        <v>42</v>
      </c>
      <c r="Q1659" s="79" t="str">
        <f>+VLOOKUP(F1659,[3]Material!$C$2:$E$12,2,FALSE)</f>
        <v>Cal 12</v>
      </c>
      <c r="R1659" s="81">
        <f>+IF(P1659="ACERO A36",VLOOKUP(Q1659,'[3]Velocidades Std 1500 w'!$B$2:$F$15,5,FALSE),IF(P1659="INOXIDABLE",VLOOKUP(Q1659,'[3]Velocidades Std 1500 w'!$B$17:$F$28,5,FALSE),IF(P1659="ALUMINIO",VLOOKUP(Q1659,'[3]Velocidades Std 1500 w'!$B$30:$F$38,5,FALSE))))</f>
        <v>4.3859649122807014E-6</v>
      </c>
      <c r="S1659" s="82">
        <f t="shared" si="648"/>
        <v>2.1929824561403508E-2</v>
      </c>
      <c r="T1659" s="83">
        <f t="shared" si="649"/>
        <v>0</v>
      </c>
      <c r="U1659" s="307">
        <f t="shared" si="650"/>
        <v>0</v>
      </c>
      <c r="V1659" s="80">
        <f t="shared" si="651"/>
        <v>0</v>
      </c>
      <c r="W1659" s="98"/>
      <c r="X1659" s="84">
        <f>+IF(P1659="ACERO A36",VLOOKUP(Q1659,'[3]Tiempo Objeto'!$B$2:$C$12,2,FALSE),IF(P1659="INOXIDABLE",VLOOKUP(Q1659,'[3]Tiempo Objeto'!$B$14:$C$22,2,FALSE),IF(P1659="ALUMINIO",VLOOKUP(Q1659,'[3]Tiempo Objeto'!$B$24:$C$32,2,FALSE))))</f>
        <v>0.6133333333333334</v>
      </c>
      <c r="Y1659" s="84">
        <f t="shared" si="652"/>
        <v>0</v>
      </c>
      <c r="Z1659" s="80">
        <f t="shared" si="653"/>
        <v>0</v>
      </c>
      <c r="AA1659" s="100"/>
      <c r="AB1659" s="86">
        <f>+AA1659*Analisis!$J$6</f>
        <v>0</v>
      </c>
      <c r="AC1659" s="100"/>
      <c r="AD1659" s="85">
        <f t="shared" si="654"/>
        <v>0</v>
      </c>
      <c r="AE1659" s="86">
        <f>+AC1659*Analisis!$J$7</f>
        <v>0</v>
      </c>
      <c r="AF1659" s="308">
        <f>+H1659*0.0254*I1659*0.0254*2*(1+[3]Analisis!$G$2)</f>
        <v>0</v>
      </c>
      <c r="AG1659" s="86">
        <f>+AF1659*Analisis!$J$8</f>
        <v>0</v>
      </c>
      <c r="AH1659" s="309">
        <f t="shared" si="655"/>
        <v>0</v>
      </c>
      <c r="AI1659" s="86">
        <f>+AH1659/(1-Analisis!G1290)</f>
        <v>0</v>
      </c>
      <c r="AJ1659" s="86">
        <f t="shared" si="656"/>
        <v>0</v>
      </c>
      <c r="AK1659" s="86">
        <f t="shared" si="657"/>
        <v>0</v>
      </c>
      <c r="AL1659" s="310" t="e">
        <f>+VLOOKUP(B1659,#REF!,2,FALSE)</f>
        <v>#REF!</v>
      </c>
      <c r="AM1659" s="311" t="e">
        <f t="shared" si="658"/>
        <v>#REF!</v>
      </c>
      <c r="AN1659" s="312" t="e">
        <f t="shared" si="659"/>
        <v>#REF!</v>
      </c>
    </row>
    <row r="1660" spans="1:40" s="73" customFormat="1" x14ac:dyDescent="0.25">
      <c r="A1660" s="313"/>
      <c r="B1660" s="314"/>
      <c r="D1660" s="74">
        <f>IFERROR(VLOOKUP(B1660,'REQ. PINTADO'!B:C,2,0),0)</f>
        <v>0</v>
      </c>
      <c r="E1660" s="305">
        <f t="shared" si="646"/>
        <v>0</v>
      </c>
      <c r="F1660" s="103" t="s">
        <v>163</v>
      </c>
      <c r="G1660" s="75" t="s">
        <v>147</v>
      </c>
      <c r="H1660" s="90"/>
      <c r="I1660" s="90"/>
      <c r="J1660" s="76">
        <v>0.105</v>
      </c>
      <c r="K1660" s="306">
        <v>16.38</v>
      </c>
      <c r="L1660" s="78">
        <f t="shared" si="647"/>
        <v>0</v>
      </c>
      <c r="M1660" s="58">
        <f>+VLOOKUP(F1660,Material!$H$2:$M$17,6,FALSE)*H1660*I1660*(1+Material!$K$14)</f>
        <v>0</v>
      </c>
      <c r="N1660" s="79" t="str">
        <f>+N1279</f>
        <v>T5.0</v>
      </c>
      <c r="O1660" s="80">
        <f>+VLOOKUP(N1660,[3]Material!$A$3:$B$58,2,FALSE)</f>
        <v>5000</v>
      </c>
      <c r="P1660" s="79" t="s">
        <v>42</v>
      </c>
      <c r="Q1660" s="79" t="str">
        <f>+VLOOKUP(F1660,[3]Material!$C$2:$E$12,2,FALSE)</f>
        <v>Cal 12</v>
      </c>
      <c r="R1660" s="81">
        <f>+IF(P1660="ACERO A36",VLOOKUP(Q1660,'[3]Velocidades Std 1500 w'!$B$2:$F$15,5,FALSE),IF(P1660="INOXIDABLE",VLOOKUP(Q1660,'[3]Velocidades Std 1500 w'!$B$17:$F$28,5,FALSE),IF(P1660="ALUMINIO",VLOOKUP(Q1660,'[3]Velocidades Std 1500 w'!$B$30:$F$38,5,FALSE))))</f>
        <v>4.3859649122807014E-6</v>
      </c>
      <c r="S1660" s="82">
        <f t="shared" si="648"/>
        <v>2.1929824561403508E-2</v>
      </c>
      <c r="T1660" s="83">
        <f t="shared" si="649"/>
        <v>0</v>
      </c>
      <c r="U1660" s="307">
        <f t="shared" si="650"/>
        <v>0</v>
      </c>
      <c r="V1660" s="80">
        <f t="shared" si="651"/>
        <v>0</v>
      </c>
      <c r="W1660" s="98"/>
      <c r="X1660" s="84">
        <f>+IF(P1660="ACERO A36",VLOOKUP(Q1660,'[3]Tiempo Objeto'!$B$2:$C$12,2,FALSE),IF(P1660="INOXIDABLE",VLOOKUP(Q1660,'[3]Tiempo Objeto'!$B$14:$C$22,2,FALSE),IF(P1660="ALUMINIO",VLOOKUP(Q1660,'[3]Tiempo Objeto'!$B$24:$C$32,2,FALSE))))</f>
        <v>0.6133333333333334</v>
      </c>
      <c r="Y1660" s="84">
        <f t="shared" si="652"/>
        <v>0</v>
      </c>
      <c r="Z1660" s="80">
        <f t="shared" si="653"/>
        <v>0</v>
      </c>
      <c r="AA1660" s="100"/>
      <c r="AB1660" s="86">
        <f>+AA1660*Analisis!$J$6</f>
        <v>0</v>
      </c>
      <c r="AC1660" s="100"/>
      <c r="AD1660" s="85">
        <f t="shared" si="654"/>
        <v>0</v>
      </c>
      <c r="AE1660" s="86">
        <f>+AC1660*Analisis!$J$7</f>
        <v>0</v>
      </c>
      <c r="AF1660" s="308">
        <f>+H1660*0.0254*I1660*0.0254*2*(1+[3]Analisis!$G$2)</f>
        <v>0</v>
      </c>
      <c r="AG1660" s="86">
        <f>+AF1660*Analisis!$J$8</f>
        <v>0</v>
      </c>
      <c r="AH1660" s="309">
        <f t="shared" si="655"/>
        <v>0</v>
      </c>
      <c r="AI1660" s="86">
        <f>+AH1660/(1-Analisis!G1291)</f>
        <v>0</v>
      </c>
      <c r="AJ1660" s="86">
        <f t="shared" si="656"/>
        <v>0</v>
      </c>
      <c r="AK1660" s="86">
        <f t="shared" si="657"/>
        <v>0</v>
      </c>
      <c r="AL1660" s="310" t="e">
        <f>+VLOOKUP(B1660,#REF!,2,FALSE)</f>
        <v>#REF!</v>
      </c>
      <c r="AM1660" s="311" t="e">
        <f t="shared" si="658"/>
        <v>#REF!</v>
      </c>
      <c r="AN1660" s="312" t="e">
        <f t="shared" si="659"/>
        <v>#REF!</v>
      </c>
    </row>
    <row r="1661" spans="1:40" s="73" customFormat="1" x14ac:dyDescent="0.25">
      <c r="A1661" s="313"/>
      <c r="B1661" s="314"/>
      <c r="D1661" s="74">
        <f>IFERROR(VLOOKUP(B1661,'REQ. PINTADO'!B:C,2,0),0)</f>
        <v>0</v>
      </c>
      <c r="E1661" s="305">
        <f t="shared" si="646"/>
        <v>0</v>
      </c>
      <c r="F1661" s="103" t="s">
        <v>163</v>
      </c>
      <c r="G1661" s="75" t="s">
        <v>147</v>
      </c>
      <c r="H1661" s="90"/>
      <c r="I1661" s="90"/>
      <c r="J1661" s="76">
        <v>0.105</v>
      </c>
      <c r="K1661" s="306">
        <v>16.38</v>
      </c>
      <c r="L1661" s="78">
        <f t="shared" si="647"/>
        <v>0</v>
      </c>
      <c r="M1661" s="58">
        <f>+VLOOKUP(F1661,Material!$H$2:$M$17,6,FALSE)*H1661*I1661*(1+Material!$K$14)</f>
        <v>0</v>
      </c>
      <c r="N1661" s="79" t="str">
        <f>+N1280</f>
        <v>T5.0</v>
      </c>
      <c r="O1661" s="80">
        <f>+VLOOKUP(N1661,[3]Material!$A$3:$B$58,2,FALSE)</f>
        <v>5000</v>
      </c>
      <c r="P1661" s="79" t="s">
        <v>42</v>
      </c>
      <c r="Q1661" s="79" t="str">
        <f>+VLOOKUP(F1661,[3]Material!$C$2:$E$12,2,FALSE)</f>
        <v>Cal 12</v>
      </c>
      <c r="R1661" s="81">
        <f>+IF(P1661="ACERO A36",VLOOKUP(Q1661,'[3]Velocidades Std 1500 w'!$B$2:$F$15,5,FALSE),IF(P1661="INOXIDABLE",VLOOKUP(Q1661,'[3]Velocidades Std 1500 w'!$B$17:$F$28,5,FALSE),IF(P1661="ALUMINIO",VLOOKUP(Q1661,'[3]Velocidades Std 1500 w'!$B$30:$F$38,5,FALSE))))</f>
        <v>4.3859649122807014E-6</v>
      </c>
      <c r="S1661" s="82">
        <f t="shared" si="648"/>
        <v>2.1929824561403508E-2</v>
      </c>
      <c r="T1661" s="83">
        <f t="shared" si="649"/>
        <v>0</v>
      </c>
      <c r="U1661" s="307">
        <f t="shared" si="650"/>
        <v>0</v>
      </c>
      <c r="V1661" s="80">
        <f t="shared" si="651"/>
        <v>0</v>
      </c>
      <c r="W1661" s="98"/>
      <c r="X1661" s="84">
        <f>+IF(P1661="ACERO A36",VLOOKUP(Q1661,'[3]Tiempo Objeto'!$B$2:$C$12,2,FALSE),IF(P1661="INOXIDABLE",VLOOKUP(Q1661,'[3]Tiempo Objeto'!$B$14:$C$22,2,FALSE),IF(P1661="ALUMINIO",VLOOKUP(Q1661,'[3]Tiempo Objeto'!$B$24:$C$32,2,FALSE))))</f>
        <v>0.6133333333333334</v>
      </c>
      <c r="Y1661" s="84">
        <f t="shared" si="652"/>
        <v>0</v>
      </c>
      <c r="Z1661" s="80">
        <f t="shared" si="653"/>
        <v>0</v>
      </c>
      <c r="AA1661" s="100"/>
      <c r="AB1661" s="86">
        <f>+AA1661*Analisis!$J$6</f>
        <v>0</v>
      </c>
      <c r="AC1661" s="100"/>
      <c r="AD1661" s="85">
        <f t="shared" si="654"/>
        <v>0</v>
      </c>
      <c r="AE1661" s="86">
        <f>+AC1661*Analisis!$J$7</f>
        <v>0</v>
      </c>
      <c r="AF1661" s="308">
        <f>+H1661*0.0254*I1661*0.0254*2*(1+[3]Analisis!$G$2)</f>
        <v>0</v>
      </c>
      <c r="AG1661" s="86">
        <f>+AF1661*Analisis!$J$8</f>
        <v>0</v>
      </c>
      <c r="AH1661" s="309">
        <f t="shared" si="655"/>
        <v>0</v>
      </c>
      <c r="AI1661" s="86">
        <f>+AH1661/(1-Analisis!G1292)</f>
        <v>0</v>
      </c>
      <c r="AJ1661" s="86">
        <f t="shared" si="656"/>
        <v>0</v>
      </c>
      <c r="AK1661" s="86">
        <f t="shared" si="657"/>
        <v>0</v>
      </c>
      <c r="AL1661" s="310" t="e">
        <f>+VLOOKUP(B1661,#REF!,2,FALSE)</f>
        <v>#REF!</v>
      </c>
      <c r="AM1661" s="311" t="e">
        <f t="shared" si="658"/>
        <v>#REF!</v>
      </c>
      <c r="AN1661" s="312" t="e">
        <f t="shared" si="659"/>
        <v>#REF!</v>
      </c>
    </row>
    <row r="1662" spans="1:40" s="73" customFormat="1" x14ac:dyDescent="0.25">
      <c r="A1662" s="313"/>
      <c r="B1662" s="314"/>
      <c r="D1662" s="74">
        <f>IFERROR(VLOOKUP(B1662,'REQ. PINTADO'!B:C,2,0),0)</f>
        <v>0</v>
      </c>
      <c r="E1662" s="305">
        <f t="shared" si="646"/>
        <v>0</v>
      </c>
      <c r="F1662" s="103" t="s">
        <v>163</v>
      </c>
      <c r="G1662" s="75" t="s">
        <v>147</v>
      </c>
      <c r="H1662" s="90"/>
      <c r="I1662" s="90"/>
      <c r="J1662" s="76">
        <v>0.105</v>
      </c>
      <c r="K1662" s="306">
        <v>16.38</v>
      </c>
      <c r="L1662" s="78">
        <f t="shared" si="647"/>
        <v>0</v>
      </c>
      <c r="M1662" s="58">
        <f>+VLOOKUP(F1662,Material!$H$2:$M$17,6,FALSE)*H1662*I1662*(1+Material!$K$14)</f>
        <v>0</v>
      </c>
      <c r="N1662" s="79" t="str">
        <f>+N1281</f>
        <v>T5.0</v>
      </c>
      <c r="O1662" s="80">
        <f>+VLOOKUP(N1662,[3]Material!$A$3:$B$58,2,FALSE)</f>
        <v>5000</v>
      </c>
      <c r="P1662" s="79" t="s">
        <v>42</v>
      </c>
      <c r="Q1662" s="79" t="str">
        <f>+VLOOKUP(F1662,[3]Material!$C$2:$E$12,2,FALSE)</f>
        <v>Cal 12</v>
      </c>
      <c r="R1662" s="81">
        <f>+IF(P1662="ACERO A36",VLOOKUP(Q1662,'[3]Velocidades Std 1500 w'!$B$2:$F$15,5,FALSE),IF(P1662="INOXIDABLE",VLOOKUP(Q1662,'[3]Velocidades Std 1500 w'!$B$17:$F$28,5,FALSE),IF(P1662="ALUMINIO",VLOOKUP(Q1662,'[3]Velocidades Std 1500 w'!$B$30:$F$38,5,FALSE))))</f>
        <v>4.3859649122807014E-6</v>
      </c>
      <c r="S1662" s="82">
        <f t="shared" si="648"/>
        <v>2.1929824561403508E-2</v>
      </c>
      <c r="T1662" s="83">
        <f t="shared" si="649"/>
        <v>0</v>
      </c>
      <c r="U1662" s="307">
        <f t="shared" si="650"/>
        <v>0</v>
      </c>
      <c r="V1662" s="80">
        <f t="shared" si="651"/>
        <v>0</v>
      </c>
      <c r="W1662" s="98"/>
      <c r="X1662" s="84">
        <f>+IF(P1662="ACERO A36",VLOOKUP(Q1662,'[3]Tiempo Objeto'!$B$2:$C$12,2,FALSE),IF(P1662="INOXIDABLE",VLOOKUP(Q1662,'[3]Tiempo Objeto'!$B$14:$C$22,2,FALSE),IF(P1662="ALUMINIO",VLOOKUP(Q1662,'[3]Tiempo Objeto'!$B$24:$C$32,2,FALSE))))</f>
        <v>0.6133333333333334</v>
      </c>
      <c r="Y1662" s="84">
        <f t="shared" si="652"/>
        <v>0</v>
      </c>
      <c r="Z1662" s="80">
        <f t="shared" si="653"/>
        <v>0</v>
      </c>
      <c r="AA1662" s="100"/>
      <c r="AB1662" s="86">
        <f>+AA1662*Analisis!$J$6</f>
        <v>0</v>
      </c>
      <c r="AC1662" s="100"/>
      <c r="AD1662" s="85">
        <f t="shared" si="654"/>
        <v>0</v>
      </c>
      <c r="AE1662" s="86">
        <f>+AC1662*Analisis!$J$7</f>
        <v>0</v>
      </c>
      <c r="AF1662" s="308">
        <f>+H1662*0.0254*I1662*0.0254*2*(1+[3]Analisis!$G$2)</f>
        <v>0</v>
      </c>
      <c r="AG1662" s="86">
        <f>+AF1662*Analisis!$J$8</f>
        <v>0</v>
      </c>
      <c r="AH1662" s="309">
        <f t="shared" si="655"/>
        <v>0</v>
      </c>
      <c r="AI1662" s="86">
        <f>+AH1662/(1-Analisis!G1293)</f>
        <v>0</v>
      </c>
      <c r="AJ1662" s="86">
        <f t="shared" si="656"/>
        <v>0</v>
      </c>
      <c r="AK1662" s="86">
        <f t="shared" si="657"/>
        <v>0</v>
      </c>
      <c r="AL1662" s="310" t="e">
        <f>+VLOOKUP(B1662,#REF!,2,FALSE)</f>
        <v>#REF!</v>
      </c>
      <c r="AM1662" s="311" t="e">
        <f t="shared" si="658"/>
        <v>#REF!</v>
      </c>
      <c r="AN1662" s="312" t="e">
        <f t="shared" si="659"/>
        <v>#REF!</v>
      </c>
    </row>
    <row r="1663" spans="1:40" s="73" customFormat="1" x14ac:dyDescent="0.25">
      <c r="A1663" s="313"/>
      <c r="B1663" s="314"/>
      <c r="D1663" s="74">
        <f>IFERROR(VLOOKUP(B1663,'REQ. PINTADO'!B:C,2,0),0)</f>
        <v>0</v>
      </c>
      <c r="E1663" s="305">
        <f t="shared" si="646"/>
        <v>0</v>
      </c>
      <c r="F1663" s="103" t="s">
        <v>163</v>
      </c>
      <c r="G1663" s="75" t="s">
        <v>147</v>
      </c>
      <c r="H1663" s="90"/>
      <c r="I1663" s="90"/>
      <c r="J1663" s="76">
        <v>0.105</v>
      </c>
      <c r="K1663" s="306">
        <v>16.38</v>
      </c>
      <c r="L1663" s="78">
        <f t="shared" si="647"/>
        <v>0</v>
      </c>
      <c r="M1663" s="58">
        <f>+VLOOKUP(F1663,Material!$H$2:$M$17,6,FALSE)*H1663*I1663*(1+Material!$K$14)</f>
        <v>0</v>
      </c>
      <c r="N1663" s="79" t="str">
        <f>+N1282</f>
        <v>T5.0</v>
      </c>
      <c r="O1663" s="80">
        <f>+VLOOKUP(N1663,[3]Material!$A$3:$B$58,2,FALSE)</f>
        <v>5000</v>
      </c>
      <c r="P1663" s="79" t="s">
        <v>42</v>
      </c>
      <c r="Q1663" s="79" t="str">
        <f>+VLOOKUP(F1663,[3]Material!$C$2:$E$12,2,FALSE)</f>
        <v>Cal 12</v>
      </c>
      <c r="R1663" s="81">
        <f>+IF(P1663="ACERO A36",VLOOKUP(Q1663,'[3]Velocidades Std 1500 w'!$B$2:$F$15,5,FALSE),IF(P1663="INOXIDABLE",VLOOKUP(Q1663,'[3]Velocidades Std 1500 w'!$B$17:$F$28,5,FALSE),IF(P1663="ALUMINIO",VLOOKUP(Q1663,'[3]Velocidades Std 1500 w'!$B$30:$F$38,5,FALSE))))</f>
        <v>4.3859649122807014E-6</v>
      </c>
      <c r="S1663" s="82">
        <f t="shared" si="648"/>
        <v>2.1929824561403508E-2</v>
      </c>
      <c r="T1663" s="83">
        <f t="shared" si="649"/>
        <v>0</v>
      </c>
      <c r="U1663" s="307">
        <f t="shared" si="650"/>
        <v>0</v>
      </c>
      <c r="V1663" s="80">
        <f t="shared" si="651"/>
        <v>0</v>
      </c>
      <c r="W1663" s="98"/>
      <c r="X1663" s="84">
        <f>+IF(P1663="ACERO A36",VLOOKUP(Q1663,'[3]Tiempo Objeto'!$B$2:$C$12,2,FALSE),IF(P1663="INOXIDABLE",VLOOKUP(Q1663,'[3]Tiempo Objeto'!$B$14:$C$22,2,FALSE),IF(P1663="ALUMINIO",VLOOKUP(Q1663,'[3]Tiempo Objeto'!$B$24:$C$32,2,FALSE))))</f>
        <v>0.6133333333333334</v>
      </c>
      <c r="Y1663" s="84">
        <f t="shared" si="652"/>
        <v>0</v>
      </c>
      <c r="Z1663" s="80">
        <f t="shared" si="653"/>
        <v>0</v>
      </c>
      <c r="AA1663" s="100"/>
      <c r="AB1663" s="86">
        <f>+AA1663*Analisis!$J$6</f>
        <v>0</v>
      </c>
      <c r="AC1663" s="100"/>
      <c r="AD1663" s="85">
        <f t="shared" si="654"/>
        <v>0</v>
      </c>
      <c r="AE1663" s="86">
        <f>+AC1663*Analisis!$J$7</f>
        <v>0</v>
      </c>
      <c r="AF1663" s="308">
        <f>+H1663*0.0254*I1663*0.0254*2*(1+[3]Analisis!$G$2)</f>
        <v>0</v>
      </c>
      <c r="AG1663" s="86">
        <f>+AF1663*Analisis!$J$8</f>
        <v>0</v>
      </c>
      <c r="AH1663" s="309">
        <f t="shared" si="655"/>
        <v>0</v>
      </c>
      <c r="AI1663" s="86">
        <f>+AH1663/(1-Analisis!G1294)</f>
        <v>0</v>
      </c>
      <c r="AJ1663" s="86">
        <f t="shared" si="656"/>
        <v>0</v>
      </c>
      <c r="AK1663" s="86">
        <f t="shared" si="657"/>
        <v>0</v>
      </c>
      <c r="AL1663" s="310" t="e">
        <f>+VLOOKUP(B1663,#REF!,2,FALSE)</f>
        <v>#REF!</v>
      </c>
      <c r="AM1663" s="311" t="e">
        <f t="shared" si="658"/>
        <v>#REF!</v>
      </c>
      <c r="AN1663" s="312" t="e">
        <f t="shared" si="659"/>
        <v>#REF!</v>
      </c>
    </row>
    <row r="1664" spans="1:40" s="73" customFormat="1" x14ac:dyDescent="0.25">
      <c r="A1664" s="313"/>
      <c r="B1664" s="314"/>
      <c r="D1664" s="74">
        <f>IFERROR(VLOOKUP(B1664,'REQ. PINTADO'!B:C,2,0),0)</f>
        <v>0</v>
      </c>
      <c r="E1664" s="305">
        <f t="shared" si="646"/>
        <v>0</v>
      </c>
      <c r="F1664" s="103" t="s">
        <v>163</v>
      </c>
      <c r="G1664" s="75" t="s">
        <v>147</v>
      </c>
      <c r="H1664" s="90"/>
      <c r="I1664" s="90"/>
      <c r="J1664" s="76">
        <v>0.105</v>
      </c>
      <c r="K1664" s="306">
        <v>16.38</v>
      </c>
      <c r="L1664" s="78">
        <f t="shared" si="647"/>
        <v>0</v>
      </c>
      <c r="M1664" s="58">
        <f>+VLOOKUP(F1664,Material!$H$2:$M$17,6,FALSE)*H1664*I1664*(1+Material!$K$14)</f>
        <v>0</v>
      </c>
      <c r="N1664" s="79" t="str">
        <f>+N1283</f>
        <v>T5.0</v>
      </c>
      <c r="O1664" s="80">
        <f>+VLOOKUP(N1664,[3]Material!$A$3:$B$58,2,FALSE)</f>
        <v>5000</v>
      </c>
      <c r="P1664" s="79" t="s">
        <v>42</v>
      </c>
      <c r="Q1664" s="79" t="str">
        <f>+VLOOKUP(F1664,[3]Material!$C$2:$E$12,2,FALSE)</f>
        <v>Cal 12</v>
      </c>
      <c r="R1664" s="81">
        <f>+IF(P1664="ACERO A36",VLOOKUP(Q1664,'[3]Velocidades Std 1500 w'!$B$2:$F$15,5,FALSE),IF(P1664="INOXIDABLE",VLOOKUP(Q1664,'[3]Velocidades Std 1500 w'!$B$17:$F$28,5,FALSE),IF(P1664="ALUMINIO",VLOOKUP(Q1664,'[3]Velocidades Std 1500 w'!$B$30:$F$38,5,FALSE))))</f>
        <v>4.3859649122807014E-6</v>
      </c>
      <c r="S1664" s="82">
        <f t="shared" si="648"/>
        <v>2.1929824561403508E-2</v>
      </c>
      <c r="T1664" s="83">
        <f t="shared" si="649"/>
        <v>0</v>
      </c>
      <c r="U1664" s="307">
        <f t="shared" si="650"/>
        <v>0</v>
      </c>
      <c r="V1664" s="80">
        <f t="shared" si="651"/>
        <v>0</v>
      </c>
      <c r="W1664" s="98"/>
      <c r="X1664" s="84">
        <f>+IF(P1664="ACERO A36",VLOOKUP(Q1664,'[3]Tiempo Objeto'!$B$2:$C$12,2,FALSE),IF(P1664="INOXIDABLE",VLOOKUP(Q1664,'[3]Tiempo Objeto'!$B$14:$C$22,2,FALSE),IF(P1664="ALUMINIO",VLOOKUP(Q1664,'[3]Tiempo Objeto'!$B$24:$C$32,2,FALSE))))</f>
        <v>0.6133333333333334</v>
      </c>
      <c r="Y1664" s="84">
        <f t="shared" si="652"/>
        <v>0</v>
      </c>
      <c r="Z1664" s="80">
        <f t="shared" si="653"/>
        <v>0</v>
      </c>
      <c r="AA1664" s="100"/>
      <c r="AB1664" s="86">
        <f>+AA1664*Analisis!$J$6</f>
        <v>0</v>
      </c>
      <c r="AC1664" s="100"/>
      <c r="AD1664" s="85">
        <f t="shared" si="654"/>
        <v>0</v>
      </c>
      <c r="AE1664" s="86">
        <f>+AC1664*Analisis!$J$7</f>
        <v>0</v>
      </c>
      <c r="AF1664" s="308">
        <f>+H1664*0.0254*I1664*0.0254*2*(1+[3]Analisis!$G$2)</f>
        <v>0</v>
      </c>
      <c r="AG1664" s="86">
        <f>+AF1664*Analisis!$J$8</f>
        <v>0</v>
      </c>
      <c r="AH1664" s="309">
        <f t="shared" si="655"/>
        <v>0</v>
      </c>
      <c r="AI1664" s="86">
        <f>+AH1664/(1-Analisis!G1295)</f>
        <v>0</v>
      </c>
      <c r="AJ1664" s="86">
        <f t="shared" si="656"/>
        <v>0</v>
      </c>
      <c r="AK1664" s="86">
        <f t="shared" si="657"/>
        <v>0</v>
      </c>
      <c r="AL1664" s="310" t="e">
        <f>+VLOOKUP(B1664,#REF!,2,FALSE)</f>
        <v>#REF!</v>
      </c>
      <c r="AM1664" s="311" t="e">
        <f t="shared" si="658"/>
        <v>#REF!</v>
      </c>
      <c r="AN1664" s="312" t="e">
        <f t="shared" si="659"/>
        <v>#REF!</v>
      </c>
    </row>
    <row r="1665" spans="1:40" s="73" customFormat="1" x14ac:dyDescent="0.25">
      <c r="A1665" s="313"/>
      <c r="B1665" s="314"/>
      <c r="D1665" s="74">
        <f>IFERROR(VLOOKUP(B1665,'REQ. PINTADO'!B:C,2,0),0)</f>
        <v>0</v>
      </c>
      <c r="E1665" s="305">
        <f t="shared" si="646"/>
        <v>0</v>
      </c>
      <c r="F1665" s="103" t="s">
        <v>163</v>
      </c>
      <c r="G1665" s="75" t="s">
        <v>147</v>
      </c>
      <c r="H1665" s="90"/>
      <c r="I1665" s="90"/>
      <c r="J1665" s="76">
        <v>0.105</v>
      </c>
      <c r="K1665" s="306">
        <v>16.38</v>
      </c>
      <c r="L1665" s="78">
        <f t="shared" si="647"/>
        <v>0</v>
      </c>
      <c r="M1665" s="58">
        <f>+VLOOKUP(F1665,Material!$H$2:$M$17,6,FALSE)*H1665*I1665*(1+Material!$K$14)</f>
        <v>0</v>
      </c>
      <c r="N1665" s="79" t="str">
        <f>+N1284</f>
        <v>T5.0</v>
      </c>
      <c r="O1665" s="80">
        <f>+VLOOKUP(N1665,[3]Material!$A$3:$B$58,2,FALSE)</f>
        <v>5000</v>
      </c>
      <c r="P1665" s="79" t="s">
        <v>42</v>
      </c>
      <c r="Q1665" s="79" t="str">
        <f>+VLOOKUP(F1665,[3]Material!$C$2:$E$12,2,FALSE)</f>
        <v>Cal 12</v>
      </c>
      <c r="R1665" s="81">
        <f>+IF(P1665="ACERO A36",VLOOKUP(Q1665,'[3]Velocidades Std 1500 w'!$B$2:$F$15,5,FALSE),IF(P1665="INOXIDABLE",VLOOKUP(Q1665,'[3]Velocidades Std 1500 w'!$B$17:$F$28,5,FALSE),IF(P1665="ALUMINIO",VLOOKUP(Q1665,'[3]Velocidades Std 1500 w'!$B$30:$F$38,5,FALSE))))</f>
        <v>4.3859649122807014E-6</v>
      </c>
      <c r="S1665" s="82">
        <f t="shared" si="648"/>
        <v>2.1929824561403508E-2</v>
      </c>
      <c r="T1665" s="83">
        <f t="shared" si="649"/>
        <v>0</v>
      </c>
      <c r="U1665" s="307">
        <f t="shared" si="650"/>
        <v>0</v>
      </c>
      <c r="V1665" s="80">
        <f t="shared" si="651"/>
        <v>0</v>
      </c>
      <c r="W1665" s="98"/>
      <c r="X1665" s="84">
        <f>+IF(P1665="ACERO A36",VLOOKUP(Q1665,'[3]Tiempo Objeto'!$B$2:$C$12,2,FALSE),IF(P1665="INOXIDABLE",VLOOKUP(Q1665,'[3]Tiempo Objeto'!$B$14:$C$22,2,FALSE),IF(P1665="ALUMINIO",VLOOKUP(Q1665,'[3]Tiempo Objeto'!$B$24:$C$32,2,FALSE))))</f>
        <v>0.6133333333333334</v>
      </c>
      <c r="Y1665" s="84">
        <f t="shared" si="652"/>
        <v>0</v>
      </c>
      <c r="Z1665" s="80">
        <f t="shared" si="653"/>
        <v>0</v>
      </c>
      <c r="AA1665" s="100"/>
      <c r="AB1665" s="86">
        <f>+AA1665*Analisis!$J$6</f>
        <v>0</v>
      </c>
      <c r="AC1665" s="100"/>
      <c r="AD1665" s="85">
        <f t="shared" si="654"/>
        <v>0</v>
      </c>
      <c r="AE1665" s="86">
        <f>+AC1665*Analisis!$J$7</f>
        <v>0</v>
      </c>
      <c r="AF1665" s="308">
        <f>+H1665*0.0254*I1665*0.0254*2*(1+[3]Analisis!$G$2)</f>
        <v>0</v>
      </c>
      <c r="AG1665" s="86">
        <f>+AF1665*Analisis!$J$8</f>
        <v>0</v>
      </c>
      <c r="AH1665" s="309">
        <f t="shared" si="655"/>
        <v>0</v>
      </c>
      <c r="AI1665" s="86">
        <f>+AH1665/(1-Analisis!G1296)</f>
        <v>0</v>
      </c>
      <c r="AJ1665" s="86">
        <f t="shared" si="656"/>
        <v>0</v>
      </c>
      <c r="AK1665" s="86">
        <f t="shared" si="657"/>
        <v>0</v>
      </c>
      <c r="AL1665" s="310" t="e">
        <f>+VLOOKUP(B1665,#REF!,2,FALSE)</f>
        <v>#REF!</v>
      </c>
      <c r="AM1665" s="311" t="e">
        <f t="shared" si="658"/>
        <v>#REF!</v>
      </c>
      <c r="AN1665" s="312" t="e">
        <f t="shared" si="659"/>
        <v>#REF!</v>
      </c>
    </row>
    <row r="1666" spans="1:40" s="73" customFormat="1" x14ac:dyDescent="0.25">
      <c r="A1666" s="313"/>
      <c r="B1666" s="314"/>
      <c r="D1666" s="74">
        <f>IFERROR(VLOOKUP(B1666,'REQ. PINTADO'!B:C,2,0),0)</f>
        <v>0</v>
      </c>
      <c r="E1666" s="305">
        <f t="shared" si="646"/>
        <v>0</v>
      </c>
      <c r="F1666" s="103" t="s">
        <v>163</v>
      </c>
      <c r="G1666" s="75" t="s">
        <v>147</v>
      </c>
      <c r="H1666" s="90"/>
      <c r="I1666" s="90"/>
      <c r="J1666" s="76">
        <v>0.105</v>
      </c>
      <c r="K1666" s="306">
        <v>16.38</v>
      </c>
      <c r="L1666" s="78">
        <f t="shared" si="647"/>
        <v>0</v>
      </c>
      <c r="M1666" s="58">
        <f>+VLOOKUP(F1666,Material!$H$2:$M$17,6,FALSE)*H1666*I1666*(1+Material!$K$14)</f>
        <v>0</v>
      </c>
      <c r="N1666" s="79" t="str">
        <f>+N1285</f>
        <v>T5.0</v>
      </c>
      <c r="O1666" s="80">
        <f>+VLOOKUP(N1666,[3]Material!$A$3:$B$58,2,FALSE)</f>
        <v>5000</v>
      </c>
      <c r="P1666" s="79" t="s">
        <v>42</v>
      </c>
      <c r="Q1666" s="79" t="str">
        <f>+VLOOKUP(F1666,[3]Material!$C$2:$E$12,2,FALSE)</f>
        <v>Cal 12</v>
      </c>
      <c r="R1666" s="81">
        <f>+IF(P1666="ACERO A36",VLOOKUP(Q1666,'[3]Velocidades Std 1500 w'!$B$2:$F$15,5,FALSE),IF(P1666="INOXIDABLE",VLOOKUP(Q1666,'[3]Velocidades Std 1500 w'!$B$17:$F$28,5,FALSE),IF(P1666="ALUMINIO",VLOOKUP(Q1666,'[3]Velocidades Std 1500 w'!$B$30:$F$38,5,FALSE))))</f>
        <v>4.3859649122807014E-6</v>
      </c>
      <c r="S1666" s="82">
        <f t="shared" si="648"/>
        <v>2.1929824561403508E-2</v>
      </c>
      <c r="T1666" s="83">
        <f t="shared" si="649"/>
        <v>0</v>
      </c>
      <c r="U1666" s="307">
        <f t="shared" si="650"/>
        <v>0</v>
      </c>
      <c r="V1666" s="80">
        <f t="shared" si="651"/>
        <v>0</v>
      </c>
      <c r="W1666" s="98"/>
      <c r="X1666" s="84">
        <f>+IF(P1666="ACERO A36",VLOOKUP(Q1666,'[3]Tiempo Objeto'!$B$2:$C$12,2,FALSE),IF(P1666="INOXIDABLE",VLOOKUP(Q1666,'[3]Tiempo Objeto'!$B$14:$C$22,2,FALSE),IF(P1666="ALUMINIO",VLOOKUP(Q1666,'[3]Tiempo Objeto'!$B$24:$C$32,2,FALSE))))</f>
        <v>0.6133333333333334</v>
      </c>
      <c r="Y1666" s="84">
        <f t="shared" si="652"/>
        <v>0</v>
      </c>
      <c r="Z1666" s="80">
        <f t="shared" si="653"/>
        <v>0</v>
      </c>
      <c r="AA1666" s="100"/>
      <c r="AB1666" s="86">
        <f>+AA1666*Analisis!$J$6</f>
        <v>0</v>
      </c>
      <c r="AC1666" s="100"/>
      <c r="AD1666" s="85">
        <f t="shared" si="654"/>
        <v>0</v>
      </c>
      <c r="AE1666" s="86">
        <f>+AC1666*Analisis!$J$7</f>
        <v>0</v>
      </c>
      <c r="AF1666" s="308">
        <f>+H1666*0.0254*I1666*0.0254*2*(1+[3]Analisis!$G$2)</f>
        <v>0</v>
      </c>
      <c r="AG1666" s="86">
        <f>+AF1666*Analisis!$J$8</f>
        <v>0</v>
      </c>
      <c r="AH1666" s="309">
        <f t="shared" si="655"/>
        <v>0</v>
      </c>
      <c r="AI1666" s="86">
        <f>+AH1666/(1-Analisis!G1297)</f>
        <v>0</v>
      </c>
      <c r="AJ1666" s="86">
        <f t="shared" si="656"/>
        <v>0</v>
      </c>
      <c r="AK1666" s="86">
        <f t="shared" si="657"/>
        <v>0</v>
      </c>
      <c r="AL1666" s="310" t="e">
        <f>+VLOOKUP(B1666,#REF!,2,FALSE)</f>
        <v>#REF!</v>
      </c>
      <c r="AM1666" s="311" t="e">
        <f t="shared" si="658"/>
        <v>#REF!</v>
      </c>
      <c r="AN1666" s="312" t="e">
        <f t="shared" si="659"/>
        <v>#REF!</v>
      </c>
    </row>
    <row r="1667" spans="1:40" s="73" customFormat="1" x14ac:dyDescent="0.25">
      <c r="A1667" s="313"/>
      <c r="B1667" s="314"/>
      <c r="D1667" s="74">
        <f>IFERROR(VLOOKUP(B1667,'REQ. PINTADO'!B:C,2,0),0)</f>
        <v>0</v>
      </c>
      <c r="E1667" s="305">
        <f t="shared" si="646"/>
        <v>0</v>
      </c>
      <c r="F1667" s="103" t="s">
        <v>163</v>
      </c>
      <c r="G1667" s="75" t="s">
        <v>147</v>
      </c>
      <c r="H1667" s="90"/>
      <c r="I1667" s="90"/>
      <c r="J1667" s="76">
        <v>0.105</v>
      </c>
      <c r="K1667" s="306">
        <v>16.38</v>
      </c>
      <c r="L1667" s="78">
        <f t="shared" si="647"/>
        <v>0</v>
      </c>
      <c r="M1667" s="58">
        <f>+VLOOKUP(F1667,Material!$H$2:$M$17,6,FALSE)*H1667*I1667*(1+Material!$K$14)</f>
        <v>0</v>
      </c>
      <c r="N1667" s="79" t="str">
        <f>+N1286</f>
        <v>T5.0</v>
      </c>
      <c r="O1667" s="80">
        <f>+VLOOKUP(N1667,[3]Material!$A$3:$B$58,2,FALSE)</f>
        <v>5000</v>
      </c>
      <c r="P1667" s="79" t="s">
        <v>42</v>
      </c>
      <c r="Q1667" s="79" t="str">
        <f>+VLOOKUP(F1667,[3]Material!$C$2:$E$12,2,FALSE)</f>
        <v>Cal 12</v>
      </c>
      <c r="R1667" s="81">
        <f>+IF(P1667="ACERO A36",VLOOKUP(Q1667,'[3]Velocidades Std 1500 w'!$B$2:$F$15,5,FALSE),IF(P1667="INOXIDABLE",VLOOKUP(Q1667,'[3]Velocidades Std 1500 w'!$B$17:$F$28,5,FALSE),IF(P1667="ALUMINIO",VLOOKUP(Q1667,'[3]Velocidades Std 1500 w'!$B$30:$F$38,5,FALSE))))</f>
        <v>4.3859649122807014E-6</v>
      </c>
      <c r="S1667" s="82">
        <f t="shared" si="648"/>
        <v>2.1929824561403508E-2</v>
      </c>
      <c r="T1667" s="83">
        <f t="shared" si="649"/>
        <v>0</v>
      </c>
      <c r="U1667" s="307">
        <f t="shared" si="650"/>
        <v>0</v>
      </c>
      <c r="V1667" s="80">
        <f t="shared" si="651"/>
        <v>0</v>
      </c>
      <c r="W1667" s="98"/>
      <c r="X1667" s="84">
        <f>+IF(P1667="ACERO A36",VLOOKUP(Q1667,'[3]Tiempo Objeto'!$B$2:$C$12,2,FALSE),IF(P1667="INOXIDABLE",VLOOKUP(Q1667,'[3]Tiempo Objeto'!$B$14:$C$22,2,FALSE),IF(P1667="ALUMINIO",VLOOKUP(Q1667,'[3]Tiempo Objeto'!$B$24:$C$32,2,FALSE))))</f>
        <v>0.6133333333333334</v>
      </c>
      <c r="Y1667" s="84">
        <f t="shared" si="652"/>
        <v>0</v>
      </c>
      <c r="Z1667" s="80">
        <f t="shared" si="653"/>
        <v>0</v>
      </c>
      <c r="AA1667" s="100"/>
      <c r="AB1667" s="86">
        <f>+AA1667*Analisis!$J$6</f>
        <v>0</v>
      </c>
      <c r="AC1667" s="100"/>
      <c r="AD1667" s="85">
        <f t="shared" si="654"/>
        <v>0</v>
      </c>
      <c r="AE1667" s="86">
        <f>+AC1667*Analisis!$J$7</f>
        <v>0</v>
      </c>
      <c r="AF1667" s="308">
        <f>+H1667*0.0254*I1667*0.0254*2*(1+[3]Analisis!$G$2)</f>
        <v>0</v>
      </c>
      <c r="AG1667" s="86">
        <f>+AF1667*Analisis!$J$8</f>
        <v>0</v>
      </c>
      <c r="AH1667" s="309">
        <f t="shared" si="655"/>
        <v>0</v>
      </c>
      <c r="AI1667" s="86">
        <f>+AH1667/(1-Analisis!G1298)</f>
        <v>0</v>
      </c>
      <c r="AJ1667" s="86">
        <f t="shared" si="656"/>
        <v>0</v>
      </c>
      <c r="AK1667" s="86">
        <f t="shared" si="657"/>
        <v>0</v>
      </c>
      <c r="AL1667" s="310" t="e">
        <f>+VLOOKUP(B1667,#REF!,2,FALSE)</f>
        <v>#REF!</v>
      </c>
      <c r="AM1667" s="311" t="e">
        <f t="shared" si="658"/>
        <v>#REF!</v>
      </c>
      <c r="AN1667" s="312" t="e">
        <f t="shared" si="659"/>
        <v>#REF!</v>
      </c>
    </row>
    <row r="1668" spans="1:40" s="73" customFormat="1" x14ac:dyDescent="0.25">
      <c r="A1668" s="313"/>
      <c r="B1668" s="314"/>
      <c r="D1668" s="74">
        <f>IFERROR(VLOOKUP(B1668,'REQ. PINTADO'!B:C,2,0),0)</f>
        <v>0</v>
      </c>
      <c r="E1668" s="305">
        <f t="shared" si="646"/>
        <v>0</v>
      </c>
      <c r="F1668" s="103" t="s">
        <v>163</v>
      </c>
      <c r="G1668" s="75" t="s">
        <v>147</v>
      </c>
      <c r="H1668" s="90"/>
      <c r="I1668" s="90"/>
      <c r="J1668" s="76">
        <v>0.105</v>
      </c>
      <c r="K1668" s="306">
        <v>16.38</v>
      </c>
      <c r="L1668" s="78">
        <f t="shared" si="647"/>
        <v>0</v>
      </c>
      <c r="M1668" s="58">
        <f>+VLOOKUP(F1668,Material!$H$2:$M$17,6,FALSE)*H1668*I1668*(1+Material!$K$14)</f>
        <v>0</v>
      </c>
      <c r="N1668" s="79" t="str">
        <f>+N1287</f>
        <v>T5.0</v>
      </c>
      <c r="O1668" s="80">
        <f>+VLOOKUP(N1668,[3]Material!$A$3:$B$58,2,FALSE)</f>
        <v>5000</v>
      </c>
      <c r="P1668" s="79" t="s">
        <v>42</v>
      </c>
      <c r="Q1668" s="79" t="str">
        <f>+VLOOKUP(F1668,[3]Material!$C$2:$E$12,2,FALSE)</f>
        <v>Cal 12</v>
      </c>
      <c r="R1668" s="81">
        <f>+IF(P1668="ACERO A36",VLOOKUP(Q1668,'[3]Velocidades Std 1500 w'!$B$2:$F$15,5,FALSE),IF(P1668="INOXIDABLE",VLOOKUP(Q1668,'[3]Velocidades Std 1500 w'!$B$17:$F$28,5,FALSE),IF(P1668="ALUMINIO",VLOOKUP(Q1668,'[3]Velocidades Std 1500 w'!$B$30:$F$38,5,FALSE))))</f>
        <v>4.3859649122807014E-6</v>
      </c>
      <c r="S1668" s="82">
        <f t="shared" si="648"/>
        <v>2.1929824561403508E-2</v>
      </c>
      <c r="T1668" s="83">
        <f t="shared" si="649"/>
        <v>0</v>
      </c>
      <c r="U1668" s="307">
        <f t="shared" si="650"/>
        <v>0</v>
      </c>
      <c r="V1668" s="80">
        <f t="shared" si="651"/>
        <v>0</v>
      </c>
      <c r="W1668" s="98"/>
      <c r="X1668" s="84">
        <f>+IF(P1668="ACERO A36",VLOOKUP(Q1668,'[3]Tiempo Objeto'!$B$2:$C$12,2,FALSE),IF(P1668="INOXIDABLE",VLOOKUP(Q1668,'[3]Tiempo Objeto'!$B$14:$C$22,2,FALSE),IF(P1668="ALUMINIO",VLOOKUP(Q1668,'[3]Tiempo Objeto'!$B$24:$C$32,2,FALSE))))</f>
        <v>0.6133333333333334</v>
      </c>
      <c r="Y1668" s="84">
        <f t="shared" si="652"/>
        <v>0</v>
      </c>
      <c r="Z1668" s="80">
        <f t="shared" si="653"/>
        <v>0</v>
      </c>
      <c r="AA1668" s="100"/>
      <c r="AB1668" s="86">
        <f>+AA1668*Analisis!$J$6</f>
        <v>0</v>
      </c>
      <c r="AC1668" s="100"/>
      <c r="AD1668" s="85">
        <f t="shared" si="654"/>
        <v>0</v>
      </c>
      <c r="AE1668" s="86">
        <f>+AC1668*Analisis!$J$7</f>
        <v>0</v>
      </c>
      <c r="AF1668" s="308">
        <f>+H1668*0.0254*I1668*0.0254*2*(1+[3]Analisis!$G$2)</f>
        <v>0</v>
      </c>
      <c r="AG1668" s="86">
        <f>+AF1668*Analisis!$J$8</f>
        <v>0</v>
      </c>
      <c r="AH1668" s="309">
        <f t="shared" si="655"/>
        <v>0</v>
      </c>
      <c r="AI1668" s="86">
        <f>+AH1668/(1-Analisis!G1299)</f>
        <v>0</v>
      </c>
      <c r="AJ1668" s="86">
        <f t="shared" si="656"/>
        <v>0</v>
      </c>
      <c r="AK1668" s="86">
        <f t="shared" si="657"/>
        <v>0</v>
      </c>
      <c r="AL1668" s="310" t="e">
        <f>+VLOOKUP(B1668,#REF!,2,FALSE)</f>
        <v>#REF!</v>
      </c>
      <c r="AM1668" s="311" t="e">
        <f t="shared" si="658"/>
        <v>#REF!</v>
      </c>
      <c r="AN1668" s="312" t="e">
        <f t="shared" si="659"/>
        <v>#REF!</v>
      </c>
    </row>
    <row r="1669" spans="1:40" s="73" customFormat="1" x14ac:dyDescent="0.25">
      <c r="A1669" s="313"/>
      <c r="B1669" s="314"/>
      <c r="D1669" s="74">
        <f>IFERROR(VLOOKUP(B1669,'REQ. PINTADO'!B:C,2,0),0)</f>
        <v>0</v>
      </c>
      <c r="E1669" s="305">
        <f t="shared" si="646"/>
        <v>0</v>
      </c>
      <c r="F1669" s="103" t="s">
        <v>163</v>
      </c>
      <c r="G1669" s="75" t="s">
        <v>147</v>
      </c>
      <c r="H1669" s="90"/>
      <c r="I1669" s="90"/>
      <c r="J1669" s="76">
        <v>0.105</v>
      </c>
      <c r="K1669" s="306">
        <v>16.38</v>
      </c>
      <c r="L1669" s="78">
        <f t="shared" si="647"/>
        <v>0</v>
      </c>
      <c r="M1669" s="58">
        <f>+VLOOKUP(F1669,Material!$H$2:$M$17,6,FALSE)*H1669*I1669*(1+Material!$K$14)</f>
        <v>0</v>
      </c>
      <c r="N1669" s="79" t="str">
        <f>+N1288</f>
        <v>T5.0</v>
      </c>
      <c r="O1669" s="80">
        <f>+VLOOKUP(N1669,[3]Material!$A$3:$B$58,2,FALSE)</f>
        <v>5000</v>
      </c>
      <c r="P1669" s="79" t="s">
        <v>42</v>
      </c>
      <c r="Q1669" s="79" t="str">
        <f>+VLOOKUP(F1669,[3]Material!$C$2:$E$12,2,FALSE)</f>
        <v>Cal 12</v>
      </c>
      <c r="R1669" s="81">
        <f>+IF(P1669="ACERO A36",VLOOKUP(Q1669,'[3]Velocidades Std 1500 w'!$B$2:$F$15,5,FALSE),IF(P1669="INOXIDABLE",VLOOKUP(Q1669,'[3]Velocidades Std 1500 w'!$B$17:$F$28,5,FALSE),IF(P1669="ALUMINIO",VLOOKUP(Q1669,'[3]Velocidades Std 1500 w'!$B$30:$F$38,5,FALSE))))</f>
        <v>4.3859649122807014E-6</v>
      </c>
      <c r="S1669" s="82">
        <f t="shared" si="648"/>
        <v>2.1929824561403508E-2</v>
      </c>
      <c r="T1669" s="83">
        <f t="shared" si="649"/>
        <v>0</v>
      </c>
      <c r="U1669" s="307">
        <f t="shared" si="650"/>
        <v>0</v>
      </c>
      <c r="V1669" s="80">
        <f t="shared" si="651"/>
        <v>0</v>
      </c>
      <c r="W1669" s="98"/>
      <c r="X1669" s="84">
        <f>+IF(P1669="ACERO A36",VLOOKUP(Q1669,'[3]Tiempo Objeto'!$B$2:$C$12,2,FALSE),IF(P1669="INOXIDABLE",VLOOKUP(Q1669,'[3]Tiempo Objeto'!$B$14:$C$22,2,FALSE),IF(P1669="ALUMINIO",VLOOKUP(Q1669,'[3]Tiempo Objeto'!$B$24:$C$32,2,FALSE))))</f>
        <v>0.6133333333333334</v>
      </c>
      <c r="Y1669" s="84">
        <f t="shared" si="652"/>
        <v>0</v>
      </c>
      <c r="Z1669" s="80">
        <f t="shared" si="653"/>
        <v>0</v>
      </c>
      <c r="AA1669" s="100"/>
      <c r="AB1669" s="86">
        <f>+AA1669*Analisis!$J$6</f>
        <v>0</v>
      </c>
      <c r="AC1669" s="100"/>
      <c r="AD1669" s="85">
        <f t="shared" si="654"/>
        <v>0</v>
      </c>
      <c r="AE1669" s="86">
        <f>+AC1669*Analisis!$J$7</f>
        <v>0</v>
      </c>
      <c r="AF1669" s="308">
        <f>+H1669*0.0254*I1669*0.0254*2*(1+[3]Analisis!$G$2)</f>
        <v>0</v>
      </c>
      <c r="AG1669" s="86">
        <f>+AF1669*Analisis!$J$8</f>
        <v>0</v>
      </c>
      <c r="AH1669" s="309">
        <f t="shared" si="655"/>
        <v>0</v>
      </c>
      <c r="AI1669" s="86">
        <f>+AH1669/(1-Analisis!G1300)</f>
        <v>0</v>
      </c>
      <c r="AJ1669" s="86">
        <f t="shared" si="656"/>
        <v>0</v>
      </c>
      <c r="AK1669" s="86">
        <f t="shared" si="657"/>
        <v>0</v>
      </c>
      <c r="AL1669" s="310" t="e">
        <f>+VLOOKUP(B1669,#REF!,2,FALSE)</f>
        <v>#REF!</v>
      </c>
      <c r="AM1669" s="311" t="e">
        <f t="shared" si="658"/>
        <v>#REF!</v>
      </c>
      <c r="AN1669" s="312" t="e">
        <f t="shared" si="659"/>
        <v>#REF!</v>
      </c>
    </row>
    <row r="1670" spans="1:40" s="73" customFormat="1" x14ac:dyDescent="0.25">
      <c r="A1670" s="313"/>
      <c r="B1670" s="314"/>
      <c r="D1670" s="74">
        <f>IFERROR(VLOOKUP(B1670,'REQ. PINTADO'!B:C,2,0),0)</f>
        <v>0</v>
      </c>
      <c r="E1670" s="305">
        <f t="shared" si="646"/>
        <v>0</v>
      </c>
      <c r="F1670" s="103" t="s">
        <v>163</v>
      </c>
      <c r="G1670" s="75" t="s">
        <v>147</v>
      </c>
      <c r="H1670" s="90"/>
      <c r="I1670" s="90"/>
      <c r="J1670" s="76">
        <v>0.105</v>
      </c>
      <c r="K1670" s="306">
        <v>16.38</v>
      </c>
      <c r="L1670" s="78">
        <f t="shared" si="647"/>
        <v>0</v>
      </c>
      <c r="M1670" s="58">
        <f>+VLOOKUP(F1670,Material!$H$2:$M$17,6,FALSE)*H1670*I1670*(1+Material!$K$14)</f>
        <v>0</v>
      </c>
      <c r="N1670" s="79" t="str">
        <f>+N1289</f>
        <v>T5.0</v>
      </c>
      <c r="O1670" s="80">
        <f>+VLOOKUP(N1670,[3]Material!$A$3:$B$58,2,FALSE)</f>
        <v>5000</v>
      </c>
      <c r="P1670" s="79" t="s">
        <v>42</v>
      </c>
      <c r="Q1670" s="79" t="str">
        <f>+VLOOKUP(F1670,[3]Material!$C$2:$E$12,2,FALSE)</f>
        <v>Cal 12</v>
      </c>
      <c r="R1670" s="81">
        <f>+IF(P1670="ACERO A36",VLOOKUP(Q1670,'[3]Velocidades Std 1500 w'!$B$2:$F$15,5,FALSE),IF(P1670="INOXIDABLE",VLOOKUP(Q1670,'[3]Velocidades Std 1500 w'!$B$17:$F$28,5,FALSE),IF(P1670="ALUMINIO",VLOOKUP(Q1670,'[3]Velocidades Std 1500 w'!$B$30:$F$38,5,FALSE))))</f>
        <v>4.3859649122807014E-6</v>
      </c>
      <c r="S1670" s="82">
        <f t="shared" si="648"/>
        <v>2.1929824561403508E-2</v>
      </c>
      <c r="T1670" s="83">
        <f t="shared" si="649"/>
        <v>0</v>
      </c>
      <c r="U1670" s="307">
        <f t="shared" si="650"/>
        <v>0</v>
      </c>
      <c r="V1670" s="80">
        <f t="shared" si="651"/>
        <v>0</v>
      </c>
      <c r="W1670" s="98"/>
      <c r="X1670" s="84">
        <f>+IF(P1670="ACERO A36",VLOOKUP(Q1670,'[3]Tiempo Objeto'!$B$2:$C$12,2,FALSE),IF(P1670="INOXIDABLE",VLOOKUP(Q1670,'[3]Tiempo Objeto'!$B$14:$C$22,2,FALSE),IF(P1670="ALUMINIO",VLOOKUP(Q1670,'[3]Tiempo Objeto'!$B$24:$C$32,2,FALSE))))</f>
        <v>0.6133333333333334</v>
      </c>
      <c r="Y1670" s="84">
        <f t="shared" si="652"/>
        <v>0</v>
      </c>
      <c r="Z1670" s="80">
        <f t="shared" si="653"/>
        <v>0</v>
      </c>
      <c r="AA1670" s="100"/>
      <c r="AB1670" s="86">
        <f>+AA1670*Analisis!$J$6</f>
        <v>0</v>
      </c>
      <c r="AC1670" s="100"/>
      <c r="AD1670" s="85">
        <f t="shared" si="654"/>
        <v>0</v>
      </c>
      <c r="AE1670" s="86">
        <f>+AC1670*Analisis!$J$7</f>
        <v>0</v>
      </c>
      <c r="AF1670" s="308">
        <f>+H1670*0.0254*I1670*0.0254*2*(1+[3]Analisis!$G$2)</f>
        <v>0</v>
      </c>
      <c r="AG1670" s="86">
        <f>+AF1670*Analisis!$J$8</f>
        <v>0</v>
      </c>
      <c r="AH1670" s="309">
        <f t="shared" si="655"/>
        <v>0</v>
      </c>
      <c r="AI1670" s="86">
        <f>+AH1670/(1-Analisis!G1301)</f>
        <v>0</v>
      </c>
      <c r="AJ1670" s="86">
        <f t="shared" si="656"/>
        <v>0</v>
      </c>
      <c r="AK1670" s="86">
        <f t="shared" si="657"/>
        <v>0</v>
      </c>
      <c r="AL1670" s="310" t="e">
        <f>+VLOOKUP(B1670,#REF!,2,FALSE)</f>
        <v>#REF!</v>
      </c>
      <c r="AM1670" s="311" t="e">
        <f t="shared" si="658"/>
        <v>#REF!</v>
      </c>
      <c r="AN1670" s="312" t="e">
        <f t="shared" si="659"/>
        <v>#REF!</v>
      </c>
    </row>
    <row r="1671" spans="1:40" s="73" customFormat="1" x14ac:dyDescent="0.25">
      <c r="A1671" s="313"/>
      <c r="B1671" s="314"/>
      <c r="D1671" s="74">
        <f>IFERROR(VLOOKUP(B1671,'REQ. PINTADO'!B:C,2,0),0)</f>
        <v>0</v>
      </c>
      <c r="E1671" s="305">
        <f t="shared" si="646"/>
        <v>0</v>
      </c>
      <c r="F1671" s="103" t="s">
        <v>163</v>
      </c>
      <c r="G1671" s="75" t="s">
        <v>147</v>
      </c>
      <c r="H1671" s="90"/>
      <c r="I1671" s="90"/>
      <c r="J1671" s="76">
        <v>0.105</v>
      </c>
      <c r="K1671" s="306">
        <v>16.38</v>
      </c>
      <c r="L1671" s="78">
        <f t="shared" si="647"/>
        <v>0</v>
      </c>
      <c r="M1671" s="58">
        <f>+VLOOKUP(F1671,Material!$H$2:$M$17,6,FALSE)*H1671*I1671*(1+Material!$K$14)</f>
        <v>0</v>
      </c>
      <c r="N1671" s="79" t="str">
        <f>+N1290</f>
        <v>T5.0</v>
      </c>
      <c r="O1671" s="80">
        <f>+VLOOKUP(N1671,[3]Material!$A$3:$B$58,2,FALSE)</f>
        <v>5000</v>
      </c>
      <c r="P1671" s="79" t="s">
        <v>42</v>
      </c>
      <c r="Q1671" s="79" t="str">
        <f>+VLOOKUP(F1671,[3]Material!$C$2:$E$12,2,FALSE)</f>
        <v>Cal 12</v>
      </c>
      <c r="R1671" s="81">
        <f>+IF(P1671="ACERO A36",VLOOKUP(Q1671,'[3]Velocidades Std 1500 w'!$B$2:$F$15,5,FALSE),IF(P1671="INOXIDABLE",VLOOKUP(Q1671,'[3]Velocidades Std 1500 w'!$B$17:$F$28,5,FALSE),IF(P1671="ALUMINIO",VLOOKUP(Q1671,'[3]Velocidades Std 1500 w'!$B$30:$F$38,5,FALSE))))</f>
        <v>4.3859649122807014E-6</v>
      </c>
      <c r="S1671" s="82">
        <f t="shared" si="648"/>
        <v>2.1929824561403508E-2</v>
      </c>
      <c r="T1671" s="83">
        <f t="shared" si="649"/>
        <v>0</v>
      </c>
      <c r="U1671" s="307">
        <f t="shared" si="650"/>
        <v>0</v>
      </c>
      <c r="V1671" s="80">
        <f t="shared" si="651"/>
        <v>0</v>
      </c>
      <c r="W1671" s="98"/>
      <c r="X1671" s="84">
        <f>+IF(P1671="ACERO A36",VLOOKUP(Q1671,'[3]Tiempo Objeto'!$B$2:$C$12,2,FALSE),IF(P1671="INOXIDABLE",VLOOKUP(Q1671,'[3]Tiempo Objeto'!$B$14:$C$22,2,FALSE),IF(P1671="ALUMINIO",VLOOKUP(Q1671,'[3]Tiempo Objeto'!$B$24:$C$32,2,FALSE))))</f>
        <v>0.6133333333333334</v>
      </c>
      <c r="Y1671" s="84">
        <f t="shared" si="652"/>
        <v>0</v>
      </c>
      <c r="Z1671" s="80">
        <f t="shared" si="653"/>
        <v>0</v>
      </c>
      <c r="AA1671" s="100"/>
      <c r="AB1671" s="86">
        <f>+AA1671*Analisis!$J$6</f>
        <v>0</v>
      </c>
      <c r="AC1671" s="100"/>
      <c r="AD1671" s="85">
        <f t="shared" si="654"/>
        <v>0</v>
      </c>
      <c r="AE1671" s="86">
        <f>+AC1671*Analisis!$J$7</f>
        <v>0</v>
      </c>
      <c r="AF1671" s="308">
        <f>+H1671*0.0254*I1671*0.0254*2*(1+[3]Analisis!$G$2)</f>
        <v>0</v>
      </c>
      <c r="AG1671" s="86">
        <f>+AF1671*Analisis!$J$8</f>
        <v>0</v>
      </c>
      <c r="AH1671" s="309">
        <f t="shared" si="655"/>
        <v>0</v>
      </c>
      <c r="AI1671" s="86">
        <f>+AH1671/(1-Analisis!G1302)</f>
        <v>0</v>
      </c>
      <c r="AJ1671" s="86">
        <f t="shared" si="656"/>
        <v>0</v>
      </c>
      <c r="AK1671" s="86">
        <f t="shared" si="657"/>
        <v>0</v>
      </c>
      <c r="AL1671" s="310" t="e">
        <f>+VLOOKUP(B1671,#REF!,2,FALSE)</f>
        <v>#REF!</v>
      </c>
      <c r="AM1671" s="311" t="e">
        <f t="shared" si="658"/>
        <v>#REF!</v>
      </c>
      <c r="AN1671" s="312" t="e">
        <f t="shared" si="659"/>
        <v>#REF!</v>
      </c>
    </row>
    <row r="1672" spans="1:40" s="73" customFormat="1" x14ac:dyDescent="0.25">
      <c r="A1672" s="313"/>
      <c r="B1672" s="314"/>
      <c r="D1672" s="74">
        <f>IFERROR(VLOOKUP(B1672,'REQ. PINTADO'!B:C,2,0),0)</f>
        <v>0</v>
      </c>
      <c r="E1672" s="305">
        <f t="shared" si="646"/>
        <v>0</v>
      </c>
      <c r="F1672" s="103" t="s">
        <v>163</v>
      </c>
      <c r="G1672" s="75" t="s">
        <v>147</v>
      </c>
      <c r="H1672" s="90"/>
      <c r="I1672" s="90"/>
      <c r="J1672" s="76">
        <v>0.105</v>
      </c>
      <c r="K1672" s="306">
        <v>16.38</v>
      </c>
      <c r="L1672" s="78">
        <f t="shared" si="647"/>
        <v>0</v>
      </c>
      <c r="M1672" s="58">
        <f>+VLOOKUP(F1672,Material!$H$2:$M$17,6,FALSE)*H1672*I1672*(1+Material!$K$14)</f>
        <v>0</v>
      </c>
      <c r="N1672" s="79" t="str">
        <f>+N1291</f>
        <v>T5.0</v>
      </c>
      <c r="O1672" s="80">
        <f>+VLOOKUP(N1672,[3]Material!$A$3:$B$58,2,FALSE)</f>
        <v>5000</v>
      </c>
      <c r="P1672" s="79" t="s">
        <v>42</v>
      </c>
      <c r="Q1672" s="79" t="str">
        <f>+VLOOKUP(F1672,[3]Material!$C$2:$E$12,2,FALSE)</f>
        <v>Cal 12</v>
      </c>
      <c r="R1672" s="81">
        <f>+IF(P1672="ACERO A36",VLOOKUP(Q1672,'[3]Velocidades Std 1500 w'!$B$2:$F$15,5,FALSE),IF(P1672="INOXIDABLE",VLOOKUP(Q1672,'[3]Velocidades Std 1500 w'!$B$17:$F$28,5,FALSE),IF(P1672="ALUMINIO",VLOOKUP(Q1672,'[3]Velocidades Std 1500 w'!$B$30:$F$38,5,FALSE))))</f>
        <v>4.3859649122807014E-6</v>
      </c>
      <c r="S1672" s="82">
        <f t="shared" si="648"/>
        <v>2.1929824561403508E-2</v>
      </c>
      <c r="T1672" s="83">
        <f t="shared" si="649"/>
        <v>0</v>
      </c>
      <c r="U1672" s="307">
        <f t="shared" si="650"/>
        <v>0</v>
      </c>
      <c r="V1672" s="80">
        <f t="shared" si="651"/>
        <v>0</v>
      </c>
      <c r="W1672" s="98"/>
      <c r="X1672" s="84">
        <f>+IF(P1672="ACERO A36",VLOOKUP(Q1672,'[3]Tiempo Objeto'!$B$2:$C$12,2,FALSE),IF(P1672="INOXIDABLE",VLOOKUP(Q1672,'[3]Tiempo Objeto'!$B$14:$C$22,2,FALSE),IF(P1672="ALUMINIO",VLOOKUP(Q1672,'[3]Tiempo Objeto'!$B$24:$C$32,2,FALSE))))</f>
        <v>0.6133333333333334</v>
      </c>
      <c r="Y1672" s="84">
        <f t="shared" si="652"/>
        <v>0</v>
      </c>
      <c r="Z1672" s="80">
        <f t="shared" si="653"/>
        <v>0</v>
      </c>
      <c r="AA1672" s="100"/>
      <c r="AB1672" s="86">
        <f>+AA1672*Analisis!$J$6</f>
        <v>0</v>
      </c>
      <c r="AC1672" s="100"/>
      <c r="AD1672" s="85">
        <f t="shared" si="654"/>
        <v>0</v>
      </c>
      <c r="AE1672" s="86">
        <f>+AC1672*Analisis!$J$7</f>
        <v>0</v>
      </c>
      <c r="AF1672" s="308">
        <f>+H1672*0.0254*I1672*0.0254*2*(1+[3]Analisis!$G$2)</f>
        <v>0</v>
      </c>
      <c r="AG1672" s="86">
        <f>+AF1672*Analisis!$J$8</f>
        <v>0</v>
      </c>
      <c r="AH1672" s="309">
        <f t="shared" si="655"/>
        <v>0</v>
      </c>
      <c r="AI1672" s="86">
        <f>+AH1672/(1-Analisis!G1303)</f>
        <v>0</v>
      </c>
      <c r="AJ1672" s="86">
        <f t="shared" si="656"/>
        <v>0</v>
      </c>
      <c r="AK1672" s="86">
        <f t="shared" si="657"/>
        <v>0</v>
      </c>
      <c r="AL1672" s="310" t="e">
        <f>+VLOOKUP(B1672,#REF!,2,FALSE)</f>
        <v>#REF!</v>
      </c>
      <c r="AM1672" s="311" t="e">
        <f t="shared" si="658"/>
        <v>#REF!</v>
      </c>
      <c r="AN1672" s="312" t="e">
        <f t="shared" si="659"/>
        <v>#REF!</v>
      </c>
    </row>
    <row r="1673" spans="1:40" s="73" customFormat="1" x14ac:dyDescent="0.25">
      <c r="A1673" s="313"/>
      <c r="B1673" s="314"/>
      <c r="D1673" s="74">
        <f>IFERROR(VLOOKUP(B1673,'REQ. PINTADO'!B:C,2,0),0)</f>
        <v>0</v>
      </c>
      <c r="E1673" s="305">
        <f t="shared" si="646"/>
        <v>0</v>
      </c>
      <c r="F1673" s="103" t="s">
        <v>163</v>
      </c>
      <c r="G1673" s="75" t="s">
        <v>147</v>
      </c>
      <c r="H1673" s="90"/>
      <c r="I1673" s="90"/>
      <c r="J1673" s="76">
        <v>0.105</v>
      </c>
      <c r="K1673" s="306">
        <v>16.38</v>
      </c>
      <c r="L1673" s="78">
        <f t="shared" si="647"/>
        <v>0</v>
      </c>
      <c r="M1673" s="58">
        <f>+VLOOKUP(F1673,Material!$H$2:$M$17,6,FALSE)*H1673*I1673*(1+Material!$K$14)</f>
        <v>0</v>
      </c>
      <c r="N1673" s="79" t="str">
        <f>+N1292</f>
        <v>T5.0</v>
      </c>
      <c r="O1673" s="80">
        <f>+VLOOKUP(N1673,[3]Material!$A$3:$B$58,2,FALSE)</f>
        <v>5000</v>
      </c>
      <c r="P1673" s="79" t="s">
        <v>42</v>
      </c>
      <c r="Q1673" s="79" t="str">
        <f>+VLOOKUP(F1673,[3]Material!$C$2:$E$12,2,FALSE)</f>
        <v>Cal 12</v>
      </c>
      <c r="R1673" s="81">
        <f>+IF(P1673="ACERO A36",VLOOKUP(Q1673,'[3]Velocidades Std 1500 w'!$B$2:$F$15,5,FALSE),IF(P1673="INOXIDABLE",VLOOKUP(Q1673,'[3]Velocidades Std 1500 w'!$B$17:$F$28,5,FALSE),IF(P1673="ALUMINIO",VLOOKUP(Q1673,'[3]Velocidades Std 1500 w'!$B$30:$F$38,5,FALSE))))</f>
        <v>4.3859649122807014E-6</v>
      </c>
      <c r="S1673" s="82">
        <f t="shared" si="648"/>
        <v>2.1929824561403508E-2</v>
      </c>
      <c r="T1673" s="83">
        <f t="shared" si="649"/>
        <v>0</v>
      </c>
      <c r="U1673" s="307">
        <f t="shared" si="650"/>
        <v>0</v>
      </c>
      <c r="V1673" s="80">
        <f t="shared" si="651"/>
        <v>0</v>
      </c>
      <c r="W1673" s="98"/>
      <c r="X1673" s="84">
        <f>+IF(P1673="ACERO A36",VLOOKUP(Q1673,'[3]Tiempo Objeto'!$B$2:$C$12,2,FALSE),IF(P1673="INOXIDABLE",VLOOKUP(Q1673,'[3]Tiempo Objeto'!$B$14:$C$22,2,FALSE),IF(P1673="ALUMINIO",VLOOKUP(Q1673,'[3]Tiempo Objeto'!$B$24:$C$32,2,FALSE))))</f>
        <v>0.6133333333333334</v>
      </c>
      <c r="Y1673" s="84">
        <f t="shared" si="652"/>
        <v>0</v>
      </c>
      <c r="Z1673" s="80">
        <f t="shared" si="653"/>
        <v>0</v>
      </c>
      <c r="AA1673" s="100"/>
      <c r="AB1673" s="86">
        <f>+AA1673*Analisis!$J$6</f>
        <v>0</v>
      </c>
      <c r="AC1673" s="100"/>
      <c r="AD1673" s="85">
        <f t="shared" si="654"/>
        <v>0</v>
      </c>
      <c r="AE1673" s="86">
        <f>+AC1673*Analisis!$J$7</f>
        <v>0</v>
      </c>
      <c r="AF1673" s="308">
        <f>+H1673*0.0254*I1673*0.0254*2*(1+[3]Analisis!$G$2)</f>
        <v>0</v>
      </c>
      <c r="AG1673" s="86">
        <f>+AF1673*Analisis!$J$8</f>
        <v>0</v>
      </c>
      <c r="AH1673" s="309">
        <f t="shared" si="655"/>
        <v>0</v>
      </c>
      <c r="AI1673" s="86">
        <f>+AH1673/(1-Analisis!G1304)</f>
        <v>0</v>
      </c>
      <c r="AJ1673" s="86">
        <f t="shared" si="656"/>
        <v>0</v>
      </c>
      <c r="AK1673" s="86">
        <f t="shared" si="657"/>
        <v>0</v>
      </c>
      <c r="AL1673" s="310" t="e">
        <f>+VLOOKUP(B1673,#REF!,2,FALSE)</f>
        <v>#REF!</v>
      </c>
      <c r="AM1673" s="311" t="e">
        <f t="shared" si="658"/>
        <v>#REF!</v>
      </c>
      <c r="AN1673" s="312" t="e">
        <f t="shared" si="659"/>
        <v>#REF!</v>
      </c>
    </row>
    <row r="1674" spans="1:40" s="73" customFormat="1" x14ac:dyDescent="0.25">
      <c r="A1674" s="313"/>
      <c r="B1674" s="314"/>
      <c r="D1674" s="74">
        <f>IFERROR(VLOOKUP(B1674,'REQ. PINTADO'!B:C,2,0),0)</f>
        <v>0</v>
      </c>
      <c r="E1674" s="305">
        <f t="shared" si="646"/>
        <v>0</v>
      </c>
      <c r="F1674" s="103" t="s">
        <v>163</v>
      </c>
      <c r="G1674" s="75" t="s">
        <v>147</v>
      </c>
      <c r="H1674" s="90"/>
      <c r="I1674" s="90"/>
      <c r="J1674" s="76">
        <v>0.105</v>
      </c>
      <c r="K1674" s="306">
        <v>16.38</v>
      </c>
      <c r="L1674" s="78">
        <f t="shared" si="647"/>
        <v>0</v>
      </c>
      <c r="M1674" s="58">
        <f>+VLOOKUP(F1674,Material!$H$2:$M$17,6,FALSE)*H1674*I1674*(1+Material!$K$14)</f>
        <v>0</v>
      </c>
      <c r="N1674" s="79" t="str">
        <f>+N1293</f>
        <v>T5.0</v>
      </c>
      <c r="O1674" s="80">
        <f>+VLOOKUP(N1674,[3]Material!$A$3:$B$58,2,FALSE)</f>
        <v>5000</v>
      </c>
      <c r="P1674" s="79" t="s">
        <v>42</v>
      </c>
      <c r="Q1674" s="79" t="str">
        <f>+VLOOKUP(F1674,[3]Material!$C$2:$E$12,2,FALSE)</f>
        <v>Cal 12</v>
      </c>
      <c r="R1674" s="81">
        <f>+IF(P1674="ACERO A36",VLOOKUP(Q1674,'[3]Velocidades Std 1500 w'!$B$2:$F$15,5,FALSE),IF(P1674="INOXIDABLE",VLOOKUP(Q1674,'[3]Velocidades Std 1500 w'!$B$17:$F$28,5,FALSE),IF(P1674="ALUMINIO",VLOOKUP(Q1674,'[3]Velocidades Std 1500 w'!$B$30:$F$38,5,FALSE))))</f>
        <v>4.3859649122807014E-6</v>
      </c>
      <c r="S1674" s="82">
        <f t="shared" si="648"/>
        <v>2.1929824561403508E-2</v>
      </c>
      <c r="T1674" s="83">
        <f t="shared" si="649"/>
        <v>0</v>
      </c>
      <c r="U1674" s="307">
        <f t="shared" si="650"/>
        <v>0</v>
      </c>
      <c r="V1674" s="80">
        <f t="shared" si="651"/>
        <v>0</v>
      </c>
      <c r="W1674" s="98"/>
      <c r="X1674" s="84">
        <f>+IF(P1674="ACERO A36",VLOOKUP(Q1674,'[3]Tiempo Objeto'!$B$2:$C$12,2,FALSE),IF(P1674="INOXIDABLE",VLOOKUP(Q1674,'[3]Tiempo Objeto'!$B$14:$C$22,2,FALSE),IF(P1674="ALUMINIO",VLOOKUP(Q1674,'[3]Tiempo Objeto'!$B$24:$C$32,2,FALSE))))</f>
        <v>0.6133333333333334</v>
      </c>
      <c r="Y1674" s="84">
        <f t="shared" si="652"/>
        <v>0</v>
      </c>
      <c r="Z1674" s="80">
        <f t="shared" si="653"/>
        <v>0</v>
      </c>
      <c r="AA1674" s="100"/>
      <c r="AB1674" s="86">
        <f>+AA1674*Analisis!$J$6</f>
        <v>0</v>
      </c>
      <c r="AC1674" s="100"/>
      <c r="AD1674" s="85">
        <f t="shared" si="654"/>
        <v>0</v>
      </c>
      <c r="AE1674" s="86">
        <f>+AC1674*Analisis!$J$7</f>
        <v>0</v>
      </c>
      <c r="AF1674" s="308">
        <f>+H1674*0.0254*I1674*0.0254*2*(1+[3]Analisis!$G$2)</f>
        <v>0</v>
      </c>
      <c r="AG1674" s="86">
        <f>+AF1674*Analisis!$J$8</f>
        <v>0</v>
      </c>
      <c r="AH1674" s="309">
        <f t="shared" si="655"/>
        <v>0</v>
      </c>
      <c r="AI1674" s="86">
        <f>+AH1674/(1-Analisis!G1305)</f>
        <v>0</v>
      </c>
      <c r="AJ1674" s="86">
        <f t="shared" si="656"/>
        <v>0</v>
      </c>
      <c r="AK1674" s="86">
        <f t="shared" si="657"/>
        <v>0</v>
      </c>
      <c r="AL1674" s="310" t="e">
        <f>+VLOOKUP(B1674,#REF!,2,FALSE)</f>
        <v>#REF!</v>
      </c>
      <c r="AM1674" s="311" t="e">
        <f t="shared" si="658"/>
        <v>#REF!</v>
      </c>
      <c r="AN1674" s="312" t="e">
        <f t="shared" si="659"/>
        <v>#REF!</v>
      </c>
    </row>
    <row r="1675" spans="1:40" s="73" customFormat="1" x14ac:dyDescent="0.25">
      <c r="A1675" s="313"/>
      <c r="B1675" s="314"/>
      <c r="D1675" s="74">
        <f>IFERROR(VLOOKUP(B1675,'REQ. PINTADO'!B:C,2,0),0)</f>
        <v>0</v>
      </c>
      <c r="E1675" s="305">
        <f t="shared" si="646"/>
        <v>0</v>
      </c>
      <c r="F1675" s="103" t="s">
        <v>163</v>
      </c>
      <c r="G1675" s="75" t="s">
        <v>147</v>
      </c>
      <c r="H1675" s="90"/>
      <c r="I1675" s="90"/>
      <c r="J1675" s="76">
        <v>0.105</v>
      </c>
      <c r="K1675" s="306">
        <v>16.38</v>
      </c>
      <c r="L1675" s="78">
        <f t="shared" si="647"/>
        <v>0</v>
      </c>
      <c r="M1675" s="58">
        <f>+VLOOKUP(F1675,Material!$H$2:$M$17,6,FALSE)*H1675*I1675*(1+Material!$K$14)</f>
        <v>0</v>
      </c>
      <c r="N1675" s="79" t="str">
        <f>+N1294</f>
        <v>T5.0</v>
      </c>
      <c r="O1675" s="80">
        <f>+VLOOKUP(N1675,[3]Material!$A$3:$B$58,2,FALSE)</f>
        <v>5000</v>
      </c>
      <c r="P1675" s="79" t="s">
        <v>42</v>
      </c>
      <c r="Q1675" s="79" t="str">
        <f>+VLOOKUP(F1675,[3]Material!$C$2:$E$12,2,FALSE)</f>
        <v>Cal 12</v>
      </c>
      <c r="R1675" s="81">
        <f>+IF(P1675="ACERO A36",VLOOKUP(Q1675,'[3]Velocidades Std 1500 w'!$B$2:$F$15,5,FALSE),IF(P1675="INOXIDABLE",VLOOKUP(Q1675,'[3]Velocidades Std 1500 w'!$B$17:$F$28,5,FALSE),IF(P1675="ALUMINIO",VLOOKUP(Q1675,'[3]Velocidades Std 1500 w'!$B$30:$F$38,5,FALSE))))</f>
        <v>4.3859649122807014E-6</v>
      </c>
      <c r="S1675" s="82">
        <f t="shared" si="648"/>
        <v>2.1929824561403508E-2</v>
      </c>
      <c r="T1675" s="83">
        <f t="shared" si="649"/>
        <v>0</v>
      </c>
      <c r="U1675" s="307">
        <f t="shared" si="650"/>
        <v>0</v>
      </c>
      <c r="V1675" s="80">
        <f t="shared" si="651"/>
        <v>0</v>
      </c>
      <c r="W1675" s="98"/>
      <c r="X1675" s="84">
        <f>+IF(P1675="ACERO A36",VLOOKUP(Q1675,'[3]Tiempo Objeto'!$B$2:$C$12,2,FALSE),IF(P1675="INOXIDABLE",VLOOKUP(Q1675,'[3]Tiempo Objeto'!$B$14:$C$22,2,FALSE),IF(P1675="ALUMINIO",VLOOKUP(Q1675,'[3]Tiempo Objeto'!$B$24:$C$32,2,FALSE))))</f>
        <v>0.6133333333333334</v>
      </c>
      <c r="Y1675" s="84">
        <f t="shared" si="652"/>
        <v>0</v>
      </c>
      <c r="Z1675" s="80">
        <f t="shared" si="653"/>
        <v>0</v>
      </c>
      <c r="AA1675" s="100"/>
      <c r="AB1675" s="86">
        <f>+AA1675*Analisis!$J$6</f>
        <v>0</v>
      </c>
      <c r="AC1675" s="100"/>
      <c r="AD1675" s="85">
        <f t="shared" si="654"/>
        <v>0</v>
      </c>
      <c r="AE1675" s="86">
        <f>+AC1675*Analisis!$J$7</f>
        <v>0</v>
      </c>
      <c r="AF1675" s="308">
        <f>+H1675*0.0254*I1675*0.0254*2*(1+[3]Analisis!$G$2)</f>
        <v>0</v>
      </c>
      <c r="AG1675" s="86">
        <f>+AF1675*Analisis!$J$8</f>
        <v>0</v>
      </c>
      <c r="AH1675" s="309">
        <f t="shared" si="655"/>
        <v>0</v>
      </c>
      <c r="AI1675" s="86">
        <f>+AH1675/(1-Analisis!G1306)</f>
        <v>0</v>
      </c>
      <c r="AJ1675" s="86">
        <f t="shared" si="656"/>
        <v>0</v>
      </c>
      <c r="AK1675" s="86">
        <f t="shared" si="657"/>
        <v>0</v>
      </c>
      <c r="AL1675" s="310" t="e">
        <f>+VLOOKUP(B1675,#REF!,2,FALSE)</f>
        <v>#REF!</v>
      </c>
      <c r="AM1675" s="311" t="e">
        <f t="shared" si="658"/>
        <v>#REF!</v>
      </c>
      <c r="AN1675" s="312" t="e">
        <f t="shared" si="659"/>
        <v>#REF!</v>
      </c>
    </row>
    <row r="1676" spans="1:40" s="73" customFormat="1" x14ac:dyDescent="0.25">
      <c r="A1676" s="313"/>
      <c r="B1676" s="314"/>
      <c r="D1676" s="74">
        <f>IFERROR(VLOOKUP(B1676,'REQ. PINTADO'!B:C,2,0),0)</f>
        <v>0</v>
      </c>
      <c r="E1676" s="305">
        <f t="shared" si="646"/>
        <v>0</v>
      </c>
      <c r="F1676" s="103" t="s">
        <v>163</v>
      </c>
      <c r="G1676" s="75" t="s">
        <v>147</v>
      </c>
      <c r="H1676" s="90"/>
      <c r="I1676" s="90"/>
      <c r="J1676" s="76">
        <v>0.105</v>
      </c>
      <c r="K1676" s="306">
        <v>16.38</v>
      </c>
      <c r="L1676" s="78">
        <f t="shared" si="647"/>
        <v>0</v>
      </c>
      <c r="M1676" s="58">
        <f>+VLOOKUP(F1676,Material!$H$2:$M$17,6,FALSE)*H1676*I1676*(1+Material!$K$14)</f>
        <v>0</v>
      </c>
      <c r="N1676" s="79" t="str">
        <f>+N1295</f>
        <v>T5.0</v>
      </c>
      <c r="O1676" s="80">
        <f>+VLOOKUP(N1676,[3]Material!$A$3:$B$58,2,FALSE)</f>
        <v>5000</v>
      </c>
      <c r="P1676" s="79" t="s">
        <v>42</v>
      </c>
      <c r="Q1676" s="79" t="str">
        <f>+VLOOKUP(F1676,[3]Material!$C$2:$E$12,2,FALSE)</f>
        <v>Cal 12</v>
      </c>
      <c r="R1676" s="81">
        <f>+IF(P1676="ACERO A36",VLOOKUP(Q1676,'[3]Velocidades Std 1500 w'!$B$2:$F$15,5,FALSE),IF(P1676="INOXIDABLE",VLOOKUP(Q1676,'[3]Velocidades Std 1500 w'!$B$17:$F$28,5,FALSE),IF(P1676="ALUMINIO",VLOOKUP(Q1676,'[3]Velocidades Std 1500 w'!$B$30:$F$38,5,FALSE))))</f>
        <v>4.3859649122807014E-6</v>
      </c>
      <c r="S1676" s="82">
        <f t="shared" si="648"/>
        <v>2.1929824561403508E-2</v>
      </c>
      <c r="T1676" s="83">
        <f t="shared" si="649"/>
        <v>0</v>
      </c>
      <c r="U1676" s="307">
        <f t="shared" si="650"/>
        <v>0</v>
      </c>
      <c r="V1676" s="80">
        <f t="shared" si="651"/>
        <v>0</v>
      </c>
      <c r="W1676" s="98"/>
      <c r="X1676" s="84">
        <f>+IF(P1676="ACERO A36",VLOOKUP(Q1676,'[3]Tiempo Objeto'!$B$2:$C$12,2,FALSE),IF(P1676="INOXIDABLE",VLOOKUP(Q1676,'[3]Tiempo Objeto'!$B$14:$C$22,2,FALSE),IF(P1676="ALUMINIO",VLOOKUP(Q1676,'[3]Tiempo Objeto'!$B$24:$C$32,2,FALSE))))</f>
        <v>0.6133333333333334</v>
      </c>
      <c r="Y1676" s="84">
        <f t="shared" si="652"/>
        <v>0</v>
      </c>
      <c r="Z1676" s="80">
        <f t="shared" si="653"/>
        <v>0</v>
      </c>
      <c r="AA1676" s="100"/>
      <c r="AB1676" s="86">
        <f>+AA1676*Analisis!$J$6</f>
        <v>0</v>
      </c>
      <c r="AC1676" s="100"/>
      <c r="AD1676" s="85">
        <f t="shared" si="654"/>
        <v>0</v>
      </c>
      <c r="AE1676" s="86">
        <f>+AC1676*Analisis!$J$7</f>
        <v>0</v>
      </c>
      <c r="AF1676" s="308">
        <f>+H1676*0.0254*I1676*0.0254*2*(1+[3]Analisis!$G$2)</f>
        <v>0</v>
      </c>
      <c r="AG1676" s="86">
        <f>+AF1676*Analisis!$J$8</f>
        <v>0</v>
      </c>
      <c r="AH1676" s="309">
        <f t="shared" si="655"/>
        <v>0</v>
      </c>
      <c r="AI1676" s="86">
        <f>+AH1676/(1-Analisis!G1307)</f>
        <v>0</v>
      </c>
      <c r="AJ1676" s="86">
        <f t="shared" si="656"/>
        <v>0</v>
      </c>
      <c r="AK1676" s="86">
        <f t="shared" si="657"/>
        <v>0</v>
      </c>
      <c r="AL1676" s="310" t="e">
        <f>+VLOOKUP(B1676,#REF!,2,FALSE)</f>
        <v>#REF!</v>
      </c>
      <c r="AM1676" s="311" t="e">
        <f t="shared" si="658"/>
        <v>#REF!</v>
      </c>
      <c r="AN1676" s="312" t="e">
        <f t="shared" si="659"/>
        <v>#REF!</v>
      </c>
    </row>
    <row r="1677" spans="1:40" s="73" customFormat="1" x14ac:dyDescent="0.25">
      <c r="A1677" s="313"/>
      <c r="B1677" s="314"/>
      <c r="D1677" s="74">
        <f>IFERROR(VLOOKUP(B1677,'REQ. PINTADO'!B:C,2,0),0)</f>
        <v>0</v>
      </c>
      <c r="E1677" s="305">
        <f t="shared" si="646"/>
        <v>0</v>
      </c>
      <c r="F1677" s="103" t="s">
        <v>163</v>
      </c>
      <c r="G1677" s="75" t="s">
        <v>147</v>
      </c>
      <c r="H1677" s="90"/>
      <c r="I1677" s="90"/>
      <c r="J1677" s="76">
        <v>0.105</v>
      </c>
      <c r="K1677" s="306">
        <v>16.38</v>
      </c>
      <c r="L1677" s="78">
        <f t="shared" si="647"/>
        <v>0</v>
      </c>
      <c r="M1677" s="58">
        <f>+VLOOKUP(F1677,Material!$H$2:$M$17,6,FALSE)*H1677*I1677*(1+Material!$K$14)</f>
        <v>0</v>
      </c>
      <c r="N1677" s="79" t="str">
        <f>+N1296</f>
        <v>T5.0</v>
      </c>
      <c r="O1677" s="80">
        <f>+VLOOKUP(N1677,[3]Material!$A$3:$B$58,2,FALSE)</f>
        <v>5000</v>
      </c>
      <c r="P1677" s="79" t="s">
        <v>42</v>
      </c>
      <c r="Q1677" s="79" t="str">
        <f>+VLOOKUP(F1677,[3]Material!$C$2:$E$12,2,FALSE)</f>
        <v>Cal 12</v>
      </c>
      <c r="R1677" s="81">
        <f>+IF(P1677="ACERO A36",VLOOKUP(Q1677,'[3]Velocidades Std 1500 w'!$B$2:$F$15,5,FALSE),IF(P1677="INOXIDABLE",VLOOKUP(Q1677,'[3]Velocidades Std 1500 w'!$B$17:$F$28,5,FALSE),IF(P1677="ALUMINIO",VLOOKUP(Q1677,'[3]Velocidades Std 1500 w'!$B$30:$F$38,5,FALSE))))</f>
        <v>4.3859649122807014E-6</v>
      </c>
      <c r="S1677" s="82">
        <f t="shared" si="648"/>
        <v>2.1929824561403508E-2</v>
      </c>
      <c r="T1677" s="83">
        <f t="shared" si="649"/>
        <v>0</v>
      </c>
      <c r="U1677" s="307">
        <f t="shared" si="650"/>
        <v>0</v>
      </c>
      <c r="V1677" s="80">
        <f t="shared" si="651"/>
        <v>0</v>
      </c>
      <c r="W1677" s="98"/>
      <c r="X1677" s="84">
        <f>+IF(P1677="ACERO A36",VLOOKUP(Q1677,'[3]Tiempo Objeto'!$B$2:$C$12,2,FALSE),IF(P1677="INOXIDABLE",VLOOKUP(Q1677,'[3]Tiempo Objeto'!$B$14:$C$22,2,FALSE),IF(P1677="ALUMINIO",VLOOKUP(Q1677,'[3]Tiempo Objeto'!$B$24:$C$32,2,FALSE))))</f>
        <v>0.6133333333333334</v>
      </c>
      <c r="Y1677" s="84">
        <f t="shared" si="652"/>
        <v>0</v>
      </c>
      <c r="Z1677" s="80">
        <f t="shared" si="653"/>
        <v>0</v>
      </c>
      <c r="AA1677" s="100"/>
      <c r="AB1677" s="86">
        <f>+AA1677*Analisis!$J$6</f>
        <v>0</v>
      </c>
      <c r="AC1677" s="100"/>
      <c r="AD1677" s="85">
        <f t="shared" si="654"/>
        <v>0</v>
      </c>
      <c r="AE1677" s="86">
        <f>+AC1677*Analisis!$J$7</f>
        <v>0</v>
      </c>
      <c r="AF1677" s="308">
        <f>+H1677*0.0254*I1677*0.0254*2*(1+[3]Analisis!$G$2)</f>
        <v>0</v>
      </c>
      <c r="AG1677" s="86">
        <f>+AF1677*Analisis!$J$8</f>
        <v>0</v>
      </c>
      <c r="AH1677" s="309">
        <f t="shared" si="655"/>
        <v>0</v>
      </c>
      <c r="AI1677" s="86">
        <f>+AH1677/(1-Analisis!G1308)</f>
        <v>0</v>
      </c>
      <c r="AJ1677" s="86">
        <f t="shared" si="656"/>
        <v>0</v>
      </c>
      <c r="AK1677" s="86">
        <f t="shared" si="657"/>
        <v>0</v>
      </c>
      <c r="AL1677" s="310" t="e">
        <f>+VLOOKUP(B1677,#REF!,2,FALSE)</f>
        <v>#REF!</v>
      </c>
      <c r="AM1677" s="311" t="e">
        <f t="shared" si="658"/>
        <v>#REF!</v>
      </c>
      <c r="AN1677" s="312" t="e">
        <f t="shared" si="659"/>
        <v>#REF!</v>
      </c>
    </row>
    <row r="1678" spans="1:40" s="73" customFormat="1" x14ac:dyDescent="0.25">
      <c r="A1678" s="313"/>
      <c r="B1678" s="314"/>
      <c r="D1678" s="74">
        <f>IFERROR(VLOOKUP(B1678,'REQ. PINTADO'!B:C,2,0),0)</f>
        <v>0</v>
      </c>
      <c r="E1678" s="305">
        <f t="shared" si="646"/>
        <v>0</v>
      </c>
      <c r="F1678" s="103" t="s">
        <v>163</v>
      </c>
      <c r="G1678" s="75" t="s">
        <v>147</v>
      </c>
      <c r="H1678" s="90"/>
      <c r="I1678" s="90"/>
      <c r="J1678" s="76">
        <v>0.105</v>
      </c>
      <c r="K1678" s="306">
        <v>16.38</v>
      </c>
      <c r="L1678" s="78">
        <f t="shared" si="647"/>
        <v>0</v>
      </c>
      <c r="M1678" s="58">
        <f>+VLOOKUP(F1678,Material!$H$2:$M$17,6,FALSE)*H1678*I1678*(1+Material!$K$14)</f>
        <v>0</v>
      </c>
      <c r="N1678" s="79" t="str">
        <f>+N1297</f>
        <v>T5.0</v>
      </c>
      <c r="O1678" s="80">
        <f>+VLOOKUP(N1678,[3]Material!$A$3:$B$58,2,FALSE)</f>
        <v>5000</v>
      </c>
      <c r="P1678" s="79" t="s">
        <v>42</v>
      </c>
      <c r="Q1678" s="79" t="str">
        <f>+VLOOKUP(F1678,[3]Material!$C$2:$E$12,2,FALSE)</f>
        <v>Cal 12</v>
      </c>
      <c r="R1678" s="81">
        <f>+IF(P1678="ACERO A36",VLOOKUP(Q1678,'[3]Velocidades Std 1500 w'!$B$2:$F$15,5,FALSE),IF(P1678="INOXIDABLE",VLOOKUP(Q1678,'[3]Velocidades Std 1500 w'!$B$17:$F$28,5,FALSE),IF(P1678="ALUMINIO",VLOOKUP(Q1678,'[3]Velocidades Std 1500 w'!$B$30:$F$38,5,FALSE))))</f>
        <v>4.3859649122807014E-6</v>
      </c>
      <c r="S1678" s="82">
        <f t="shared" si="648"/>
        <v>2.1929824561403508E-2</v>
      </c>
      <c r="T1678" s="83">
        <f t="shared" si="649"/>
        <v>0</v>
      </c>
      <c r="U1678" s="307">
        <f t="shared" si="650"/>
        <v>0</v>
      </c>
      <c r="V1678" s="80">
        <f t="shared" si="651"/>
        <v>0</v>
      </c>
      <c r="W1678" s="98"/>
      <c r="X1678" s="84">
        <f>+IF(P1678="ACERO A36",VLOOKUP(Q1678,'[3]Tiempo Objeto'!$B$2:$C$12,2,FALSE),IF(P1678="INOXIDABLE",VLOOKUP(Q1678,'[3]Tiempo Objeto'!$B$14:$C$22,2,FALSE),IF(P1678="ALUMINIO",VLOOKUP(Q1678,'[3]Tiempo Objeto'!$B$24:$C$32,2,FALSE))))</f>
        <v>0.6133333333333334</v>
      </c>
      <c r="Y1678" s="84">
        <f t="shared" si="652"/>
        <v>0</v>
      </c>
      <c r="Z1678" s="80">
        <f t="shared" si="653"/>
        <v>0</v>
      </c>
      <c r="AA1678" s="100"/>
      <c r="AB1678" s="86">
        <f>+AA1678*Analisis!$J$6</f>
        <v>0</v>
      </c>
      <c r="AC1678" s="100"/>
      <c r="AD1678" s="85">
        <f t="shared" si="654"/>
        <v>0</v>
      </c>
      <c r="AE1678" s="86">
        <f>+AC1678*Analisis!$J$7</f>
        <v>0</v>
      </c>
      <c r="AF1678" s="308">
        <f>+H1678*0.0254*I1678*0.0254*2*(1+[3]Analisis!$G$2)</f>
        <v>0</v>
      </c>
      <c r="AG1678" s="86">
        <f>+AF1678*Analisis!$J$8</f>
        <v>0</v>
      </c>
      <c r="AH1678" s="309">
        <f t="shared" si="655"/>
        <v>0</v>
      </c>
      <c r="AI1678" s="86">
        <f>+AH1678/(1-Analisis!G1309)</f>
        <v>0</v>
      </c>
      <c r="AJ1678" s="86">
        <f t="shared" si="656"/>
        <v>0</v>
      </c>
      <c r="AK1678" s="86">
        <f t="shared" si="657"/>
        <v>0</v>
      </c>
      <c r="AL1678" s="310" t="e">
        <f>+VLOOKUP(B1678,#REF!,2,FALSE)</f>
        <v>#REF!</v>
      </c>
      <c r="AM1678" s="311" t="e">
        <f t="shared" si="658"/>
        <v>#REF!</v>
      </c>
      <c r="AN1678" s="312" t="e">
        <f t="shared" si="659"/>
        <v>#REF!</v>
      </c>
    </row>
    <row r="1679" spans="1:40" s="73" customFormat="1" x14ac:dyDescent="0.25">
      <c r="A1679" s="313"/>
      <c r="B1679" s="314"/>
      <c r="D1679" s="74">
        <f>IFERROR(VLOOKUP(B1679,'REQ. PINTADO'!B:C,2,0),0)</f>
        <v>0</v>
      </c>
      <c r="E1679" s="305">
        <f t="shared" si="646"/>
        <v>0</v>
      </c>
      <c r="F1679" s="103" t="s">
        <v>163</v>
      </c>
      <c r="G1679" s="75" t="s">
        <v>147</v>
      </c>
      <c r="H1679" s="90"/>
      <c r="I1679" s="90"/>
      <c r="J1679" s="76">
        <v>0.105</v>
      </c>
      <c r="K1679" s="306">
        <v>16.38</v>
      </c>
      <c r="L1679" s="78">
        <f t="shared" si="647"/>
        <v>0</v>
      </c>
      <c r="M1679" s="58">
        <f>+VLOOKUP(F1679,Material!$H$2:$M$17,6,FALSE)*H1679*I1679*(1+Material!$K$14)</f>
        <v>0</v>
      </c>
      <c r="N1679" s="79" t="str">
        <f>+N1298</f>
        <v>T5.0</v>
      </c>
      <c r="O1679" s="80">
        <f>+VLOOKUP(N1679,[3]Material!$A$3:$B$58,2,FALSE)</f>
        <v>5000</v>
      </c>
      <c r="P1679" s="79" t="s">
        <v>42</v>
      </c>
      <c r="Q1679" s="79" t="str">
        <f>+VLOOKUP(F1679,[3]Material!$C$2:$E$12,2,FALSE)</f>
        <v>Cal 12</v>
      </c>
      <c r="R1679" s="81">
        <f>+IF(P1679="ACERO A36",VLOOKUP(Q1679,'[3]Velocidades Std 1500 w'!$B$2:$F$15,5,FALSE),IF(P1679="INOXIDABLE",VLOOKUP(Q1679,'[3]Velocidades Std 1500 w'!$B$17:$F$28,5,FALSE),IF(P1679="ALUMINIO",VLOOKUP(Q1679,'[3]Velocidades Std 1500 w'!$B$30:$F$38,5,FALSE))))</f>
        <v>4.3859649122807014E-6</v>
      </c>
      <c r="S1679" s="82">
        <f t="shared" si="648"/>
        <v>2.1929824561403508E-2</v>
      </c>
      <c r="T1679" s="83">
        <f t="shared" si="649"/>
        <v>0</v>
      </c>
      <c r="U1679" s="307">
        <f t="shared" si="650"/>
        <v>0</v>
      </c>
      <c r="V1679" s="80">
        <f t="shared" si="651"/>
        <v>0</v>
      </c>
      <c r="W1679" s="98"/>
      <c r="X1679" s="84">
        <f>+IF(P1679="ACERO A36",VLOOKUP(Q1679,'[3]Tiempo Objeto'!$B$2:$C$12,2,FALSE),IF(P1679="INOXIDABLE",VLOOKUP(Q1679,'[3]Tiempo Objeto'!$B$14:$C$22,2,FALSE),IF(P1679="ALUMINIO",VLOOKUP(Q1679,'[3]Tiempo Objeto'!$B$24:$C$32,2,FALSE))))</f>
        <v>0.6133333333333334</v>
      </c>
      <c r="Y1679" s="84">
        <f t="shared" si="652"/>
        <v>0</v>
      </c>
      <c r="Z1679" s="80">
        <f t="shared" si="653"/>
        <v>0</v>
      </c>
      <c r="AA1679" s="100"/>
      <c r="AB1679" s="86">
        <f>+AA1679*Analisis!$J$6</f>
        <v>0</v>
      </c>
      <c r="AC1679" s="100"/>
      <c r="AD1679" s="85">
        <f t="shared" si="654"/>
        <v>0</v>
      </c>
      <c r="AE1679" s="86">
        <f>+AC1679*Analisis!$J$7</f>
        <v>0</v>
      </c>
      <c r="AF1679" s="308">
        <f>+H1679*0.0254*I1679*0.0254*2*(1+[3]Analisis!$G$2)</f>
        <v>0</v>
      </c>
      <c r="AG1679" s="86">
        <f>+AF1679*Analisis!$J$8</f>
        <v>0</v>
      </c>
      <c r="AH1679" s="309">
        <f t="shared" si="655"/>
        <v>0</v>
      </c>
      <c r="AI1679" s="86">
        <f>+AH1679/(1-Analisis!G1310)</f>
        <v>0</v>
      </c>
      <c r="AJ1679" s="86">
        <f t="shared" si="656"/>
        <v>0</v>
      </c>
      <c r="AK1679" s="86">
        <f t="shared" si="657"/>
        <v>0</v>
      </c>
      <c r="AL1679" s="310" t="e">
        <f>+VLOOKUP(B1679,#REF!,2,FALSE)</f>
        <v>#REF!</v>
      </c>
      <c r="AM1679" s="311" t="e">
        <f t="shared" si="658"/>
        <v>#REF!</v>
      </c>
      <c r="AN1679" s="312" t="e">
        <f t="shared" si="659"/>
        <v>#REF!</v>
      </c>
    </row>
    <row r="1680" spans="1:40" s="73" customFormat="1" x14ac:dyDescent="0.25">
      <c r="A1680" s="313"/>
      <c r="B1680" s="314"/>
      <c r="D1680" s="74">
        <f>IFERROR(VLOOKUP(B1680,'REQ. PINTADO'!B:C,2,0),0)</f>
        <v>0</v>
      </c>
      <c r="E1680" s="305">
        <f t="shared" si="646"/>
        <v>0</v>
      </c>
      <c r="F1680" s="103" t="s">
        <v>163</v>
      </c>
      <c r="G1680" s="75" t="s">
        <v>147</v>
      </c>
      <c r="H1680" s="90"/>
      <c r="I1680" s="90"/>
      <c r="J1680" s="76">
        <v>0.105</v>
      </c>
      <c r="K1680" s="306">
        <v>16.38</v>
      </c>
      <c r="L1680" s="78">
        <f t="shared" si="647"/>
        <v>0</v>
      </c>
      <c r="M1680" s="58">
        <f>+VLOOKUP(F1680,Material!$H$2:$M$17,6,FALSE)*H1680*I1680*(1+Material!$K$14)</f>
        <v>0</v>
      </c>
      <c r="N1680" s="79" t="str">
        <f>+N1299</f>
        <v>T5.0</v>
      </c>
      <c r="O1680" s="80">
        <f>+VLOOKUP(N1680,[3]Material!$A$3:$B$58,2,FALSE)</f>
        <v>5000</v>
      </c>
      <c r="P1680" s="79" t="s">
        <v>42</v>
      </c>
      <c r="Q1680" s="79" t="str">
        <f>+VLOOKUP(F1680,[3]Material!$C$2:$E$12,2,FALSE)</f>
        <v>Cal 12</v>
      </c>
      <c r="R1680" s="81">
        <f>+IF(P1680="ACERO A36",VLOOKUP(Q1680,'[3]Velocidades Std 1500 w'!$B$2:$F$15,5,FALSE),IF(P1680="INOXIDABLE",VLOOKUP(Q1680,'[3]Velocidades Std 1500 w'!$B$17:$F$28,5,FALSE),IF(P1680="ALUMINIO",VLOOKUP(Q1680,'[3]Velocidades Std 1500 w'!$B$30:$F$38,5,FALSE))))</f>
        <v>4.3859649122807014E-6</v>
      </c>
      <c r="S1680" s="82">
        <f t="shared" si="648"/>
        <v>2.1929824561403508E-2</v>
      </c>
      <c r="T1680" s="83">
        <f t="shared" si="649"/>
        <v>0</v>
      </c>
      <c r="U1680" s="307">
        <f t="shared" si="650"/>
        <v>0</v>
      </c>
      <c r="V1680" s="80">
        <f t="shared" si="651"/>
        <v>0</v>
      </c>
      <c r="W1680" s="98"/>
      <c r="X1680" s="84">
        <f>+IF(P1680="ACERO A36",VLOOKUP(Q1680,'[3]Tiempo Objeto'!$B$2:$C$12,2,FALSE),IF(P1680="INOXIDABLE",VLOOKUP(Q1680,'[3]Tiempo Objeto'!$B$14:$C$22,2,FALSE),IF(P1680="ALUMINIO",VLOOKUP(Q1680,'[3]Tiempo Objeto'!$B$24:$C$32,2,FALSE))))</f>
        <v>0.6133333333333334</v>
      </c>
      <c r="Y1680" s="84">
        <f t="shared" si="652"/>
        <v>0</v>
      </c>
      <c r="Z1680" s="80">
        <f t="shared" si="653"/>
        <v>0</v>
      </c>
      <c r="AA1680" s="100"/>
      <c r="AB1680" s="86">
        <f>+AA1680*Analisis!$J$6</f>
        <v>0</v>
      </c>
      <c r="AC1680" s="100"/>
      <c r="AD1680" s="85">
        <f t="shared" si="654"/>
        <v>0</v>
      </c>
      <c r="AE1680" s="86">
        <f>+AC1680*Analisis!$J$7</f>
        <v>0</v>
      </c>
      <c r="AF1680" s="308">
        <f>+H1680*0.0254*I1680*0.0254*2*(1+[3]Analisis!$G$2)</f>
        <v>0</v>
      </c>
      <c r="AG1680" s="86">
        <f>+AF1680*Analisis!$J$8</f>
        <v>0</v>
      </c>
      <c r="AH1680" s="309">
        <f t="shared" si="655"/>
        <v>0</v>
      </c>
      <c r="AI1680" s="86">
        <f>+AH1680/(1-Analisis!G1311)</f>
        <v>0</v>
      </c>
      <c r="AJ1680" s="86">
        <f t="shared" si="656"/>
        <v>0</v>
      </c>
      <c r="AK1680" s="86">
        <f t="shared" si="657"/>
        <v>0</v>
      </c>
      <c r="AL1680" s="310" t="e">
        <f>+VLOOKUP(B1680,#REF!,2,FALSE)</f>
        <v>#REF!</v>
      </c>
      <c r="AM1680" s="311" t="e">
        <f t="shared" si="658"/>
        <v>#REF!</v>
      </c>
      <c r="AN1680" s="312" t="e">
        <f t="shared" si="659"/>
        <v>#REF!</v>
      </c>
    </row>
    <row r="1681" spans="1:40" s="73" customFormat="1" x14ac:dyDescent="0.25">
      <c r="A1681" s="313"/>
      <c r="B1681" s="314"/>
      <c r="D1681" s="74">
        <f>IFERROR(VLOOKUP(B1681,'REQ. PINTADO'!B:C,2,0),0)</f>
        <v>0</v>
      </c>
      <c r="E1681" s="305">
        <f t="shared" si="646"/>
        <v>0</v>
      </c>
      <c r="F1681" s="103" t="s">
        <v>163</v>
      </c>
      <c r="G1681" s="75" t="s">
        <v>147</v>
      </c>
      <c r="H1681" s="90"/>
      <c r="I1681" s="90"/>
      <c r="J1681" s="76">
        <v>0.105</v>
      </c>
      <c r="K1681" s="306">
        <v>16.38</v>
      </c>
      <c r="L1681" s="78">
        <f t="shared" si="647"/>
        <v>0</v>
      </c>
      <c r="M1681" s="58">
        <f>+VLOOKUP(F1681,Material!$H$2:$M$17,6,FALSE)*H1681*I1681*(1+Material!$K$14)</f>
        <v>0</v>
      </c>
      <c r="N1681" s="79" t="str">
        <f>+N1300</f>
        <v>T5.0</v>
      </c>
      <c r="O1681" s="80">
        <f>+VLOOKUP(N1681,[3]Material!$A$3:$B$58,2,FALSE)</f>
        <v>5000</v>
      </c>
      <c r="P1681" s="79" t="s">
        <v>42</v>
      </c>
      <c r="Q1681" s="79" t="str">
        <f>+VLOOKUP(F1681,[3]Material!$C$2:$E$12,2,FALSE)</f>
        <v>Cal 12</v>
      </c>
      <c r="R1681" s="81">
        <f>+IF(P1681="ACERO A36",VLOOKUP(Q1681,'[3]Velocidades Std 1500 w'!$B$2:$F$15,5,FALSE),IF(P1681="INOXIDABLE",VLOOKUP(Q1681,'[3]Velocidades Std 1500 w'!$B$17:$F$28,5,FALSE),IF(P1681="ALUMINIO",VLOOKUP(Q1681,'[3]Velocidades Std 1500 w'!$B$30:$F$38,5,FALSE))))</f>
        <v>4.3859649122807014E-6</v>
      </c>
      <c r="S1681" s="82">
        <f t="shared" si="648"/>
        <v>2.1929824561403508E-2</v>
      </c>
      <c r="T1681" s="83">
        <f t="shared" si="649"/>
        <v>0</v>
      </c>
      <c r="U1681" s="307">
        <f t="shared" si="650"/>
        <v>0</v>
      </c>
      <c r="V1681" s="80">
        <f t="shared" si="651"/>
        <v>0</v>
      </c>
      <c r="W1681" s="98"/>
      <c r="X1681" s="84">
        <f>+IF(P1681="ACERO A36",VLOOKUP(Q1681,'[3]Tiempo Objeto'!$B$2:$C$12,2,FALSE),IF(P1681="INOXIDABLE",VLOOKUP(Q1681,'[3]Tiempo Objeto'!$B$14:$C$22,2,FALSE),IF(P1681="ALUMINIO",VLOOKUP(Q1681,'[3]Tiempo Objeto'!$B$24:$C$32,2,FALSE))))</f>
        <v>0.6133333333333334</v>
      </c>
      <c r="Y1681" s="84">
        <f t="shared" si="652"/>
        <v>0</v>
      </c>
      <c r="Z1681" s="80">
        <f t="shared" si="653"/>
        <v>0</v>
      </c>
      <c r="AA1681" s="100"/>
      <c r="AB1681" s="86">
        <f>+AA1681*Analisis!$J$6</f>
        <v>0</v>
      </c>
      <c r="AC1681" s="100"/>
      <c r="AD1681" s="85">
        <f t="shared" si="654"/>
        <v>0</v>
      </c>
      <c r="AE1681" s="86">
        <f>+AC1681*Analisis!$J$7</f>
        <v>0</v>
      </c>
      <c r="AF1681" s="308">
        <f>+H1681*0.0254*I1681*0.0254*2*(1+[3]Analisis!$G$2)</f>
        <v>0</v>
      </c>
      <c r="AG1681" s="86">
        <f>+AF1681*Analisis!$J$8</f>
        <v>0</v>
      </c>
      <c r="AH1681" s="309">
        <f t="shared" si="655"/>
        <v>0</v>
      </c>
      <c r="AI1681" s="86">
        <f>+AH1681/(1-Analisis!G1312)</f>
        <v>0</v>
      </c>
      <c r="AJ1681" s="86">
        <f t="shared" si="656"/>
        <v>0</v>
      </c>
      <c r="AK1681" s="86">
        <f t="shared" si="657"/>
        <v>0</v>
      </c>
      <c r="AL1681" s="310" t="e">
        <f>+VLOOKUP(B1681,#REF!,2,FALSE)</f>
        <v>#REF!</v>
      </c>
      <c r="AM1681" s="311" t="e">
        <f t="shared" si="658"/>
        <v>#REF!</v>
      </c>
      <c r="AN1681" s="312" t="e">
        <f t="shared" si="659"/>
        <v>#REF!</v>
      </c>
    </row>
    <row r="1682" spans="1:40" s="73" customFormat="1" x14ac:dyDescent="0.25">
      <c r="A1682" s="313"/>
      <c r="B1682" s="314"/>
      <c r="D1682" s="74">
        <f>IFERROR(VLOOKUP(B1682,'REQ. PINTADO'!B:C,2,0),0)</f>
        <v>0</v>
      </c>
      <c r="E1682" s="305">
        <f t="shared" si="646"/>
        <v>0</v>
      </c>
      <c r="F1682" s="103" t="s">
        <v>163</v>
      </c>
      <c r="G1682" s="75" t="s">
        <v>147</v>
      </c>
      <c r="H1682" s="90"/>
      <c r="I1682" s="90"/>
      <c r="J1682" s="76">
        <v>0.105</v>
      </c>
      <c r="K1682" s="306">
        <v>16.38</v>
      </c>
      <c r="L1682" s="78">
        <f t="shared" si="647"/>
        <v>0</v>
      </c>
      <c r="M1682" s="58">
        <f>+VLOOKUP(F1682,Material!$H$2:$M$17,6,FALSE)*H1682*I1682*(1+Material!$K$14)</f>
        <v>0</v>
      </c>
      <c r="N1682" s="79" t="str">
        <f>+N1301</f>
        <v>T5.0</v>
      </c>
      <c r="O1682" s="80">
        <f>+VLOOKUP(N1682,[3]Material!$A$3:$B$58,2,FALSE)</f>
        <v>5000</v>
      </c>
      <c r="P1682" s="79" t="s">
        <v>42</v>
      </c>
      <c r="Q1682" s="79" t="str">
        <f>+VLOOKUP(F1682,[3]Material!$C$2:$E$12,2,FALSE)</f>
        <v>Cal 12</v>
      </c>
      <c r="R1682" s="81">
        <f>+IF(P1682="ACERO A36",VLOOKUP(Q1682,'[3]Velocidades Std 1500 w'!$B$2:$F$15,5,FALSE),IF(P1682="INOXIDABLE",VLOOKUP(Q1682,'[3]Velocidades Std 1500 w'!$B$17:$F$28,5,FALSE),IF(P1682="ALUMINIO",VLOOKUP(Q1682,'[3]Velocidades Std 1500 w'!$B$30:$F$38,5,FALSE))))</f>
        <v>4.3859649122807014E-6</v>
      </c>
      <c r="S1682" s="82">
        <f t="shared" si="648"/>
        <v>2.1929824561403508E-2</v>
      </c>
      <c r="T1682" s="83">
        <f t="shared" si="649"/>
        <v>0</v>
      </c>
      <c r="U1682" s="307">
        <f t="shared" si="650"/>
        <v>0</v>
      </c>
      <c r="V1682" s="80">
        <f t="shared" si="651"/>
        <v>0</v>
      </c>
      <c r="W1682" s="98"/>
      <c r="X1682" s="84">
        <f>+IF(P1682="ACERO A36",VLOOKUP(Q1682,'[3]Tiempo Objeto'!$B$2:$C$12,2,FALSE),IF(P1682="INOXIDABLE",VLOOKUP(Q1682,'[3]Tiempo Objeto'!$B$14:$C$22,2,FALSE),IF(P1682="ALUMINIO",VLOOKUP(Q1682,'[3]Tiempo Objeto'!$B$24:$C$32,2,FALSE))))</f>
        <v>0.6133333333333334</v>
      </c>
      <c r="Y1682" s="84">
        <f t="shared" si="652"/>
        <v>0</v>
      </c>
      <c r="Z1682" s="80">
        <f t="shared" si="653"/>
        <v>0</v>
      </c>
      <c r="AA1682" s="100"/>
      <c r="AB1682" s="86">
        <f>+AA1682*Analisis!$J$6</f>
        <v>0</v>
      </c>
      <c r="AC1682" s="100"/>
      <c r="AD1682" s="85">
        <f t="shared" si="654"/>
        <v>0</v>
      </c>
      <c r="AE1682" s="86">
        <f>+AC1682*Analisis!$J$7</f>
        <v>0</v>
      </c>
      <c r="AF1682" s="308">
        <f>+H1682*0.0254*I1682*0.0254*2*(1+[3]Analisis!$G$2)</f>
        <v>0</v>
      </c>
      <c r="AG1682" s="86">
        <f>+AF1682*Analisis!$J$8</f>
        <v>0</v>
      </c>
      <c r="AH1682" s="309">
        <f t="shared" si="655"/>
        <v>0</v>
      </c>
      <c r="AI1682" s="86">
        <f>+AH1682/(1-Analisis!G1313)</f>
        <v>0</v>
      </c>
      <c r="AJ1682" s="86">
        <f t="shared" si="656"/>
        <v>0</v>
      </c>
      <c r="AK1682" s="86">
        <f t="shared" si="657"/>
        <v>0</v>
      </c>
      <c r="AL1682" s="310" t="e">
        <f>+VLOOKUP(B1682,#REF!,2,FALSE)</f>
        <v>#REF!</v>
      </c>
      <c r="AM1682" s="311" t="e">
        <f t="shared" si="658"/>
        <v>#REF!</v>
      </c>
      <c r="AN1682" s="312" t="e">
        <f t="shared" si="659"/>
        <v>#REF!</v>
      </c>
    </row>
    <row r="1683" spans="1:40" s="73" customFormat="1" x14ac:dyDescent="0.25">
      <c r="A1683" s="313"/>
      <c r="B1683" s="314"/>
      <c r="D1683" s="74">
        <f>IFERROR(VLOOKUP(B1683,'REQ. PINTADO'!B:C,2,0),0)</f>
        <v>0</v>
      </c>
      <c r="E1683" s="305">
        <f t="shared" si="646"/>
        <v>0</v>
      </c>
      <c r="F1683" s="103" t="s">
        <v>163</v>
      </c>
      <c r="G1683" s="75" t="s">
        <v>147</v>
      </c>
      <c r="H1683" s="90"/>
      <c r="I1683" s="90"/>
      <c r="J1683" s="76">
        <v>0.105</v>
      </c>
      <c r="K1683" s="306">
        <v>16.38</v>
      </c>
      <c r="L1683" s="78">
        <f t="shared" si="647"/>
        <v>0</v>
      </c>
      <c r="M1683" s="58">
        <f>+VLOOKUP(F1683,Material!$H$2:$M$17,6,FALSE)*H1683*I1683*(1+Material!$K$14)</f>
        <v>0</v>
      </c>
      <c r="N1683" s="79" t="str">
        <f>+N1302</f>
        <v>T5.0</v>
      </c>
      <c r="O1683" s="80">
        <f>+VLOOKUP(N1683,[3]Material!$A$3:$B$58,2,FALSE)</f>
        <v>5000</v>
      </c>
      <c r="P1683" s="79" t="s">
        <v>42</v>
      </c>
      <c r="Q1683" s="79" t="str">
        <f>+VLOOKUP(F1683,[3]Material!$C$2:$E$12,2,FALSE)</f>
        <v>Cal 12</v>
      </c>
      <c r="R1683" s="81">
        <f>+IF(P1683="ACERO A36",VLOOKUP(Q1683,'[3]Velocidades Std 1500 w'!$B$2:$F$15,5,FALSE),IF(P1683="INOXIDABLE",VLOOKUP(Q1683,'[3]Velocidades Std 1500 w'!$B$17:$F$28,5,FALSE),IF(P1683="ALUMINIO",VLOOKUP(Q1683,'[3]Velocidades Std 1500 w'!$B$30:$F$38,5,FALSE))))</f>
        <v>4.3859649122807014E-6</v>
      </c>
      <c r="S1683" s="82">
        <f t="shared" si="648"/>
        <v>2.1929824561403508E-2</v>
      </c>
      <c r="T1683" s="83">
        <f t="shared" si="649"/>
        <v>0</v>
      </c>
      <c r="U1683" s="307">
        <f t="shared" si="650"/>
        <v>0</v>
      </c>
      <c r="V1683" s="80">
        <f t="shared" si="651"/>
        <v>0</v>
      </c>
      <c r="W1683" s="98"/>
      <c r="X1683" s="84">
        <f>+IF(P1683="ACERO A36",VLOOKUP(Q1683,'[3]Tiempo Objeto'!$B$2:$C$12,2,FALSE),IF(P1683="INOXIDABLE",VLOOKUP(Q1683,'[3]Tiempo Objeto'!$B$14:$C$22,2,FALSE),IF(P1683="ALUMINIO",VLOOKUP(Q1683,'[3]Tiempo Objeto'!$B$24:$C$32,2,FALSE))))</f>
        <v>0.6133333333333334</v>
      </c>
      <c r="Y1683" s="84">
        <f t="shared" si="652"/>
        <v>0</v>
      </c>
      <c r="Z1683" s="80">
        <f t="shared" si="653"/>
        <v>0</v>
      </c>
      <c r="AA1683" s="100"/>
      <c r="AB1683" s="86">
        <f>+AA1683*Analisis!$J$6</f>
        <v>0</v>
      </c>
      <c r="AC1683" s="100"/>
      <c r="AD1683" s="85">
        <f t="shared" si="654"/>
        <v>0</v>
      </c>
      <c r="AE1683" s="86">
        <f>+AC1683*Analisis!$J$7</f>
        <v>0</v>
      </c>
      <c r="AF1683" s="308">
        <f>+H1683*0.0254*I1683*0.0254*2*(1+[3]Analisis!$G$2)</f>
        <v>0</v>
      </c>
      <c r="AG1683" s="86">
        <f>+AF1683*Analisis!$J$8</f>
        <v>0</v>
      </c>
      <c r="AH1683" s="309">
        <f t="shared" si="655"/>
        <v>0</v>
      </c>
      <c r="AI1683" s="86">
        <f>+AH1683/(1-Analisis!G1314)</f>
        <v>0</v>
      </c>
      <c r="AJ1683" s="86">
        <f t="shared" si="656"/>
        <v>0</v>
      </c>
      <c r="AK1683" s="86">
        <f t="shared" si="657"/>
        <v>0</v>
      </c>
      <c r="AL1683" s="310" t="e">
        <f>+VLOOKUP(B1683,#REF!,2,FALSE)</f>
        <v>#REF!</v>
      </c>
      <c r="AM1683" s="311" t="e">
        <f t="shared" si="658"/>
        <v>#REF!</v>
      </c>
      <c r="AN1683" s="312" t="e">
        <f t="shared" si="659"/>
        <v>#REF!</v>
      </c>
    </row>
    <row r="1684" spans="1:40" s="73" customFormat="1" x14ac:dyDescent="0.25">
      <c r="A1684" s="313"/>
      <c r="B1684" s="314"/>
      <c r="D1684" s="74">
        <f>IFERROR(VLOOKUP(B1684,'REQ. PINTADO'!B:C,2,0),0)</f>
        <v>0</v>
      </c>
      <c r="E1684" s="305">
        <f t="shared" si="646"/>
        <v>0</v>
      </c>
      <c r="F1684" s="103" t="s">
        <v>163</v>
      </c>
      <c r="G1684" s="75" t="s">
        <v>147</v>
      </c>
      <c r="H1684" s="90"/>
      <c r="I1684" s="90"/>
      <c r="J1684" s="76">
        <v>0.105</v>
      </c>
      <c r="K1684" s="306">
        <v>16.38</v>
      </c>
      <c r="L1684" s="78">
        <f t="shared" si="647"/>
        <v>0</v>
      </c>
      <c r="M1684" s="58">
        <f>+VLOOKUP(F1684,Material!$H$2:$M$17,6,FALSE)*H1684*I1684*(1+Material!$K$14)</f>
        <v>0</v>
      </c>
      <c r="N1684" s="79" t="str">
        <f>+N1303</f>
        <v>T5.0</v>
      </c>
      <c r="O1684" s="80">
        <f>+VLOOKUP(N1684,[3]Material!$A$3:$B$58,2,FALSE)</f>
        <v>5000</v>
      </c>
      <c r="P1684" s="79" t="s">
        <v>42</v>
      </c>
      <c r="Q1684" s="79" t="str">
        <f>+VLOOKUP(F1684,[3]Material!$C$2:$E$12,2,FALSE)</f>
        <v>Cal 12</v>
      </c>
      <c r="R1684" s="81">
        <f>+IF(P1684="ACERO A36",VLOOKUP(Q1684,'[3]Velocidades Std 1500 w'!$B$2:$F$15,5,FALSE),IF(P1684="INOXIDABLE",VLOOKUP(Q1684,'[3]Velocidades Std 1500 w'!$B$17:$F$28,5,FALSE),IF(P1684="ALUMINIO",VLOOKUP(Q1684,'[3]Velocidades Std 1500 w'!$B$30:$F$38,5,FALSE))))</f>
        <v>4.3859649122807014E-6</v>
      </c>
      <c r="S1684" s="82">
        <f t="shared" si="648"/>
        <v>2.1929824561403508E-2</v>
      </c>
      <c r="T1684" s="83">
        <f t="shared" si="649"/>
        <v>0</v>
      </c>
      <c r="U1684" s="307">
        <f t="shared" si="650"/>
        <v>0</v>
      </c>
      <c r="V1684" s="80">
        <f t="shared" si="651"/>
        <v>0</v>
      </c>
      <c r="W1684" s="98"/>
      <c r="X1684" s="84">
        <f>+IF(P1684="ACERO A36",VLOOKUP(Q1684,'[3]Tiempo Objeto'!$B$2:$C$12,2,FALSE),IF(P1684="INOXIDABLE",VLOOKUP(Q1684,'[3]Tiempo Objeto'!$B$14:$C$22,2,FALSE),IF(P1684="ALUMINIO",VLOOKUP(Q1684,'[3]Tiempo Objeto'!$B$24:$C$32,2,FALSE))))</f>
        <v>0.6133333333333334</v>
      </c>
      <c r="Y1684" s="84">
        <f t="shared" si="652"/>
        <v>0</v>
      </c>
      <c r="Z1684" s="80">
        <f t="shared" si="653"/>
        <v>0</v>
      </c>
      <c r="AA1684" s="100"/>
      <c r="AB1684" s="86">
        <f>+AA1684*Analisis!$J$6</f>
        <v>0</v>
      </c>
      <c r="AC1684" s="100"/>
      <c r="AD1684" s="85">
        <f t="shared" si="654"/>
        <v>0</v>
      </c>
      <c r="AE1684" s="86">
        <f>+AC1684*Analisis!$J$7</f>
        <v>0</v>
      </c>
      <c r="AF1684" s="308">
        <f>+H1684*0.0254*I1684*0.0254*2*(1+[3]Analisis!$G$2)</f>
        <v>0</v>
      </c>
      <c r="AG1684" s="86">
        <f>+AF1684*Analisis!$J$8</f>
        <v>0</v>
      </c>
      <c r="AH1684" s="309">
        <f t="shared" si="655"/>
        <v>0</v>
      </c>
      <c r="AI1684" s="86">
        <f>+AH1684/(1-Analisis!G1315)</f>
        <v>0</v>
      </c>
      <c r="AJ1684" s="86">
        <f t="shared" si="656"/>
        <v>0</v>
      </c>
      <c r="AK1684" s="86">
        <f t="shared" si="657"/>
        <v>0</v>
      </c>
      <c r="AL1684" s="310" t="e">
        <f>+VLOOKUP(B1684,#REF!,2,FALSE)</f>
        <v>#REF!</v>
      </c>
      <c r="AM1684" s="311" t="e">
        <f t="shared" si="658"/>
        <v>#REF!</v>
      </c>
      <c r="AN1684" s="312" t="e">
        <f t="shared" si="659"/>
        <v>#REF!</v>
      </c>
    </row>
    <row r="1685" spans="1:40" s="73" customFormat="1" x14ac:dyDescent="0.25">
      <c r="A1685" s="313"/>
      <c r="B1685" s="314"/>
      <c r="D1685" s="74">
        <f>IFERROR(VLOOKUP(B1685,'REQ. PINTADO'!B:C,2,0),0)</f>
        <v>0</v>
      </c>
      <c r="E1685" s="305">
        <f t="shared" si="646"/>
        <v>0</v>
      </c>
      <c r="F1685" s="103" t="s">
        <v>163</v>
      </c>
      <c r="G1685" s="75" t="s">
        <v>147</v>
      </c>
      <c r="H1685" s="90"/>
      <c r="I1685" s="90"/>
      <c r="J1685" s="76">
        <v>0.105</v>
      </c>
      <c r="K1685" s="306">
        <v>16.38</v>
      </c>
      <c r="L1685" s="78">
        <f t="shared" si="647"/>
        <v>0</v>
      </c>
      <c r="M1685" s="58">
        <f>+VLOOKUP(F1685,Material!$H$2:$M$17,6,FALSE)*H1685*I1685*(1+Material!$K$14)</f>
        <v>0</v>
      </c>
      <c r="N1685" s="79" t="str">
        <f>+N1304</f>
        <v>T5.0</v>
      </c>
      <c r="O1685" s="80">
        <f>+VLOOKUP(N1685,[3]Material!$A$3:$B$58,2,FALSE)</f>
        <v>5000</v>
      </c>
      <c r="P1685" s="79" t="s">
        <v>42</v>
      </c>
      <c r="Q1685" s="79" t="str">
        <f>+VLOOKUP(F1685,[3]Material!$C$2:$E$12,2,FALSE)</f>
        <v>Cal 12</v>
      </c>
      <c r="R1685" s="81">
        <f>+IF(P1685="ACERO A36",VLOOKUP(Q1685,'[3]Velocidades Std 1500 w'!$B$2:$F$15,5,FALSE),IF(P1685="INOXIDABLE",VLOOKUP(Q1685,'[3]Velocidades Std 1500 w'!$B$17:$F$28,5,FALSE),IF(P1685="ALUMINIO",VLOOKUP(Q1685,'[3]Velocidades Std 1500 w'!$B$30:$F$38,5,FALSE))))</f>
        <v>4.3859649122807014E-6</v>
      </c>
      <c r="S1685" s="82">
        <f t="shared" si="648"/>
        <v>2.1929824561403508E-2</v>
      </c>
      <c r="T1685" s="83">
        <f t="shared" si="649"/>
        <v>0</v>
      </c>
      <c r="U1685" s="307">
        <f t="shared" si="650"/>
        <v>0</v>
      </c>
      <c r="V1685" s="80">
        <f t="shared" si="651"/>
        <v>0</v>
      </c>
      <c r="W1685" s="98"/>
      <c r="X1685" s="84">
        <f>+IF(P1685="ACERO A36",VLOOKUP(Q1685,'[3]Tiempo Objeto'!$B$2:$C$12,2,FALSE),IF(P1685="INOXIDABLE",VLOOKUP(Q1685,'[3]Tiempo Objeto'!$B$14:$C$22,2,FALSE),IF(P1685="ALUMINIO",VLOOKUP(Q1685,'[3]Tiempo Objeto'!$B$24:$C$32,2,FALSE))))</f>
        <v>0.6133333333333334</v>
      </c>
      <c r="Y1685" s="84">
        <f t="shared" si="652"/>
        <v>0</v>
      </c>
      <c r="Z1685" s="80">
        <f t="shared" si="653"/>
        <v>0</v>
      </c>
      <c r="AA1685" s="100"/>
      <c r="AB1685" s="86">
        <f>+AA1685*Analisis!$J$6</f>
        <v>0</v>
      </c>
      <c r="AC1685" s="100"/>
      <c r="AD1685" s="85">
        <f t="shared" si="654"/>
        <v>0</v>
      </c>
      <c r="AE1685" s="86">
        <f>+AC1685*Analisis!$J$7</f>
        <v>0</v>
      </c>
      <c r="AF1685" s="308">
        <f>+H1685*0.0254*I1685*0.0254*2*(1+[3]Analisis!$G$2)</f>
        <v>0</v>
      </c>
      <c r="AG1685" s="86">
        <f>+AF1685*Analisis!$J$8</f>
        <v>0</v>
      </c>
      <c r="AH1685" s="309">
        <f t="shared" si="655"/>
        <v>0</v>
      </c>
      <c r="AI1685" s="86">
        <f>+AH1685/(1-Analisis!G1316)</f>
        <v>0</v>
      </c>
      <c r="AJ1685" s="86">
        <f t="shared" si="656"/>
        <v>0</v>
      </c>
      <c r="AK1685" s="86">
        <f t="shared" si="657"/>
        <v>0</v>
      </c>
      <c r="AL1685" s="310" t="e">
        <f>+VLOOKUP(B1685,#REF!,2,FALSE)</f>
        <v>#REF!</v>
      </c>
      <c r="AM1685" s="311" t="e">
        <f t="shared" si="658"/>
        <v>#REF!</v>
      </c>
      <c r="AN1685" s="312" t="e">
        <f t="shared" si="659"/>
        <v>#REF!</v>
      </c>
    </row>
    <row r="1686" spans="1:40" s="73" customFormat="1" x14ac:dyDescent="0.25">
      <c r="A1686" s="313"/>
      <c r="B1686" s="314"/>
      <c r="D1686" s="74">
        <f>IFERROR(VLOOKUP(B1686,'REQ. PINTADO'!B:C,2,0),0)</f>
        <v>0</v>
      </c>
      <c r="E1686" s="305">
        <f t="shared" si="646"/>
        <v>0</v>
      </c>
      <c r="F1686" s="103" t="s">
        <v>163</v>
      </c>
      <c r="G1686" s="75" t="s">
        <v>147</v>
      </c>
      <c r="H1686" s="90"/>
      <c r="I1686" s="90"/>
      <c r="J1686" s="76">
        <v>0.105</v>
      </c>
      <c r="K1686" s="306">
        <v>16.38</v>
      </c>
      <c r="L1686" s="78">
        <f t="shared" si="647"/>
        <v>0</v>
      </c>
      <c r="M1686" s="58">
        <f>+VLOOKUP(F1686,Material!$H$2:$M$17,6,FALSE)*H1686*I1686*(1+Material!$K$14)</f>
        <v>0</v>
      </c>
      <c r="N1686" s="79" t="str">
        <f>+N1305</f>
        <v>T5.0</v>
      </c>
      <c r="O1686" s="80">
        <f>+VLOOKUP(N1686,[3]Material!$A$3:$B$58,2,FALSE)</f>
        <v>5000</v>
      </c>
      <c r="P1686" s="79" t="s">
        <v>42</v>
      </c>
      <c r="Q1686" s="79" t="str">
        <f>+VLOOKUP(F1686,[3]Material!$C$2:$E$12,2,FALSE)</f>
        <v>Cal 12</v>
      </c>
      <c r="R1686" s="81">
        <f>+IF(P1686="ACERO A36",VLOOKUP(Q1686,'[3]Velocidades Std 1500 w'!$B$2:$F$15,5,FALSE),IF(P1686="INOXIDABLE",VLOOKUP(Q1686,'[3]Velocidades Std 1500 w'!$B$17:$F$28,5,FALSE),IF(P1686="ALUMINIO",VLOOKUP(Q1686,'[3]Velocidades Std 1500 w'!$B$30:$F$38,5,FALSE))))</f>
        <v>4.3859649122807014E-6</v>
      </c>
      <c r="S1686" s="82">
        <f t="shared" si="648"/>
        <v>2.1929824561403508E-2</v>
      </c>
      <c r="T1686" s="83">
        <f t="shared" si="649"/>
        <v>0</v>
      </c>
      <c r="U1686" s="307">
        <f t="shared" si="650"/>
        <v>0</v>
      </c>
      <c r="V1686" s="80">
        <f t="shared" si="651"/>
        <v>0</v>
      </c>
      <c r="W1686" s="98"/>
      <c r="X1686" s="84">
        <f>+IF(P1686="ACERO A36",VLOOKUP(Q1686,'[3]Tiempo Objeto'!$B$2:$C$12,2,FALSE),IF(P1686="INOXIDABLE",VLOOKUP(Q1686,'[3]Tiempo Objeto'!$B$14:$C$22,2,FALSE),IF(P1686="ALUMINIO",VLOOKUP(Q1686,'[3]Tiempo Objeto'!$B$24:$C$32,2,FALSE))))</f>
        <v>0.6133333333333334</v>
      </c>
      <c r="Y1686" s="84">
        <f t="shared" si="652"/>
        <v>0</v>
      </c>
      <c r="Z1686" s="80">
        <f t="shared" si="653"/>
        <v>0</v>
      </c>
      <c r="AA1686" s="100"/>
      <c r="AB1686" s="86">
        <f>+AA1686*Analisis!$J$6</f>
        <v>0</v>
      </c>
      <c r="AC1686" s="100"/>
      <c r="AD1686" s="85">
        <f t="shared" si="654"/>
        <v>0</v>
      </c>
      <c r="AE1686" s="86">
        <f>+AC1686*Analisis!$J$7</f>
        <v>0</v>
      </c>
      <c r="AF1686" s="308">
        <f>+H1686*0.0254*I1686*0.0254*2*(1+[3]Analisis!$G$2)</f>
        <v>0</v>
      </c>
      <c r="AG1686" s="86">
        <f>+AF1686*Analisis!$J$8</f>
        <v>0</v>
      </c>
      <c r="AH1686" s="309">
        <f t="shared" si="655"/>
        <v>0</v>
      </c>
      <c r="AI1686" s="86">
        <f>+AH1686/(1-Analisis!G1317)</f>
        <v>0</v>
      </c>
      <c r="AJ1686" s="86">
        <f t="shared" si="656"/>
        <v>0</v>
      </c>
      <c r="AK1686" s="86">
        <f t="shared" si="657"/>
        <v>0</v>
      </c>
      <c r="AL1686" s="310" t="e">
        <f>+VLOOKUP(B1686,#REF!,2,FALSE)</f>
        <v>#REF!</v>
      </c>
      <c r="AM1686" s="311" t="e">
        <f t="shared" si="658"/>
        <v>#REF!</v>
      </c>
      <c r="AN1686" s="312" t="e">
        <f t="shared" si="659"/>
        <v>#REF!</v>
      </c>
    </row>
    <row r="1687" spans="1:40" s="73" customFormat="1" x14ac:dyDescent="0.25">
      <c r="A1687" s="313"/>
      <c r="B1687" s="314"/>
      <c r="D1687" s="74">
        <f>IFERROR(VLOOKUP(B1687,'REQ. PINTADO'!B:C,2,0),0)</f>
        <v>0</v>
      </c>
      <c r="E1687" s="305">
        <f t="shared" si="646"/>
        <v>0</v>
      </c>
      <c r="F1687" s="103" t="s">
        <v>163</v>
      </c>
      <c r="G1687" s="75" t="s">
        <v>147</v>
      </c>
      <c r="H1687" s="90"/>
      <c r="I1687" s="90"/>
      <c r="J1687" s="76">
        <v>0.105</v>
      </c>
      <c r="K1687" s="306">
        <v>16.38</v>
      </c>
      <c r="L1687" s="78">
        <f t="shared" si="647"/>
        <v>0</v>
      </c>
      <c r="M1687" s="58">
        <f>+VLOOKUP(F1687,Material!$H$2:$M$17,6,FALSE)*H1687*I1687*(1+Material!$K$14)</f>
        <v>0</v>
      </c>
      <c r="N1687" s="79" t="str">
        <f>+N1306</f>
        <v>T5.0</v>
      </c>
      <c r="O1687" s="80">
        <f>+VLOOKUP(N1687,[3]Material!$A$3:$B$58,2,FALSE)</f>
        <v>5000</v>
      </c>
      <c r="P1687" s="79" t="s">
        <v>42</v>
      </c>
      <c r="Q1687" s="79" t="str">
        <f>+VLOOKUP(F1687,[3]Material!$C$2:$E$12,2,FALSE)</f>
        <v>Cal 12</v>
      </c>
      <c r="R1687" s="81">
        <f>+IF(P1687="ACERO A36",VLOOKUP(Q1687,'[3]Velocidades Std 1500 w'!$B$2:$F$15,5,FALSE),IF(P1687="INOXIDABLE",VLOOKUP(Q1687,'[3]Velocidades Std 1500 w'!$B$17:$F$28,5,FALSE),IF(P1687="ALUMINIO",VLOOKUP(Q1687,'[3]Velocidades Std 1500 w'!$B$30:$F$38,5,FALSE))))</f>
        <v>4.3859649122807014E-6</v>
      </c>
      <c r="S1687" s="82">
        <f t="shared" si="648"/>
        <v>2.1929824561403508E-2</v>
      </c>
      <c r="T1687" s="83">
        <f t="shared" si="649"/>
        <v>0</v>
      </c>
      <c r="U1687" s="307">
        <f t="shared" si="650"/>
        <v>0</v>
      </c>
      <c r="V1687" s="80">
        <f t="shared" si="651"/>
        <v>0</v>
      </c>
      <c r="W1687" s="98"/>
      <c r="X1687" s="84">
        <f>+IF(P1687="ACERO A36",VLOOKUP(Q1687,'[3]Tiempo Objeto'!$B$2:$C$12,2,FALSE),IF(P1687="INOXIDABLE",VLOOKUP(Q1687,'[3]Tiempo Objeto'!$B$14:$C$22,2,FALSE),IF(P1687="ALUMINIO",VLOOKUP(Q1687,'[3]Tiempo Objeto'!$B$24:$C$32,2,FALSE))))</f>
        <v>0.6133333333333334</v>
      </c>
      <c r="Y1687" s="84">
        <f t="shared" si="652"/>
        <v>0</v>
      </c>
      <c r="Z1687" s="80">
        <f t="shared" si="653"/>
        <v>0</v>
      </c>
      <c r="AA1687" s="100"/>
      <c r="AB1687" s="86">
        <f>+AA1687*Analisis!$J$6</f>
        <v>0</v>
      </c>
      <c r="AC1687" s="100"/>
      <c r="AD1687" s="85">
        <f t="shared" si="654"/>
        <v>0</v>
      </c>
      <c r="AE1687" s="86">
        <f>+AC1687*Analisis!$J$7</f>
        <v>0</v>
      </c>
      <c r="AF1687" s="308">
        <f>+H1687*0.0254*I1687*0.0254*2*(1+[3]Analisis!$G$2)</f>
        <v>0</v>
      </c>
      <c r="AG1687" s="86">
        <f>+AF1687*Analisis!$J$8</f>
        <v>0</v>
      </c>
      <c r="AH1687" s="309">
        <f t="shared" si="655"/>
        <v>0</v>
      </c>
      <c r="AI1687" s="86">
        <f>+AH1687/(1-Analisis!G1318)</f>
        <v>0</v>
      </c>
      <c r="AJ1687" s="86">
        <f t="shared" si="656"/>
        <v>0</v>
      </c>
      <c r="AK1687" s="86">
        <f t="shared" si="657"/>
        <v>0</v>
      </c>
      <c r="AL1687" s="310" t="e">
        <f>+VLOOKUP(B1687,#REF!,2,FALSE)</f>
        <v>#REF!</v>
      </c>
      <c r="AM1687" s="311" t="e">
        <f t="shared" si="658"/>
        <v>#REF!</v>
      </c>
      <c r="AN1687" s="312" t="e">
        <f t="shared" si="659"/>
        <v>#REF!</v>
      </c>
    </row>
    <row r="1688" spans="1:40" s="73" customFormat="1" x14ac:dyDescent="0.25">
      <c r="A1688" s="313"/>
      <c r="B1688" s="314"/>
      <c r="D1688" s="74">
        <f>IFERROR(VLOOKUP(B1688,'REQ. PINTADO'!B:C,2,0),0)</f>
        <v>0</v>
      </c>
      <c r="E1688" s="305">
        <f t="shared" si="646"/>
        <v>0</v>
      </c>
      <c r="F1688" s="103" t="s">
        <v>163</v>
      </c>
      <c r="G1688" s="75" t="s">
        <v>147</v>
      </c>
      <c r="H1688" s="90"/>
      <c r="I1688" s="90"/>
      <c r="J1688" s="76">
        <v>0.105</v>
      </c>
      <c r="K1688" s="306">
        <v>16.38</v>
      </c>
      <c r="L1688" s="78">
        <f t="shared" si="647"/>
        <v>0</v>
      </c>
      <c r="M1688" s="58">
        <f>+VLOOKUP(F1688,Material!$H$2:$M$17,6,FALSE)*H1688*I1688*(1+Material!$K$14)</f>
        <v>0</v>
      </c>
      <c r="N1688" s="79" t="str">
        <f>+N1307</f>
        <v>T5.0</v>
      </c>
      <c r="O1688" s="80">
        <f>+VLOOKUP(N1688,[3]Material!$A$3:$B$58,2,FALSE)</f>
        <v>5000</v>
      </c>
      <c r="P1688" s="79" t="s">
        <v>42</v>
      </c>
      <c r="Q1688" s="79" t="str">
        <f>+VLOOKUP(F1688,[3]Material!$C$2:$E$12,2,FALSE)</f>
        <v>Cal 12</v>
      </c>
      <c r="R1688" s="81">
        <f>+IF(P1688="ACERO A36",VLOOKUP(Q1688,'[3]Velocidades Std 1500 w'!$B$2:$F$15,5,FALSE),IF(P1688="INOXIDABLE",VLOOKUP(Q1688,'[3]Velocidades Std 1500 w'!$B$17:$F$28,5,FALSE),IF(P1688="ALUMINIO",VLOOKUP(Q1688,'[3]Velocidades Std 1500 w'!$B$30:$F$38,5,FALSE))))</f>
        <v>4.3859649122807014E-6</v>
      </c>
      <c r="S1688" s="82">
        <f t="shared" si="648"/>
        <v>2.1929824561403508E-2</v>
      </c>
      <c r="T1688" s="83">
        <f t="shared" si="649"/>
        <v>0</v>
      </c>
      <c r="U1688" s="307">
        <f t="shared" si="650"/>
        <v>0</v>
      </c>
      <c r="V1688" s="80">
        <f t="shared" si="651"/>
        <v>0</v>
      </c>
      <c r="W1688" s="98"/>
      <c r="X1688" s="84">
        <f>+IF(P1688="ACERO A36",VLOOKUP(Q1688,'[3]Tiempo Objeto'!$B$2:$C$12,2,FALSE),IF(P1688="INOXIDABLE",VLOOKUP(Q1688,'[3]Tiempo Objeto'!$B$14:$C$22,2,FALSE),IF(P1688="ALUMINIO",VLOOKUP(Q1688,'[3]Tiempo Objeto'!$B$24:$C$32,2,FALSE))))</f>
        <v>0.6133333333333334</v>
      </c>
      <c r="Y1688" s="84">
        <f t="shared" si="652"/>
        <v>0</v>
      </c>
      <c r="Z1688" s="80">
        <f t="shared" si="653"/>
        <v>0</v>
      </c>
      <c r="AA1688" s="100"/>
      <c r="AB1688" s="86">
        <f>+AA1688*Analisis!$J$6</f>
        <v>0</v>
      </c>
      <c r="AC1688" s="100"/>
      <c r="AD1688" s="85">
        <f t="shared" si="654"/>
        <v>0</v>
      </c>
      <c r="AE1688" s="86">
        <f>+AC1688*Analisis!$J$7</f>
        <v>0</v>
      </c>
      <c r="AF1688" s="308">
        <f>+H1688*0.0254*I1688*0.0254*2*(1+[3]Analisis!$G$2)</f>
        <v>0</v>
      </c>
      <c r="AG1688" s="86">
        <f>+AF1688*Analisis!$J$8</f>
        <v>0</v>
      </c>
      <c r="AH1688" s="309">
        <f t="shared" si="655"/>
        <v>0</v>
      </c>
      <c r="AI1688" s="86">
        <f>+AH1688/(1-Analisis!G1319)</f>
        <v>0</v>
      </c>
      <c r="AJ1688" s="86">
        <f t="shared" si="656"/>
        <v>0</v>
      </c>
      <c r="AK1688" s="86">
        <f t="shared" si="657"/>
        <v>0</v>
      </c>
      <c r="AL1688" s="310" t="e">
        <f>+VLOOKUP(B1688,#REF!,2,FALSE)</f>
        <v>#REF!</v>
      </c>
      <c r="AM1688" s="311" t="e">
        <f t="shared" si="658"/>
        <v>#REF!</v>
      </c>
      <c r="AN1688" s="312" t="e">
        <f t="shared" si="659"/>
        <v>#REF!</v>
      </c>
    </row>
    <row r="1689" spans="1:40" s="73" customFormat="1" x14ac:dyDescent="0.25">
      <c r="A1689" s="313"/>
      <c r="B1689" s="314"/>
      <c r="D1689" s="74">
        <f>IFERROR(VLOOKUP(B1689,'REQ. PINTADO'!B:C,2,0),0)</f>
        <v>0</v>
      </c>
      <c r="E1689" s="305">
        <f t="shared" si="646"/>
        <v>0</v>
      </c>
      <c r="F1689" s="103" t="s">
        <v>163</v>
      </c>
      <c r="G1689" s="75" t="s">
        <v>147</v>
      </c>
      <c r="H1689" s="90"/>
      <c r="I1689" s="90"/>
      <c r="J1689" s="76">
        <v>0.105</v>
      </c>
      <c r="K1689" s="306">
        <v>16.38</v>
      </c>
      <c r="L1689" s="78">
        <f t="shared" si="647"/>
        <v>0</v>
      </c>
      <c r="M1689" s="58">
        <f>+VLOOKUP(F1689,Material!$H$2:$M$17,6,FALSE)*H1689*I1689*(1+Material!$K$14)</f>
        <v>0</v>
      </c>
      <c r="N1689" s="79" t="str">
        <f>+N1308</f>
        <v>T5.0</v>
      </c>
      <c r="O1689" s="80">
        <f>+VLOOKUP(N1689,[3]Material!$A$3:$B$58,2,FALSE)</f>
        <v>5000</v>
      </c>
      <c r="P1689" s="79" t="s">
        <v>42</v>
      </c>
      <c r="Q1689" s="79" t="str">
        <f>+VLOOKUP(F1689,[3]Material!$C$2:$E$12,2,FALSE)</f>
        <v>Cal 12</v>
      </c>
      <c r="R1689" s="81">
        <f>+IF(P1689="ACERO A36",VLOOKUP(Q1689,'[3]Velocidades Std 1500 w'!$B$2:$F$15,5,FALSE),IF(P1689="INOXIDABLE",VLOOKUP(Q1689,'[3]Velocidades Std 1500 w'!$B$17:$F$28,5,FALSE),IF(P1689="ALUMINIO",VLOOKUP(Q1689,'[3]Velocidades Std 1500 w'!$B$30:$F$38,5,FALSE))))</f>
        <v>4.3859649122807014E-6</v>
      </c>
      <c r="S1689" s="82">
        <f t="shared" si="648"/>
        <v>2.1929824561403508E-2</v>
      </c>
      <c r="T1689" s="83">
        <f t="shared" si="649"/>
        <v>0</v>
      </c>
      <c r="U1689" s="307">
        <f t="shared" si="650"/>
        <v>0</v>
      </c>
      <c r="V1689" s="80">
        <f t="shared" si="651"/>
        <v>0</v>
      </c>
      <c r="W1689" s="98"/>
      <c r="X1689" s="84">
        <f>+IF(P1689="ACERO A36",VLOOKUP(Q1689,'[3]Tiempo Objeto'!$B$2:$C$12,2,FALSE),IF(P1689="INOXIDABLE",VLOOKUP(Q1689,'[3]Tiempo Objeto'!$B$14:$C$22,2,FALSE),IF(P1689="ALUMINIO",VLOOKUP(Q1689,'[3]Tiempo Objeto'!$B$24:$C$32,2,FALSE))))</f>
        <v>0.6133333333333334</v>
      </c>
      <c r="Y1689" s="84">
        <f t="shared" si="652"/>
        <v>0</v>
      </c>
      <c r="Z1689" s="80">
        <f t="shared" si="653"/>
        <v>0</v>
      </c>
      <c r="AA1689" s="100"/>
      <c r="AB1689" s="86">
        <f>+AA1689*Analisis!$J$6</f>
        <v>0</v>
      </c>
      <c r="AC1689" s="100"/>
      <c r="AD1689" s="85">
        <f t="shared" si="654"/>
        <v>0</v>
      </c>
      <c r="AE1689" s="86">
        <f>+AC1689*Analisis!$J$7</f>
        <v>0</v>
      </c>
      <c r="AF1689" s="308">
        <f>+H1689*0.0254*I1689*0.0254*2*(1+[3]Analisis!$G$2)</f>
        <v>0</v>
      </c>
      <c r="AG1689" s="86">
        <f>+AF1689*Analisis!$J$8</f>
        <v>0</v>
      </c>
      <c r="AH1689" s="309">
        <f t="shared" si="655"/>
        <v>0</v>
      </c>
      <c r="AI1689" s="86">
        <f>+AH1689/(1-Analisis!G1320)</f>
        <v>0</v>
      </c>
      <c r="AJ1689" s="86">
        <f t="shared" si="656"/>
        <v>0</v>
      </c>
      <c r="AK1689" s="86">
        <f t="shared" si="657"/>
        <v>0</v>
      </c>
      <c r="AL1689" s="310" t="e">
        <f>+VLOOKUP(B1689,#REF!,2,FALSE)</f>
        <v>#REF!</v>
      </c>
      <c r="AM1689" s="311" t="e">
        <f t="shared" si="658"/>
        <v>#REF!</v>
      </c>
      <c r="AN1689" s="312" t="e">
        <f t="shared" si="659"/>
        <v>#REF!</v>
      </c>
    </row>
    <row r="1690" spans="1:40" s="73" customFormat="1" x14ac:dyDescent="0.25">
      <c r="A1690" s="313"/>
      <c r="B1690" s="314"/>
      <c r="D1690" s="74">
        <f>IFERROR(VLOOKUP(B1690,'REQ. PINTADO'!B:C,2,0),0)</f>
        <v>0</v>
      </c>
      <c r="E1690" s="305">
        <f t="shared" si="646"/>
        <v>0</v>
      </c>
      <c r="F1690" s="103" t="s">
        <v>163</v>
      </c>
      <c r="G1690" s="75" t="s">
        <v>147</v>
      </c>
      <c r="H1690" s="90"/>
      <c r="I1690" s="90"/>
      <c r="J1690" s="76">
        <v>0.105</v>
      </c>
      <c r="K1690" s="306">
        <v>16.38</v>
      </c>
      <c r="L1690" s="78">
        <f t="shared" si="647"/>
        <v>0</v>
      </c>
      <c r="M1690" s="58">
        <f>+VLOOKUP(F1690,Material!$H$2:$M$17,6,FALSE)*H1690*I1690*(1+Material!$K$14)</f>
        <v>0</v>
      </c>
      <c r="N1690" s="79" t="str">
        <f>+N1309</f>
        <v>T5.0</v>
      </c>
      <c r="O1690" s="80">
        <f>+VLOOKUP(N1690,[3]Material!$A$3:$B$58,2,FALSE)</f>
        <v>5000</v>
      </c>
      <c r="P1690" s="79" t="s">
        <v>42</v>
      </c>
      <c r="Q1690" s="79" t="str">
        <f>+VLOOKUP(F1690,[3]Material!$C$2:$E$12,2,FALSE)</f>
        <v>Cal 12</v>
      </c>
      <c r="R1690" s="81">
        <f>+IF(P1690="ACERO A36",VLOOKUP(Q1690,'[3]Velocidades Std 1500 w'!$B$2:$F$15,5,FALSE),IF(P1690="INOXIDABLE",VLOOKUP(Q1690,'[3]Velocidades Std 1500 w'!$B$17:$F$28,5,FALSE),IF(P1690="ALUMINIO",VLOOKUP(Q1690,'[3]Velocidades Std 1500 w'!$B$30:$F$38,5,FALSE))))</f>
        <v>4.3859649122807014E-6</v>
      </c>
      <c r="S1690" s="82">
        <f t="shared" si="648"/>
        <v>2.1929824561403508E-2</v>
      </c>
      <c r="T1690" s="83">
        <f t="shared" si="649"/>
        <v>0</v>
      </c>
      <c r="U1690" s="307">
        <f t="shared" si="650"/>
        <v>0</v>
      </c>
      <c r="V1690" s="80">
        <f t="shared" si="651"/>
        <v>0</v>
      </c>
      <c r="W1690" s="98"/>
      <c r="X1690" s="84">
        <f>+IF(P1690="ACERO A36",VLOOKUP(Q1690,'[3]Tiempo Objeto'!$B$2:$C$12,2,FALSE),IF(P1690="INOXIDABLE",VLOOKUP(Q1690,'[3]Tiempo Objeto'!$B$14:$C$22,2,FALSE),IF(P1690="ALUMINIO",VLOOKUP(Q1690,'[3]Tiempo Objeto'!$B$24:$C$32,2,FALSE))))</f>
        <v>0.6133333333333334</v>
      </c>
      <c r="Y1690" s="84">
        <f t="shared" si="652"/>
        <v>0</v>
      </c>
      <c r="Z1690" s="80">
        <f t="shared" si="653"/>
        <v>0</v>
      </c>
      <c r="AA1690" s="100"/>
      <c r="AB1690" s="86">
        <f>+AA1690*Analisis!$J$6</f>
        <v>0</v>
      </c>
      <c r="AC1690" s="100"/>
      <c r="AD1690" s="85">
        <f t="shared" si="654"/>
        <v>0</v>
      </c>
      <c r="AE1690" s="86">
        <f>+AC1690*Analisis!$J$7</f>
        <v>0</v>
      </c>
      <c r="AF1690" s="308">
        <f>+H1690*0.0254*I1690*0.0254*2*(1+[3]Analisis!$G$2)</f>
        <v>0</v>
      </c>
      <c r="AG1690" s="86">
        <f>+AF1690*Analisis!$J$8</f>
        <v>0</v>
      </c>
      <c r="AH1690" s="309">
        <f t="shared" si="655"/>
        <v>0</v>
      </c>
      <c r="AI1690" s="86">
        <f>+AH1690/(1-Analisis!G1321)</f>
        <v>0</v>
      </c>
      <c r="AJ1690" s="86">
        <f t="shared" si="656"/>
        <v>0</v>
      </c>
      <c r="AK1690" s="86">
        <f t="shared" si="657"/>
        <v>0</v>
      </c>
      <c r="AL1690" s="310" t="e">
        <f>+VLOOKUP(B1690,#REF!,2,FALSE)</f>
        <v>#REF!</v>
      </c>
      <c r="AM1690" s="311" t="e">
        <f t="shared" si="658"/>
        <v>#REF!</v>
      </c>
      <c r="AN1690" s="312" t="e">
        <f t="shared" si="659"/>
        <v>#REF!</v>
      </c>
    </row>
    <row r="1691" spans="1:40" s="73" customFormat="1" x14ac:dyDescent="0.25">
      <c r="A1691" s="313"/>
      <c r="B1691" s="314"/>
      <c r="D1691" s="74">
        <f>IFERROR(VLOOKUP(B1691,'REQ. PINTADO'!B:C,2,0),0)</f>
        <v>0</v>
      </c>
      <c r="E1691" s="305">
        <f t="shared" si="646"/>
        <v>0</v>
      </c>
      <c r="F1691" s="103" t="s">
        <v>163</v>
      </c>
      <c r="G1691" s="75" t="s">
        <v>147</v>
      </c>
      <c r="H1691" s="90"/>
      <c r="I1691" s="90"/>
      <c r="J1691" s="76">
        <v>0.105</v>
      </c>
      <c r="K1691" s="306">
        <v>16.38</v>
      </c>
      <c r="L1691" s="78">
        <f t="shared" si="647"/>
        <v>0</v>
      </c>
      <c r="M1691" s="58">
        <f>+VLOOKUP(F1691,Material!$H$2:$M$17,6,FALSE)*H1691*I1691*(1+Material!$K$14)</f>
        <v>0</v>
      </c>
      <c r="N1691" s="79" t="str">
        <f>+N1310</f>
        <v>T5.0</v>
      </c>
      <c r="O1691" s="80">
        <f>+VLOOKUP(N1691,[3]Material!$A$3:$B$58,2,FALSE)</f>
        <v>5000</v>
      </c>
      <c r="P1691" s="79" t="s">
        <v>42</v>
      </c>
      <c r="Q1691" s="79" t="str">
        <f>+VLOOKUP(F1691,[3]Material!$C$2:$E$12,2,FALSE)</f>
        <v>Cal 12</v>
      </c>
      <c r="R1691" s="81">
        <f>+IF(P1691="ACERO A36",VLOOKUP(Q1691,'[3]Velocidades Std 1500 w'!$B$2:$F$15,5,FALSE),IF(P1691="INOXIDABLE",VLOOKUP(Q1691,'[3]Velocidades Std 1500 w'!$B$17:$F$28,5,FALSE),IF(P1691="ALUMINIO",VLOOKUP(Q1691,'[3]Velocidades Std 1500 w'!$B$30:$F$38,5,FALSE))))</f>
        <v>4.3859649122807014E-6</v>
      </c>
      <c r="S1691" s="82">
        <f t="shared" si="648"/>
        <v>2.1929824561403508E-2</v>
      </c>
      <c r="T1691" s="83">
        <f t="shared" si="649"/>
        <v>0</v>
      </c>
      <c r="U1691" s="307">
        <f t="shared" si="650"/>
        <v>0</v>
      </c>
      <c r="V1691" s="80">
        <f t="shared" si="651"/>
        <v>0</v>
      </c>
      <c r="W1691" s="98"/>
      <c r="X1691" s="84">
        <f>+IF(P1691="ACERO A36",VLOOKUP(Q1691,'[3]Tiempo Objeto'!$B$2:$C$12,2,FALSE),IF(P1691="INOXIDABLE",VLOOKUP(Q1691,'[3]Tiempo Objeto'!$B$14:$C$22,2,FALSE),IF(P1691="ALUMINIO",VLOOKUP(Q1691,'[3]Tiempo Objeto'!$B$24:$C$32,2,FALSE))))</f>
        <v>0.6133333333333334</v>
      </c>
      <c r="Y1691" s="84">
        <f t="shared" si="652"/>
        <v>0</v>
      </c>
      <c r="Z1691" s="80">
        <f t="shared" si="653"/>
        <v>0</v>
      </c>
      <c r="AA1691" s="100"/>
      <c r="AB1691" s="86">
        <f>+AA1691*Analisis!$J$6</f>
        <v>0</v>
      </c>
      <c r="AC1691" s="100"/>
      <c r="AD1691" s="85">
        <f t="shared" si="654"/>
        <v>0</v>
      </c>
      <c r="AE1691" s="86">
        <f>+AC1691*Analisis!$J$7</f>
        <v>0</v>
      </c>
      <c r="AF1691" s="308">
        <f>+H1691*0.0254*I1691*0.0254*2*(1+[3]Analisis!$G$2)</f>
        <v>0</v>
      </c>
      <c r="AG1691" s="86">
        <f>+AF1691*Analisis!$J$8</f>
        <v>0</v>
      </c>
      <c r="AH1691" s="309">
        <f t="shared" si="655"/>
        <v>0</v>
      </c>
      <c r="AI1691" s="86">
        <f>+AH1691/(1-Analisis!G1322)</f>
        <v>0</v>
      </c>
      <c r="AJ1691" s="86">
        <f t="shared" si="656"/>
        <v>0</v>
      </c>
      <c r="AK1691" s="86">
        <f t="shared" si="657"/>
        <v>0</v>
      </c>
      <c r="AL1691" s="310" t="e">
        <f>+VLOOKUP(B1691,#REF!,2,FALSE)</f>
        <v>#REF!</v>
      </c>
      <c r="AM1691" s="311" t="e">
        <f t="shared" si="658"/>
        <v>#REF!</v>
      </c>
      <c r="AN1691" s="312" t="e">
        <f t="shared" si="659"/>
        <v>#REF!</v>
      </c>
    </row>
    <row r="1692" spans="1:40" s="73" customFormat="1" x14ac:dyDescent="0.25">
      <c r="A1692" s="313"/>
      <c r="B1692" s="314"/>
      <c r="D1692" s="74">
        <f>IFERROR(VLOOKUP(B1692,'REQ. PINTADO'!B:C,2,0),0)</f>
        <v>0</v>
      </c>
      <c r="E1692" s="305">
        <f t="shared" si="646"/>
        <v>0</v>
      </c>
      <c r="F1692" s="103" t="s">
        <v>163</v>
      </c>
      <c r="G1692" s="75" t="s">
        <v>147</v>
      </c>
      <c r="H1692" s="90"/>
      <c r="I1692" s="90"/>
      <c r="J1692" s="76">
        <v>0.105</v>
      </c>
      <c r="K1692" s="306">
        <v>16.38</v>
      </c>
      <c r="L1692" s="78">
        <f t="shared" si="647"/>
        <v>0</v>
      </c>
      <c r="M1692" s="58">
        <f>+VLOOKUP(F1692,Material!$H$2:$M$17,6,FALSE)*H1692*I1692*(1+Material!$K$14)</f>
        <v>0</v>
      </c>
      <c r="N1692" s="79" t="str">
        <f>+N1311</f>
        <v>T5.0</v>
      </c>
      <c r="O1692" s="80">
        <f>+VLOOKUP(N1692,[3]Material!$A$3:$B$58,2,FALSE)</f>
        <v>5000</v>
      </c>
      <c r="P1692" s="79" t="s">
        <v>42</v>
      </c>
      <c r="Q1692" s="79" t="str">
        <f>+VLOOKUP(F1692,[3]Material!$C$2:$E$12,2,FALSE)</f>
        <v>Cal 12</v>
      </c>
      <c r="R1692" s="81">
        <f>+IF(P1692="ACERO A36",VLOOKUP(Q1692,'[3]Velocidades Std 1500 w'!$B$2:$F$15,5,FALSE),IF(P1692="INOXIDABLE",VLOOKUP(Q1692,'[3]Velocidades Std 1500 w'!$B$17:$F$28,5,FALSE),IF(P1692="ALUMINIO",VLOOKUP(Q1692,'[3]Velocidades Std 1500 w'!$B$30:$F$38,5,FALSE))))</f>
        <v>4.3859649122807014E-6</v>
      </c>
      <c r="S1692" s="82">
        <f t="shared" si="648"/>
        <v>2.1929824561403508E-2</v>
      </c>
      <c r="T1692" s="83">
        <f t="shared" si="649"/>
        <v>0</v>
      </c>
      <c r="U1692" s="307">
        <f t="shared" si="650"/>
        <v>0</v>
      </c>
      <c r="V1692" s="80">
        <f t="shared" si="651"/>
        <v>0</v>
      </c>
      <c r="W1692" s="98"/>
      <c r="X1692" s="84">
        <f>+IF(P1692="ACERO A36",VLOOKUP(Q1692,'[3]Tiempo Objeto'!$B$2:$C$12,2,FALSE),IF(P1692="INOXIDABLE",VLOOKUP(Q1692,'[3]Tiempo Objeto'!$B$14:$C$22,2,FALSE),IF(P1692="ALUMINIO",VLOOKUP(Q1692,'[3]Tiempo Objeto'!$B$24:$C$32,2,FALSE))))</f>
        <v>0.6133333333333334</v>
      </c>
      <c r="Y1692" s="84">
        <f t="shared" si="652"/>
        <v>0</v>
      </c>
      <c r="Z1692" s="80">
        <f t="shared" si="653"/>
        <v>0</v>
      </c>
      <c r="AA1692" s="100"/>
      <c r="AB1692" s="86">
        <f>+AA1692*Analisis!$J$6</f>
        <v>0</v>
      </c>
      <c r="AC1692" s="100"/>
      <c r="AD1692" s="85">
        <f t="shared" si="654"/>
        <v>0</v>
      </c>
      <c r="AE1692" s="86">
        <f>+AC1692*Analisis!$J$7</f>
        <v>0</v>
      </c>
      <c r="AF1692" s="308">
        <f>+H1692*0.0254*I1692*0.0254*2*(1+[3]Analisis!$G$2)</f>
        <v>0</v>
      </c>
      <c r="AG1692" s="86">
        <f>+AF1692*Analisis!$J$8</f>
        <v>0</v>
      </c>
      <c r="AH1692" s="309">
        <f t="shared" si="655"/>
        <v>0</v>
      </c>
      <c r="AI1692" s="86">
        <f>+AH1692/(1-Analisis!G1323)</f>
        <v>0</v>
      </c>
      <c r="AJ1692" s="86">
        <f t="shared" si="656"/>
        <v>0</v>
      </c>
      <c r="AK1692" s="86">
        <f t="shared" si="657"/>
        <v>0</v>
      </c>
      <c r="AL1692" s="310" t="e">
        <f>+VLOOKUP(B1692,#REF!,2,FALSE)</f>
        <v>#REF!</v>
      </c>
      <c r="AM1692" s="311" t="e">
        <f t="shared" si="658"/>
        <v>#REF!</v>
      </c>
      <c r="AN1692" s="312" t="e">
        <f t="shared" si="659"/>
        <v>#REF!</v>
      </c>
    </row>
    <row r="1693" spans="1:40" s="73" customFormat="1" x14ac:dyDescent="0.25">
      <c r="A1693" s="313"/>
      <c r="B1693" s="314"/>
      <c r="D1693" s="74">
        <f>IFERROR(VLOOKUP(B1693,'REQ. PINTADO'!B:C,2,0),0)</f>
        <v>0</v>
      </c>
      <c r="E1693" s="305">
        <f t="shared" si="646"/>
        <v>0</v>
      </c>
      <c r="F1693" s="103" t="s">
        <v>163</v>
      </c>
      <c r="G1693" s="75" t="s">
        <v>147</v>
      </c>
      <c r="H1693" s="90"/>
      <c r="I1693" s="90"/>
      <c r="J1693" s="76">
        <v>0.105</v>
      </c>
      <c r="K1693" s="306">
        <v>16.38</v>
      </c>
      <c r="L1693" s="78">
        <f t="shared" si="647"/>
        <v>0</v>
      </c>
      <c r="M1693" s="58">
        <f>+VLOOKUP(F1693,Material!$H$2:$M$17,6,FALSE)*H1693*I1693*(1+Material!$K$14)</f>
        <v>0</v>
      </c>
      <c r="N1693" s="79" t="str">
        <f>+N1312</f>
        <v>T5.0</v>
      </c>
      <c r="O1693" s="80">
        <f>+VLOOKUP(N1693,[3]Material!$A$3:$B$58,2,FALSE)</f>
        <v>5000</v>
      </c>
      <c r="P1693" s="79" t="s">
        <v>42</v>
      </c>
      <c r="Q1693" s="79" t="str">
        <f>+VLOOKUP(F1693,[3]Material!$C$2:$E$12,2,FALSE)</f>
        <v>Cal 12</v>
      </c>
      <c r="R1693" s="81">
        <f>+IF(P1693="ACERO A36",VLOOKUP(Q1693,'[3]Velocidades Std 1500 w'!$B$2:$F$15,5,FALSE),IF(P1693="INOXIDABLE",VLOOKUP(Q1693,'[3]Velocidades Std 1500 w'!$B$17:$F$28,5,FALSE),IF(P1693="ALUMINIO",VLOOKUP(Q1693,'[3]Velocidades Std 1500 w'!$B$30:$F$38,5,FALSE))))</f>
        <v>4.3859649122807014E-6</v>
      </c>
      <c r="S1693" s="82">
        <f t="shared" si="648"/>
        <v>2.1929824561403508E-2</v>
      </c>
      <c r="T1693" s="83">
        <f t="shared" si="649"/>
        <v>0</v>
      </c>
      <c r="U1693" s="307">
        <f t="shared" si="650"/>
        <v>0</v>
      </c>
      <c r="V1693" s="80">
        <f t="shared" si="651"/>
        <v>0</v>
      </c>
      <c r="W1693" s="98"/>
      <c r="X1693" s="84">
        <f>+IF(P1693="ACERO A36",VLOOKUP(Q1693,'[3]Tiempo Objeto'!$B$2:$C$12,2,FALSE),IF(P1693="INOXIDABLE",VLOOKUP(Q1693,'[3]Tiempo Objeto'!$B$14:$C$22,2,FALSE),IF(P1693="ALUMINIO",VLOOKUP(Q1693,'[3]Tiempo Objeto'!$B$24:$C$32,2,FALSE))))</f>
        <v>0.6133333333333334</v>
      </c>
      <c r="Y1693" s="84">
        <f t="shared" si="652"/>
        <v>0</v>
      </c>
      <c r="Z1693" s="80">
        <f t="shared" si="653"/>
        <v>0</v>
      </c>
      <c r="AA1693" s="100"/>
      <c r="AB1693" s="86">
        <f>+AA1693*Analisis!$J$6</f>
        <v>0</v>
      </c>
      <c r="AC1693" s="100"/>
      <c r="AD1693" s="85">
        <f t="shared" si="654"/>
        <v>0</v>
      </c>
      <c r="AE1693" s="86">
        <f>+AC1693*Analisis!$J$7</f>
        <v>0</v>
      </c>
      <c r="AF1693" s="308">
        <f>+H1693*0.0254*I1693*0.0254*2*(1+[3]Analisis!$G$2)</f>
        <v>0</v>
      </c>
      <c r="AG1693" s="86">
        <f>+AF1693*Analisis!$J$8</f>
        <v>0</v>
      </c>
      <c r="AH1693" s="309">
        <f t="shared" si="655"/>
        <v>0</v>
      </c>
      <c r="AI1693" s="86">
        <f>+AH1693/(1-Analisis!G1324)</f>
        <v>0</v>
      </c>
      <c r="AJ1693" s="86">
        <f t="shared" si="656"/>
        <v>0</v>
      </c>
      <c r="AK1693" s="86">
        <f t="shared" si="657"/>
        <v>0</v>
      </c>
      <c r="AL1693" s="310" t="e">
        <f>+VLOOKUP(B1693,#REF!,2,FALSE)</f>
        <v>#REF!</v>
      </c>
      <c r="AM1693" s="311" t="e">
        <f t="shared" si="658"/>
        <v>#REF!</v>
      </c>
      <c r="AN1693" s="312" t="e">
        <f t="shared" si="659"/>
        <v>#REF!</v>
      </c>
    </row>
    <row r="1694" spans="1:40" s="73" customFormat="1" x14ac:dyDescent="0.25">
      <c r="A1694" s="313"/>
      <c r="B1694" s="314"/>
      <c r="D1694" s="74">
        <f>IFERROR(VLOOKUP(B1694,'REQ. PINTADO'!B:C,2,0),0)</f>
        <v>0</v>
      </c>
      <c r="E1694" s="305">
        <f t="shared" si="646"/>
        <v>0</v>
      </c>
      <c r="F1694" s="103" t="s">
        <v>163</v>
      </c>
      <c r="G1694" s="75" t="s">
        <v>147</v>
      </c>
      <c r="H1694" s="90"/>
      <c r="I1694" s="90"/>
      <c r="J1694" s="76">
        <v>0.105</v>
      </c>
      <c r="K1694" s="306">
        <v>16.38</v>
      </c>
      <c r="L1694" s="78">
        <f t="shared" si="647"/>
        <v>0</v>
      </c>
      <c r="M1694" s="58">
        <f>+VLOOKUP(F1694,Material!$H$2:$M$17,6,FALSE)*H1694*I1694*(1+Material!$K$14)</f>
        <v>0</v>
      </c>
      <c r="N1694" s="79" t="str">
        <f>+N1313</f>
        <v>T5.0</v>
      </c>
      <c r="O1694" s="80">
        <f>+VLOOKUP(N1694,[3]Material!$A$3:$B$58,2,FALSE)</f>
        <v>5000</v>
      </c>
      <c r="P1694" s="79" t="s">
        <v>42</v>
      </c>
      <c r="Q1694" s="79" t="str">
        <f>+VLOOKUP(F1694,[3]Material!$C$2:$E$12,2,FALSE)</f>
        <v>Cal 12</v>
      </c>
      <c r="R1694" s="81">
        <f>+IF(P1694="ACERO A36",VLOOKUP(Q1694,'[3]Velocidades Std 1500 w'!$B$2:$F$15,5,FALSE),IF(P1694="INOXIDABLE",VLOOKUP(Q1694,'[3]Velocidades Std 1500 w'!$B$17:$F$28,5,FALSE),IF(P1694="ALUMINIO",VLOOKUP(Q1694,'[3]Velocidades Std 1500 w'!$B$30:$F$38,5,FALSE))))</f>
        <v>4.3859649122807014E-6</v>
      </c>
      <c r="S1694" s="82">
        <f t="shared" si="648"/>
        <v>2.1929824561403508E-2</v>
      </c>
      <c r="T1694" s="83">
        <f t="shared" si="649"/>
        <v>0</v>
      </c>
      <c r="U1694" s="307">
        <f t="shared" si="650"/>
        <v>0</v>
      </c>
      <c r="V1694" s="80">
        <f t="shared" si="651"/>
        <v>0</v>
      </c>
      <c r="W1694" s="98"/>
      <c r="X1694" s="84">
        <f>+IF(P1694="ACERO A36",VLOOKUP(Q1694,'[3]Tiempo Objeto'!$B$2:$C$12,2,FALSE),IF(P1694="INOXIDABLE",VLOOKUP(Q1694,'[3]Tiempo Objeto'!$B$14:$C$22,2,FALSE),IF(P1694="ALUMINIO",VLOOKUP(Q1694,'[3]Tiempo Objeto'!$B$24:$C$32,2,FALSE))))</f>
        <v>0.6133333333333334</v>
      </c>
      <c r="Y1694" s="84">
        <f t="shared" si="652"/>
        <v>0</v>
      </c>
      <c r="Z1694" s="80">
        <f t="shared" si="653"/>
        <v>0</v>
      </c>
      <c r="AA1694" s="100"/>
      <c r="AB1694" s="86">
        <f>+AA1694*Analisis!$J$6</f>
        <v>0</v>
      </c>
      <c r="AC1694" s="100"/>
      <c r="AD1694" s="85">
        <f t="shared" si="654"/>
        <v>0</v>
      </c>
      <c r="AE1694" s="86">
        <f>+AC1694*Analisis!$J$7</f>
        <v>0</v>
      </c>
      <c r="AF1694" s="308">
        <f>+H1694*0.0254*I1694*0.0254*2*(1+[3]Analisis!$G$2)</f>
        <v>0</v>
      </c>
      <c r="AG1694" s="86">
        <f>+AF1694*Analisis!$J$8</f>
        <v>0</v>
      </c>
      <c r="AH1694" s="309">
        <f t="shared" si="655"/>
        <v>0</v>
      </c>
      <c r="AI1694" s="86">
        <f>+AH1694/(1-Analisis!G1325)</f>
        <v>0</v>
      </c>
      <c r="AJ1694" s="86">
        <f t="shared" si="656"/>
        <v>0</v>
      </c>
      <c r="AK1694" s="86">
        <f t="shared" si="657"/>
        <v>0</v>
      </c>
      <c r="AL1694" s="310" t="e">
        <f>+VLOOKUP(B1694,#REF!,2,FALSE)</f>
        <v>#REF!</v>
      </c>
      <c r="AM1694" s="311" t="e">
        <f t="shared" si="658"/>
        <v>#REF!</v>
      </c>
      <c r="AN1694" s="312" t="e">
        <f t="shared" si="659"/>
        <v>#REF!</v>
      </c>
    </row>
    <row r="1695" spans="1:40" s="73" customFormat="1" x14ac:dyDescent="0.25">
      <c r="A1695" s="313"/>
      <c r="B1695" s="314"/>
      <c r="D1695" s="74">
        <f>IFERROR(VLOOKUP(B1695,'REQ. PINTADO'!B:C,2,0),0)</f>
        <v>0</v>
      </c>
      <c r="E1695" s="305">
        <f t="shared" si="646"/>
        <v>0</v>
      </c>
      <c r="F1695" s="103" t="s">
        <v>163</v>
      </c>
      <c r="G1695" s="75" t="s">
        <v>147</v>
      </c>
      <c r="H1695" s="90"/>
      <c r="I1695" s="90"/>
      <c r="J1695" s="76">
        <v>0.105</v>
      </c>
      <c r="K1695" s="306">
        <v>16.38</v>
      </c>
      <c r="L1695" s="78">
        <f t="shared" si="647"/>
        <v>0</v>
      </c>
      <c r="M1695" s="58">
        <f>+VLOOKUP(F1695,Material!$H$2:$M$17,6,FALSE)*H1695*I1695*(1+Material!$K$14)</f>
        <v>0</v>
      </c>
      <c r="N1695" s="79" t="str">
        <f>+N1314</f>
        <v>T5.0</v>
      </c>
      <c r="O1695" s="80">
        <f>+VLOOKUP(N1695,[3]Material!$A$3:$B$58,2,FALSE)</f>
        <v>5000</v>
      </c>
      <c r="P1695" s="79" t="s">
        <v>42</v>
      </c>
      <c r="Q1695" s="79" t="str">
        <f>+VLOOKUP(F1695,[3]Material!$C$2:$E$12,2,FALSE)</f>
        <v>Cal 12</v>
      </c>
      <c r="R1695" s="81">
        <f>+IF(P1695="ACERO A36",VLOOKUP(Q1695,'[3]Velocidades Std 1500 w'!$B$2:$F$15,5,FALSE),IF(P1695="INOXIDABLE",VLOOKUP(Q1695,'[3]Velocidades Std 1500 w'!$B$17:$F$28,5,FALSE),IF(P1695="ALUMINIO",VLOOKUP(Q1695,'[3]Velocidades Std 1500 w'!$B$30:$F$38,5,FALSE))))</f>
        <v>4.3859649122807014E-6</v>
      </c>
      <c r="S1695" s="82">
        <f t="shared" si="648"/>
        <v>2.1929824561403508E-2</v>
      </c>
      <c r="T1695" s="83">
        <f t="shared" si="649"/>
        <v>0</v>
      </c>
      <c r="U1695" s="307">
        <f t="shared" si="650"/>
        <v>0</v>
      </c>
      <c r="V1695" s="80">
        <f t="shared" si="651"/>
        <v>0</v>
      </c>
      <c r="W1695" s="98"/>
      <c r="X1695" s="84">
        <f>+IF(P1695="ACERO A36",VLOOKUP(Q1695,'[3]Tiempo Objeto'!$B$2:$C$12,2,FALSE),IF(P1695="INOXIDABLE",VLOOKUP(Q1695,'[3]Tiempo Objeto'!$B$14:$C$22,2,FALSE),IF(P1695="ALUMINIO",VLOOKUP(Q1695,'[3]Tiempo Objeto'!$B$24:$C$32,2,FALSE))))</f>
        <v>0.6133333333333334</v>
      </c>
      <c r="Y1695" s="84">
        <f t="shared" si="652"/>
        <v>0</v>
      </c>
      <c r="Z1695" s="80">
        <f t="shared" si="653"/>
        <v>0</v>
      </c>
      <c r="AA1695" s="100"/>
      <c r="AB1695" s="86">
        <f>+AA1695*Analisis!$J$6</f>
        <v>0</v>
      </c>
      <c r="AC1695" s="100"/>
      <c r="AD1695" s="85">
        <f t="shared" si="654"/>
        <v>0</v>
      </c>
      <c r="AE1695" s="86">
        <f>+AC1695*Analisis!$J$7</f>
        <v>0</v>
      </c>
      <c r="AF1695" s="308">
        <f>+H1695*0.0254*I1695*0.0254*2*(1+[3]Analisis!$G$2)</f>
        <v>0</v>
      </c>
      <c r="AG1695" s="86">
        <f>+AF1695*Analisis!$J$8</f>
        <v>0</v>
      </c>
      <c r="AH1695" s="309">
        <f t="shared" si="655"/>
        <v>0</v>
      </c>
      <c r="AI1695" s="86">
        <f>+AH1695/(1-Analisis!G1326)</f>
        <v>0</v>
      </c>
      <c r="AJ1695" s="86">
        <f t="shared" si="656"/>
        <v>0</v>
      </c>
      <c r="AK1695" s="86">
        <f t="shared" si="657"/>
        <v>0</v>
      </c>
      <c r="AL1695" s="310" t="e">
        <f>+VLOOKUP(B1695,#REF!,2,FALSE)</f>
        <v>#REF!</v>
      </c>
      <c r="AM1695" s="311" t="e">
        <f t="shared" si="658"/>
        <v>#REF!</v>
      </c>
      <c r="AN1695" s="312" t="e">
        <f t="shared" si="659"/>
        <v>#REF!</v>
      </c>
    </row>
    <row r="1696" spans="1:40" s="73" customFormat="1" x14ac:dyDescent="0.25">
      <c r="A1696" s="313"/>
      <c r="B1696" s="314"/>
      <c r="D1696" s="74">
        <f>IFERROR(VLOOKUP(B1696,'REQ. PINTADO'!B:C,2,0),0)</f>
        <v>0</v>
      </c>
      <c r="E1696" s="305">
        <f t="shared" si="646"/>
        <v>0</v>
      </c>
      <c r="F1696" s="103" t="s">
        <v>163</v>
      </c>
      <c r="G1696" s="75" t="s">
        <v>147</v>
      </c>
      <c r="H1696" s="90"/>
      <c r="I1696" s="90"/>
      <c r="J1696" s="76">
        <v>0.105</v>
      </c>
      <c r="K1696" s="306">
        <v>16.38</v>
      </c>
      <c r="L1696" s="78">
        <f t="shared" si="647"/>
        <v>0</v>
      </c>
      <c r="M1696" s="58">
        <f>+VLOOKUP(F1696,Material!$H$2:$M$17,6,FALSE)*H1696*I1696*(1+Material!$K$14)</f>
        <v>0</v>
      </c>
      <c r="N1696" s="79" t="str">
        <f>+N1315</f>
        <v>T5.0</v>
      </c>
      <c r="O1696" s="80">
        <f>+VLOOKUP(N1696,[3]Material!$A$3:$B$58,2,FALSE)</f>
        <v>5000</v>
      </c>
      <c r="P1696" s="79" t="s">
        <v>42</v>
      </c>
      <c r="Q1696" s="79" t="str">
        <f>+VLOOKUP(F1696,[3]Material!$C$2:$E$12,2,FALSE)</f>
        <v>Cal 12</v>
      </c>
      <c r="R1696" s="81">
        <f>+IF(P1696="ACERO A36",VLOOKUP(Q1696,'[3]Velocidades Std 1500 w'!$B$2:$F$15,5,FALSE),IF(P1696="INOXIDABLE",VLOOKUP(Q1696,'[3]Velocidades Std 1500 w'!$B$17:$F$28,5,FALSE),IF(P1696="ALUMINIO",VLOOKUP(Q1696,'[3]Velocidades Std 1500 w'!$B$30:$F$38,5,FALSE))))</f>
        <v>4.3859649122807014E-6</v>
      </c>
      <c r="S1696" s="82">
        <f t="shared" si="648"/>
        <v>2.1929824561403508E-2</v>
      </c>
      <c r="T1696" s="83">
        <f t="shared" si="649"/>
        <v>0</v>
      </c>
      <c r="U1696" s="307">
        <f t="shared" si="650"/>
        <v>0</v>
      </c>
      <c r="V1696" s="80">
        <f t="shared" si="651"/>
        <v>0</v>
      </c>
      <c r="W1696" s="98"/>
      <c r="X1696" s="84">
        <f>+IF(P1696="ACERO A36",VLOOKUP(Q1696,'[3]Tiempo Objeto'!$B$2:$C$12,2,FALSE),IF(P1696="INOXIDABLE",VLOOKUP(Q1696,'[3]Tiempo Objeto'!$B$14:$C$22,2,FALSE),IF(P1696="ALUMINIO",VLOOKUP(Q1696,'[3]Tiempo Objeto'!$B$24:$C$32,2,FALSE))))</f>
        <v>0.6133333333333334</v>
      </c>
      <c r="Y1696" s="84">
        <f t="shared" si="652"/>
        <v>0</v>
      </c>
      <c r="Z1696" s="80">
        <f t="shared" si="653"/>
        <v>0</v>
      </c>
      <c r="AA1696" s="100"/>
      <c r="AB1696" s="86">
        <f>+AA1696*Analisis!$J$6</f>
        <v>0</v>
      </c>
      <c r="AC1696" s="100"/>
      <c r="AD1696" s="85">
        <f t="shared" si="654"/>
        <v>0</v>
      </c>
      <c r="AE1696" s="86">
        <f>+AC1696*Analisis!$J$7</f>
        <v>0</v>
      </c>
      <c r="AF1696" s="308">
        <f>+H1696*0.0254*I1696*0.0254*2*(1+[3]Analisis!$G$2)</f>
        <v>0</v>
      </c>
      <c r="AG1696" s="86">
        <f>+AF1696*Analisis!$J$8</f>
        <v>0</v>
      </c>
      <c r="AH1696" s="309">
        <f t="shared" si="655"/>
        <v>0</v>
      </c>
      <c r="AI1696" s="86">
        <f>+AH1696/(1-Analisis!G1327)</f>
        <v>0</v>
      </c>
      <c r="AJ1696" s="86">
        <f t="shared" si="656"/>
        <v>0</v>
      </c>
      <c r="AK1696" s="86">
        <f t="shared" si="657"/>
        <v>0</v>
      </c>
      <c r="AL1696" s="310" t="e">
        <f>+VLOOKUP(B1696,#REF!,2,FALSE)</f>
        <v>#REF!</v>
      </c>
      <c r="AM1696" s="311" t="e">
        <f t="shared" si="658"/>
        <v>#REF!</v>
      </c>
      <c r="AN1696" s="312" t="e">
        <f t="shared" si="659"/>
        <v>#REF!</v>
      </c>
    </row>
    <row r="1697" spans="1:40" s="73" customFormat="1" x14ac:dyDescent="0.25">
      <c r="A1697" s="313"/>
      <c r="B1697" s="314"/>
      <c r="D1697" s="74">
        <f>IFERROR(VLOOKUP(B1697,'REQ. PINTADO'!B:C,2,0),0)</f>
        <v>0</v>
      </c>
      <c r="E1697" s="305">
        <f t="shared" si="646"/>
        <v>0</v>
      </c>
      <c r="F1697" s="103" t="s">
        <v>163</v>
      </c>
      <c r="G1697" s="75" t="s">
        <v>147</v>
      </c>
      <c r="H1697" s="90"/>
      <c r="I1697" s="90"/>
      <c r="J1697" s="76">
        <v>0.105</v>
      </c>
      <c r="K1697" s="306">
        <v>16.38</v>
      </c>
      <c r="L1697" s="78">
        <f t="shared" si="647"/>
        <v>0</v>
      </c>
      <c r="M1697" s="58">
        <f>+VLOOKUP(F1697,Material!$H$2:$M$17,6,FALSE)*H1697*I1697*(1+Material!$K$14)</f>
        <v>0</v>
      </c>
      <c r="N1697" s="79" t="str">
        <f>+N1316</f>
        <v>T5.0</v>
      </c>
      <c r="O1697" s="80">
        <f>+VLOOKUP(N1697,[3]Material!$A$3:$B$58,2,FALSE)</f>
        <v>5000</v>
      </c>
      <c r="P1697" s="79" t="s">
        <v>42</v>
      </c>
      <c r="Q1697" s="79" t="str">
        <f>+VLOOKUP(F1697,[3]Material!$C$2:$E$12,2,FALSE)</f>
        <v>Cal 12</v>
      </c>
      <c r="R1697" s="81">
        <f>+IF(P1697="ACERO A36",VLOOKUP(Q1697,'[3]Velocidades Std 1500 w'!$B$2:$F$15,5,FALSE),IF(P1697="INOXIDABLE",VLOOKUP(Q1697,'[3]Velocidades Std 1500 w'!$B$17:$F$28,5,FALSE),IF(P1697="ALUMINIO",VLOOKUP(Q1697,'[3]Velocidades Std 1500 w'!$B$30:$F$38,5,FALSE))))</f>
        <v>4.3859649122807014E-6</v>
      </c>
      <c r="S1697" s="82">
        <f t="shared" si="648"/>
        <v>2.1929824561403508E-2</v>
      </c>
      <c r="T1697" s="83">
        <f t="shared" si="649"/>
        <v>0</v>
      </c>
      <c r="U1697" s="307">
        <f t="shared" si="650"/>
        <v>0</v>
      </c>
      <c r="V1697" s="80">
        <f t="shared" si="651"/>
        <v>0</v>
      </c>
      <c r="W1697" s="98"/>
      <c r="X1697" s="84">
        <f>+IF(P1697="ACERO A36",VLOOKUP(Q1697,'[3]Tiempo Objeto'!$B$2:$C$12,2,FALSE),IF(P1697="INOXIDABLE",VLOOKUP(Q1697,'[3]Tiempo Objeto'!$B$14:$C$22,2,FALSE),IF(P1697="ALUMINIO",VLOOKUP(Q1697,'[3]Tiempo Objeto'!$B$24:$C$32,2,FALSE))))</f>
        <v>0.6133333333333334</v>
      </c>
      <c r="Y1697" s="84">
        <f t="shared" si="652"/>
        <v>0</v>
      </c>
      <c r="Z1697" s="80">
        <f t="shared" si="653"/>
        <v>0</v>
      </c>
      <c r="AA1697" s="100"/>
      <c r="AB1697" s="86">
        <f>+AA1697*Analisis!$J$6</f>
        <v>0</v>
      </c>
      <c r="AC1697" s="100"/>
      <c r="AD1697" s="85">
        <f t="shared" si="654"/>
        <v>0</v>
      </c>
      <c r="AE1697" s="86">
        <f>+AC1697*Analisis!$J$7</f>
        <v>0</v>
      </c>
      <c r="AF1697" s="308">
        <f>+H1697*0.0254*I1697*0.0254*2*(1+[3]Analisis!$G$2)</f>
        <v>0</v>
      </c>
      <c r="AG1697" s="86">
        <f>+AF1697*Analisis!$J$8</f>
        <v>0</v>
      </c>
      <c r="AH1697" s="309">
        <f t="shared" si="655"/>
        <v>0</v>
      </c>
      <c r="AI1697" s="86">
        <f>+AH1697/(1-Analisis!G1328)</f>
        <v>0</v>
      </c>
      <c r="AJ1697" s="86">
        <f t="shared" si="656"/>
        <v>0</v>
      </c>
      <c r="AK1697" s="86">
        <f t="shared" si="657"/>
        <v>0</v>
      </c>
      <c r="AL1697" s="310" t="e">
        <f>+VLOOKUP(B1697,#REF!,2,FALSE)</f>
        <v>#REF!</v>
      </c>
      <c r="AM1697" s="311" t="e">
        <f t="shared" si="658"/>
        <v>#REF!</v>
      </c>
      <c r="AN1697" s="312" t="e">
        <f t="shared" si="659"/>
        <v>#REF!</v>
      </c>
    </row>
    <row r="1698" spans="1:40" s="73" customFormat="1" x14ac:dyDescent="0.25">
      <c r="A1698" s="313"/>
      <c r="B1698" s="314"/>
      <c r="D1698" s="74">
        <f>IFERROR(VLOOKUP(B1698,'REQ. PINTADO'!B:C,2,0),0)</f>
        <v>0</v>
      </c>
      <c r="E1698" s="305">
        <f t="shared" si="646"/>
        <v>0</v>
      </c>
      <c r="F1698" s="103" t="s">
        <v>163</v>
      </c>
      <c r="G1698" s="75" t="s">
        <v>147</v>
      </c>
      <c r="H1698" s="90"/>
      <c r="I1698" s="90"/>
      <c r="J1698" s="76">
        <v>0.105</v>
      </c>
      <c r="K1698" s="306">
        <v>16.38</v>
      </c>
      <c r="L1698" s="78">
        <f t="shared" si="647"/>
        <v>0</v>
      </c>
      <c r="M1698" s="58">
        <f>+VLOOKUP(F1698,Material!$H$2:$M$17,6,FALSE)*H1698*I1698*(1+Material!$K$14)</f>
        <v>0</v>
      </c>
      <c r="N1698" s="79" t="str">
        <f>+N1317</f>
        <v>T5.0</v>
      </c>
      <c r="O1698" s="80">
        <f>+VLOOKUP(N1698,[3]Material!$A$3:$B$58,2,FALSE)</f>
        <v>5000</v>
      </c>
      <c r="P1698" s="79" t="s">
        <v>42</v>
      </c>
      <c r="Q1698" s="79" t="str">
        <f>+VLOOKUP(F1698,[3]Material!$C$2:$E$12,2,FALSE)</f>
        <v>Cal 12</v>
      </c>
      <c r="R1698" s="81">
        <f>+IF(P1698="ACERO A36",VLOOKUP(Q1698,'[3]Velocidades Std 1500 w'!$B$2:$F$15,5,FALSE),IF(P1698="INOXIDABLE",VLOOKUP(Q1698,'[3]Velocidades Std 1500 w'!$B$17:$F$28,5,FALSE),IF(P1698="ALUMINIO",VLOOKUP(Q1698,'[3]Velocidades Std 1500 w'!$B$30:$F$38,5,FALSE))))</f>
        <v>4.3859649122807014E-6</v>
      </c>
      <c r="S1698" s="82">
        <f t="shared" si="648"/>
        <v>2.1929824561403508E-2</v>
      </c>
      <c r="T1698" s="83">
        <f t="shared" si="649"/>
        <v>0</v>
      </c>
      <c r="U1698" s="307">
        <f t="shared" si="650"/>
        <v>0</v>
      </c>
      <c r="V1698" s="80">
        <f t="shared" si="651"/>
        <v>0</v>
      </c>
      <c r="W1698" s="98"/>
      <c r="X1698" s="84">
        <f>+IF(P1698="ACERO A36",VLOOKUP(Q1698,'[3]Tiempo Objeto'!$B$2:$C$12,2,FALSE),IF(P1698="INOXIDABLE",VLOOKUP(Q1698,'[3]Tiempo Objeto'!$B$14:$C$22,2,FALSE),IF(P1698="ALUMINIO",VLOOKUP(Q1698,'[3]Tiempo Objeto'!$B$24:$C$32,2,FALSE))))</f>
        <v>0.6133333333333334</v>
      </c>
      <c r="Y1698" s="84">
        <f t="shared" si="652"/>
        <v>0</v>
      </c>
      <c r="Z1698" s="80">
        <f t="shared" si="653"/>
        <v>0</v>
      </c>
      <c r="AA1698" s="100"/>
      <c r="AB1698" s="86">
        <f>+AA1698*Analisis!$J$6</f>
        <v>0</v>
      </c>
      <c r="AC1698" s="100"/>
      <c r="AD1698" s="85">
        <f t="shared" si="654"/>
        <v>0</v>
      </c>
      <c r="AE1698" s="86">
        <f>+AC1698*Analisis!$J$7</f>
        <v>0</v>
      </c>
      <c r="AF1698" s="308">
        <f>+H1698*0.0254*I1698*0.0254*2*(1+[3]Analisis!$G$2)</f>
        <v>0</v>
      </c>
      <c r="AG1698" s="86">
        <f>+AF1698*Analisis!$J$8</f>
        <v>0</v>
      </c>
      <c r="AH1698" s="309">
        <f t="shared" si="655"/>
        <v>0</v>
      </c>
      <c r="AI1698" s="86">
        <f>+AH1698/(1-Analisis!G1329)</f>
        <v>0</v>
      </c>
      <c r="AJ1698" s="86">
        <f t="shared" si="656"/>
        <v>0</v>
      </c>
      <c r="AK1698" s="86">
        <f t="shared" si="657"/>
        <v>0</v>
      </c>
      <c r="AL1698" s="310" t="e">
        <f>+VLOOKUP(B1698,#REF!,2,FALSE)</f>
        <v>#REF!</v>
      </c>
      <c r="AM1698" s="311" t="e">
        <f t="shared" si="658"/>
        <v>#REF!</v>
      </c>
      <c r="AN1698" s="312" t="e">
        <f t="shared" si="659"/>
        <v>#REF!</v>
      </c>
    </row>
    <row r="1699" spans="1:40" s="73" customFormat="1" x14ac:dyDescent="0.25">
      <c r="A1699" s="313"/>
      <c r="B1699" s="314"/>
      <c r="D1699" s="74">
        <f>IFERROR(VLOOKUP(B1699,'REQ. PINTADO'!B:C,2,0),0)</f>
        <v>0</v>
      </c>
      <c r="E1699" s="305">
        <f t="shared" si="646"/>
        <v>0</v>
      </c>
      <c r="F1699" s="103" t="s">
        <v>163</v>
      </c>
      <c r="G1699" s="75" t="s">
        <v>147</v>
      </c>
      <c r="H1699" s="90"/>
      <c r="I1699" s="90"/>
      <c r="J1699" s="76">
        <v>0.105</v>
      </c>
      <c r="K1699" s="306">
        <v>16.38</v>
      </c>
      <c r="L1699" s="78">
        <f t="shared" si="647"/>
        <v>0</v>
      </c>
      <c r="M1699" s="58">
        <f>+VLOOKUP(F1699,Material!$H$2:$M$17,6,FALSE)*H1699*I1699*(1+Material!$K$14)</f>
        <v>0</v>
      </c>
      <c r="N1699" s="79" t="str">
        <f>+N1318</f>
        <v>T5.0</v>
      </c>
      <c r="O1699" s="80">
        <f>+VLOOKUP(N1699,[3]Material!$A$3:$B$58,2,FALSE)</f>
        <v>5000</v>
      </c>
      <c r="P1699" s="79" t="s">
        <v>42</v>
      </c>
      <c r="Q1699" s="79" t="str">
        <f>+VLOOKUP(F1699,[3]Material!$C$2:$E$12,2,FALSE)</f>
        <v>Cal 12</v>
      </c>
      <c r="R1699" s="81">
        <f>+IF(P1699="ACERO A36",VLOOKUP(Q1699,'[3]Velocidades Std 1500 w'!$B$2:$F$15,5,FALSE),IF(P1699="INOXIDABLE",VLOOKUP(Q1699,'[3]Velocidades Std 1500 w'!$B$17:$F$28,5,FALSE),IF(P1699="ALUMINIO",VLOOKUP(Q1699,'[3]Velocidades Std 1500 w'!$B$30:$F$38,5,FALSE))))</f>
        <v>4.3859649122807014E-6</v>
      </c>
      <c r="S1699" s="82">
        <f t="shared" si="648"/>
        <v>2.1929824561403508E-2</v>
      </c>
      <c r="T1699" s="83">
        <f t="shared" si="649"/>
        <v>0</v>
      </c>
      <c r="U1699" s="307">
        <f t="shared" si="650"/>
        <v>0</v>
      </c>
      <c r="V1699" s="80">
        <f t="shared" si="651"/>
        <v>0</v>
      </c>
      <c r="W1699" s="98"/>
      <c r="X1699" s="84">
        <f>+IF(P1699="ACERO A36",VLOOKUP(Q1699,'[3]Tiempo Objeto'!$B$2:$C$12,2,FALSE),IF(P1699="INOXIDABLE",VLOOKUP(Q1699,'[3]Tiempo Objeto'!$B$14:$C$22,2,FALSE),IF(P1699="ALUMINIO",VLOOKUP(Q1699,'[3]Tiempo Objeto'!$B$24:$C$32,2,FALSE))))</f>
        <v>0.6133333333333334</v>
      </c>
      <c r="Y1699" s="84">
        <f t="shared" si="652"/>
        <v>0</v>
      </c>
      <c r="Z1699" s="80">
        <f t="shared" si="653"/>
        <v>0</v>
      </c>
      <c r="AA1699" s="100"/>
      <c r="AB1699" s="86">
        <f>+AA1699*Analisis!$J$6</f>
        <v>0</v>
      </c>
      <c r="AC1699" s="100"/>
      <c r="AD1699" s="85">
        <f t="shared" si="654"/>
        <v>0</v>
      </c>
      <c r="AE1699" s="86">
        <f>+AC1699*Analisis!$J$7</f>
        <v>0</v>
      </c>
      <c r="AF1699" s="308">
        <f>+H1699*0.0254*I1699*0.0254*2*(1+[3]Analisis!$G$2)</f>
        <v>0</v>
      </c>
      <c r="AG1699" s="86">
        <f>+AF1699*Analisis!$J$8</f>
        <v>0</v>
      </c>
      <c r="AH1699" s="309">
        <f t="shared" si="655"/>
        <v>0</v>
      </c>
      <c r="AI1699" s="86">
        <f>+AH1699/(1-Analisis!G1330)</f>
        <v>0</v>
      </c>
      <c r="AJ1699" s="86">
        <f t="shared" si="656"/>
        <v>0</v>
      </c>
      <c r="AK1699" s="86">
        <f t="shared" si="657"/>
        <v>0</v>
      </c>
      <c r="AL1699" s="310" t="e">
        <f>+VLOOKUP(B1699,#REF!,2,FALSE)</f>
        <v>#REF!</v>
      </c>
      <c r="AM1699" s="311" t="e">
        <f t="shared" si="658"/>
        <v>#REF!</v>
      </c>
      <c r="AN1699" s="312" t="e">
        <f t="shared" si="659"/>
        <v>#REF!</v>
      </c>
    </row>
    <row r="1700" spans="1:40" s="73" customFormat="1" x14ac:dyDescent="0.25">
      <c r="A1700" s="313"/>
      <c r="B1700" s="314"/>
      <c r="D1700" s="74">
        <f>IFERROR(VLOOKUP(B1700,'REQ. PINTADO'!B:C,2,0),0)</f>
        <v>0</v>
      </c>
      <c r="E1700" s="305">
        <f t="shared" si="646"/>
        <v>0</v>
      </c>
      <c r="F1700" s="103" t="s">
        <v>163</v>
      </c>
      <c r="G1700" s="75" t="s">
        <v>147</v>
      </c>
      <c r="H1700" s="90"/>
      <c r="I1700" s="90"/>
      <c r="J1700" s="76">
        <v>0.105</v>
      </c>
      <c r="K1700" s="306">
        <v>16.38</v>
      </c>
      <c r="L1700" s="78">
        <f t="shared" si="647"/>
        <v>0</v>
      </c>
      <c r="M1700" s="58">
        <f>+VLOOKUP(F1700,Material!$H$2:$M$17,6,FALSE)*H1700*I1700*(1+Material!$K$14)</f>
        <v>0</v>
      </c>
      <c r="N1700" s="79" t="str">
        <f>+N1319</f>
        <v>T5.0</v>
      </c>
      <c r="O1700" s="80">
        <f>+VLOOKUP(N1700,[3]Material!$A$3:$B$58,2,FALSE)</f>
        <v>5000</v>
      </c>
      <c r="P1700" s="79" t="s">
        <v>42</v>
      </c>
      <c r="Q1700" s="79" t="str">
        <f>+VLOOKUP(F1700,[3]Material!$C$2:$E$12,2,FALSE)</f>
        <v>Cal 12</v>
      </c>
      <c r="R1700" s="81">
        <f>+IF(P1700="ACERO A36",VLOOKUP(Q1700,'[3]Velocidades Std 1500 w'!$B$2:$F$15,5,FALSE),IF(P1700="INOXIDABLE",VLOOKUP(Q1700,'[3]Velocidades Std 1500 w'!$B$17:$F$28,5,FALSE),IF(P1700="ALUMINIO",VLOOKUP(Q1700,'[3]Velocidades Std 1500 w'!$B$30:$F$38,5,FALSE))))</f>
        <v>4.3859649122807014E-6</v>
      </c>
      <c r="S1700" s="82">
        <f t="shared" si="648"/>
        <v>2.1929824561403508E-2</v>
      </c>
      <c r="T1700" s="83">
        <f t="shared" si="649"/>
        <v>0</v>
      </c>
      <c r="U1700" s="307">
        <f t="shared" si="650"/>
        <v>0</v>
      </c>
      <c r="V1700" s="80">
        <f t="shared" si="651"/>
        <v>0</v>
      </c>
      <c r="W1700" s="98"/>
      <c r="X1700" s="84">
        <f>+IF(P1700="ACERO A36",VLOOKUP(Q1700,'[3]Tiempo Objeto'!$B$2:$C$12,2,FALSE),IF(P1700="INOXIDABLE",VLOOKUP(Q1700,'[3]Tiempo Objeto'!$B$14:$C$22,2,FALSE),IF(P1700="ALUMINIO",VLOOKUP(Q1700,'[3]Tiempo Objeto'!$B$24:$C$32,2,FALSE))))</f>
        <v>0.6133333333333334</v>
      </c>
      <c r="Y1700" s="84">
        <f t="shared" si="652"/>
        <v>0</v>
      </c>
      <c r="Z1700" s="80">
        <f t="shared" si="653"/>
        <v>0</v>
      </c>
      <c r="AA1700" s="100"/>
      <c r="AB1700" s="86">
        <f>+AA1700*Analisis!$J$6</f>
        <v>0</v>
      </c>
      <c r="AC1700" s="100"/>
      <c r="AD1700" s="85">
        <f t="shared" si="654"/>
        <v>0</v>
      </c>
      <c r="AE1700" s="86">
        <f>+AC1700*Analisis!$J$7</f>
        <v>0</v>
      </c>
      <c r="AF1700" s="308">
        <f>+H1700*0.0254*I1700*0.0254*2*(1+[3]Analisis!$G$2)</f>
        <v>0</v>
      </c>
      <c r="AG1700" s="86">
        <f>+AF1700*Analisis!$J$8</f>
        <v>0</v>
      </c>
      <c r="AH1700" s="309">
        <f t="shared" si="655"/>
        <v>0</v>
      </c>
      <c r="AI1700" s="86">
        <f>+AH1700/(1-Analisis!G1331)</f>
        <v>0</v>
      </c>
      <c r="AJ1700" s="86">
        <f t="shared" si="656"/>
        <v>0</v>
      </c>
      <c r="AK1700" s="86">
        <f t="shared" si="657"/>
        <v>0</v>
      </c>
      <c r="AL1700" s="310" t="e">
        <f>+VLOOKUP(B1700,#REF!,2,FALSE)</f>
        <v>#REF!</v>
      </c>
      <c r="AM1700" s="311" t="e">
        <f t="shared" si="658"/>
        <v>#REF!</v>
      </c>
      <c r="AN1700" s="312" t="e">
        <f t="shared" si="659"/>
        <v>#REF!</v>
      </c>
    </row>
    <row r="1701" spans="1:40" s="73" customFormat="1" x14ac:dyDescent="0.25">
      <c r="A1701" s="313"/>
      <c r="B1701" s="314"/>
      <c r="D1701" s="74">
        <f>IFERROR(VLOOKUP(B1701,'REQ. PINTADO'!B:C,2,0),0)</f>
        <v>0</v>
      </c>
      <c r="E1701" s="305">
        <f t="shared" si="646"/>
        <v>0</v>
      </c>
      <c r="F1701" s="103" t="s">
        <v>163</v>
      </c>
      <c r="G1701" s="75" t="s">
        <v>147</v>
      </c>
      <c r="H1701" s="90"/>
      <c r="I1701" s="90"/>
      <c r="J1701" s="76">
        <v>0.105</v>
      </c>
      <c r="K1701" s="306">
        <v>16.38</v>
      </c>
      <c r="L1701" s="78">
        <f t="shared" si="647"/>
        <v>0</v>
      </c>
      <c r="M1701" s="58">
        <f>+VLOOKUP(F1701,Material!$H$2:$M$17,6,FALSE)*H1701*I1701*(1+Material!$K$14)</f>
        <v>0</v>
      </c>
      <c r="N1701" s="79" t="str">
        <f>+N1320</f>
        <v>T5.0</v>
      </c>
      <c r="O1701" s="80">
        <f>+VLOOKUP(N1701,[3]Material!$A$3:$B$58,2,FALSE)</f>
        <v>5000</v>
      </c>
      <c r="P1701" s="79" t="s">
        <v>42</v>
      </c>
      <c r="Q1701" s="79" t="str">
        <f>+VLOOKUP(F1701,[3]Material!$C$2:$E$12,2,FALSE)</f>
        <v>Cal 12</v>
      </c>
      <c r="R1701" s="81">
        <f>+IF(P1701="ACERO A36",VLOOKUP(Q1701,'[3]Velocidades Std 1500 w'!$B$2:$F$15,5,FALSE),IF(P1701="INOXIDABLE",VLOOKUP(Q1701,'[3]Velocidades Std 1500 w'!$B$17:$F$28,5,FALSE),IF(P1701="ALUMINIO",VLOOKUP(Q1701,'[3]Velocidades Std 1500 w'!$B$30:$F$38,5,FALSE))))</f>
        <v>4.3859649122807014E-6</v>
      </c>
      <c r="S1701" s="82">
        <f t="shared" si="648"/>
        <v>2.1929824561403508E-2</v>
      </c>
      <c r="T1701" s="83">
        <f t="shared" si="649"/>
        <v>0</v>
      </c>
      <c r="U1701" s="307">
        <f t="shared" si="650"/>
        <v>0</v>
      </c>
      <c r="V1701" s="80">
        <f t="shared" si="651"/>
        <v>0</v>
      </c>
      <c r="W1701" s="98"/>
      <c r="X1701" s="84">
        <f>+IF(P1701="ACERO A36",VLOOKUP(Q1701,'[3]Tiempo Objeto'!$B$2:$C$12,2,FALSE),IF(P1701="INOXIDABLE",VLOOKUP(Q1701,'[3]Tiempo Objeto'!$B$14:$C$22,2,FALSE),IF(P1701="ALUMINIO",VLOOKUP(Q1701,'[3]Tiempo Objeto'!$B$24:$C$32,2,FALSE))))</f>
        <v>0.6133333333333334</v>
      </c>
      <c r="Y1701" s="84">
        <f t="shared" si="652"/>
        <v>0</v>
      </c>
      <c r="Z1701" s="80">
        <f t="shared" si="653"/>
        <v>0</v>
      </c>
      <c r="AA1701" s="100"/>
      <c r="AB1701" s="86">
        <f>+AA1701*Analisis!$J$6</f>
        <v>0</v>
      </c>
      <c r="AC1701" s="100"/>
      <c r="AD1701" s="85">
        <f t="shared" si="654"/>
        <v>0</v>
      </c>
      <c r="AE1701" s="86">
        <f>+AC1701*Analisis!$J$7</f>
        <v>0</v>
      </c>
      <c r="AF1701" s="308">
        <f>+H1701*0.0254*I1701*0.0254*2*(1+[3]Analisis!$G$2)</f>
        <v>0</v>
      </c>
      <c r="AG1701" s="86">
        <f>+AF1701*Analisis!$J$8</f>
        <v>0</v>
      </c>
      <c r="AH1701" s="309">
        <f t="shared" si="655"/>
        <v>0</v>
      </c>
      <c r="AI1701" s="86">
        <f>+AH1701/(1-Analisis!G1332)</f>
        <v>0</v>
      </c>
      <c r="AJ1701" s="86">
        <f t="shared" si="656"/>
        <v>0</v>
      </c>
      <c r="AK1701" s="86">
        <f t="shared" si="657"/>
        <v>0</v>
      </c>
      <c r="AL1701" s="310" t="e">
        <f>+VLOOKUP(B1701,#REF!,2,FALSE)</f>
        <v>#REF!</v>
      </c>
      <c r="AM1701" s="311" t="e">
        <f t="shared" si="658"/>
        <v>#REF!</v>
      </c>
      <c r="AN1701" s="312" t="e">
        <f t="shared" si="659"/>
        <v>#REF!</v>
      </c>
    </row>
    <row r="1702" spans="1:40" s="73" customFormat="1" x14ac:dyDescent="0.25">
      <c r="A1702" s="313"/>
      <c r="B1702" s="314"/>
      <c r="D1702" s="74">
        <f>IFERROR(VLOOKUP(B1702,'REQ. PINTADO'!B:C,2,0),0)</f>
        <v>0</v>
      </c>
      <c r="E1702" s="305">
        <f t="shared" si="646"/>
        <v>0</v>
      </c>
      <c r="F1702" s="103" t="s">
        <v>163</v>
      </c>
      <c r="G1702" s="75" t="s">
        <v>147</v>
      </c>
      <c r="H1702" s="90"/>
      <c r="I1702" s="90"/>
      <c r="J1702" s="76">
        <v>0.105</v>
      </c>
      <c r="K1702" s="306">
        <v>16.38</v>
      </c>
      <c r="L1702" s="78">
        <f t="shared" si="647"/>
        <v>0</v>
      </c>
      <c r="M1702" s="58">
        <f>+VLOOKUP(F1702,Material!$H$2:$M$17,6,FALSE)*H1702*I1702*(1+Material!$K$14)</f>
        <v>0</v>
      </c>
      <c r="N1702" s="79" t="str">
        <f>+N1321</f>
        <v>T5.0</v>
      </c>
      <c r="O1702" s="80">
        <f>+VLOOKUP(N1702,[3]Material!$A$3:$B$58,2,FALSE)</f>
        <v>5000</v>
      </c>
      <c r="P1702" s="79" t="s">
        <v>42</v>
      </c>
      <c r="Q1702" s="79" t="str">
        <f>+VLOOKUP(F1702,[3]Material!$C$2:$E$12,2,FALSE)</f>
        <v>Cal 12</v>
      </c>
      <c r="R1702" s="81">
        <f>+IF(P1702="ACERO A36",VLOOKUP(Q1702,'[3]Velocidades Std 1500 w'!$B$2:$F$15,5,FALSE),IF(P1702="INOXIDABLE",VLOOKUP(Q1702,'[3]Velocidades Std 1500 w'!$B$17:$F$28,5,FALSE),IF(P1702="ALUMINIO",VLOOKUP(Q1702,'[3]Velocidades Std 1500 w'!$B$30:$F$38,5,FALSE))))</f>
        <v>4.3859649122807014E-6</v>
      </c>
      <c r="S1702" s="82">
        <f t="shared" si="648"/>
        <v>2.1929824561403508E-2</v>
      </c>
      <c r="T1702" s="83">
        <f t="shared" si="649"/>
        <v>0</v>
      </c>
      <c r="U1702" s="307">
        <f t="shared" si="650"/>
        <v>0</v>
      </c>
      <c r="V1702" s="80">
        <f t="shared" si="651"/>
        <v>0</v>
      </c>
      <c r="W1702" s="98"/>
      <c r="X1702" s="84">
        <f>+IF(P1702="ACERO A36",VLOOKUP(Q1702,'[3]Tiempo Objeto'!$B$2:$C$12,2,FALSE),IF(P1702="INOXIDABLE",VLOOKUP(Q1702,'[3]Tiempo Objeto'!$B$14:$C$22,2,FALSE),IF(P1702="ALUMINIO",VLOOKUP(Q1702,'[3]Tiempo Objeto'!$B$24:$C$32,2,FALSE))))</f>
        <v>0.6133333333333334</v>
      </c>
      <c r="Y1702" s="84">
        <f t="shared" si="652"/>
        <v>0</v>
      </c>
      <c r="Z1702" s="80">
        <f t="shared" si="653"/>
        <v>0</v>
      </c>
      <c r="AA1702" s="100"/>
      <c r="AB1702" s="86">
        <f>+AA1702*Analisis!$J$6</f>
        <v>0</v>
      </c>
      <c r="AC1702" s="100"/>
      <c r="AD1702" s="85">
        <f t="shared" si="654"/>
        <v>0</v>
      </c>
      <c r="AE1702" s="86">
        <f>+AC1702*Analisis!$J$7</f>
        <v>0</v>
      </c>
      <c r="AF1702" s="308">
        <f>+H1702*0.0254*I1702*0.0254*2*(1+[3]Analisis!$G$2)</f>
        <v>0</v>
      </c>
      <c r="AG1702" s="86">
        <f>+AF1702*Analisis!$J$8</f>
        <v>0</v>
      </c>
      <c r="AH1702" s="309">
        <f t="shared" si="655"/>
        <v>0</v>
      </c>
      <c r="AI1702" s="86">
        <f>+AH1702/(1-Analisis!G1333)</f>
        <v>0</v>
      </c>
      <c r="AJ1702" s="86">
        <f t="shared" si="656"/>
        <v>0</v>
      </c>
      <c r="AK1702" s="86">
        <f t="shared" si="657"/>
        <v>0</v>
      </c>
      <c r="AL1702" s="310" t="e">
        <f>+VLOOKUP(B1702,#REF!,2,FALSE)</f>
        <v>#REF!</v>
      </c>
      <c r="AM1702" s="311" t="e">
        <f t="shared" si="658"/>
        <v>#REF!</v>
      </c>
      <c r="AN1702" s="312" t="e">
        <f t="shared" si="659"/>
        <v>#REF!</v>
      </c>
    </row>
    <row r="1703" spans="1:40" s="73" customFormat="1" x14ac:dyDescent="0.25">
      <c r="A1703" s="313"/>
      <c r="B1703" s="314"/>
      <c r="D1703" s="74">
        <f>IFERROR(VLOOKUP(B1703,'REQ. PINTADO'!B:C,2,0),0)</f>
        <v>0</v>
      </c>
      <c r="E1703" s="305">
        <f t="shared" si="646"/>
        <v>0</v>
      </c>
      <c r="F1703" s="103" t="s">
        <v>163</v>
      </c>
      <c r="G1703" s="75" t="s">
        <v>147</v>
      </c>
      <c r="H1703" s="90"/>
      <c r="I1703" s="90"/>
      <c r="J1703" s="76">
        <v>0.105</v>
      </c>
      <c r="K1703" s="306">
        <v>16.38</v>
      </c>
      <c r="L1703" s="78">
        <f t="shared" si="647"/>
        <v>0</v>
      </c>
      <c r="M1703" s="58">
        <f>+VLOOKUP(F1703,Material!$H$2:$M$17,6,FALSE)*H1703*I1703*(1+Material!$K$14)</f>
        <v>0</v>
      </c>
      <c r="N1703" s="79" t="str">
        <f>+N1322</f>
        <v>T5.0</v>
      </c>
      <c r="O1703" s="80">
        <f>+VLOOKUP(N1703,[3]Material!$A$3:$B$58,2,FALSE)</f>
        <v>5000</v>
      </c>
      <c r="P1703" s="79" t="s">
        <v>42</v>
      </c>
      <c r="Q1703" s="79" t="str">
        <f>+VLOOKUP(F1703,[3]Material!$C$2:$E$12,2,FALSE)</f>
        <v>Cal 12</v>
      </c>
      <c r="R1703" s="81">
        <f>+IF(P1703="ACERO A36",VLOOKUP(Q1703,'[3]Velocidades Std 1500 w'!$B$2:$F$15,5,FALSE),IF(P1703="INOXIDABLE",VLOOKUP(Q1703,'[3]Velocidades Std 1500 w'!$B$17:$F$28,5,FALSE),IF(P1703="ALUMINIO",VLOOKUP(Q1703,'[3]Velocidades Std 1500 w'!$B$30:$F$38,5,FALSE))))</f>
        <v>4.3859649122807014E-6</v>
      </c>
      <c r="S1703" s="82">
        <f t="shared" si="648"/>
        <v>2.1929824561403508E-2</v>
      </c>
      <c r="T1703" s="83">
        <f t="shared" si="649"/>
        <v>0</v>
      </c>
      <c r="U1703" s="307">
        <f t="shared" si="650"/>
        <v>0</v>
      </c>
      <c r="V1703" s="80">
        <f t="shared" si="651"/>
        <v>0</v>
      </c>
      <c r="W1703" s="98"/>
      <c r="X1703" s="84">
        <f>+IF(P1703="ACERO A36",VLOOKUP(Q1703,'[3]Tiempo Objeto'!$B$2:$C$12,2,FALSE),IF(P1703="INOXIDABLE",VLOOKUP(Q1703,'[3]Tiempo Objeto'!$B$14:$C$22,2,FALSE),IF(P1703="ALUMINIO",VLOOKUP(Q1703,'[3]Tiempo Objeto'!$B$24:$C$32,2,FALSE))))</f>
        <v>0.6133333333333334</v>
      </c>
      <c r="Y1703" s="84">
        <f t="shared" si="652"/>
        <v>0</v>
      </c>
      <c r="Z1703" s="80">
        <f t="shared" si="653"/>
        <v>0</v>
      </c>
      <c r="AA1703" s="100"/>
      <c r="AB1703" s="86">
        <f>+AA1703*Analisis!$J$6</f>
        <v>0</v>
      </c>
      <c r="AC1703" s="100"/>
      <c r="AD1703" s="85">
        <f t="shared" si="654"/>
        <v>0</v>
      </c>
      <c r="AE1703" s="86">
        <f>+AC1703*Analisis!$J$7</f>
        <v>0</v>
      </c>
      <c r="AF1703" s="308">
        <f>+H1703*0.0254*I1703*0.0254*2*(1+[3]Analisis!$G$2)</f>
        <v>0</v>
      </c>
      <c r="AG1703" s="86">
        <f>+AF1703*Analisis!$J$8</f>
        <v>0</v>
      </c>
      <c r="AH1703" s="309">
        <f t="shared" si="655"/>
        <v>0</v>
      </c>
      <c r="AI1703" s="86">
        <f>+AH1703/(1-Analisis!G1334)</f>
        <v>0</v>
      </c>
      <c r="AJ1703" s="86">
        <f t="shared" si="656"/>
        <v>0</v>
      </c>
      <c r="AK1703" s="86">
        <f t="shared" si="657"/>
        <v>0</v>
      </c>
      <c r="AL1703" s="310" t="e">
        <f>+VLOOKUP(B1703,#REF!,2,FALSE)</f>
        <v>#REF!</v>
      </c>
      <c r="AM1703" s="311" t="e">
        <f t="shared" si="658"/>
        <v>#REF!</v>
      </c>
      <c r="AN1703" s="312" t="e">
        <f t="shared" si="659"/>
        <v>#REF!</v>
      </c>
    </row>
    <row r="1704" spans="1:40" s="73" customFormat="1" x14ac:dyDescent="0.25">
      <c r="A1704" s="313"/>
      <c r="B1704" s="314"/>
      <c r="D1704" s="74">
        <f>IFERROR(VLOOKUP(B1704,'REQ. PINTADO'!B:C,2,0),0)</f>
        <v>0</v>
      </c>
      <c r="E1704" s="305">
        <f t="shared" si="646"/>
        <v>0</v>
      </c>
      <c r="F1704" s="103" t="s">
        <v>163</v>
      </c>
      <c r="G1704" s="75" t="s">
        <v>147</v>
      </c>
      <c r="H1704" s="90"/>
      <c r="I1704" s="90"/>
      <c r="J1704" s="76">
        <v>0.105</v>
      </c>
      <c r="K1704" s="306">
        <v>16.38</v>
      </c>
      <c r="L1704" s="78">
        <f t="shared" si="647"/>
        <v>0</v>
      </c>
      <c r="M1704" s="58">
        <f>+VLOOKUP(F1704,Material!$H$2:$M$17,6,FALSE)*H1704*I1704*(1+Material!$K$14)</f>
        <v>0</v>
      </c>
      <c r="N1704" s="79" t="str">
        <f>+N1323</f>
        <v>T5.0</v>
      </c>
      <c r="O1704" s="80">
        <f>+VLOOKUP(N1704,[3]Material!$A$3:$B$58,2,FALSE)</f>
        <v>5000</v>
      </c>
      <c r="P1704" s="79" t="s">
        <v>42</v>
      </c>
      <c r="Q1704" s="79" t="str">
        <f>+VLOOKUP(F1704,[3]Material!$C$2:$E$12,2,FALSE)</f>
        <v>Cal 12</v>
      </c>
      <c r="R1704" s="81">
        <f>+IF(P1704="ACERO A36",VLOOKUP(Q1704,'[3]Velocidades Std 1500 w'!$B$2:$F$15,5,FALSE),IF(P1704="INOXIDABLE",VLOOKUP(Q1704,'[3]Velocidades Std 1500 w'!$B$17:$F$28,5,FALSE),IF(P1704="ALUMINIO",VLOOKUP(Q1704,'[3]Velocidades Std 1500 w'!$B$30:$F$38,5,FALSE))))</f>
        <v>4.3859649122807014E-6</v>
      </c>
      <c r="S1704" s="82">
        <f t="shared" si="648"/>
        <v>2.1929824561403508E-2</v>
      </c>
      <c r="T1704" s="83">
        <f t="shared" si="649"/>
        <v>0</v>
      </c>
      <c r="U1704" s="307">
        <f t="shared" si="650"/>
        <v>0</v>
      </c>
      <c r="V1704" s="80">
        <f t="shared" si="651"/>
        <v>0</v>
      </c>
      <c r="W1704" s="98"/>
      <c r="X1704" s="84">
        <f>+IF(P1704="ACERO A36",VLOOKUP(Q1704,'[3]Tiempo Objeto'!$B$2:$C$12,2,FALSE),IF(P1704="INOXIDABLE",VLOOKUP(Q1704,'[3]Tiempo Objeto'!$B$14:$C$22,2,FALSE),IF(P1704="ALUMINIO",VLOOKUP(Q1704,'[3]Tiempo Objeto'!$B$24:$C$32,2,FALSE))))</f>
        <v>0.6133333333333334</v>
      </c>
      <c r="Y1704" s="84">
        <f t="shared" si="652"/>
        <v>0</v>
      </c>
      <c r="Z1704" s="80">
        <f t="shared" si="653"/>
        <v>0</v>
      </c>
      <c r="AA1704" s="100"/>
      <c r="AB1704" s="86">
        <f>+AA1704*Analisis!$J$6</f>
        <v>0</v>
      </c>
      <c r="AC1704" s="100"/>
      <c r="AD1704" s="85">
        <f t="shared" si="654"/>
        <v>0</v>
      </c>
      <c r="AE1704" s="86">
        <f>+AC1704*Analisis!$J$7</f>
        <v>0</v>
      </c>
      <c r="AF1704" s="308">
        <f>+H1704*0.0254*I1704*0.0254*2*(1+[3]Analisis!$G$2)</f>
        <v>0</v>
      </c>
      <c r="AG1704" s="86">
        <f>+AF1704*Analisis!$J$8</f>
        <v>0</v>
      </c>
      <c r="AH1704" s="309">
        <f t="shared" si="655"/>
        <v>0</v>
      </c>
      <c r="AI1704" s="86">
        <f>+AH1704/(1-Analisis!G1335)</f>
        <v>0</v>
      </c>
      <c r="AJ1704" s="86">
        <f t="shared" si="656"/>
        <v>0</v>
      </c>
      <c r="AK1704" s="86">
        <f t="shared" si="657"/>
        <v>0</v>
      </c>
      <c r="AL1704" s="310" t="e">
        <f>+VLOOKUP(B1704,#REF!,2,FALSE)</f>
        <v>#REF!</v>
      </c>
      <c r="AM1704" s="311" t="e">
        <f t="shared" si="658"/>
        <v>#REF!</v>
      </c>
      <c r="AN1704" s="312" t="e">
        <f t="shared" si="659"/>
        <v>#REF!</v>
      </c>
    </row>
    <row r="1705" spans="1:40" s="73" customFormat="1" x14ac:dyDescent="0.25">
      <c r="A1705" s="313"/>
      <c r="B1705" s="314"/>
      <c r="D1705" s="74">
        <f>IFERROR(VLOOKUP(B1705,'REQ. PINTADO'!B:C,2,0),0)</f>
        <v>0</v>
      </c>
      <c r="E1705" s="305">
        <f t="shared" si="646"/>
        <v>0</v>
      </c>
      <c r="F1705" s="103" t="s">
        <v>163</v>
      </c>
      <c r="G1705" s="75" t="s">
        <v>147</v>
      </c>
      <c r="H1705" s="90"/>
      <c r="I1705" s="90"/>
      <c r="J1705" s="76">
        <v>0.105</v>
      </c>
      <c r="K1705" s="306">
        <v>16.38</v>
      </c>
      <c r="L1705" s="78">
        <f t="shared" si="647"/>
        <v>0</v>
      </c>
      <c r="M1705" s="58">
        <f>+VLOOKUP(F1705,Material!$H$2:$M$17,6,FALSE)*H1705*I1705*(1+Material!$K$14)</f>
        <v>0</v>
      </c>
      <c r="N1705" s="79" t="str">
        <f>+N1324</f>
        <v>T5.0</v>
      </c>
      <c r="O1705" s="80">
        <f>+VLOOKUP(N1705,[3]Material!$A$3:$B$58,2,FALSE)</f>
        <v>5000</v>
      </c>
      <c r="P1705" s="79" t="s">
        <v>42</v>
      </c>
      <c r="Q1705" s="79" t="str">
        <f>+VLOOKUP(F1705,[3]Material!$C$2:$E$12,2,FALSE)</f>
        <v>Cal 12</v>
      </c>
      <c r="R1705" s="81">
        <f>+IF(P1705="ACERO A36",VLOOKUP(Q1705,'[3]Velocidades Std 1500 w'!$B$2:$F$15,5,FALSE),IF(P1705="INOXIDABLE",VLOOKUP(Q1705,'[3]Velocidades Std 1500 w'!$B$17:$F$28,5,FALSE),IF(P1705="ALUMINIO",VLOOKUP(Q1705,'[3]Velocidades Std 1500 w'!$B$30:$F$38,5,FALSE))))</f>
        <v>4.3859649122807014E-6</v>
      </c>
      <c r="S1705" s="82">
        <f t="shared" si="648"/>
        <v>2.1929824561403508E-2</v>
      </c>
      <c r="T1705" s="83">
        <f t="shared" si="649"/>
        <v>0</v>
      </c>
      <c r="U1705" s="307">
        <f t="shared" si="650"/>
        <v>0</v>
      </c>
      <c r="V1705" s="80">
        <f t="shared" si="651"/>
        <v>0</v>
      </c>
      <c r="W1705" s="98"/>
      <c r="X1705" s="84">
        <f>+IF(P1705="ACERO A36",VLOOKUP(Q1705,'[3]Tiempo Objeto'!$B$2:$C$12,2,FALSE),IF(P1705="INOXIDABLE",VLOOKUP(Q1705,'[3]Tiempo Objeto'!$B$14:$C$22,2,FALSE),IF(P1705="ALUMINIO",VLOOKUP(Q1705,'[3]Tiempo Objeto'!$B$24:$C$32,2,FALSE))))</f>
        <v>0.6133333333333334</v>
      </c>
      <c r="Y1705" s="84">
        <f t="shared" si="652"/>
        <v>0</v>
      </c>
      <c r="Z1705" s="80">
        <f t="shared" si="653"/>
        <v>0</v>
      </c>
      <c r="AA1705" s="100"/>
      <c r="AB1705" s="86">
        <f>+AA1705*Analisis!$J$6</f>
        <v>0</v>
      </c>
      <c r="AC1705" s="100"/>
      <c r="AD1705" s="85">
        <f t="shared" si="654"/>
        <v>0</v>
      </c>
      <c r="AE1705" s="86">
        <f>+AC1705*Analisis!$J$7</f>
        <v>0</v>
      </c>
      <c r="AF1705" s="308">
        <f>+H1705*0.0254*I1705*0.0254*2*(1+[3]Analisis!$G$2)</f>
        <v>0</v>
      </c>
      <c r="AG1705" s="86">
        <f>+AF1705*Analisis!$J$8</f>
        <v>0</v>
      </c>
      <c r="AH1705" s="309">
        <f t="shared" si="655"/>
        <v>0</v>
      </c>
      <c r="AI1705" s="86">
        <f>+AH1705/(1-Analisis!G1336)</f>
        <v>0</v>
      </c>
      <c r="AJ1705" s="86">
        <f t="shared" si="656"/>
        <v>0</v>
      </c>
      <c r="AK1705" s="86">
        <f t="shared" si="657"/>
        <v>0</v>
      </c>
      <c r="AL1705" s="310" t="e">
        <f>+VLOOKUP(B1705,#REF!,2,FALSE)</f>
        <v>#REF!</v>
      </c>
      <c r="AM1705" s="311" t="e">
        <f t="shared" si="658"/>
        <v>#REF!</v>
      </c>
      <c r="AN1705" s="312" t="e">
        <f t="shared" si="659"/>
        <v>#REF!</v>
      </c>
    </row>
    <row r="1706" spans="1:40" s="73" customFormat="1" x14ac:dyDescent="0.25">
      <c r="A1706" s="313"/>
      <c r="B1706" s="314"/>
      <c r="D1706" s="74">
        <f>IFERROR(VLOOKUP(B1706,'REQ. PINTADO'!B:C,2,0),0)</f>
        <v>0</v>
      </c>
      <c r="E1706" s="305">
        <f t="shared" si="646"/>
        <v>0</v>
      </c>
      <c r="F1706" s="103" t="s">
        <v>163</v>
      </c>
      <c r="G1706" s="75" t="s">
        <v>147</v>
      </c>
      <c r="H1706" s="90"/>
      <c r="I1706" s="90"/>
      <c r="J1706" s="76">
        <v>0.105</v>
      </c>
      <c r="K1706" s="306">
        <v>16.38</v>
      </c>
      <c r="L1706" s="78">
        <f t="shared" si="647"/>
        <v>0</v>
      </c>
      <c r="M1706" s="58">
        <f>+VLOOKUP(F1706,Material!$H$2:$M$17,6,FALSE)*H1706*I1706*(1+Material!$K$14)</f>
        <v>0</v>
      </c>
      <c r="N1706" s="79" t="str">
        <f>+N1325</f>
        <v>T5.0</v>
      </c>
      <c r="O1706" s="80">
        <f>+VLOOKUP(N1706,[3]Material!$A$3:$B$58,2,FALSE)</f>
        <v>5000</v>
      </c>
      <c r="P1706" s="79" t="s">
        <v>42</v>
      </c>
      <c r="Q1706" s="79" t="str">
        <f>+VLOOKUP(F1706,[3]Material!$C$2:$E$12,2,FALSE)</f>
        <v>Cal 12</v>
      </c>
      <c r="R1706" s="81">
        <f>+IF(P1706="ACERO A36",VLOOKUP(Q1706,'[3]Velocidades Std 1500 w'!$B$2:$F$15,5,FALSE),IF(P1706="INOXIDABLE",VLOOKUP(Q1706,'[3]Velocidades Std 1500 w'!$B$17:$F$28,5,FALSE),IF(P1706="ALUMINIO",VLOOKUP(Q1706,'[3]Velocidades Std 1500 w'!$B$30:$F$38,5,FALSE))))</f>
        <v>4.3859649122807014E-6</v>
      </c>
      <c r="S1706" s="82">
        <f t="shared" si="648"/>
        <v>2.1929824561403508E-2</v>
      </c>
      <c r="T1706" s="83">
        <f t="shared" si="649"/>
        <v>0</v>
      </c>
      <c r="U1706" s="307">
        <f t="shared" si="650"/>
        <v>0</v>
      </c>
      <c r="V1706" s="80">
        <f t="shared" si="651"/>
        <v>0</v>
      </c>
      <c r="W1706" s="98"/>
      <c r="X1706" s="84">
        <f>+IF(P1706="ACERO A36",VLOOKUP(Q1706,'[3]Tiempo Objeto'!$B$2:$C$12,2,FALSE),IF(P1706="INOXIDABLE",VLOOKUP(Q1706,'[3]Tiempo Objeto'!$B$14:$C$22,2,FALSE),IF(P1706="ALUMINIO",VLOOKUP(Q1706,'[3]Tiempo Objeto'!$B$24:$C$32,2,FALSE))))</f>
        <v>0.6133333333333334</v>
      </c>
      <c r="Y1706" s="84">
        <f t="shared" si="652"/>
        <v>0</v>
      </c>
      <c r="Z1706" s="80">
        <f t="shared" si="653"/>
        <v>0</v>
      </c>
      <c r="AA1706" s="100"/>
      <c r="AB1706" s="86">
        <f>+AA1706*Analisis!$J$6</f>
        <v>0</v>
      </c>
      <c r="AC1706" s="100"/>
      <c r="AD1706" s="85">
        <f t="shared" si="654"/>
        <v>0</v>
      </c>
      <c r="AE1706" s="86">
        <f>+AC1706*Analisis!$J$7</f>
        <v>0</v>
      </c>
      <c r="AF1706" s="308">
        <f>+H1706*0.0254*I1706*0.0254*2*(1+[3]Analisis!$G$2)</f>
        <v>0</v>
      </c>
      <c r="AG1706" s="86">
        <f>+AF1706*Analisis!$J$8</f>
        <v>0</v>
      </c>
      <c r="AH1706" s="309">
        <f t="shared" si="655"/>
        <v>0</v>
      </c>
      <c r="AI1706" s="86">
        <f>+AH1706/(1-Analisis!G1337)</f>
        <v>0</v>
      </c>
      <c r="AJ1706" s="86">
        <f t="shared" si="656"/>
        <v>0</v>
      </c>
      <c r="AK1706" s="86">
        <f t="shared" si="657"/>
        <v>0</v>
      </c>
      <c r="AL1706" s="310" t="e">
        <f>+VLOOKUP(B1706,#REF!,2,FALSE)</f>
        <v>#REF!</v>
      </c>
      <c r="AM1706" s="311" t="e">
        <f t="shared" si="658"/>
        <v>#REF!</v>
      </c>
      <c r="AN1706" s="312" t="e">
        <f t="shared" si="659"/>
        <v>#REF!</v>
      </c>
    </row>
    <row r="1707" spans="1:40" s="73" customFormat="1" x14ac:dyDescent="0.25">
      <c r="A1707" s="313"/>
      <c r="B1707" s="314"/>
      <c r="D1707" s="74">
        <f>IFERROR(VLOOKUP(B1707,'REQ. PINTADO'!B:C,2,0),0)</f>
        <v>0</v>
      </c>
      <c r="E1707" s="305">
        <f t="shared" si="646"/>
        <v>0</v>
      </c>
      <c r="F1707" s="103" t="s">
        <v>163</v>
      </c>
      <c r="G1707" s="75" t="s">
        <v>147</v>
      </c>
      <c r="H1707" s="90"/>
      <c r="I1707" s="90"/>
      <c r="J1707" s="76">
        <v>0.105</v>
      </c>
      <c r="K1707" s="306">
        <v>16.38</v>
      </c>
      <c r="L1707" s="78">
        <f t="shared" si="647"/>
        <v>0</v>
      </c>
      <c r="M1707" s="58">
        <f>+VLOOKUP(F1707,Material!$H$2:$M$17,6,FALSE)*H1707*I1707*(1+Material!$K$14)</f>
        <v>0</v>
      </c>
      <c r="N1707" s="79" t="str">
        <f>+N1326</f>
        <v>T5.0</v>
      </c>
      <c r="O1707" s="80">
        <f>+VLOOKUP(N1707,[3]Material!$A$3:$B$58,2,FALSE)</f>
        <v>5000</v>
      </c>
      <c r="P1707" s="79" t="s">
        <v>42</v>
      </c>
      <c r="Q1707" s="79" t="str">
        <f>+VLOOKUP(F1707,[3]Material!$C$2:$E$12,2,FALSE)</f>
        <v>Cal 12</v>
      </c>
      <c r="R1707" s="81">
        <f>+IF(P1707="ACERO A36",VLOOKUP(Q1707,'[3]Velocidades Std 1500 w'!$B$2:$F$15,5,FALSE),IF(P1707="INOXIDABLE",VLOOKUP(Q1707,'[3]Velocidades Std 1500 w'!$B$17:$F$28,5,FALSE),IF(P1707="ALUMINIO",VLOOKUP(Q1707,'[3]Velocidades Std 1500 w'!$B$30:$F$38,5,FALSE))))</f>
        <v>4.3859649122807014E-6</v>
      </c>
      <c r="S1707" s="82">
        <f t="shared" si="648"/>
        <v>2.1929824561403508E-2</v>
      </c>
      <c r="T1707" s="83">
        <f t="shared" si="649"/>
        <v>0</v>
      </c>
      <c r="U1707" s="307">
        <f t="shared" si="650"/>
        <v>0</v>
      </c>
      <c r="V1707" s="80">
        <f t="shared" si="651"/>
        <v>0</v>
      </c>
      <c r="W1707" s="98"/>
      <c r="X1707" s="84">
        <f>+IF(P1707="ACERO A36",VLOOKUP(Q1707,'[3]Tiempo Objeto'!$B$2:$C$12,2,FALSE),IF(P1707="INOXIDABLE",VLOOKUP(Q1707,'[3]Tiempo Objeto'!$B$14:$C$22,2,FALSE),IF(P1707="ALUMINIO",VLOOKUP(Q1707,'[3]Tiempo Objeto'!$B$24:$C$32,2,FALSE))))</f>
        <v>0.6133333333333334</v>
      </c>
      <c r="Y1707" s="84">
        <f t="shared" si="652"/>
        <v>0</v>
      </c>
      <c r="Z1707" s="80">
        <f t="shared" si="653"/>
        <v>0</v>
      </c>
      <c r="AA1707" s="100"/>
      <c r="AB1707" s="86">
        <f>+AA1707*Analisis!$J$6</f>
        <v>0</v>
      </c>
      <c r="AC1707" s="100"/>
      <c r="AD1707" s="85">
        <f t="shared" si="654"/>
        <v>0</v>
      </c>
      <c r="AE1707" s="86">
        <f>+AC1707*Analisis!$J$7</f>
        <v>0</v>
      </c>
      <c r="AF1707" s="308">
        <f>+H1707*0.0254*I1707*0.0254*2*(1+[3]Analisis!$G$2)</f>
        <v>0</v>
      </c>
      <c r="AG1707" s="86">
        <f>+AF1707*Analisis!$J$8</f>
        <v>0</v>
      </c>
      <c r="AH1707" s="309">
        <f t="shared" si="655"/>
        <v>0</v>
      </c>
      <c r="AI1707" s="86">
        <f>+AH1707/(1-Analisis!G1338)</f>
        <v>0</v>
      </c>
      <c r="AJ1707" s="86">
        <f t="shared" si="656"/>
        <v>0</v>
      </c>
      <c r="AK1707" s="86">
        <f t="shared" si="657"/>
        <v>0</v>
      </c>
      <c r="AL1707" s="310" t="e">
        <f>+VLOOKUP(B1707,#REF!,2,FALSE)</f>
        <v>#REF!</v>
      </c>
      <c r="AM1707" s="311" t="e">
        <f t="shared" si="658"/>
        <v>#REF!</v>
      </c>
      <c r="AN1707" s="312" t="e">
        <f t="shared" si="659"/>
        <v>#REF!</v>
      </c>
    </row>
    <row r="1708" spans="1:40" s="73" customFormat="1" x14ac:dyDescent="0.25">
      <c r="A1708" s="313"/>
      <c r="B1708" s="314"/>
      <c r="D1708" s="74">
        <f>IFERROR(VLOOKUP(B1708,'REQ. PINTADO'!B:C,2,0),0)</f>
        <v>0</v>
      </c>
      <c r="E1708" s="305">
        <f t="shared" si="646"/>
        <v>0</v>
      </c>
      <c r="F1708" s="103" t="s">
        <v>163</v>
      </c>
      <c r="G1708" s="75" t="s">
        <v>147</v>
      </c>
      <c r="H1708" s="90"/>
      <c r="I1708" s="90"/>
      <c r="J1708" s="76">
        <v>0.105</v>
      </c>
      <c r="K1708" s="306">
        <v>16.38</v>
      </c>
      <c r="L1708" s="78">
        <f t="shared" si="647"/>
        <v>0</v>
      </c>
      <c r="M1708" s="58">
        <f>+VLOOKUP(F1708,Material!$H$2:$M$17,6,FALSE)*H1708*I1708*(1+Material!$K$14)</f>
        <v>0</v>
      </c>
      <c r="N1708" s="79" t="str">
        <f>+N1327</f>
        <v>T5.0</v>
      </c>
      <c r="O1708" s="80">
        <f>+VLOOKUP(N1708,[3]Material!$A$3:$B$58,2,FALSE)</f>
        <v>5000</v>
      </c>
      <c r="P1708" s="79" t="s">
        <v>42</v>
      </c>
      <c r="Q1708" s="79" t="str">
        <f>+VLOOKUP(F1708,[3]Material!$C$2:$E$12,2,FALSE)</f>
        <v>Cal 12</v>
      </c>
      <c r="R1708" s="81">
        <f>+IF(P1708="ACERO A36",VLOOKUP(Q1708,'[3]Velocidades Std 1500 w'!$B$2:$F$15,5,FALSE),IF(P1708="INOXIDABLE",VLOOKUP(Q1708,'[3]Velocidades Std 1500 w'!$B$17:$F$28,5,FALSE),IF(P1708="ALUMINIO",VLOOKUP(Q1708,'[3]Velocidades Std 1500 w'!$B$30:$F$38,5,FALSE))))</f>
        <v>4.3859649122807014E-6</v>
      </c>
      <c r="S1708" s="82">
        <f t="shared" si="648"/>
        <v>2.1929824561403508E-2</v>
      </c>
      <c r="T1708" s="83">
        <f t="shared" si="649"/>
        <v>0</v>
      </c>
      <c r="U1708" s="307">
        <f t="shared" si="650"/>
        <v>0</v>
      </c>
      <c r="V1708" s="80">
        <f t="shared" si="651"/>
        <v>0</v>
      </c>
      <c r="W1708" s="98"/>
      <c r="X1708" s="84">
        <f>+IF(P1708="ACERO A36",VLOOKUP(Q1708,'[3]Tiempo Objeto'!$B$2:$C$12,2,FALSE),IF(P1708="INOXIDABLE",VLOOKUP(Q1708,'[3]Tiempo Objeto'!$B$14:$C$22,2,FALSE),IF(P1708="ALUMINIO",VLOOKUP(Q1708,'[3]Tiempo Objeto'!$B$24:$C$32,2,FALSE))))</f>
        <v>0.6133333333333334</v>
      </c>
      <c r="Y1708" s="84">
        <f t="shared" si="652"/>
        <v>0</v>
      </c>
      <c r="Z1708" s="80">
        <f t="shared" si="653"/>
        <v>0</v>
      </c>
      <c r="AA1708" s="100"/>
      <c r="AB1708" s="86">
        <f>+AA1708*Analisis!$J$6</f>
        <v>0</v>
      </c>
      <c r="AC1708" s="100"/>
      <c r="AD1708" s="85">
        <f t="shared" si="654"/>
        <v>0</v>
      </c>
      <c r="AE1708" s="86">
        <f>+AC1708*Analisis!$J$7</f>
        <v>0</v>
      </c>
      <c r="AF1708" s="308">
        <f>+H1708*0.0254*I1708*0.0254*2*(1+[3]Analisis!$G$2)</f>
        <v>0</v>
      </c>
      <c r="AG1708" s="86">
        <f>+AF1708*Analisis!$J$8</f>
        <v>0</v>
      </c>
      <c r="AH1708" s="309">
        <f t="shared" si="655"/>
        <v>0</v>
      </c>
      <c r="AI1708" s="86">
        <f>+AH1708/(1-Analisis!G1339)</f>
        <v>0</v>
      </c>
      <c r="AJ1708" s="86">
        <f t="shared" si="656"/>
        <v>0</v>
      </c>
      <c r="AK1708" s="86">
        <f t="shared" si="657"/>
        <v>0</v>
      </c>
      <c r="AL1708" s="310" t="e">
        <f>+VLOOKUP(B1708,#REF!,2,FALSE)</f>
        <v>#REF!</v>
      </c>
      <c r="AM1708" s="311" t="e">
        <f t="shared" si="658"/>
        <v>#REF!</v>
      </c>
      <c r="AN1708" s="312" t="e">
        <f t="shared" si="659"/>
        <v>#REF!</v>
      </c>
    </row>
    <row r="1709" spans="1:40" s="73" customFormat="1" x14ac:dyDescent="0.25">
      <c r="A1709" s="313"/>
      <c r="B1709" s="314"/>
      <c r="D1709" s="74">
        <f>IFERROR(VLOOKUP(B1709,'REQ. PINTADO'!B:C,2,0),0)</f>
        <v>0</v>
      </c>
      <c r="E1709" s="305">
        <f t="shared" si="646"/>
        <v>0</v>
      </c>
      <c r="F1709" s="103" t="s">
        <v>163</v>
      </c>
      <c r="G1709" s="75" t="s">
        <v>147</v>
      </c>
      <c r="H1709" s="90"/>
      <c r="I1709" s="90"/>
      <c r="J1709" s="76">
        <v>0.105</v>
      </c>
      <c r="K1709" s="306">
        <v>16.38</v>
      </c>
      <c r="L1709" s="78">
        <f t="shared" si="647"/>
        <v>0</v>
      </c>
      <c r="M1709" s="58">
        <f>+VLOOKUP(F1709,Material!$H$2:$M$17,6,FALSE)*H1709*I1709*(1+Material!$K$14)</f>
        <v>0</v>
      </c>
      <c r="N1709" s="79" t="str">
        <f>+N1328</f>
        <v>T5.0</v>
      </c>
      <c r="O1709" s="80">
        <f>+VLOOKUP(N1709,[3]Material!$A$3:$B$58,2,FALSE)</f>
        <v>5000</v>
      </c>
      <c r="P1709" s="79" t="s">
        <v>42</v>
      </c>
      <c r="Q1709" s="79" t="str">
        <f>+VLOOKUP(F1709,[3]Material!$C$2:$E$12,2,FALSE)</f>
        <v>Cal 12</v>
      </c>
      <c r="R1709" s="81">
        <f>+IF(P1709="ACERO A36",VLOOKUP(Q1709,'[3]Velocidades Std 1500 w'!$B$2:$F$15,5,FALSE),IF(P1709="INOXIDABLE",VLOOKUP(Q1709,'[3]Velocidades Std 1500 w'!$B$17:$F$28,5,FALSE),IF(P1709="ALUMINIO",VLOOKUP(Q1709,'[3]Velocidades Std 1500 w'!$B$30:$F$38,5,FALSE))))</f>
        <v>4.3859649122807014E-6</v>
      </c>
      <c r="S1709" s="82">
        <f t="shared" si="648"/>
        <v>2.1929824561403508E-2</v>
      </c>
      <c r="T1709" s="83">
        <f t="shared" si="649"/>
        <v>0</v>
      </c>
      <c r="U1709" s="307">
        <f t="shared" si="650"/>
        <v>0</v>
      </c>
      <c r="V1709" s="80">
        <f t="shared" si="651"/>
        <v>0</v>
      </c>
      <c r="W1709" s="98"/>
      <c r="X1709" s="84">
        <f>+IF(P1709="ACERO A36",VLOOKUP(Q1709,'[3]Tiempo Objeto'!$B$2:$C$12,2,FALSE),IF(P1709="INOXIDABLE",VLOOKUP(Q1709,'[3]Tiempo Objeto'!$B$14:$C$22,2,FALSE),IF(P1709="ALUMINIO",VLOOKUP(Q1709,'[3]Tiempo Objeto'!$B$24:$C$32,2,FALSE))))</f>
        <v>0.6133333333333334</v>
      </c>
      <c r="Y1709" s="84">
        <f t="shared" si="652"/>
        <v>0</v>
      </c>
      <c r="Z1709" s="80">
        <f t="shared" si="653"/>
        <v>0</v>
      </c>
      <c r="AA1709" s="100"/>
      <c r="AB1709" s="86">
        <f>+AA1709*Analisis!$J$6</f>
        <v>0</v>
      </c>
      <c r="AC1709" s="100"/>
      <c r="AD1709" s="85">
        <f t="shared" si="654"/>
        <v>0</v>
      </c>
      <c r="AE1709" s="86">
        <f>+AC1709*Analisis!$J$7</f>
        <v>0</v>
      </c>
      <c r="AF1709" s="308">
        <f>+H1709*0.0254*I1709*0.0254*2*(1+[3]Analisis!$G$2)</f>
        <v>0</v>
      </c>
      <c r="AG1709" s="86">
        <f>+AF1709*Analisis!$J$8</f>
        <v>0</v>
      </c>
      <c r="AH1709" s="309">
        <f t="shared" si="655"/>
        <v>0</v>
      </c>
      <c r="AI1709" s="86">
        <f>+AH1709/(1-Analisis!G1340)</f>
        <v>0</v>
      </c>
      <c r="AJ1709" s="86">
        <f t="shared" si="656"/>
        <v>0</v>
      </c>
      <c r="AK1709" s="86">
        <f t="shared" si="657"/>
        <v>0</v>
      </c>
      <c r="AL1709" s="310" t="e">
        <f>+VLOOKUP(B1709,#REF!,2,FALSE)</f>
        <v>#REF!</v>
      </c>
      <c r="AM1709" s="311" t="e">
        <f t="shared" si="658"/>
        <v>#REF!</v>
      </c>
      <c r="AN1709" s="312" t="e">
        <f t="shared" si="659"/>
        <v>#REF!</v>
      </c>
    </row>
    <row r="1710" spans="1:40" s="73" customFormat="1" x14ac:dyDescent="0.25">
      <c r="A1710" s="313"/>
      <c r="B1710" s="314"/>
      <c r="D1710" s="74">
        <f>IFERROR(VLOOKUP(B1710,'REQ. PINTADO'!B:C,2,0),0)</f>
        <v>0</v>
      </c>
      <c r="E1710" s="305">
        <f t="shared" si="646"/>
        <v>0</v>
      </c>
      <c r="F1710" s="103" t="s">
        <v>163</v>
      </c>
      <c r="G1710" s="75" t="s">
        <v>147</v>
      </c>
      <c r="H1710" s="90"/>
      <c r="I1710" s="90"/>
      <c r="J1710" s="76">
        <v>0.105</v>
      </c>
      <c r="K1710" s="306">
        <v>16.38</v>
      </c>
      <c r="L1710" s="78">
        <f t="shared" si="647"/>
        <v>0</v>
      </c>
      <c r="M1710" s="58">
        <f>+VLOOKUP(F1710,Material!$H$2:$M$17,6,FALSE)*H1710*I1710*(1+Material!$K$14)</f>
        <v>0</v>
      </c>
      <c r="N1710" s="79" t="str">
        <f>+N1329</f>
        <v>T5.0</v>
      </c>
      <c r="O1710" s="80">
        <f>+VLOOKUP(N1710,[3]Material!$A$3:$B$58,2,FALSE)</f>
        <v>5000</v>
      </c>
      <c r="P1710" s="79" t="s">
        <v>42</v>
      </c>
      <c r="Q1710" s="79" t="str">
        <f>+VLOOKUP(F1710,[3]Material!$C$2:$E$12,2,FALSE)</f>
        <v>Cal 12</v>
      </c>
      <c r="R1710" s="81">
        <f>+IF(P1710="ACERO A36",VLOOKUP(Q1710,'[3]Velocidades Std 1500 w'!$B$2:$F$15,5,FALSE),IF(P1710="INOXIDABLE",VLOOKUP(Q1710,'[3]Velocidades Std 1500 w'!$B$17:$F$28,5,FALSE),IF(P1710="ALUMINIO",VLOOKUP(Q1710,'[3]Velocidades Std 1500 w'!$B$30:$F$38,5,FALSE))))</f>
        <v>4.3859649122807014E-6</v>
      </c>
      <c r="S1710" s="82">
        <f t="shared" si="648"/>
        <v>2.1929824561403508E-2</v>
      </c>
      <c r="T1710" s="83">
        <f t="shared" si="649"/>
        <v>0</v>
      </c>
      <c r="U1710" s="307">
        <f t="shared" si="650"/>
        <v>0</v>
      </c>
      <c r="V1710" s="80">
        <f t="shared" si="651"/>
        <v>0</v>
      </c>
      <c r="W1710" s="98"/>
      <c r="X1710" s="84">
        <f>+IF(P1710="ACERO A36",VLOOKUP(Q1710,'[3]Tiempo Objeto'!$B$2:$C$12,2,FALSE),IF(P1710="INOXIDABLE",VLOOKUP(Q1710,'[3]Tiempo Objeto'!$B$14:$C$22,2,FALSE),IF(P1710="ALUMINIO",VLOOKUP(Q1710,'[3]Tiempo Objeto'!$B$24:$C$32,2,FALSE))))</f>
        <v>0.6133333333333334</v>
      </c>
      <c r="Y1710" s="84">
        <f t="shared" si="652"/>
        <v>0</v>
      </c>
      <c r="Z1710" s="80">
        <f t="shared" si="653"/>
        <v>0</v>
      </c>
      <c r="AA1710" s="100"/>
      <c r="AB1710" s="86">
        <f>+AA1710*Analisis!$J$6</f>
        <v>0</v>
      </c>
      <c r="AC1710" s="100"/>
      <c r="AD1710" s="85">
        <f t="shared" si="654"/>
        <v>0</v>
      </c>
      <c r="AE1710" s="86">
        <f>+AC1710*Analisis!$J$7</f>
        <v>0</v>
      </c>
      <c r="AF1710" s="308">
        <f>+H1710*0.0254*I1710*0.0254*2*(1+[3]Analisis!$G$2)</f>
        <v>0</v>
      </c>
      <c r="AG1710" s="86">
        <f>+AF1710*Analisis!$J$8</f>
        <v>0</v>
      </c>
      <c r="AH1710" s="309">
        <f t="shared" si="655"/>
        <v>0</v>
      </c>
      <c r="AI1710" s="86">
        <f>+AH1710/(1-Analisis!G1341)</f>
        <v>0</v>
      </c>
      <c r="AJ1710" s="86">
        <f t="shared" si="656"/>
        <v>0</v>
      </c>
      <c r="AK1710" s="86">
        <f t="shared" si="657"/>
        <v>0</v>
      </c>
      <c r="AL1710" s="310" t="e">
        <f>+VLOOKUP(B1710,#REF!,2,FALSE)</f>
        <v>#REF!</v>
      </c>
      <c r="AM1710" s="311" t="e">
        <f t="shared" si="658"/>
        <v>#REF!</v>
      </c>
      <c r="AN1710" s="312" t="e">
        <f t="shared" si="659"/>
        <v>#REF!</v>
      </c>
    </row>
    <row r="1711" spans="1:40" s="73" customFormat="1" x14ac:dyDescent="0.25">
      <c r="A1711" s="313"/>
      <c r="B1711" s="314"/>
      <c r="D1711" s="74">
        <f>IFERROR(VLOOKUP(B1711,'REQ. PINTADO'!B:C,2,0),0)</f>
        <v>0</v>
      </c>
      <c r="E1711" s="305">
        <f t="shared" si="646"/>
        <v>0</v>
      </c>
      <c r="F1711" s="103" t="s">
        <v>163</v>
      </c>
      <c r="G1711" s="75" t="s">
        <v>147</v>
      </c>
      <c r="H1711" s="90"/>
      <c r="I1711" s="90"/>
      <c r="J1711" s="76">
        <v>0.105</v>
      </c>
      <c r="K1711" s="306">
        <v>16.38</v>
      </c>
      <c r="L1711" s="78">
        <f t="shared" si="647"/>
        <v>0</v>
      </c>
      <c r="M1711" s="58">
        <f>+VLOOKUP(F1711,Material!$H$2:$M$17,6,FALSE)*H1711*I1711*(1+Material!$K$14)</f>
        <v>0</v>
      </c>
      <c r="N1711" s="79" t="str">
        <f>+N1330</f>
        <v>T5.0</v>
      </c>
      <c r="O1711" s="80">
        <f>+VLOOKUP(N1711,[3]Material!$A$3:$B$58,2,FALSE)</f>
        <v>5000</v>
      </c>
      <c r="P1711" s="79" t="s">
        <v>42</v>
      </c>
      <c r="Q1711" s="79" t="str">
        <f>+VLOOKUP(F1711,[3]Material!$C$2:$E$12,2,FALSE)</f>
        <v>Cal 12</v>
      </c>
      <c r="R1711" s="81">
        <f>+IF(P1711="ACERO A36",VLOOKUP(Q1711,'[3]Velocidades Std 1500 w'!$B$2:$F$15,5,FALSE),IF(P1711="INOXIDABLE",VLOOKUP(Q1711,'[3]Velocidades Std 1500 w'!$B$17:$F$28,5,FALSE),IF(P1711="ALUMINIO",VLOOKUP(Q1711,'[3]Velocidades Std 1500 w'!$B$30:$F$38,5,FALSE))))</f>
        <v>4.3859649122807014E-6</v>
      </c>
      <c r="S1711" s="82">
        <f t="shared" si="648"/>
        <v>2.1929824561403508E-2</v>
      </c>
      <c r="T1711" s="83">
        <f t="shared" si="649"/>
        <v>0</v>
      </c>
      <c r="U1711" s="307">
        <f t="shared" si="650"/>
        <v>0</v>
      </c>
      <c r="V1711" s="80">
        <f t="shared" si="651"/>
        <v>0</v>
      </c>
      <c r="W1711" s="98"/>
      <c r="X1711" s="84">
        <f>+IF(P1711="ACERO A36",VLOOKUP(Q1711,'[3]Tiempo Objeto'!$B$2:$C$12,2,FALSE),IF(P1711="INOXIDABLE",VLOOKUP(Q1711,'[3]Tiempo Objeto'!$B$14:$C$22,2,FALSE),IF(P1711="ALUMINIO",VLOOKUP(Q1711,'[3]Tiempo Objeto'!$B$24:$C$32,2,FALSE))))</f>
        <v>0.6133333333333334</v>
      </c>
      <c r="Y1711" s="84">
        <f t="shared" si="652"/>
        <v>0</v>
      </c>
      <c r="Z1711" s="80">
        <f t="shared" si="653"/>
        <v>0</v>
      </c>
      <c r="AA1711" s="100"/>
      <c r="AB1711" s="86">
        <f>+AA1711*Analisis!$J$6</f>
        <v>0</v>
      </c>
      <c r="AC1711" s="100"/>
      <c r="AD1711" s="85">
        <f t="shared" si="654"/>
        <v>0</v>
      </c>
      <c r="AE1711" s="86">
        <f>+AC1711*Analisis!$J$7</f>
        <v>0</v>
      </c>
      <c r="AF1711" s="308">
        <f>+H1711*0.0254*I1711*0.0254*2*(1+[3]Analisis!$G$2)</f>
        <v>0</v>
      </c>
      <c r="AG1711" s="86">
        <f>+AF1711*Analisis!$J$8</f>
        <v>0</v>
      </c>
      <c r="AH1711" s="309">
        <f t="shared" si="655"/>
        <v>0</v>
      </c>
      <c r="AI1711" s="86">
        <f>+AH1711/(1-Analisis!G1342)</f>
        <v>0</v>
      </c>
      <c r="AJ1711" s="86">
        <f t="shared" si="656"/>
        <v>0</v>
      </c>
      <c r="AK1711" s="86">
        <f t="shared" si="657"/>
        <v>0</v>
      </c>
      <c r="AL1711" s="310" t="e">
        <f>+VLOOKUP(B1711,#REF!,2,FALSE)</f>
        <v>#REF!</v>
      </c>
      <c r="AM1711" s="311" t="e">
        <f t="shared" si="658"/>
        <v>#REF!</v>
      </c>
      <c r="AN1711" s="312" t="e">
        <f t="shared" si="659"/>
        <v>#REF!</v>
      </c>
    </row>
    <row r="1712" spans="1:40" s="73" customFormat="1" x14ac:dyDescent="0.25">
      <c r="A1712" s="313"/>
      <c r="B1712" s="314"/>
      <c r="D1712" s="74">
        <f>IFERROR(VLOOKUP(B1712,'REQ. PINTADO'!B:C,2,0),0)</f>
        <v>0</v>
      </c>
      <c r="E1712" s="305">
        <f t="shared" si="646"/>
        <v>0</v>
      </c>
      <c r="F1712" s="103" t="s">
        <v>163</v>
      </c>
      <c r="G1712" s="75" t="s">
        <v>147</v>
      </c>
      <c r="H1712" s="90"/>
      <c r="I1712" s="90"/>
      <c r="J1712" s="76">
        <v>0.105</v>
      </c>
      <c r="K1712" s="306">
        <v>16.38</v>
      </c>
      <c r="L1712" s="78">
        <f t="shared" si="647"/>
        <v>0</v>
      </c>
      <c r="M1712" s="58">
        <f>+VLOOKUP(F1712,Material!$H$2:$M$17,6,FALSE)*H1712*I1712*(1+Material!$K$14)</f>
        <v>0</v>
      </c>
      <c r="N1712" s="79" t="str">
        <f>+N1331</f>
        <v>T5.0</v>
      </c>
      <c r="O1712" s="80">
        <f>+VLOOKUP(N1712,[3]Material!$A$3:$B$58,2,FALSE)</f>
        <v>5000</v>
      </c>
      <c r="P1712" s="79" t="s">
        <v>42</v>
      </c>
      <c r="Q1712" s="79" t="str">
        <f>+VLOOKUP(F1712,[3]Material!$C$2:$E$12,2,FALSE)</f>
        <v>Cal 12</v>
      </c>
      <c r="R1712" s="81">
        <f>+IF(P1712="ACERO A36",VLOOKUP(Q1712,'[3]Velocidades Std 1500 w'!$B$2:$F$15,5,FALSE),IF(P1712="INOXIDABLE",VLOOKUP(Q1712,'[3]Velocidades Std 1500 w'!$B$17:$F$28,5,FALSE),IF(P1712="ALUMINIO",VLOOKUP(Q1712,'[3]Velocidades Std 1500 w'!$B$30:$F$38,5,FALSE))))</f>
        <v>4.3859649122807014E-6</v>
      </c>
      <c r="S1712" s="82">
        <f t="shared" si="648"/>
        <v>2.1929824561403508E-2</v>
      </c>
      <c r="T1712" s="83">
        <f t="shared" si="649"/>
        <v>0</v>
      </c>
      <c r="U1712" s="307">
        <f t="shared" si="650"/>
        <v>0</v>
      </c>
      <c r="V1712" s="80">
        <f t="shared" si="651"/>
        <v>0</v>
      </c>
      <c r="W1712" s="98"/>
      <c r="X1712" s="84">
        <f>+IF(P1712="ACERO A36",VLOOKUP(Q1712,'[3]Tiempo Objeto'!$B$2:$C$12,2,FALSE),IF(P1712="INOXIDABLE",VLOOKUP(Q1712,'[3]Tiempo Objeto'!$B$14:$C$22,2,FALSE),IF(P1712="ALUMINIO",VLOOKUP(Q1712,'[3]Tiempo Objeto'!$B$24:$C$32,2,FALSE))))</f>
        <v>0.6133333333333334</v>
      </c>
      <c r="Y1712" s="84">
        <f t="shared" si="652"/>
        <v>0</v>
      </c>
      <c r="Z1712" s="80">
        <f t="shared" si="653"/>
        <v>0</v>
      </c>
      <c r="AA1712" s="100"/>
      <c r="AB1712" s="86">
        <f>+AA1712*Analisis!$J$6</f>
        <v>0</v>
      </c>
      <c r="AC1712" s="100"/>
      <c r="AD1712" s="85">
        <f t="shared" si="654"/>
        <v>0</v>
      </c>
      <c r="AE1712" s="86">
        <f>+AC1712*Analisis!$J$7</f>
        <v>0</v>
      </c>
      <c r="AF1712" s="308">
        <f>+H1712*0.0254*I1712*0.0254*2*(1+[3]Analisis!$G$2)</f>
        <v>0</v>
      </c>
      <c r="AG1712" s="86">
        <f>+AF1712*Analisis!$J$8</f>
        <v>0</v>
      </c>
      <c r="AH1712" s="309">
        <f t="shared" si="655"/>
        <v>0</v>
      </c>
      <c r="AI1712" s="86">
        <f>+AH1712/(1-Analisis!G1343)</f>
        <v>0</v>
      </c>
      <c r="AJ1712" s="86">
        <f t="shared" si="656"/>
        <v>0</v>
      </c>
      <c r="AK1712" s="86">
        <f t="shared" si="657"/>
        <v>0</v>
      </c>
      <c r="AL1712" s="310" t="e">
        <f>+VLOOKUP(B1712,#REF!,2,FALSE)</f>
        <v>#REF!</v>
      </c>
      <c r="AM1712" s="311" t="e">
        <f t="shared" si="658"/>
        <v>#REF!</v>
      </c>
      <c r="AN1712" s="312" t="e">
        <f t="shared" si="659"/>
        <v>#REF!</v>
      </c>
    </row>
    <row r="1713" spans="1:40" s="73" customFormat="1" x14ac:dyDescent="0.25">
      <c r="A1713" s="313"/>
      <c r="B1713" s="314"/>
      <c r="D1713" s="74">
        <f>IFERROR(VLOOKUP(B1713,'REQ. PINTADO'!B:C,2,0),0)</f>
        <v>0</v>
      </c>
      <c r="E1713" s="305">
        <f t="shared" si="646"/>
        <v>0</v>
      </c>
      <c r="F1713" s="103" t="s">
        <v>163</v>
      </c>
      <c r="G1713" s="75" t="s">
        <v>147</v>
      </c>
      <c r="H1713" s="90"/>
      <c r="I1713" s="90"/>
      <c r="J1713" s="76">
        <v>0.105</v>
      </c>
      <c r="K1713" s="306">
        <v>16.38</v>
      </c>
      <c r="L1713" s="78">
        <f t="shared" si="647"/>
        <v>0</v>
      </c>
      <c r="M1713" s="58">
        <f>+VLOOKUP(F1713,Material!$H$2:$M$17,6,FALSE)*H1713*I1713*(1+Material!$K$14)</f>
        <v>0</v>
      </c>
      <c r="N1713" s="79" t="str">
        <f>+N1332</f>
        <v>T5.0</v>
      </c>
      <c r="O1713" s="80">
        <f>+VLOOKUP(N1713,[3]Material!$A$3:$B$58,2,FALSE)</f>
        <v>5000</v>
      </c>
      <c r="P1713" s="79" t="s">
        <v>42</v>
      </c>
      <c r="Q1713" s="79" t="str">
        <f>+VLOOKUP(F1713,[3]Material!$C$2:$E$12,2,FALSE)</f>
        <v>Cal 12</v>
      </c>
      <c r="R1713" s="81">
        <f>+IF(P1713="ACERO A36",VLOOKUP(Q1713,'[3]Velocidades Std 1500 w'!$B$2:$F$15,5,FALSE),IF(P1713="INOXIDABLE",VLOOKUP(Q1713,'[3]Velocidades Std 1500 w'!$B$17:$F$28,5,FALSE),IF(P1713="ALUMINIO",VLOOKUP(Q1713,'[3]Velocidades Std 1500 w'!$B$30:$F$38,5,FALSE))))</f>
        <v>4.3859649122807014E-6</v>
      </c>
      <c r="S1713" s="82">
        <f t="shared" si="648"/>
        <v>2.1929824561403508E-2</v>
      </c>
      <c r="T1713" s="83">
        <f t="shared" si="649"/>
        <v>0</v>
      </c>
      <c r="U1713" s="307">
        <f t="shared" si="650"/>
        <v>0</v>
      </c>
      <c r="V1713" s="80">
        <f t="shared" si="651"/>
        <v>0</v>
      </c>
      <c r="W1713" s="98"/>
      <c r="X1713" s="84">
        <f>+IF(P1713="ACERO A36",VLOOKUP(Q1713,'[3]Tiempo Objeto'!$B$2:$C$12,2,FALSE),IF(P1713="INOXIDABLE",VLOOKUP(Q1713,'[3]Tiempo Objeto'!$B$14:$C$22,2,FALSE),IF(P1713="ALUMINIO",VLOOKUP(Q1713,'[3]Tiempo Objeto'!$B$24:$C$32,2,FALSE))))</f>
        <v>0.6133333333333334</v>
      </c>
      <c r="Y1713" s="84">
        <f t="shared" si="652"/>
        <v>0</v>
      </c>
      <c r="Z1713" s="80">
        <f t="shared" si="653"/>
        <v>0</v>
      </c>
      <c r="AA1713" s="100"/>
      <c r="AB1713" s="86">
        <f>+AA1713*Analisis!$J$6</f>
        <v>0</v>
      </c>
      <c r="AC1713" s="100"/>
      <c r="AD1713" s="85">
        <f t="shared" si="654"/>
        <v>0</v>
      </c>
      <c r="AE1713" s="86">
        <f>+AC1713*Analisis!$J$7</f>
        <v>0</v>
      </c>
      <c r="AF1713" s="308">
        <f>+H1713*0.0254*I1713*0.0254*2*(1+[3]Analisis!$G$2)</f>
        <v>0</v>
      </c>
      <c r="AG1713" s="86">
        <f>+AF1713*Analisis!$J$8</f>
        <v>0</v>
      </c>
      <c r="AH1713" s="309">
        <f t="shared" si="655"/>
        <v>0</v>
      </c>
      <c r="AI1713" s="86">
        <f>+AH1713/(1-Analisis!G1344)</f>
        <v>0</v>
      </c>
      <c r="AJ1713" s="86">
        <f t="shared" si="656"/>
        <v>0</v>
      </c>
      <c r="AK1713" s="86">
        <f t="shared" si="657"/>
        <v>0</v>
      </c>
      <c r="AL1713" s="310" t="e">
        <f>+VLOOKUP(B1713,#REF!,2,FALSE)</f>
        <v>#REF!</v>
      </c>
      <c r="AM1713" s="311" t="e">
        <f t="shared" si="658"/>
        <v>#REF!</v>
      </c>
      <c r="AN1713" s="312" t="e">
        <f t="shared" si="659"/>
        <v>#REF!</v>
      </c>
    </row>
    <row r="1714" spans="1:40" s="73" customFormat="1" x14ac:dyDescent="0.25">
      <c r="A1714" s="313"/>
      <c r="B1714" s="314"/>
      <c r="D1714" s="74">
        <f>IFERROR(VLOOKUP(B1714,'REQ. PINTADO'!B:C,2,0),0)</f>
        <v>0</v>
      </c>
      <c r="E1714" s="305">
        <f t="shared" si="646"/>
        <v>0</v>
      </c>
      <c r="F1714" s="103" t="s">
        <v>163</v>
      </c>
      <c r="G1714" s="75" t="s">
        <v>147</v>
      </c>
      <c r="H1714" s="90"/>
      <c r="I1714" s="90"/>
      <c r="J1714" s="76">
        <v>0.105</v>
      </c>
      <c r="K1714" s="306">
        <v>16.38</v>
      </c>
      <c r="L1714" s="78">
        <f t="shared" si="647"/>
        <v>0</v>
      </c>
      <c r="M1714" s="58">
        <f>+VLOOKUP(F1714,Material!$H$2:$M$17,6,FALSE)*H1714*I1714*(1+Material!$K$14)</f>
        <v>0</v>
      </c>
      <c r="N1714" s="79" t="str">
        <f>+N1333</f>
        <v>T5.0</v>
      </c>
      <c r="O1714" s="80">
        <f>+VLOOKUP(N1714,[3]Material!$A$3:$B$58,2,FALSE)</f>
        <v>5000</v>
      </c>
      <c r="P1714" s="79" t="s">
        <v>42</v>
      </c>
      <c r="Q1714" s="79" t="str">
        <f>+VLOOKUP(F1714,[3]Material!$C$2:$E$12,2,FALSE)</f>
        <v>Cal 12</v>
      </c>
      <c r="R1714" s="81">
        <f>+IF(P1714="ACERO A36",VLOOKUP(Q1714,'[3]Velocidades Std 1500 w'!$B$2:$F$15,5,FALSE),IF(P1714="INOXIDABLE",VLOOKUP(Q1714,'[3]Velocidades Std 1500 w'!$B$17:$F$28,5,FALSE),IF(P1714="ALUMINIO",VLOOKUP(Q1714,'[3]Velocidades Std 1500 w'!$B$30:$F$38,5,FALSE))))</f>
        <v>4.3859649122807014E-6</v>
      </c>
      <c r="S1714" s="82">
        <f t="shared" si="648"/>
        <v>2.1929824561403508E-2</v>
      </c>
      <c r="T1714" s="83">
        <f t="shared" si="649"/>
        <v>0</v>
      </c>
      <c r="U1714" s="307">
        <f t="shared" si="650"/>
        <v>0</v>
      </c>
      <c r="V1714" s="80">
        <f t="shared" si="651"/>
        <v>0</v>
      </c>
      <c r="W1714" s="98"/>
      <c r="X1714" s="84">
        <f>+IF(P1714="ACERO A36",VLOOKUP(Q1714,'[3]Tiempo Objeto'!$B$2:$C$12,2,FALSE),IF(P1714="INOXIDABLE",VLOOKUP(Q1714,'[3]Tiempo Objeto'!$B$14:$C$22,2,FALSE),IF(P1714="ALUMINIO",VLOOKUP(Q1714,'[3]Tiempo Objeto'!$B$24:$C$32,2,FALSE))))</f>
        <v>0.6133333333333334</v>
      </c>
      <c r="Y1714" s="84">
        <f t="shared" si="652"/>
        <v>0</v>
      </c>
      <c r="Z1714" s="80">
        <f t="shared" si="653"/>
        <v>0</v>
      </c>
      <c r="AA1714" s="100"/>
      <c r="AB1714" s="86">
        <f>+AA1714*Analisis!$J$6</f>
        <v>0</v>
      </c>
      <c r="AC1714" s="100"/>
      <c r="AD1714" s="85">
        <f t="shared" si="654"/>
        <v>0</v>
      </c>
      <c r="AE1714" s="86">
        <f>+AC1714*Analisis!$J$7</f>
        <v>0</v>
      </c>
      <c r="AF1714" s="308">
        <f>+H1714*0.0254*I1714*0.0254*2*(1+[3]Analisis!$G$2)</f>
        <v>0</v>
      </c>
      <c r="AG1714" s="86">
        <f>+AF1714*Analisis!$J$8</f>
        <v>0</v>
      </c>
      <c r="AH1714" s="309">
        <f t="shared" si="655"/>
        <v>0</v>
      </c>
      <c r="AI1714" s="86">
        <f>+AH1714/(1-Analisis!G1345)</f>
        <v>0</v>
      </c>
      <c r="AJ1714" s="86">
        <f t="shared" si="656"/>
        <v>0</v>
      </c>
      <c r="AK1714" s="86">
        <f t="shared" si="657"/>
        <v>0</v>
      </c>
      <c r="AL1714" s="310" t="e">
        <f>+VLOOKUP(B1714,#REF!,2,FALSE)</f>
        <v>#REF!</v>
      </c>
      <c r="AM1714" s="311" t="e">
        <f t="shared" si="658"/>
        <v>#REF!</v>
      </c>
      <c r="AN1714" s="312" t="e">
        <f t="shared" si="659"/>
        <v>#REF!</v>
      </c>
    </row>
    <row r="1715" spans="1:40" s="73" customFormat="1" x14ac:dyDescent="0.25">
      <c r="A1715" s="313"/>
      <c r="B1715" s="314"/>
      <c r="D1715" s="74">
        <f>IFERROR(VLOOKUP(B1715,'REQ. PINTADO'!B:C,2,0),0)</f>
        <v>0</v>
      </c>
      <c r="E1715" s="305">
        <f t="shared" si="646"/>
        <v>0</v>
      </c>
      <c r="F1715" s="103" t="s">
        <v>163</v>
      </c>
      <c r="G1715" s="75" t="s">
        <v>147</v>
      </c>
      <c r="H1715" s="90"/>
      <c r="I1715" s="90"/>
      <c r="J1715" s="76">
        <v>0.105</v>
      </c>
      <c r="K1715" s="306">
        <v>16.38</v>
      </c>
      <c r="L1715" s="78">
        <f t="shared" si="647"/>
        <v>0</v>
      </c>
      <c r="M1715" s="58">
        <f>+VLOOKUP(F1715,Material!$H$2:$M$17,6,FALSE)*H1715*I1715*(1+Material!$K$14)</f>
        <v>0</v>
      </c>
      <c r="N1715" s="79" t="str">
        <f>+N1334</f>
        <v>T5.0</v>
      </c>
      <c r="O1715" s="80">
        <f>+VLOOKUP(N1715,[3]Material!$A$3:$B$58,2,FALSE)</f>
        <v>5000</v>
      </c>
      <c r="P1715" s="79" t="s">
        <v>42</v>
      </c>
      <c r="Q1715" s="79" t="str">
        <f>+VLOOKUP(F1715,[3]Material!$C$2:$E$12,2,FALSE)</f>
        <v>Cal 12</v>
      </c>
      <c r="R1715" s="81">
        <f>+IF(P1715="ACERO A36",VLOOKUP(Q1715,'[3]Velocidades Std 1500 w'!$B$2:$F$15,5,FALSE),IF(P1715="INOXIDABLE",VLOOKUP(Q1715,'[3]Velocidades Std 1500 w'!$B$17:$F$28,5,FALSE),IF(P1715="ALUMINIO",VLOOKUP(Q1715,'[3]Velocidades Std 1500 w'!$B$30:$F$38,5,FALSE))))</f>
        <v>4.3859649122807014E-6</v>
      </c>
      <c r="S1715" s="82">
        <f t="shared" si="648"/>
        <v>2.1929824561403508E-2</v>
      </c>
      <c r="T1715" s="83">
        <f t="shared" si="649"/>
        <v>0</v>
      </c>
      <c r="U1715" s="307">
        <f t="shared" si="650"/>
        <v>0</v>
      </c>
      <c r="V1715" s="80">
        <f t="shared" si="651"/>
        <v>0</v>
      </c>
      <c r="W1715" s="98"/>
      <c r="X1715" s="84">
        <f>+IF(P1715="ACERO A36",VLOOKUP(Q1715,'[3]Tiempo Objeto'!$B$2:$C$12,2,FALSE),IF(P1715="INOXIDABLE",VLOOKUP(Q1715,'[3]Tiempo Objeto'!$B$14:$C$22,2,FALSE),IF(P1715="ALUMINIO",VLOOKUP(Q1715,'[3]Tiempo Objeto'!$B$24:$C$32,2,FALSE))))</f>
        <v>0.6133333333333334</v>
      </c>
      <c r="Y1715" s="84">
        <f t="shared" si="652"/>
        <v>0</v>
      </c>
      <c r="Z1715" s="80">
        <f t="shared" si="653"/>
        <v>0</v>
      </c>
      <c r="AA1715" s="100"/>
      <c r="AB1715" s="86">
        <f>+AA1715*Analisis!$J$6</f>
        <v>0</v>
      </c>
      <c r="AC1715" s="100"/>
      <c r="AD1715" s="85">
        <f t="shared" si="654"/>
        <v>0</v>
      </c>
      <c r="AE1715" s="86">
        <f>+AC1715*Analisis!$J$7</f>
        <v>0</v>
      </c>
      <c r="AF1715" s="308">
        <f>+H1715*0.0254*I1715*0.0254*2*(1+[3]Analisis!$G$2)</f>
        <v>0</v>
      </c>
      <c r="AG1715" s="86">
        <f>+AF1715*Analisis!$J$8</f>
        <v>0</v>
      </c>
      <c r="AH1715" s="309">
        <f t="shared" si="655"/>
        <v>0</v>
      </c>
      <c r="AI1715" s="86">
        <f>+AH1715/(1-Analisis!G1346)</f>
        <v>0</v>
      </c>
      <c r="AJ1715" s="86">
        <f t="shared" si="656"/>
        <v>0</v>
      </c>
      <c r="AK1715" s="86">
        <f t="shared" si="657"/>
        <v>0</v>
      </c>
      <c r="AL1715" s="310" t="e">
        <f>+VLOOKUP(B1715,#REF!,2,FALSE)</f>
        <v>#REF!</v>
      </c>
      <c r="AM1715" s="311" t="e">
        <f t="shared" si="658"/>
        <v>#REF!</v>
      </c>
      <c r="AN1715" s="312" t="e">
        <f t="shared" si="659"/>
        <v>#REF!</v>
      </c>
    </row>
    <row r="1716" spans="1:40" s="73" customFormat="1" x14ac:dyDescent="0.25">
      <c r="A1716" s="313"/>
      <c r="B1716" s="314"/>
      <c r="D1716" s="74">
        <f>IFERROR(VLOOKUP(B1716,'REQ. PINTADO'!B:C,2,0),0)</f>
        <v>0</v>
      </c>
      <c r="E1716" s="305">
        <f t="shared" si="646"/>
        <v>0</v>
      </c>
      <c r="F1716" s="103" t="s">
        <v>163</v>
      </c>
      <c r="G1716" s="75" t="s">
        <v>147</v>
      </c>
      <c r="H1716" s="90"/>
      <c r="I1716" s="90"/>
      <c r="J1716" s="76">
        <v>0.105</v>
      </c>
      <c r="K1716" s="306">
        <v>16.38</v>
      </c>
      <c r="L1716" s="78">
        <f t="shared" si="647"/>
        <v>0</v>
      </c>
      <c r="M1716" s="58">
        <f>+VLOOKUP(F1716,Material!$H$2:$M$17,6,FALSE)*H1716*I1716*(1+Material!$K$14)</f>
        <v>0</v>
      </c>
      <c r="N1716" s="79" t="str">
        <f>+N1335</f>
        <v>T5.0</v>
      </c>
      <c r="O1716" s="80">
        <f>+VLOOKUP(N1716,[3]Material!$A$3:$B$58,2,FALSE)</f>
        <v>5000</v>
      </c>
      <c r="P1716" s="79" t="s">
        <v>42</v>
      </c>
      <c r="Q1716" s="79" t="str">
        <f>+VLOOKUP(F1716,[3]Material!$C$2:$E$12,2,FALSE)</f>
        <v>Cal 12</v>
      </c>
      <c r="R1716" s="81">
        <f>+IF(P1716="ACERO A36",VLOOKUP(Q1716,'[3]Velocidades Std 1500 w'!$B$2:$F$15,5,FALSE),IF(P1716="INOXIDABLE",VLOOKUP(Q1716,'[3]Velocidades Std 1500 w'!$B$17:$F$28,5,FALSE),IF(P1716="ALUMINIO",VLOOKUP(Q1716,'[3]Velocidades Std 1500 w'!$B$30:$F$38,5,FALSE))))</f>
        <v>4.3859649122807014E-6</v>
      </c>
      <c r="S1716" s="82">
        <f t="shared" si="648"/>
        <v>2.1929824561403508E-2</v>
      </c>
      <c r="T1716" s="83">
        <f t="shared" si="649"/>
        <v>0</v>
      </c>
      <c r="U1716" s="307">
        <f t="shared" si="650"/>
        <v>0</v>
      </c>
      <c r="V1716" s="80">
        <f t="shared" si="651"/>
        <v>0</v>
      </c>
      <c r="W1716" s="98"/>
      <c r="X1716" s="84">
        <f>+IF(P1716="ACERO A36",VLOOKUP(Q1716,'[3]Tiempo Objeto'!$B$2:$C$12,2,FALSE),IF(P1716="INOXIDABLE",VLOOKUP(Q1716,'[3]Tiempo Objeto'!$B$14:$C$22,2,FALSE),IF(P1716="ALUMINIO",VLOOKUP(Q1716,'[3]Tiempo Objeto'!$B$24:$C$32,2,FALSE))))</f>
        <v>0.6133333333333334</v>
      </c>
      <c r="Y1716" s="84">
        <f t="shared" si="652"/>
        <v>0</v>
      </c>
      <c r="Z1716" s="80">
        <f t="shared" si="653"/>
        <v>0</v>
      </c>
      <c r="AA1716" s="100"/>
      <c r="AB1716" s="86">
        <f>+AA1716*Analisis!$J$6</f>
        <v>0</v>
      </c>
      <c r="AC1716" s="100"/>
      <c r="AD1716" s="85">
        <f t="shared" si="654"/>
        <v>0</v>
      </c>
      <c r="AE1716" s="86">
        <f>+AC1716*Analisis!$J$7</f>
        <v>0</v>
      </c>
      <c r="AF1716" s="308">
        <f>+H1716*0.0254*I1716*0.0254*2*(1+[3]Analisis!$G$2)</f>
        <v>0</v>
      </c>
      <c r="AG1716" s="86">
        <f>+AF1716*Analisis!$J$8</f>
        <v>0</v>
      </c>
      <c r="AH1716" s="309">
        <f t="shared" si="655"/>
        <v>0</v>
      </c>
      <c r="AI1716" s="86">
        <f>+AH1716/(1-Analisis!G1347)</f>
        <v>0</v>
      </c>
      <c r="AJ1716" s="86">
        <f t="shared" si="656"/>
        <v>0</v>
      </c>
      <c r="AK1716" s="86">
        <f t="shared" si="657"/>
        <v>0</v>
      </c>
      <c r="AL1716" s="310" t="e">
        <f>+VLOOKUP(B1716,#REF!,2,FALSE)</f>
        <v>#REF!</v>
      </c>
      <c r="AM1716" s="311" t="e">
        <f t="shared" si="658"/>
        <v>#REF!</v>
      </c>
      <c r="AN1716" s="312" t="e">
        <f t="shared" si="659"/>
        <v>#REF!</v>
      </c>
    </row>
    <row r="1717" spans="1:40" s="73" customFormat="1" x14ac:dyDescent="0.25">
      <c r="A1717" s="313"/>
      <c r="B1717" s="314"/>
      <c r="D1717" s="74">
        <f>IFERROR(VLOOKUP(B1717,'REQ. PINTADO'!B:C,2,0),0)</f>
        <v>0</v>
      </c>
      <c r="E1717" s="305">
        <f t="shared" si="646"/>
        <v>0</v>
      </c>
      <c r="F1717" s="103" t="s">
        <v>163</v>
      </c>
      <c r="G1717" s="75" t="s">
        <v>147</v>
      </c>
      <c r="H1717" s="90"/>
      <c r="I1717" s="90"/>
      <c r="J1717" s="76">
        <v>0.105</v>
      </c>
      <c r="K1717" s="306">
        <v>16.38</v>
      </c>
      <c r="L1717" s="78">
        <f t="shared" si="647"/>
        <v>0</v>
      </c>
      <c r="M1717" s="58">
        <f>+VLOOKUP(F1717,Material!$H$2:$M$17,6,FALSE)*H1717*I1717*(1+Material!$K$14)</f>
        <v>0</v>
      </c>
      <c r="N1717" s="79" t="str">
        <f>+N1336</f>
        <v>T5.0</v>
      </c>
      <c r="O1717" s="80">
        <f>+VLOOKUP(N1717,[3]Material!$A$3:$B$58,2,FALSE)</f>
        <v>5000</v>
      </c>
      <c r="P1717" s="79" t="s">
        <v>42</v>
      </c>
      <c r="Q1717" s="79" t="str">
        <f>+VLOOKUP(F1717,[3]Material!$C$2:$E$12,2,FALSE)</f>
        <v>Cal 12</v>
      </c>
      <c r="R1717" s="81">
        <f>+IF(P1717="ACERO A36",VLOOKUP(Q1717,'[3]Velocidades Std 1500 w'!$B$2:$F$15,5,FALSE),IF(P1717="INOXIDABLE",VLOOKUP(Q1717,'[3]Velocidades Std 1500 w'!$B$17:$F$28,5,FALSE),IF(P1717="ALUMINIO",VLOOKUP(Q1717,'[3]Velocidades Std 1500 w'!$B$30:$F$38,5,FALSE))))</f>
        <v>4.3859649122807014E-6</v>
      </c>
      <c r="S1717" s="82">
        <f t="shared" si="648"/>
        <v>2.1929824561403508E-2</v>
      </c>
      <c r="T1717" s="83">
        <f t="shared" si="649"/>
        <v>0</v>
      </c>
      <c r="U1717" s="307">
        <f t="shared" si="650"/>
        <v>0</v>
      </c>
      <c r="V1717" s="80">
        <f t="shared" si="651"/>
        <v>0</v>
      </c>
      <c r="W1717" s="98"/>
      <c r="X1717" s="84">
        <f>+IF(P1717="ACERO A36",VLOOKUP(Q1717,'[3]Tiempo Objeto'!$B$2:$C$12,2,FALSE),IF(P1717="INOXIDABLE",VLOOKUP(Q1717,'[3]Tiempo Objeto'!$B$14:$C$22,2,FALSE),IF(P1717="ALUMINIO",VLOOKUP(Q1717,'[3]Tiempo Objeto'!$B$24:$C$32,2,FALSE))))</f>
        <v>0.6133333333333334</v>
      </c>
      <c r="Y1717" s="84">
        <f t="shared" si="652"/>
        <v>0</v>
      </c>
      <c r="Z1717" s="80">
        <f t="shared" si="653"/>
        <v>0</v>
      </c>
      <c r="AA1717" s="100"/>
      <c r="AB1717" s="86">
        <f>+AA1717*Analisis!$J$6</f>
        <v>0</v>
      </c>
      <c r="AC1717" s="100"/>
      <c r="AD1717" s="85">
        <f t="shared" si="654"/>
        <v>0</v>
      </c>
      <c r="AE1717" s="86">
        <f>+AC1717*Analisis!$J$7</f>
        <v>0</v>
      </c>
      <c r="AF1717" s="308">
        <f>+H1717*0.0254*I1717*0.0254*2*(1+[3]Analisis!$G$2)</f>
        <v>0</v>
      </c>
      <c r="AG1717" s="86">
        <f>+AF1717*Analisis!$J$8</f>
        <v>0</v>
      </c>
      <c r="AH1717" s="309">
        <f t="shared" si="655"/>
        <v>0</v>
      </c>
      <c r="AI1717" s="86">
        <f>+AH1717/(1-Analisis!G1348)</f>
        <v>0</v>
      </c>
      <c r="AJ1717" s="86">
        <f t="shared" si="656"/>
        <v>0</v>
      </c>
      <c r="AK1717" s="86">
        <f t="shared" si="657"/>
        <v>0</v>
      </c>
      <c r="AL1717" s="310" t="e">
        <f>+VLOOKUP(B1717,#REF!,2,FALSE)</f>
        <v>#REF!</v>
      </c>
      <c r="AM1717" s="311" t="e">
        <f t="shared" si="658"/>
        <v>#REF!</v>
      </c>
      <c r="AN1717" s="312" t="e">
        <f t="shared" si="659"/>
        <v>#REF!</v>
      </c>
    </row>
    <row r="1718" spans="1:40" s="73" customFormat="1" x14ac:dyDescent="0.25">
      <c r="A1718" s="313"/>
      <c r="B1718" s="314"/>
      <c r="D1718" s="74">
        <f>IFERROR(VLOOKUP(B1718,'REQ. PINTADO'!B:C,2,0),0)</f>
        <v>0</v>
      </c>
      <c r="E1718" s="305">
        <f t="shared" ref="E1718:E1725" si="660">+AJ1718</f>
        <v>0</v>
      </c>
      <c r="F1718" s="103" t="s">
        <v>163</v>
      </c>
      <c r="G1718" s="75" t="s">
        <v>147</v>
      </c>
      <c r="H1718" s="90"/>
      <c r="I1718" s="90"/>
      <c r="J1718" s="76">
        <v>0.105</v>
      </c>
      <c r="K1718" s="306">
        <v>16.38</v>
      </c>
      <c r="L1718" s="78">
        <f t="shared" ref="L1718:L1725" si="661">+M1718*2.2/K1718</f>
        <v>0</v>
      </c>
      <c r="M1718" s="58">
        <f>+VLOOKUP(F1718,Material!$H$2:$M$17,6,FALSE)*H1718*I1718*(1+Material!$K$14)</f>
        <v>0</v>
      </c>
      <c r="N1718" s="79" t="str">
        <f>+N1337</f>
        <v>T5.0</v>
      </c>
      <c r="O1718" s="80">
        <f>+VLOOKUP(N1718,[3]Material!$A$3:$B$58,2,FALSE)</f>
        <v>5000</v>
      </c>
      <c r="P1718" s="79" t="s">
        <v>42</v>
      </c>
      <c r="Q1718" s="79" t="str">
        <f>+VLOOKUP(F1718,[3]Material!$C$2:$E$12,2,FALSE)</f>
        <v>Cal 12</v>
      </c>
      <c r="R1718" s="81">
        <f>+IF(P1718="ACERO A36",VLOOKUP(Q1718,'[3]Velocidades Std 1500 w'!$B$2:$F$15,5,FALSE),IF(P1718="INOXIDABLE",VLOOKUP(Q1718,'[3]Velocidades Std 1500 w'!$B$17:$F$28,5,FALSE),IF(P1718="ALUMINIO",VLOOKUP(Q1718,'[3]Velocidades Std 1500 w'!$B$30:$F$38,5,FALSE))))</f>
        <v>4.3859649122807014E-6</v>
      </c>
      <c r="S1718" s="82">
        <f t="shared" ref="S1718:S1725" si="662">+R1718*O1718</f>
        <v>2.1929824561403508E-2</v>
      </c>
      <c r="T1718" s="83">
        <f t="shared" ref="T1718:T1725" si="663">+R1718*U1718*3600</f>
        <v>0</v>
      </c>
      <c r="U1718" s="307">
        <f t="shared" ref="U1718:U1725" si="664">(+I1718*2+H1718*2+W1718*1.5)*25.4*1.05</f>
        <v>0</v>
      </c>
      <c r="V1718" s="80">
        <f t="shared" ref="V1718:V1725" si="665">+U1718*S1718</f>
        <v>0</v>
      </c>
      <c r="W1718" s="98"/>
      <c r="X1718" s="84">
        <f>+IF(P1718="ACERO A36",VLOOKUP(Q1718,'[3]Tiempo Objeto'!$B$2:$C$12,2,FALSE),IF(P1718="INOXIDABLE",VLOOKUP(Q1718,'[3]Tiempo Objeto'!$B$14:$C$22,2,FALSE),IF(P1718="ALUMINIO",VLOOKUP(Q1718,'[3]Tiempo Objeto'!$B$24:$C$32,2,FALSE))))</f>
        <v>0.6133333333333334</v>
      </c>
      <c r="Y1718" s="84">
        <f t="shared" ref="Y1718:Y1725" si="666">+X1718*W1718</f>
        <v>0</v>
      </c>
      <c r="Z1718" s="80">
        <f t="shared" ref="Z1718:Z1725" si="667">+Y1718*O1718/3600</f>
        <v>0</v>
      </c>
      <c r="AA1718" s="100"/>
      <c r="AB1718" s="86">
        <f>+AA1718*Analisis!$J$6</f>
        <v>0</v>
      </c>
      <c r="AC1718" s="100"/>
      <c r="AD1718" s="85">
        <f t="shared" ref="AD1718:AD1725" si="668">30*AC1718+AC1718*$D1718*1.5</f>
        <v>0</v>
      </c>
      <c r="AE1718" s="86">
        <f>+AC1718*Analisis!$J$7</f>
        <v>0</v>
      </c>
      <c r="AF1718" s="308">
        <f>+H1718*0.0254*I1718*0.0254*2*(1+[3]Analisis!$G$2)</f>
        <v>0</v>
      </c>
      <c r="AG1718" s="86">
        <f>+AF1718*Analisis!$J$8</f>
        <v>0</v>
      </c>
      <c r="AH1718" s="309">
        <f t="shared" ref="AH1718:AH1725" si="669">+AE1718+AB1718+Z1718+V1718+M1718+AG1718</f>
        <v>0</v>
      </c>
      <c r="AI1718" s="86">
        <f>+AH1718/(1-Analisis!G1349)</f>
        <v>0</v>
      </c>
      <c r="AJ1718" s="86">
        <f t="shared" ref="AJ1718:AJ1725" si="670">+AI1718/(1-0.07)</f>
        <v>0</v>
      </c>
      <c r="AK1718" s="86">
        <f t="shared" ref="AK1718:AK1725" si="671">+AJ1718*D1718</f>
        <v>0</v>
      </c>
      <c r="AL1718" s="310" t="e">
        <f>+VLOOKUP(B1718,#REF!,2,FALSE)</f>
        <v>#REF!</v>
      </c>
      <c r="AM1718" s="311" t="e">
        <f t="shared" ref="AM1718:AM1725" si="672">+AL1718-E1718</f>
        <v>#REF!</v>
      </c>
      <c r="AN1718" s="312" t="e">
        <f t="shared" ref="AN1718:AN1725" si="673">+AM1718/AL1718</f>
        <v>#REF!</v>
      </c>
    </row>
    <row r="1719" spans="1:40" s="73" customFormat="1" x14ac:dyDescent="0.25">
      <c r="A1719" s="313"/>
      <c r="B1719" s="314"/>
      <c r="D1719" s="74">
        <f>IFERROR(VLOOKUP(B1719,'REQ. PINTADO'!B:C,2,0),0)</f>
        <v>0</v>
      </c>
      <c r="E1719" s="305">
        <f t="shared" si="660"/>
        <v>0</v>
      </c>
      <c r="F1719" s="103" t="s">
        <v>163</v>
      </c>
      <c r="G1719" s="75" t="s">
        <v>147</v>
      </c>
      <c r="H1719" s="90"/>
      <c r="I1719" s="90"/>
      <c r="J1719" s="76">
        <v>0.105</v>
      </c>
      <c r="K1719" s="306">
        <v>16.38</v>
      </c>
      <c r="L1719" s="78">
        <f t="shared" si="661"/>
        <v>0</v>
      </c>
      <c r="M1719" s="58">
        <f>+VLOOKUP(F1719,Material!$H$2:$M$17,6,FALSE)*H1719*I1719*(1+Material!$K$14)</f>
        <v>0</v>
      </c>
      <c r="N1719" s="79" t="str">
        <f>+N1338</f>
        <v>T5.0</v>
      </c>
      <c r="O1719" s="80">
        <f>+VLOOKUP(N1719,[3]Material!$A$3:$B$58,2,FALSE)</f>
        <v>5000</v>
      </c>
      <c r="P1719" s="79" t="s">
        <v>42</v>
      </c>
      <c r="Q1719" s="79" t="str">
        <f>+VLOOKUP(F1719,[3]Material!$C$2:$E$12,2,FALSE)</f>
        <v>Cal 12</v>
      </c>
      <c r="R1719" s="81">
        <f>+IF(P1719="ACERO A36",VLOOKUP(Q1719,'[3]Velocidades Std 1500 w'!$B$2:$F$15,5,FALSE),IF(P1719="INOXIDABLE",VLOOKUP(Q1719,'[3]Velocidades Std 1500 w'!$B$17:$F$28,5,FALSE),IF(P1719="ALUMINIO",VLOOKUP(Q1719,'[3]Velocidades Std 1500 w'!$B$30:$F$38,5,FALSE))))</f>
        <v>4.3859649122807014E-6</v>
      </c>
      <c r="S1719" s="82">
        <f t="shared" si="662"/>
        <v>2.1929824561403508E-2</v>
      </c>
      <c r="T1719" s="83">
        <f t="shared" si="663"/>
        <v>0</v>
      </c>
      <c r="U1719" s="307">
        <f t="shared" si="664"/>
        <v>0</v>
      </c>
      <c r="V1719" s="80">
        <f t="shared" si="665"/>
        <v>0</v>
      </c>
      <c r="W1719" s="98"/>
      <c r="X1719" s="84">
        <f>+IF(P1719="ACERO A36",VLOOKUP(Q1719,'[3]Tiempo Objeto'!$B$2:$C$12,2,FALSE),IF(P1719="INOXIDABLE",VLOOKUP(Q1719,'[3]Tiempo Objeto'!$B$14:$C$22,2,FALSE),IF(P1719="ALUMINIO",VLOOKUP(Q1719,'[3]Tiempo Objeto'!$B$24:$C$32,2,FALSE))))</f>
        <v>0.6133333333333334</v>
      </c>
      <c r="Y1719" s="84">
        <f t="shared" si="666"/>
        <v>0</v>
      </c>
      <c r="Z1719" s="80">
        <f t="shared" si="667"/>
        <v>0</v>
      </c>
      <c r="AA1719" s="100"/>
      <c r="AB1719" s="86">
        <f>+AA1719*Analisis!$J$6</f>
        <v>0</v>
      </c>
      <c r="AC1719" s="100"/>
      <c r="AD1719" s="85">
        <f t="shared" si="668"/>
        <v>0</v>
      </c>
      <c r="AE1719" s="86">
        <f>+AC1719*Analisis!$J$7</f>
        <v>0</v>
      </c>
      <c r="AF1719" s="308">
        <f>+H1719*0.0254*I1719*0.0254*2*(1+[3]Analisis!$G$2)</f>
        <v>0</v>
      </c>
      <c r="AG1719" s="86">
        <f>+AF1719*Analisis!$J$8</f>
        <v>0</v>
      </c>
      <c r="AH1719" s="309">
        <f t="shared" si="669"/>
        <v>0</v>
      </c>
      <c r="AI1719" s="86">
        <f>+AH1719/(1-Analisis!G1350)</f>
        <v>0</v>
      </c>
      <c r="AJ1719" s="86">
        <f t="shared" si="670"/>
        <v>0</v>
      </c>
      <c r="AK1719" s="86">
        <f t="shared" si="671"/>
        <v>0</v>
      </c>
      <c r="AL1719" s="310" t="e">
        <f>+VLOOKUP(B1719,#REF!,2,FALSE)</f>
        <v>#REF!</v>
      </c>
      <c r="AM1719" s="311" t="e">
        <f t="shared" si="672"/>
        <v>#REF!</v>
      </c>
      <c r="AN1719" s="312" t="e">
        <f t="shared" si="673"/>
        <v>#REF!</v>
      </c>
    </row>
    <row r="1720" spans="1:40" s="73" customFormat="1" x14ac:dyDescent="0.25">
      <c r="A1720" s="313"/>
      <c r="B1720" s="314"/>
      <c r="D1720" s="74">
        <f>IFERROR(VLOOKUP(B1720,'REQ. PINTADO'!B:C,2,0),0)</f>
        <v>0</v>
      </c>
      <c r="E1720" s="305">
        <f t="shared" si="660"/>
        <v>0</v>
      </c>
      <c r="F1720" s="103" t="s">
        <v>163</v>
      </c>
      <c r="G1720" s="75" t="s">
        <v>147</v>
      </c>
      <c r="H1720" s="90"/>
      <c r="I1720" s="90"/>
      <c r="J1720" s="76">
        <v>0.105</v>
      </c>
      <c r="K1720" s="306">
        <v>16.38</v>
      </c>
      <c r="L1720" s="78">
        <f t="shared" si="661"/>
        <v>0</v>
      </c>
      <c r="M1720" s="58">
        <f>+VLOOKUP(F1720,Material!$H$2:$M$17,6,FALSE)*H1720*I1720*(1+Material!$K$14)</f>
        <v>0</v>
      </c>
      <c r="N1720" s="79" t="str">
        <f>+N1339</f>
        <v>T5.0</v>
      </c>
      <c r="O1720" s="80">
        <f>+VLOOKUP(N1720,[3]Material!$A$3:$B$58,2,FALSE)</f>
        <v>5000</v>
      </c>
      <c r="P1720" s="79" t="s">
        <v>42</v>
      </c>
      <c r="Q1720" s="79" t="str">
        <f>+VLOOKUP(F1720,[3]Material!$C$2:$E$12,2,FALSE)</f>
        <v>Cal 12</v>
      </c>
      <c r="R1720" s="81">
        <f>+IF(P1720="ACERO A36",VLOOKUP(Q1720,'[3]Velocidades Std 1500 w'!$B$2:$F$15,5,FALSE),IF(P1720="INOXIDABLE",VLOOKUP(Q1720,'[3]Velocidades Std 1500 w'!$B$17:$F$28,5,FALSE),IF(P1720="ALUMINIO",VLOOKUP(Q1720,'[3]Velocidades Std 1500 w'!$B$30:$F$38,5,FALSE))))</f>
        <v>4.3859649122807014E-6</v>
      </c>
      <c r="S1720" s="82">
        <f t="shared" si="662"/>
        <v>2.1929824561403508E-2</v>
      </c>
      <c r="T1720" s="83">
        <f t="shared" si="663"/>
        <v>0</v>
      </c>
      <c r="U1720" s="307">
        <f t="shared" si="664"/>
        <v>0</v>
      </c>
      <c r="V1720" s="80">
        <f t="shared" si="665"/>
        <v>0</v>
      </c>
      <c r="W1720" s="98"/>
      <c r="X1720" s="84">
        <f>+IF(P1720="ACERO A36",VLOOKUP(Q1720,'[3]Tiempo Objeto'!$B$2:$C$12,2,FALSE),IF(P1720="INOXIDABLE",VLOOKUP(Q1720,'[3]Tiempo Objeto'!$B$14:$C$22,2,FALSE),IF(P1720="ALUMINIO",VLOOKUP(Q1720,'[3]Tiempo Objeto'!$B$24:$C$32,2,FALSE))))</f>
        <v>0.6133333333333334</v>
      </c>
      <c r="Y1720" s="84">
        <f t="shared" si="666"/>
        <v>0</v>
      </c>
      <c r="Z1720" s="80">
        <f t="shared" si="667"/>
        <v>0</v>
      </c>
      <c r="AA1720" s="100"/>
      <c r="AB1720" s="86">
        <f>+AA1720*Analisis!$J$6</f>
        <v>0</v>
      </c>
      <c r="AC1720" s="100"/>
      <c r="AD1720" s="85">
        <f t="shared" si="668"/>
        <v>0</v>
      </c>
      <c r="AE1720" s="86">
        <f>+AC1720*Analisis!$J$7</f>
        <v>0</v>
      </c>
      <c r="AF1720" s="308">
        <f>+H1720*0.0254*I1720*0.0254*2*(1+[3]Analisis!$G$2)</f>
        <v>0</v>
      </c>
      <c r="AG1720" s="86">
        <f>+AF1720*Analisis!$J$8</f>
        <v>0</v>
      </c>
      <c r="AH1720" s="309">
        <f t="shared" si="669"/>
        <v>0</v>
      </c>
      <c r="AI1720" s="86">
        <f>+AH1720/(1-Analisis!G1351)</f>
        <v>0</v>
      </c>
      <c r="AJ1720" s="86">
        <f t="shared" si="670"/>
        <v>0</v>
      </c>
      <c r="AK1720" s="86">
        <f t="shared" si="671"/>
        <v>0</v>
      </c>
      <c r="AL1720" s="310" t="e">
        <f>+VLOOKUP(B1720,#REF!,2,FALSE)</f>
        <v>#REF!</v>
      </c>
      <c r="AM1720" s="311" t="e">
        <f t="shared" si="672"/>
        <v>#REF!</v>
      </c>
      <c r="AN1720" s="312" t="e">
        <f t="shared" si="673"/>
        <v>#REF!</v>
      </c>
    </row>
    <row r="1721" spans="1:40" s="73" customFormat="1" x14ac:dyDescent="0.25">
      <c r="A1721" s="313"/>
      <c r="B1721" s="314"/>
      <c r="D1721" s="74">
        <f>IFERROR(VLOOKUP(B1721,'REQ. PINTADO'!B:C,2,0),0)</f>
        <v>0</v>
      </c>
      <c r="E1721" s="305">
        <f t="shared" si="660"/>
        <v>0</v>
      </c>
      <c r="F1721" s="103" t="s">
        <v>163</v>
      </c>
      <c r="G1721" s="75" t="s">
        <v>147</v>
      </c>
      <c r="H1721" s="90"/>
      <c r="I1721" s="90"/>
      <c r="J1721" s="76">
        <v>0.105</v>
      </c>
      <c r="K1721" s="306">
        <v>16.38</v>
      </c>
      <c r="L1721" s="78">
        <f t="shared" si="661"/>
        <v>0</v>
      </c>
      <c r="M1721" s="58">
        <f>+VLOOKUP(F1721,Material!$H$2:$M$17,6,FALSE)*H1721*I1721*(1+Material!$K$14)</f>
        <v>0</v>
      </c>
      <c r="N1721" s="79" t="str">
        <f>+N1340</f>
        <v>T5.0</v>
      </c>
      <c r="O1721" s="80">
        <f>+VLOOKUP(N1721,[3]Material!$A$3:$B$58,2,FALSE)</f>
        <v>5000</v>
      </c>
      <c r="P1721" s="79" t="s">
        <v>42</v>
      </c>
      <c r="Q1721" s="79" t="str">
        <f>+VLOOKUP(F1721,[3]Material!$C$2:$E$12,2,FALSE)</f>
        <v>Cal 12</v>
      </c>
      <c r="R1721" s="81">
        <f>+IF(P1721="ACERO A36",VLOOKUP(Q1721,'[3]Velocidades Std 1500 w'!$B$2:$F$15,5,FALSE),IF(P1721="INOXIDABLE",VLOOKUP(Q1721,'[3]Velocidades Std 1500 w'!$B$17:$F$28,5,FALSE),IF(P1721="ALUMINIO",VLOOKUP(Q1721,'[3]Velocidades Std 1500 w'!$B$30:$F$38,5,FALSE))))</f>
        <v>4.3859649122807014E-6</v>
      </c>
      <c r="S1721" s="82">
        <f t="shared" si="662"/>
        <v>2.1929824561403508E-2</v>
      </c>
      <c r="T1721" s="83">
        <f t="shared" si="663"/>
        <v>0</v>
      </c>
      <c r="U1721" s="307">
        <f t="shared" si="664"/>
        <v>0</v>
      </c>
      <c r="V1721" s="80">
        <f t="shared" si="665"/>
        <v>0</v>
      </c>
      <c r="W1721" s="98"/>
      <c r="X1721" s="84">
        <f>+IF(P1721="ACERO A36",VLOOKUP(Q1721,'[3]Tiempo Objeto'!$B$2:$C$12,2,FALSE),IF(P1721="INOXIDABLE",VLOOKUP(Q1721,'[3]Tiempo Objeto'!$B$14:$C$22,2,FALSE),IF(P1721="ALUMINIO",VLOOKUP(Q1721,'[3]Tiempo Objeto'!$B$24:$C$32,2,FALSE))))</f>
        <v>0.6133333333333334</v>
      </c>
      <c r="Y1721" s="84">
        <f t="shared" si="666"/>
        <v>0</v>
      </c>
      <c r="Z1721" s="80">
        <f t="shared" si="667"/>
        <v>0</v>
      </c>
      <c r="AA1721" s="100"/>
      <c r="AB1721" s="86">
        <f>+AA1721*Analisis!$J$6</f>
        <v>0</v>
      </c>
      <c r="AC1721" s="100"/>
      <c r="AD1721" s="85">
        <f t="shared" si="668"/>
        <v>0</v>
      </c>
      <c r="AE1721" s="86">
        <f>+AC1721*Analisis!$J$7</f>
        <v>0</v>
      </c>
      <c r="AF1721" s="308">
        <f>+H1721*0.0254*I1721*0.0254*2*(1+[3]Analisis!$G$2)</f>
        <v>0</v>
      </c>
      <c r="AG1721" s="86">
        <f>+AF1721*Analisis!$J$8</f>
        <v>0</v>
      </c>
      <c r="AH1721" s="309">
        <f t="shared" si="669"/>
        <v>0</v>
      </c>
      <c r="AI1721" s="86">
        <f>+AH1721/(1-Analisis!G1352)</f>
        <v>0</v>
      </c>
      <c r="AJ1721" s="86">
        <f t="shared" si="670"/>
        <v>0</v>
      </c>
      <c r="AK1721" s="86">
        <f t="shared" si="671"/>
        <v>0</v>
      </c>
      <c r="AL1721" s="310" t="e">
        <f>+VLOOKUP(B1721,#REF!,2,FALSE)</f>
        <v>#REF!</v>
      </c>
      <c r="AM1721" s="311" t="e">
        <f t="shared" si="672"/>
        <v>#REF!</v>
      </c>
      <c r="AN1721" s="312" t="e">
        <f t="shared" si="673"/>
        <v>#REF!</v>
      </c>
    </row>
    <row r="1722" spans="1:40" s="73" customFormat="1" x14ac:dyDescent="0.25">
      <c r="A1722" s="313"/>
      <c r="B1722" s="314"/>
      <c r="D1722" s="74">
        <f>IFERROR(VLOOKUP(B1722,'REQ. PINTADO'!B:C,2,0),0)</f>
        <v>0</v>
      </c>
      <c r="E1722" s="305">
        <f t="shared" si="660"/>
        <v>0</v>
      </c>
      <c r="F1722" s="103" t="s">
        <v>163</v>
      </c>
      <c r="G1722" s="75" t="s">
        <v>147</v>
      </c>
      <c r="H1722" s="90"/>
      <c r="I1722" s="90"/>
      <c r="J1722" s="76">
        <v>0.105</v>
      </c>
      <c r="K1722" s="306">
        <v>16.38</v>
      </c>
      <c r="L1722" s="78">
        <f t="shared" si="661"/>
        <v>0</v>
      </c>
      <c r="M1722" s="58">
        <f>+VLOOKUP(F1722,Material!$H$2:$M$17,6,FALSE)*H1722*I1722*(1+Material!$K$14)</f>
        <v>0</v>
      </c>
      <c r="N1722" s="79" t="str">
        <f>+N1341</f>
        <v>T5.0</v>
      </c>
      <c r="O1722" s="80">
        <f>+VLOOKUP(N1722,[3]Material!$A$3:$B$58,2,FALSE)</f>
        <v>5000</v>
      </c>
      <c r="P1722" s="79" t="s">
        <v>42</v>
      </c>
      <c r="Q1722" s="79" t="str">
        <f>+VLOOKUP(F1722,[3]Material!$C$2:$E$12,2,FALSE)</f>
        <v>Cal 12</v>
      </c>
      <c r="R1722" s="81">
        <f>+IF(P1722="ACERO A36",VLOOKUP(Q1722,'[3]Velocidades Std 1500 w'!$B$2:$F$15,5,FALSE),IF(P1722="INOXIDABLE",VLOOKUP(Q1722,'[3]Velocidades Std 1500 w'!$B$17:$F$28,5,FALSE),IF(P1722="ALUMINIO",VLOOKUP(Q1722,'[3]Velocidades Std 1500 w'!$B$30:$F$38,5,FALSE))))</f>
        <v>4.3859649122807014E-6</v>
      </c>
      <c r="S1722" s="82">
        <f t="shared" si="662"/>
        <v>2.1929824561403508E-2</v>
      </c>
      <c r="T1722" s="83">
        <f t="shared" si="663"/>
        <v>0</v>
      </c>
      <c r="U1722" s="307">
        <f t="shared" si="664"/>
        <v>0</v>
      </c>
      <c r="V1722" s="80">
        <f t="shared" si="665"/>
        <v>0</v>
      </c>
      <c r="W1722" s="98"/>
      <c r="X1722" s="84">
        <f>+IF(P1722="ACERO A36",VLOOKUP(Q1722,'[3]Tiempo Objeto'!$B$2:$C$12,2,FALSE),IF(P1722="INOXIDABLE",VLOOKUP(Q1722,'[3]Tiempo Objeto'!$B$14:$C$22,2,FALSE),IF(P1722="ALUMINIO",VLOOKUP(Q1722,'[3]Tiempo Objeto'!$B$24:$C$32,2,FALSE))))</f>
        <v>0.6133333333333334</v>
      </c>
      <c r="Y1722" s="84">
        <f t="shared" si="666"/>
        <v>0</v>
      </c>
      <c r="Z1722" s="80">
        <f t="shared" si="667"/>
        <v>0</v>
      </c>
      <c r="AA1722" s="100"/>
      <c r="AB1722" s="86">
        <f>+AA1722*Analisis!$J$6</f>
        <v>0</v>
      </c>
      <c r="AC1722" s="100"/>
      <c r="AD1722" s="85">
        <f t="shared" si="668"/>
        <v>0</v>
      </c>
      <c r="AE1722" s="86">
        <f>+AC1722*Analisis!$J$7</f>
        <v>0</v>
      </c>
      <c r="AF1722" s="308">
        <f>+H1722*0.0254*I1722*0.0254*2*(1+[3]Analisis!$G$2)</f>
        <v>0</v>
      </c>
      <c r="AG1722" s="86">
        <f>+AF1722*Analisis!$J$8</f>
        <v>0</v>
      </c>
      <c r="AH1722" s="309">
        <f t="shared" si="669"/>
        <v>0</v>
      </c>
      <c r="AI1722" s="86">
        <f>+AH1722/(1-Analisis!G1353)</f>
        <v>0</v>
      </c>
      <c r="AJ1722" s="86">
        <f t="shared" si="670"/>
        <v>0</v>
      </c>
      <c r="AK1722" s="86">
        <f t="shared" si="671"/>
        <v>0</v>
      </c>
      <c r="AL1722" s="310" t="e">
        <f>+VLOOKUP(B1722,#REF!,2,FALSE)</f>
        <v>#REF!</v>
      </c>
      <c r="AM1722" s="311" t="e">
        <f t="shared" si="672"/>
        <v>#REF!</v>
      </c>
      <c r="AN1722" s="312" t="e">
        <f t="shared" si="673"/>
        <v>#REF!</v>
      </c>
    </row>
    <row r="1723" spans="1:40" s="73" customFormat="1" x14ac:dyDescent="0.25">
      <c r="A1723" s="313"/>
      <c r="B1723" s="314"/>
      <c r="D1723" s="74">
        <f>IFERROR(VLOOKUP(B1723,'REQ. PINTADO'!B:C,2,0),0)</f>
        <v>0</v>
      </c>
      <c r="E1723" s="305">
        <f t="shared" si="660"/>
        <v>0</v>
      </c>
      <c r="F1723" s="103" t="s">
        <v>163</v>
      </c>
      <c r="G1723" s="75" t="s">
        <v>147</v>
      </c>
      <c r="H1723" s="90"/>
      <c r="I1723" s="90"/>
      <c r="J1723" s="76">
        <v>0.105</v>
      </c>
      <c r="K1723" s="306">
        <v>16.38</v>
      </c>
      <c r="L1723" s="78">
        <f t="shared" si="661"/>
        <v>0</v>
      </c>
      <c r="M1723" s="58">
        <f>+VLOOKUP(F1723,Material!$H$2:$M$17,6,FALSE)*H1723*I1723*(1+Material!$K$14)</f>
        <v>0</v>
      </c>
      <c r="N1723" s="79" t="str">
        <f>+N1342</f>
        <v>T5.0</v>
      </c>
      <c r="O1723" s="80">
        <f>+VLOOKUP(N1723,[3]Material!$A$3:$B$58,2,FALSE)</f>
        <v>5000</v>
      </c>
      <c r="P1723" s="79" t="s">
        <v>42</v>
      </c>
      <c r="Q1723" s="79" t="str">
        <f>+VLOOKUP(F1723,[3]Material!$C$2:$E$12,2,FALSE)</f>
        <v>Cal 12</v>
      </c>
      <c r="R1723" s="81">
        <f>+IF(P1723="ACERO A36",VLOOKUP(Q1723,'[3]Velocidades Std 1500 w'!$B$2:$F$15,5,FALSE),IF(P1723="INOXIDABLE",VLOOKUP(Q1723,'[3]Velocidades Std 1500 w'!$B$17:$F$28,5,FALSE),IF(P1723="ALUMINIO",VLOOKUP(Q1723,'[3]Velocidades Std 1500 w'!$B$30:$F$38,5,FALSE))))</f>
        <v>4.3859649122807014E-6</v>
      </c>
      <c r="S1723" s="82">
        <f t="shared" si="662"/>
        <v>2.1929824561403508E-2</v>
      </c>
      <c r="T1723" s="83">
        <f t="shared" si="663"/>
        <v>0</v>
      </c>
      <c r="U1723" s="307">
        <f t="shared" si="664"/>
        <v>0</v>
      </c>
      <c r="V1723" s="80">
        <f t="shared" si="665"/>
        <v>0</v>
      </c>
      <c r="W1723" s="98"/>
      <c r="X1723" s="84">
        <f>+IF(P1723="ACERO A36",VLOOKUP(Q1723,'[3]Tiempo Objeto'!$B$2:$C$12,2,FALSE),IF(P1723="INOXIDABLE",VLOOKUP(Q1723,'[3]Tiempo Objeto'!$B$14:$C$22,2,FALSE),IF(P1723="ALUMINIO",VLOOKUP(Q1723,'[3]Tiempo Objeto'!$B$24:$C$32,2,FALSE))))</f>
        <v>0.6133333333333334</v>
      </c>
      <c r="Y1723" s="84">
        <f t="shared" si="666"/>
        <v>0</v>
      </c>
      <c r="Z1723" s="80">
        <f t="shared" si="667"/>
        <v>0</v>
      </c>
      <c r="AA1723" s="100"/>
      <c r="AB1723" s="86">
        <f>+AA1723*Analisis!$J$6</f>
        <v>0</v>
      </c>
      <c r="AC1723" s="100"/>
      <c r="AD1723" s="85">
        <f t="shared" si="668"/>
        <v>0</v>
      </c>
      <c r="AE1723" s="86">
        <f>+AC1723*Analisis!$J$7</f>
        <v>0</v>
      </c>
      <c r="AF1723" s="308">
        <f>+H1723*0.0254*I1723*0.0254*2*(1+[3]Analisis!$G$2)</f>
        <v>0</v>
      </c>
      <c r="AG1723" s="86">
        <f>+AF1723*Analisis!$J$8</f>
        <v>0</v>
      </c>
      <c r="AH1723" s="309">
        <f t="shared" si="669"/>
        <v>0</v>
      </c>
      <c r="AI1723" s="86">
        <f>+AH1723/(1-Analisis!G1354)</f>
        <v>0</v>
      </c>
      <c r="AJ1723" s="86">
        <f t="shared" si="670"/>
        <v>0</v>
      </c>
      <c r="AK1723" s="86">
        <f t="shared" si="671"/>
        <v>0</v>
      </c>
      <c r="AL1723" s="310" t="e">
        <f>+VLOOKUP(B1723,#REF!,2,FALSE)</f>
        <v>#REF!</v>
      </c>
      <c r="AM1723" s="311" t="e">
        <f t="shared" si="672"/>
        <v>#REF!</v>
      </c>
      <c r="AN1723" s="312" t="e">
        <f t="shared" si="673"/>
        <v>#REF!</v>
      </c>
    </row>
    <row r="1724" spans="1:40" s="73" customFormat="1" x14ac:dyDescent="0.25">
      <c r="A1724" s="313"/>
      <c r="B1724" s="314"/>
      <c r="D1724" s="74">
        <f>IFERROR(VLOOKUP(B1724,'REQ. PINTADO'!B:C,2,0),0)</f>
        <v>0</v>
      </c>
      <c r="E1724" s="305">
        <f t="shared" si="660"/>
        <v>0</v>
      </c>
      <c r="F1724" s="103" t="s">
        <v>163</v>
      </c>
      <c r="G1724" s="75" t="s">
        <v>147</v>
      </c>
      <c r="H1724" s="90"/>
      <c r="I1724" s="90"/>
      <c r="J1724" s="76">
        <v>0.105</v>
      </c>
      <c r="K1724" s="306">
        <v>16.38</v>
      </c>
      <c r="L1724" s="78">
        <f t="shared" si="661"/>
        <v>0</v>
      </c>
      <c r="M1724" s="58">
        <f>+VLOOKUP(F1724,Material!$H$2:$M$17,6,FALSE)*H1724*I1724*(1+Material!$K$14)</f>
        <v>0</v>
      </c>
      <c r="N1724" s="79" t="str">
        <f>+N1343</f>
        <v>T5.0</v>
      </c>
      <c r="O1724" s="80">
        <f>+VLOOKUP(N1724,[3]Material!$A$3:$B$58,2,FALSE)</f>
        <v>5000</v>
      </c>
      <c r="P1724" s="79" t="s">
        <v>42</v>
      </c>
      <c r="Q1724" s="79" t="str">
        <f>+VLOOKUP(F1724,[3]Material!$C$2:$E$12,2,FALSE)</f>
        <v>Cal 12</v>
      </c>
      <c r="R1724" s="81">
        <f>+IF(P1724="ACERO A36",VLOOKUP(Q1724,'[3]Velocidades Std 1500 w'!$B$2:$F$15,5,FALSE),IF(P1724="INOXIDABLE",VLOOKUP(Q1724,'[3]Velocidades Std 1500 w'!$B$17:$F$28,5,FALSE),IF(P1724="ALUMINIO",VLOOKUP(Q1724,'[3]Velocidades Std 1500 w'!$B$30:$F$38,5,FALSE))))</f>
        <v>4.3859649122807014E-6</v>
      </c>
      <c r="S1724" s="82">
        <f t="shared" si="662"/>
        <v>2.1929824561403508E-2</v>
      </c>
      <c r="T1724" s="83">
        <f t="shared" si="663"/>
        <v>0</v>
      </c>
      <c r="U1724" s="307">
        <f t="shared" si="664"/>
        <v>0</v>
      </c>
      <c r="V1724" s="80">
        <f t="shared" si="665"/>
        <v>0</v>
      </c>
      <c r="W1724" s="98"/>
      <c r="X1724" s="84">
        <f>+IF(P1724="ACERO A36",VLOOKUP(Q1724,'[3]Tiempo Objeto'!$B$2:$C$12,2,FALSE),IF(P1724="INOXIDABLE",VLOOKUP(Q1724,'[3]Tiempo Objeto'!$B$14:$C$22,2,FALSE),IF(P1724="ALUMINIO",VLOOKUP(Q1724,'[3]Tiempo Objeto'!$B$24:$C$32,2,FALSE))))</f>
        <v>0.6133333333333334</v>
      </c>
      <c r="Y1724" s="84">
        <f t="shared" si="666"/>
        <v>0</v>
      </c>
      <c r="Z1724" s="80">
        <f t="shared" si="667"/>
        <v>0</v>
      </c>
      <c r="AA1724" s="100"/>
      <c r="AB1724" s="86">
        <f>+AA1724*Analisis!$J$6</f>
        <v>0</v>
      </c>
      <c r="AC1724" s="100"/>
      <c r="AD1724" s="85">
        <f t="shared" si="668"/>
        <v>0</v>
      </c>
      <c r="AE1724" s="86">
        <f>+AC1724*Analisis!$J$7</f>
        <v>0</v>
      </c>
      <c r="AF1724" s="308">
        <f>+H1724*0.0254*I1724*0.0254*2*(1+[3]Analisis!$G$2)</f>
        <v>0</v>
      </c>
      <c r="AG1724" s="86">
        <f>+AF1724*Analisis!$J$8</f>
        <v>0</v>
      </c>
      <c r="AH1724" s="309">
        <f t="shared" si="669"/>
        <v>0</v>
      </c>
      <c r="AI1724" s="86">
        <f>+AH1724/(1-Analisis!G1355)</f>
        <v>0</v>
      </c>
      <c r="AJ1724" s="86">
        <f t="shared" si="670"/>
        <v>0</v>
      </c>
      <c r="AK1724" s="86">
        <f t="shared" si="671"/>
        <v>0</v>
      </c>
      <c r="AL1724" s="310" t="e">
        <f>+VLOOKUP(B1724,#REF!,2,FALSE)</f>
        <v>#REF!</v>
      </c>
      <c r="AM1724" s="311" t="e">
        <f t="shared" si="672"/>
        <v>#REF!</v>
      </c>
      <c r="AN1724" s="312" t="e">
        <f t="shared" si="673"/>
        <v>#REF!</v>
      </c>
    </row>
    <row r="1725" spans="1:40" s="73" customFormat="1" x14ac:dyDescent="0.25">
      <c r="A1725" s="313"/>
      <c r="B1725" s="314"/>
      <c r="D1725" s="74">
        <f>IFERROR(VLOOKUP(B1725,'REQ. PINTADO'!B:C,2,0),0)</f>
        <v>0</v>
      </c>
      <c r="E1725" s="305">
        <f t="shared" si="660"/>
        <v>0</v>
      </c>
      <c r="F1725" s="103" t="s">
        <v>163</v>
      </c>
      <c r="G1725" s="75" t="s">
        <v>147</v>
      </c>
      <c r="H1725" s="90"/>
      <c r="I1725" s="90"/>
      <c r="J1725" s="76">
        <v>0.105</v>
      </c>
      <c r="K1725" s="306">
        <v>16.38</v>
      </c>
      <c r="L1725" s="78">
        <f t="shared" si="661"/>
        <v>0</v>
      </c>
      <c r="M1725" s="58">
        <f>+VLOOKUP(F1725,Material!$H$2:$M$17,6,FALSE)*H1725*I1725*(1+Material!$K$14)</f>
        <v>0</v>
      </c>
      <c r="N1725" s="79" t="str">
        <f>+N1344</f>
        <v>T5.0</v>
      </c>
      <c r="O1725" s="80">
        <f>+VLOOKUP(N1725,[3]Material!$A$3:$B$58,2,FALSE)</f>
        <v>5000</v>
      </c>
      <c r="P1725" s="79" t="s">
        <v>42</v>
      </c>
      <c r="Q1725" s="79" t="str">
        <f>+VLOOKUP(F1725,[3]Material!$C$2:$E$12,2,FALSE)</f>
        <v>Cal 12</v>
      </c>
      <c r="R1725" s="81">
        <f>+IF(P1725="ACERO A36",VLOOKUP(Q1725,'[3]Velocidades Std 1500 w'!$B$2:$F$15,5,FALSE),IF(P1725="INOXIDABLE",VLOOKUP(Q1725,'[3]Velocidades Std 1500 w'!$B$17:$F$28,5,FALSE),IF(P1725="ALUMINIO",VLOOKUP(Q1725,'[3]Velocidades Std 1500 w'!$B$30:$F$38,5,FALSE))))</f>
        <v>4.3859649122807014E-6</v>
      </c>
      <c r="S1725" s="82">
        <f t="shared" si="662"/>
        <v>2.1929824561403508E-2</v>
      </c>
      <c r="T1725" s="83">
        <f t="shared" si="663"/>
        <v>0</v>
      </c>
      <c r="U1725" s="307">
        <f t="shared" si="664"/>
        <v>0</v>
      </c>
      <c r="V1725" s="80">
        <f t="shared" si="665"/>
        <v>0</v>
      </c>
      <c r="W1725" s="98"/>
      <c r="X1725" s="84">
        <f>+IF(P1725="ACERO A36",VLOOKUP(Q1725,'[3]Tiempo Objeto'!$B$2:$C$12,2,FALSE),IF(P1725="INOXIDABLE",VLOOKUP(Q1725,'[3]Tiempo Objeto'!$B$14:$C$22,2,FALSE),IF(P1725="ALUMINIO",VLOOKUP(Q1725,'[3]Tiempo Objeto'!$B$24:$C$32,2,FALSE))))</f>
        <v>0.6133333333333334</v>
      </c>
      <c r="Y1725" s="84">
        <f t="shared" si="666"/>
        <v>0</v>
      </c>
      <c r="Z1725" s="80">
        <f t="shared" si="667"/>
        <v>0</v>
      </c>
      <c r="AA1725" s="100"/>
      <c r="AB1725" s="86">
        <f>+AA1725*Analisis!$J$6</f>
        <v>0</v>
      </c>
      <c r="AC1725" s="100"/>
      <c r="AD1725" s="85">
        <f t="shared" si="668"/>
        <v>0</v>
      </c>
      <c r="AE1725" s="86">
        <f>+AC1725*Analisis!$J$7</f>
        <v>0</v>
      </c>
      <c r="AF1725" s="308">
        <f>+H1725*0.0254*I1725*0.0254*2*(1+[3]Analisis!$G$2)</f>
        <v>0</v>
      </c>
      <c r="AG1725" s="86">
        <f>+AF1725*Analisis!$J$8</f>
        <v>0</v>
      </c>
      <c r="AH1725" s="309">
        <f t="shared" si="669"/>
        <v>0</v>
      </c>
      <c r="AI1725" s="86">
        <f>+AH1725/(1-Analisis!G1356)</f>
        <v>0</v>
      </c>
      <c r="AJ1725" s="86">
        <f t="shared" si="670"/>
        <v>0</v>
      </c>
      <c r="AK1725" s="86">
        <f t="shared" si="671"/>
        <v>0</v>
      </c>
      <c r="AL1725" s="310" t="e">
        <f>+VLOOKUP(B1725,#REF!,2,FALSE)</f>
        <v>#REF!</v>
      </c>
      <c r="AM1725" s="311" t="e">
        <f t="shared" si="672"/>
        <v>#REF!</v>
      </c>
      <c r="AN1725" s="312" t="e">
        <f t="shared" si="673"/>
        <v>#REF!</v>
      </c>
    </row>
    <row r="1726" spans="1:40" s="73" customFormat="1" x14ac:dyDescent="0.25">
      <c r="A1726" s="313"/>
      <c r="B1726" s="314"/>
      <c r="D1726" s="74">
        <f>IFERROR(VLOOKUP(B1726,'REQ. PINTADO'!B:C,2,0),0)</f>
        <v>0</v>
      </c>
      <c r="E1726" s="305">
        <f t="shared" si="172"/>
        <v>0</v>
      </c>
      <c r="F1726" s="103" t="s">
        <v>163</v>
      </c>
      <c r="G1726" s="75" t="s">
        <v>147</v>
      </c>
      <c r="H1726" s="90"/>
      <c r="I1726" s="90"/>
      <c r="J1726" s="76">
        <v>0.105</v>
      </c>
      <c r="K1726" s="306">
        <v>16.38</v>
      </c>
      <c r="L1726" s="78">
        <f t="shared" si="173"/>
        <v>0</v>
      </c>
      <c r="M1726" s="58">
        <f>+VLOOKUP(F1726,Material!$H$2:$M$17,6,FALSE)*H1726*I1726*(1+Material!$K$14)</f>
        <v>0</v>
      </c>
      <c r="N1726" s="79" t="str">
        <f>+N1345</f>
        <v>T5.0</v>
      </c>
      <c r="O1726" s="80">
        <f>+VLOOKUP(N1726,[3]Material!$A$3:$B$58,2,FALSE)</f>
        <v>5000</v>
      </c>
      <c r="P1726" s="79" t="s">
        <v>42</v>
      </c>
      <c r="Q1726" s="79" t="str">
        <f>+VLOOKUP(F1726,[3]Material!$C$2:$E$12,2,FALSE)</f>
        <v>Cal 12</v>
      </c>
      <c r="R1726" s="81">
        <f>+IF(P1726="ACERO A36",VLOOKUP(Q1726,'[3]Velocidades Std 1500 w'!$B$2:$F$15,5,FALSE),IF(P1726="INOXIDABLE",VLOOKUP(Q1726,'[3]Velocidades Std 1500 w'!$B$17:$F$28,5,FALSE),IF(P1726="ALUMINIO",VLOOKUP(Q1726,'[3]Velocidades Std 1500 w'!$B$30:$F$38,5,FALSE))))</f>
        <v>4.3859649122807014E-6</v>
      </c>
      <c r="S1726" s="82">
        <f t="shared" si="174"/>
        <v>2.1929824561403508E-2</v>
      </c>
      <c r="T1726" s="83">
        <f t="shared" si="175"/>
        <v>0</v>
      </c>
      <c r="U1726" s="307">
        <f t="shared" si="171"/>
        <v>0</v>
      </c>
      <c r="V1726" s="80">
        <f t="shared" si="153"/>
        <v>0</v>
      </c>
      <c r="W1726" s="98"/>
      <c r="X1726" s="84">
        <f>+IF(P1726="ACERO A36",VLOOKUP(Q1726,'[3]Tiempo Objeto'!$B$2:$C$12,2,FALSE),IF(P1726="INOXIDABLE",VLOOKUP(Q1726,'[3]Tiempo Objeto'!$B$14:$C$22,2,FALSE),IF(P1726="ALUMINIO",VLOOKUP(Q1726,'[3]Tiempo Objeto'!$B$24:$C$32,2,FALSE))))</f>
        <v>0.6133333333333334</v>
      </c>
      <c r="Y1726" s="84">
        <f t="shared" si="176"/>
        <v>0</v>
      </c>
      <c r="Z1726" s="80">
        <f t="shared" si="177"/>
        <v>0</v>
      </c>
      <c r="AA1726" s="100"/>
      <c r="AB1726" s="86">
        <f>+AA1726*Analisis!$J$6</f>
        <v>0</v>
      </c>
      <c r="AC1726" s="100"/>
      <c r="AD1726" s="85">
        <f t="shared" si="178"/>
        <v>0</v>
      </c>
      <c r="AE1726" s="86">
        <f>+AC1726*Analisis!$J$7</f>
        <v>0</v>
      </c>
      <c r="AF1726" s="308">
        <f>+H1726*0.0254*I1726*0.0254*2*(1+[3]Analisis!$G$2)</f>
        <v>0</v>
      </c>
      <c r="AG1726" s="86">
        <f>+AF1726*Analisis!$J$8</f>
        <v>0</v>
      </c>
      <c r="AH1726" s="309">
        <f t="shared" si="179"/>
        <v>0</v>
      </c>
      <c r="AI1726" s="86">
        <f>+AH1726/(1-Analisis!G1357)</f>
        <v>0</v>
      </c>
      <c r="AJ1726" s="86">
        <f t="shared" si="180"/>
        <v>0</v>
      </c>
      <c r="AK1726" s="86">
        <f t="shared" si="181"/>
        <v>0</v>
      </c>
      <c r="AL1726" s="310" t="e">
        <f>+VLOOKUP(B1726,#REF!,2,FALSE)</f>
        <v>#REF!</v>
      </c>
      <c r="AM1726" s="311" t="e">
        <f t="shared" si="183"/>
        <v>#REF!</v>
      </c>
      <c r="AN1726" s="312" t="e">
        <f t="shared" si="182"/>
        <v>#REF!</v>
      </c>
    </row>
    <row r="1727" spans="1:40" s="73" customFormat="1" x14ac:dyDescent="0.25">
      <c r="A1727" s="313"/>
      <c r="B1727" s="314"/>
      <c r="D1727" s="74">
        <f>IFERROR(VLOOKUP(B1727,'REQ. PINTADO'!B:C,2,0),0)</f>
        <v>0</v>
      </c>
      <c r="E1727" s="305">
        <f t="shared" si="172"/>
        <v>0</v>
      </c>
      <c r="F1727" s="103" t="s">
        <v>163</v>
      </c>
      <c r="G1727" s="75" t="s">
        <v>147</v>
      </c>
      <c r="H1727" s="90"/>
      <c r="I1727" s="90"/>
      <c r="J1727" s="76">
        <v>0.105</v>
      </c>
      <c r="K1727" s="306">
        <v>16.38</v>
      </c>
      <c r="L1727" s="78">
        <f t="shared" si="173"/>
        <v>0</v>
      </c>
      <c r="M1727" s="58">
        <f>+VLOOKUP(F1727,Material!$H$2:$M$17,6,FALSE)*H1727*I1727*(1+Material!$K$14)</f>
        <v>0</v>
      </c>
      <c r="N1727" s="79" t="str">
        <f t="shared" si="170"/>
        <v>T5.0</v>
      </c>
      <c r="O1727" s="80">
        <f>+VLOOKUP(N1727,[3]Material!$A$3:$B$58,2,FALSE)</f>
        <v>5000</v>
      </c>
      <c r="P1727" s="79" t="s">
        <v>42</v>
      </c>
      <c r="Q1727" s="79" t="str">
        <f>+VLOOKUP(F1727,[3]Material!$C$2:$E$12,2,FALSE)</f>
        <v>Cal 12</v>
      </c>
      <c r="R1727" s="81">
        <f>+IF(P1727="ACERO A36",VLOOKUP(Q1727,'[3]Velocidades Std 1500 w'!$B$2:$F$15,5,FALSE),IF(P1727="INOXIDABLE",VLOOKUP(Q1727,'[3]Velocidades Std 1500 w'!$B$17:$F$28,5,FALSE),IF(P1727="ALUMINIO",VLOOKUP(Q1727,'[3]Velocidades Std 1500 w'!$B$30:$F$38,5,FALSE))))</f>
        <v>4.3859649122807014E-6</v>
      </c>
      <c r="S1727" s="82">
        <f t="shared" si="174"/>
        <v>2.1929824561403508E-2</v>
      </c>
      <c r="T1727" s="83">
        <f t="shared" si="175"/>
        <v>0</v>
      </c>
      <c r="U1727" s="307">
        <f t="shared" si="171"/>
        <v>0</v>
      </c>
      <c r="V1727" s="80">
        <f t="shared" si="153"/>
        <v>0</v>
      </c>
      <c r="W1727" s="98"/>
      <c r="X1727" s="84">
        <f>+IF(P1727="ACERO A36",VLOOKUP(Q1727,'[3]Tiempo Objeto'!$B$2:$C$12,2,FALSE),IF(P1727="INOXIDABLE",VLOOKUP(Q1727,'[3]Tiempo Objeto'!$B$14:$C$22,2,FALSE),IF(P1727="ALUMINIO",VLOOKUP(Q1727,'[3]Tiempo Objeto'!$B$24:$C$32,2,FALSE))))</f>
        <v>0.6133333333333334</v>
      </c>
      <c r="Y1727" s="84">
        <f t="shared" si="176"/>
        <v>0</v>
      </c>
      <c r="Z1727" s="80">
        <f t="shared" si="177"/>
        <v>0</v>
      </c>
      <c r="AA1727" s="100"/>
      <c r="AB1727" s="86">
        <f>+AA1727*Analisis!$J$6</f>
        <v>0</v>
      </c>
      <c r="AC1727" s="100"/>
      <c r="AD1727" s="85">
        <f t="shared" si="178"/>
        <v>0</v>
      </c>
      <c r="AE1727" s="86">
        <f>+AC1727*Analisis!$J$7</f>
        <v>0</v>
      </c>
      <c r="AF1727" s="308">
        <f>+H1727*0.0254*I1727*0.0254*2*(1+[3]Analisis!$G$2)</f>
        <v>0</v>
      </c>
      <c r="AG1727" s="86">
        <f>+AF1727*Analisis!$J$8</f>
        <v>0</v>
      </c>
      <c r="AH1727" s="309">
        <f t="shared" si="179"/>
        <v>0</v>
      </c>
      <c r="AI1727" s="86">
        <f>+AH1727/(1-Analisis!G1358)</f>
        <v>0</v>
      </c>
      <c r="AJ1727" s="86">
        <f t="shared" si="180"/>
        <v>0</v>
      </c>
      <c r="AK1727" s="86">
        <f t="shared" si="181"/>
        <v>0</v>
      </c>
      <c r="AL1727" s="310" t="e">
        <f>+VLOOKUP(B1727,#REF!,2,FALSE)</f>
        <v>#REF!</v>
      </c>
      <c r="AM1727" s="311" t="e">
        <f t="shared" si="183"/>
        <v>#REF!</v>
      </c>
      <c r="AN1727" s="312" t="e">
        <f t="shared" si="182"/>
        <v>#REF!</v>
      </c>
    </row>
    <row r="1728" spans="1:40" s="73" customFormat="1" x14ac:dyDescent="0.25">
      <c r="A1728" s="313"/>
      <c r="B1728" s="314"/>
      <c r="D1728" s="74">
        <f>IFERROR(VLOOKUP(B1728,'REQ. PINTADO'!B:C,2,0),0)</f>
        <v>0</v>
      </c>
      <c r="E1728" s="305">
        <f t="shared" si="172"/>
        <v>0</v>
      </c>
      <c r="F1728" s="103" t="s">
        <v>163</v>
      </c>
      <c r="G1728" s="75" t="s">
        <v>147</v>
      </c>
      <c r="H1728" s="90"/>
      <c r="I1728" s="90"/>
      <c r="J1728" s="76">
        <v>0.105</v>
      </c>
      <c r="K1728" s="306">
        <v>16.38</v>
      </c>
      <c r="L1728" s="78">
        <f t="shared" si="173"/>
        <v>0</v>
      </c>
      <c r="M1728" s="58">
        <f>+VLOOKUP(F1728,Material!$H$2:$M$17,6,FALSE)*H1728*I1728*(1+Material!$K$14)</f>
        <v>0</v>
      </c>
      <c r="N1728" s="79" t="str">
        <f t="shared" ref="N1728:N1731" si="674">+N1727</f>
        <v>T5.0</v>
      </c>
      <c r="O1728" s="80">
        <f>+VLOOKUP(N1728,[3]Material!$A$3:$B$58,2,FALSE)</f>
        <v>5000</v>
      </c>
      <c r="P1728" s="79" t="s">
        <v>42</v>
      </c>
      <c r="Q1728" s="79" t="str">
        <f>+VLOOKUP(F1728,[3]Material!$C$2:$E$12,2,FALSE)</f>
        <v>Cal 12</v>
      </c>
      <c r="R1728" s="81">
        <f>+IF(P1728="ACERO A36",VLOOKUP(Q1728,'[3]Velocidades Std 1500 w'!$B$2:$F$15,5,FALSE),IF(P1728="INOXIDABLE",VLOOKUP(Q1728,'[3]Velocidades Std 1500 w'!$B$17:$F$28,5,FALSE),IF(P1728="ALUMINIO",VLOOKUP(Q1728,'[3]Velocidades Std 1500 w'!$B$30:$F$38,5,FALSE))))</f>
        <v>4.3859649122807014E-6</v>
      </c>
      <c r="S1728" s="82">
        <f t="shared" si="174"/>
        <v>2.1929824561403508E-2</v>
      </c>
      <c r="T1728" s="83">
        <f t="shared" si="175"/>
        <v>0</v>
      </c>
      <c r="U1728" s="307">
        <f t="shared" si="171"/>
        <v>0</v>
      </c>
      <c r="V1728" s="80">
        <f t="shared" si="153"/>
        <v>0</v>
      </c>
      <c r="W1728" s="98"/>
      <c r="X1728" s="84">
        <f>+IF(P1728="ACERO A36",VLOOKUP(Q1728,'[3]Tiempo Objeto'!$B$2:$C$12,2,FALSE),IF(P1728="INOXIDABLE",VLOOKUP(Q1728,'[3]Tiempo Objeto'!$B$14:$C$22,2,FALSE),IF(P1728="ALUMINIO",VLOOKUP(Q1728,'[3]Tiempo Objeto'!$B$24:$C$32,2,FALSE))))</f>
        <v>0.6133333333333334</v>
      </c>
      <c r="Y1728" s="84">
        <f t="shared" si="176"/>
        <v>0</v>
      </c>
      <c r="Z1728" s="80">
        <f t="shared" si="177"/>
        <v>0</v>
      </c>
      <c r="AA1728" s="100"/>
      <c r="AB1728" s="86">
        <f>+AA1728*Analisis!$J$6</f>
        <v>0</v>
      </c>
      <c r="AC1728" s="100"/>
      <c r="AD1728" s="85">
        <f t="shared" si="178"/>
        <v>0</v>
      </c>
      <c r="AE1728" s="86">
        <f>+AC1728*Analisis!$J$7</f>
        <v>0</v>
      </c>
      <c r="AF1728" s="308">
        <f>+H1728*0.0254*I1728*0.0254*2*(1+[3]Analisis!$G$2)</f>
        <v>0</v>
      </c>
      <c r="AG1728" s="86">
        <f>+AF1728*Analisis!$J$8</f>
        <v>0</v>
      </c>
      <c r="AH1728" s="309">
        <f t="shared" si="179"/>
        <v>0</v>
      </c>
      <c r="AI1728" s="86">
        <f>+AH1728/(1-Analisis!G1359)</f>
        <v>0</v>
      </c>
      <c r="AJ1728" s="86">
        <f t="shared" si="180"/>
        <v>0</v>
      </c>
      <c r="AK1728" s="86">
        <f t="shared" si="181"/>
        <v>0</v>
      </c>
      <c r="AL1728" s="310" t="e">
        <f>+VLOOKUP(B1728,#REF!,2,FALSE)</f>
        <v>#REF!</v>
      </c>
      <c r="AM1728" s="311" t="e">
        <f t="shared" si="183"/>
        <v>#REF!</v>
      </c>
      <c r="AN1728" s="312" t="e">
        <f t="shared" si="182"/>
        <v>#REF!</v>
      </c>
    </row>
    <row r="1729" spans="1:40" s="73" customFormat="1" x14ac:dyDescent="0.25">
      <c r="A1729" s="313"/>
      <c r="B1729" s="314"/>
      <c r="D1729" s="74">
        <f>IFERROR(VLOOKUP(B1729,'REQ. PINTADO'!B:C,2,0),0)</f>
        <v>0</v>
      </c>
      <c r="E1729" s="305">
        <f t="shared" si="172"/>
        <v>0</v>
      </c>
      <c r="F1729" s="103" t="s">
        <v>163</v>
      </c>
      <c r="G1729" s="75" t="s">
        <v>147</v>
      </c>
      <c r="H1729" s="90"/>
      <c r="I1729" s="90"/>
      <c r="J1729" s="76">
        <v>0.105</v>
      </c>
      <c r="K1729" s="306">
        <v>16.38</v>
      </c>
      <c r="L1729" s="78">
        <f t="shared" si="173"/>
        <v>0</v>
      </c>
      <c r="M1729" s="58">
        <f>+VLOOKUP(F1729,Material!$H$2:$M$17,6,FALSE)*H1729*I1729*(1+Material!$K$14)</f>
        <v>0</v>
      </c>
      <c r="N1729" s="79" t="str">
        <f t="shared" si="674"/>
        <v>T5.0</v>
      </c>
      <c r="O1729" s="80">
        <f>+VLOOKUP(N1729,[3]Material!$A$3:$B$58,2,FALSE)</f>
        <v>5000</v>
      </c>
      <c r="P1729" s="79" t="s">
        <v>42</v>
      </c>
      <c r="Q1729" s="79" t="str">
        <f>+VLOOKUP(F1729,[3]Material!$C$2:$E$12,2,FALSE)</f>
        <v>Cal 12</v>
      </c>
      <c r="R1729" s="81">
        <f>+IF(P1729="ACERO A36",VLOOKUP(Q1729,'[3]Velocidades Std 1500 w'!$B$2:$F$15,5,FALSE),IF(P1729="INOXIDABLE",VLOOKUP(Q1729,'[3]Velocidades Std 1500 w'!$B$17:$F$28,5,FALSE),IF(P1729="ALUMINIO",VLOOKUP(Q1729,'[3]Velocidades Std 1500 w'!$B$30:$F$38,5,FALSE))))</f>
        <v>4.3859649122807014E-6</v>
      </c>
      <c r="S1729" s="82">
        <f t="shared" si="174"/>
        <v>2.1929824561403508E-2</v>
      </c>
      <c r="T1729" s="83">
        <f t="shared" si="175"/>
        <v>0</v>
      </c>
      <c r="U1729" s="307">
        <f t="shared" si="171"/>
        <v>0</v>
      </c>
      <c r="V1729" s="80">
        <f t="shared" si="153"/>
        <v>0</v>
      </c>
      <c r="W1729" s="98"/>
      <c r="X1729" s="84">
        <f>+IF(P1729="ACERO A36",VLOOKUP(Q1729,'[3]Tiempo Objeto'!$B$2:$C$12,2,FALSE),IF(P1729="INOXIDABLE",VLOOKUP(Q1729,'[3]Tiempo Objeto'!$B$14:$C$22,2,FALSE),IF(P1729="ALUMINIO",VLOOKUP(Q1729,'[3]Tiempo Objeto'!$B$24:$C$32,2,FALSE))))</f>
        <v>0.6133333333333334</v>
      </c>
      <c r="Y1729" s="84">
        <f t="shared" si="176"/>
        <v>0</v>
      </c>
      <c r="Z1729" s="80">
        <f t="shared" si="177"/>
        <v>0</v>
      </c>
      <c r="AA1729" s="100"/>
      <c r="AB1729" s="86">
        <f>+AA1729*Analisis!$J$6</f>
        <v>0</v>
      </c>
      <c r="AC1729" s="100"/>
      <c r="AD1729" s="85">
        <f t="shared" si="178"/>
        <v>0</v>
      </c>
      <c r="AE1729" s="86">
        <f>+AC1729*Analisis!$J$7</f>
        <v>0</v>
      </c>
      <c r="AF1729" s="308">
        <f>+H1729*0.0254*I1729*0.0254*2*(1+[3]Analisis!$G$2)</f>
        <v>0</v>
      </c>
      <c r="AG1729" s="86">
        <f>+AF1729*Analisis!$J$8</f>
        <v>0</v>
      </c>
      <c r="AH1729" s="309">
        <f t="shared" si="179"/>
        <v>0</v>
      </c>
      <c r="AI1729" s="86">
        <f>+AH1729/(1-Analisis!G1360)</f>
        <v>0</v>
      </c>
      <c r="AJ1729" s="86">
        <f t="shared" si="180"/>
        <v>0</v>
      </c>
      <c r="AK1729" s="86">
        <f t="shared" si="181"/>
        <v>0</v>
      </c>
      <c r="AL1729" s="310" t="e">
        <f>+VLOOKUP(B1729,#REF!,2,FALSE)</f>
        <v>#REF!</v>
      </c>
      <c r="AM1729" s="311" t="e">
        <f t="shared" si="183"/>
        <v>#REF!</v>
      </c>
      <c r="AN1729" s="312" t="e">
        <f t="shared" si="182"/>
        <v>#REF!</v>
      </c>
    </row>
    <row r="1730" spans="1:40" s="73" customFormat="1" x14ac:dyDescent="0.25">
      <c r="A1730" s="313"/>
      <c r="B1730" s="314"/>
      <c r="D1730" s="74">
        <f>IFERROR(VLOOKUP(B1730,'REQ. PINTADO'!B:C,2,0),0)</f>
        <v>0</v>
      </c>
      <c r="E1730" s="305">
        <f t="shared" si="172"/>
        <v>0</v>
      </c>
      <c r="F1730" s="103" t="s">
        <v>163</v>
      </c>
      <c r="G1730" s="75" t="s">
        <v>147</v>
      </c>
      <c r="H1730" s="90"/>
      <c r="I1730" s="90"/>
      <c r="J1730" s="76">
        <v>0.105</v>
      </c>
      <c r="K1730" s="306">
        <v>16.38</v>
      </c>
      <c r="L1730" s="78">
        <f t="shared" si="173"/>
        <v>0</v>
      </c>
      <c r="M1730" s="58">
        <f>+VLOOKUP(F1730,Material!$H$2:$M$17,6,FALSE)*H1730*I1730*(1+Material!$K$14)</f>
        <v>0</v>
      </c>
      <c r="N1730" s="79" t="str">
        <f t="shared" si="674"/>
        <v>T5.0</v>
      </c>
      <c r="O1730" s="80">
        <f>+VLOOKUP(N1730,[3]Material!$A$3:$B$58,2,FALSE)</f>
        <v>5000</v>
      </c>
      <c r="P1730" s="79" t="s">
        <v>42</v>
      </c>
      <c r="Q1730" s="79" t="str">
        <f>+VLOOKUP(F1730,[3]Material!$C$2:$E$12,2,FALSE)</f>
        <v>Cal 12</v>
      </c>
      <c r="R1730" s="81">
        <f>+IF(P1730="ACERO A36",VLOOKUP(Q1730,'[3]Velocidades Std 1500 w'!$B$2:$F$15,5,FALSE),IF(P1730="INOXIDABLE",VLOOKUP(Q1730,'[3]Velocidades Std 1500 w'!$B$17:$F$28,5,FALSE),IF(P1730="ALUMINIO",VLOOKUP(Q1730,'[3]Velocidades Std 1500 w'!$B$30:$F$38,5,FALSE))))</f>
        <v>4.3859649122807014E-6</v>
      </c>
      <c r="S1730" s="82">
        <f t="shared" si="174"/>
        <v>2.1929824561403508E-2</v>
      </c>
      <c r="T1730" s="83">
        <f t="shared" si="175"/>
        <v>0</v>
      </c>
      <c r="U1730" s="307">
        <f t="shared" si="171"/>
        <v>0</v>
      </c>
      <c r="V1730" s="80">
        <f t="shared" si="153"/>
        <v>0</v>
      </c>
      <c r="W1730" s="98"/>
      <c r="X1730" s="84">
        <f>+IF(P1730="ACERO A36",VLOOKUP(Q1730,'[3]Tiempo Objeto'!$B$2:$C$12,2,FALSE),IF(P1730="INOXIDABLE",VLOOKUP(Q1730,'[3]Tiempo Objeto'!$B$14:$C$22,2,FALSE),IF(P1730="ALUMINIO",VLOOKUP(Q1730,'[3]Tiempo Objeto'!$B$24:$C$32,2,FALSE))))</f>
        <v>0.6133333333333334</v>
      </c>
      <c r="Y1730" s="84">
        <f t="shared" si="176"/>
        <v>0</v>
      </c>
      <c r="Z1730" s="80">
        <f t="shared" si="177"/>
        <v>0</v>
      </c>
      <c r="AA1730" s="100"/>
      <c r="AB1730" s="86">
        <f>+AA1730*Analisis!$J$6</f>
        <v>0</v>
      </c>
      <c r="AC1730" s="100"/>
      <c r="AD1730" s="85">
        <f t="shared" si="178"/>
        <v>0</v>
      </c>
      <c r="AE1730" s="86">
        <f>+AC1730*Analisis!$J$7</f>
        <v>0</v>
      </c>
      <c r="AF1730" s="308">
        <f>+H1730*0.0254*I1730*0.0254*2*(1+[3]Analisis!$G$2)</f>
        <v>0</v>
      </c>
      <c r="AG1730" s="86">
        <f>+AF1730*Analisis!$J$8</f>
        <v>0</v>
      </c>
      <c r="AH1730" s="309">
        <f t="shared" si="179"/>
        <v>0</v>
      </c>
      <c r="AI1730" s="86">
        <f>+AH1730/(1-Analisis!G1361)</f>
        <v>0</v>
      </c>
      <c r="AJ1730" s="86">
        <f t="shared" si="180"/>
        <v>0</v>
      </c>
      <c r="AK1730" s="86">
        <f t="shared" si="181"/>
        <v>0</v>
      </c>
      <c r="AL1730" s="310" t="e">
        <f>+VLOOKUP(B1730,#REF!,2,FALSE)</f>
        <v>#REF!</v>
      </c>
      <c r="AM1730" s="311" t="e">
        <f t="shared" si="183"/>
        <v>#REF!</v>
      </c>
      <c r="AN1730" s="312" t="e">
        <f t="shared" si="182"/>
        <v>#REF!</v>
      </c>
    </row>
    <row r="1731" spans="1:40" s="73" customFormat="1" x14ac:dyDescent="0.25">
      <c r="A1731" s="313"/>
      <c r="B1731" s="314"/>
      <c r="D1731" s="74">
        <f>IFERROR(VLOOKUP(B1731,'REQ. PINTADO'!B:C,2,0),0)</f>
        <v>0</v>
      </c>
      <c r="E1731" s="305">
        <f t="shared" si="172"/>
        <v>0</v>
      </c>
      <c r="F1731" s="103" t="s">
        <v>163</v>
      </c>
      <c r="G1731" s="75" t="s">
        <v>147</v>
      </c>
      <c r="H1731" s="90"/>
      <c r="I1731" s="90"/>
      <c r="J1731" s="76">
        <v>0.105</v>
      </c>
      <c r="K1731" s="306">
        <v>16.38</v>
      </c>
      <c r="L1731" s="78">
        <f t="shared" si="173"/>
        <v>0</v>
      </c>
      <c r="M1731" s="58">
        <f>+VLOOKUP(F1731,Material!$H$2:$M$17,6,FALSE)*H1731*I1731*(1+Material!$K$14)</f>
        <v>0</v>
      </c>
      <c r="N1731" s="79" t="str">
        <f t="shared" si="674"/>
        <v>T5.0</v>
      </c>
      <c r="O1731" s="80">
        <f>+VLOOKUP(N1731,[3]Material!$A$3:$B$58,2,FALSE)</f>
        <v>5000</v>
      </c>
      <c r="P1731" s="79" t="s">
        <v>42</v>
      </c>
      <c r="Q1731" s="79" t="str">
        <f>+VLOOKUP(F1731,[3]Material!$C$2:$E$12,2,FALSE)</f>
        <v>Cal 12</v>
      </c>
      <c r="R1731" s="81">
        <f>+IF(P1731="ACERO A36",VLOOKUP(Q1731,'[3]Velocidades Std 1500 w'!$B$2:$F$15,5,FALSE),IF(P1731="INOXIDABLE",VLOOKUP(Q1731,'[3]Velocidades Std 1500 w'!$B$17:$F$28,5,FALSE),IF(P1731="ALUMINIO",VLOOKUP(Q1731,'[3]Velocidades Std 1500 w'!$B$30:$F$38,5,FALSE))))</f>
        <v>4.3859649122807014E-6</v>
      </c>
      <c r="S1731" s="82">
        <f t="shared" si="174"/>
        <v>2.1929824561403508E-2</v>
      </c>
      <c r="T1731" s="83">
        <f t="shared" si="175"/>
        <v>0</v>
      </c>
      <c r="U1731" s="307">
        <f t="shared" si="171"/>
        <v>0</v>
      </c>
      <c r="V1731" s="80">
        <f t="shared" si="153"/>
        <v>0</v>
      </c>
      <c r="W1731" s="98"/>
      <c r="X1731" s="84">
        <f>+IF(P1731="ACERO A36",VLOOKUP(Q1731,'[3]Tiempo Objeto'!$B$2:$C$12,2,FALSE),IF(P1731="INOXIDABLE",VLOOKUP(Q1731,'[3]Tiempo Objeto'!$B$14:$C$22,2,FALSE),IF(P1731="ALUMINIO",VLOOKUP(Q1731,'[3]Tiempo Objeto'!$B$24:$C$32,2,FALSE))))</f>
        <v>0.6133333333333334</v>
      </c>
      <c r="Y1731" s="84">
        <f t="shared" si="176"/>
        <v>0</v>
      </c>
      <c r="Z1731" s="80">
        <f t="shared" si="177"/>
        <v>0</v>
      </c>
      <c r="AA1731" s="100"/>
      <c r="AB1731" s="86">
        <f>+AA1731*Analisis!$J$6</f>
        <v>0</v>
      </c>
      <c r="AC1731" s="100"/>
      <c r="AD1731" s="85">
        <f t="shared" si="178"/>
        <v>0</v>
      </c>
      <c r="AE1731" s="86">
        <f>+AC1731*Analisis!$J$7</f>
        <v>0</v>
      </c>
      <c r="AF1731" s="308">
        <f>+H1731*0.0254*I1731*0.0254*2*(1+[3]Analisis!$G$2)</f>
        <v>0</v>
      </c>
      <c r="AG1731" s="86">
        <f>+AF1731*Analisis!$J$8</f>
        <v>0</v>
      </c>
      <c r="AH1731" s="309">
        <f t="shared" si="179"/>
        <v>0</v>
      </c>
      <c r="AI1731" s="86">
        <f>+AH1731/(1-Analisis!G1362)</f>
        <v>0</v>
      </c>
      <c r="AJ1731" s="86">
        <f t="shared" si="180"/>
        <v>0</v>
      </c>
      <c r="AK1731" s="86">
        <f t="shared" si="181"/>
        <v>0</v>
      </c>
      <c r="AL1731" s="310" t="e">
        <f>+VLOOKUP(B1731,#REF!,2,FALSE)</f>
        <v>#REF!</v>
      </c>
      <c r="AM1731" s="311" t="e">
        <f t="shared" si="183"/>
        <v>#REF!</v>
      </c>
      <c r="AN1731" s="312" t="e">
        <f t="shared" si="182"/>
        <v>#REF!</v>
      </c>
    </row>
    <row r="1732" spans="1:40" ht="17.25" x14ac:dyDescent="0.25">
      <c r="E1732" s="334" t="e">
        <f>+SUMPRODUCT(D2:D1731,E2:E1731)</f>
        <v>#REF!</v>
      </c>
      <c r="H1732" s="91"/>
      <c r="I1732" s="91"/>
      <c r="J1732" s="31"/>
      <c r="K1732" s="336"/>
      <c r="M1732" s="337">
        <f>+SUMPRODUCT(M2:M1731,$D$2:$D$1731)</f>
        <v>26248.90388054838</v>
      </c>
      <c r="V1732" s="56">
        <f>+SUMPRODUCT(V2:V1731,$D$2:$D$1731)</f>
        <v>6705.2421376518214</v>
      </c>
      <c r="Z1732" s="56">
        <f>+SUMPRODUCT(Z2:Z1731,$D$2:$D$1731)</f>
        <v>2224.8888888888887</v>
      </c>
      <c r="AB1732" s="97">
        <f>+SUMPRODUCT(AB2:AB1731,$D$2:$D$1731)</f>
        <v>45600</v>
      </c>
      <c r="AE1732" s="339">
        <f>+SUMPRODUCT(AE2:AE1731,$D$2:$D$1731)</f>
        <v>0</v>
      </c>
      <c r="AG1732" s="297">
        <f>+SUMPRODUCT(AG2:AG1731,$D$2:$D$1731)</f>
        <v>19670.846427813722</v>
      </c>
      <c r="AH1732" s="341">
        <f>+SUMPRODUCT(AH2:AH1731,D2:D1731)</f>
        <v>100449.88133490282</v>
      </c>
      <c r="AJ1732" s="41"/>
      <c r="AK1732" s="342" t="e">
        <f>SUM(AK2:AK1731)</f>
        <v>#REF!</v>
      </c>
    </row>
    <row r="2019" spans="2:3" x14ac:dyDescent="0.25">
      <c r="B2019" s="29" t="s">
        <v>149</v>
      </c>
      <c r="C2019" s="30" t="s">
        <v>150</v>
      </c>
    </row>
  </sheetData>
  <autoFilter ref="A1:L1732" xr:uid="{00000000-0001-0000-0000-000000000000}"/>
  <phoneticPr fontId="9" type="noConversion"/>
  <conditionalFormatting sqref="AN2:AN1731">
    <cfRule type="cellIs" dxfId="0" priority="1" operator="greaterThan">
      <formula>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FA7DEBA-A27A-420A-97CE-CA36B0E39C28}">
          <x14:formula1>
            <xm:f>Material!$H$2:$H$12</xm:f>
          </x14:formula1>
          <xm:sqref>F1318 F1341:F1731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4D3B7-87C7-4212-B987-28C18614F1F8}">
  <sheetPr>
    <tabColor theme="1"/>
  </sheetPr>
  <dimension ref="A1:F38"/>
  <sheetViews>
    <sheetView zoomScale="115" zoomScaleNormal="115" workbookViewId="0">
      <pane xSplit="1" ySplit="1" topLeftCell="B20" activePane="bottomRight" state="frozen"/>
      <selection activeCell="C27" sqref="C27"/>
      <selection pane="topRight" activeCell="C27" sqref="C27"/>
      <selection pane="bottomLeft" activeCell="C27" sqref="C27"/>
      <selection pane="bottomRight" activeCell="C32" sqref="C32"/>
    </sheetView>
  </sheetViews>
  <sheetFormatPr baseColWidth="10" defaultRowHeight="15" x14ac:dyDescent="0.25"/>
  <cols>
    <col min="1" max="1" width="14" customWidth="1"/>
    <col min="2" max="2" width="11.42578125" style="1"/>
    <col min="3" max="3" width="9.42578125" bestFit="1" customWidth="1"/>
    <col min="4" max="4" width="12.140625" style="14" customWidth="1"/>
    <col min="5" max="5" width="13.5703125" style="12" customWidth="1"/>
    <col min="6" max="6" width="16" style="13" customWidth="1"/>
  </cols>
  <sheetData>
    <row r="1" spans="1:6" s="10" customFormat="1" ht="30.75" customHeight="1" x14ac:dyDescent="0.25">
      <c r="A1" s="2" t="s">
        <v>15</v>
      </c>
      <c r="B1" s="2" t="s">
        <v>50</v>
      </c>
      <c r="C1" s="2" t="s">
        <v>61</v>
      </c>
      <c r="D1" s="7" t="s">
        <v>62</v>
      </c>
      <c r="E1" s="8" t="s">
        <v>63</v>
      </c>
      <c r="F1" s="9" t="s">
        <v>64</v>
      </c>
    </row>
    <row r="2" spans="1:6" x14ac:dyDescent="0.25">
      <c r="A2" t="s">
        <v>42</v>
      </c>
      <c r="B2" s="1" t="s">
        <v>135</v>
      </c>
      <c r="C2" s="47">
        <v>19.05</v>
      </c>
      <c r="D2" s="11">
        <f>+D7/3</f>
        <v>533.33333333333337</v>
      </c>
      <c r="E2" s="12">
        <f>+E7/3</f>
        <v>32000</v>
      </c>
      <c r="F2" s="13">
        <f t="shared" ref="F2:F4" si="0">1/E2</f>
        <v>3.1250000000000001E-5</v>
      </c>
    </row>
    <row r="3" spans="1:6" x14ac:dyDescent="0.25">
      <c r="A3" t="s">
        <v>42</v>
      </c>
      <c r="B3" s="1" t="s">
        <v>134</v>
      </c>
      <c r="C3">
        <v>15.875</v>
      </c>
      <c r="D3" s="11">
        <f>+D10/5</f>
        <v>580</v>
      </c>
      <c r="E3" s="12">
        <f>+E10/5</f>
        <v>34800</v>
      </c>
      <c r="F3" s="13">
        <f t="shared" si="0"/>
        <v>2.8735632183908045E-5</v>
      </c>
    </row>
    <row r="4" spans="1:6" x14ac:dyDescent="0.25">
      <c r="A4" t="s">
        <v>42</v>
      </c>
      <c r="B4" s="1" t="s">
        <v>133</v>
      </c>
      <c r="C4">
        <v>12.7</v>
      </c>
      <c r="D4" s="11">
        <f>+D7/2</f>
        <v>800</v>
      </c>
      <c r="E4" s="12">
        <f>+E7/2</f>
        <v>48000</v>
      </c>
      <c r="F4" s="13">
        <f t="shared" si="0"/>
        <v>2.0833333333333333E-5</v>
      </c>
    </row>
    <row r="5" spans="1:6" x14ac:dyDescent="0.25">
      <c r="A5" t="s">
        <v>42</v>
      </c>
      <c r="B5" s="1" t="s">
        <v>51</v>
      </c>
      <c r="C5">
        <v>9.5249999999999986</v>
      </c>
      <c r="D5" s="11">
        <v>900</v>
      </c>
      <c r="E5" s="12">
        <f>+D5*60</f>
        <v>54000</v>
      </c>
      <c r="F5" s="13">
        <f>1/E5</f>
        <v>1.8518518518518518E-5</v>
      </c>
    </row>
    <row r="6" spans="1:6" x14ac:dyDescent="0.25">
      <c r="A6" t="s">
        <v>42</v>
      </c>
      <c r="B6" s="1" t="s">
        <v>52</v>
      </c>
      <c r="C6">
        <v>7.9375</v>
      </c>
      <c r="D6" s="11">
        <v>1100</v>
      </c>
      <c r="E6" s="12">
        <f t="shared" ref="E6:E38" si="1">+D6*60</f>
        <v>66000</v>
      </c>
      <c r="F6" s="13">
        <f t="shared" ref="F6:F38" si="2">1/E6</f>
        <v>1.5151515151515151E-5</v>
      </c>
    </row>
    <row r="7" spans="1:6" x14ac:dyDescent="0.25">
      <c r="A7" t="s">
        <v>42</v>
      </c>
      <c r="B7" s="1" t="s">
        <v>53</v>
      </c>
      <c r="C7">
        <v>6.35</v>
      </c>
      <c r="D7" s="11">
        <v>1600</v>
      </c>
      <c r="E7" s="12">
        <f t="shared" si="1"/>
        <v>96000</v>
      </c>
      <c r="F7" s="13">
        <f t="shared" si="2"/>
        <v>1.0416666666666666E-5</v>
      </c>
    </row>
    <row r="8" spans="1:6" x14ac:dyDescent="0.25">
      <c r="A8" t="s">
        <v>42</v>
      </c>
      <c r="B8" s="1" t="s">
        <v>54</v>
      </c>
      <c r="C8">
        <v>4.7624999999999993</v>
      </c>
      <c r="D8" s="11">
        <v>1800</v>
      </c>
      <c r="E8" s="12">
        <f t="shared" si="1"/>
        <v>108000</v>
      </c>
      <c r="F8" s="13">
        <f t="shared" si="2"/>
        <v>9.2592592592592591E-6</v>
      </c>
    </row>
    <row r="9" spans="1:6" x14ac:dyDescent="0.25">
      <c r="A9" t="s">
        <v>42</v>
      </c>
      <c r="B9" s="1" t="s">
        <v>45</v>
      </c>
      <c r="C9">
        <v>3.4289999999999998</v>
      </c>
      <c r="D9" s="11">
        <v>2700</v>
      </c>
      <c r="E9" s="12">
        <f t="shared" si="1"/>
        <v>162000</v>
      </c>
      <c r="F9" s="13">
        <f t="shared" si="2"/>
        <v>6.1728395061728391E-6</v>
      </c>
    </row>
    <row r="10" spans="1:6" x14ac:dyDescent="0.25">
      <c r="A10" t="s">
        <v>42</v>
      </c>
      <c r="B10" s="1" t="s">
        <v>55</v>
      </c>
      <c r="C10">
        <v>3.1749999999999998</v>
      </c>
      <c r="D10" s="11">
        <v>2900</v>
      </c>
      <c r="E10" s="12">
        <f t="shared" si="1"/>
        <v>174000</v>
      </c>
      <c r="F10" s="13">
        <f t="shared" si="2"/>
        <v>5.7471264367816091E-6</v>
      </c>
    </row>
    <row r="11" spans="1:6" x14ac:dyDescent="0.25">
      <c r="A11" t="s">
        <v>42</v>
      </c>
      <c r="B11" s="1" t="s">
        <v>43</v>
      </c>
      <c r="C11">
        <v>2.6669999999999998</v>
      </c>
      <c r="D11" s="11">
        <v>3800</v>
      </c>
      <c r="E11" s="12">
        <f t="shared" si="1"/>
        <v>228000</v>
      </c>
      <c r="F11" s="13">
        <f t="shared" si="2"/>
        <v>4.3859649122807014E-6</v>
      </c>
    </row>
    <row r="12" spans="1:6" x14ac:dyDescent="0.25">
      <c r="A12" t="s">
        <v>42</v>
      </c>
      <c r="B12" s="1" t="s">
        <v>48</v>
      </c>
      <c r="C12">
        <v>1.905</v>
      </c>
      <c r="D12" s="11">
        <v>8300</v>
      </c>
      <c r="E12" s="12">
        <f t="shared" si="1"/>
        <v>498000</v>
      </c>
      <c r="F12" s="13">
        <f t="shared" si="2"/>
        <v>2.0080321285140564E-6</v>
      </c>
    </row>
    <row r="13" spans="1:6" x14ac:dyDescent="0.25">
      <c r="A13" t="s">
        <v>42</v>
      </c>
      <c r="B13" s="1" t="s">
        <v>56</v>
      </c>
      <c r="C13">
        <v>1.524</v>
      </c>
      <c r="D13" s="11">
        <v>18200</v>
      </c>
      <c r="E13" s="12">
        <f t="shared" si="1"/>
        <v>1092000</v>
      </c>
      <c r="F13" s="13">
        <f t="shared" si="2"/>
        <v>9.1575091575091579E-7</v>
      </c>
    </row>
    <row r="14" spans="1:6" x14ac:dyDescent="0.25">
      <c r="A14" t="s">
        <v>42</v>
      </c>
      <c r="B14" s="1" t="s">
        <v>57</v>
      </c>
      <c r="C14">
        <v>1.2190000000000001</v>
      </c>
      <c r="D14" s="11">
        <v>25600</v>
      </c>
      <c r="E14" s="12">
        <f t="shared" si="1"/>
        <v>1536000</v>
      </c>
      <c r="F14" s="13">
        <f t="shared" si="2"/>
        <v>6.5104166666666664E-7</v>
      </c>
    </row>
    <row r="15" spans="1:6" x14ac:dyDescent="0.25">
      <c r="A15" t="s">
        <v>42</v>
      </c>
      <c r="B15" s="1" t="s">
        <v>58</v>
      </c>
      <c r="C15">
        <v>0.95299999999999996</v>
      </c>
      <c r="D15" s="11">
        <v>32000</v>
      </c>
      <c r="E15" s="12">
        <f t="shared" si="1"/>
        <v>1920000</v>
      </c>
      <c r="F15" s="13">
        <f t="shared" si="2"/>
        <v>5.2083333333333336E-7</v>
      </c>
    </row>
    <row r="17" spans="1:6" x14ac:dyDescent="0.25">
      <c r="A17" s="48" t="s">
        <v>59</v>
      </c>
      <c r="B17" s="54" t="s">
        <v>133</v>
      </c>
      <c r="C17" s="48">
        <v>12.7</v>
      </c>
      <c r="D17" s="50">
        <f>+D20/2</f>
        <v>500</v>
      </c>
      <c r="E17" s="51">
        <f t="shared" si="1"/>
        <v>30000</v>
      </c>
      <c r="F17" s="52">
        <f t="shared" si="2"/>
        <v>3.3333333333333335E-5</v>
      </c>
    </row>
    <row r="18" spans="1:6" x14ac:dyDescent="0.25">
      <c r="A18" s="48" t="s">
        <v>59</v>
      </c>
      <c r="B18" s="54" t="s">
        <v>51</v>
      </c>
      <c r="C18" s="48">
        <v>9.5249999999999986</v>
      </c>
      <c r="D18" s="50">
        <f>+((C18-$C$17)/($C$19-$C$17))*($D$20-$D$17)+$D$17</f>
        <v>833.33333333333348</v>
      </c>
      <c r="E18" s="51">
        <f t="shared" ref="E18:E20" si="3">+D18*60</f>
        <v>50000.000000000007</v>
      </c>
      <c r="F18" s="52">
        <f t="shared" ref="F18:F20" si="4">1/E18</f>
        <v>1.9999999999999998E-5</v>
      </c>
    </row>
    <row r="19" spans="1:6" x14ac:dyDescent="0.25">
      <c r="A19" s="48" t="s">
        <v>59</v>
      </c>
      <c r="B19" s="54" t="s">
        <v>52</v>
      </c>
      <c r="C19" s="48">
        <v>7.9375</v>
      </c>
      <c r="D19" s="50">
        <f>+((C19-$C$17)/($C$20-$C$17))*(D20-D17)+D17</f>
        <v>875</v>
      </c>
      <c r="E19" s="51">
        <f t="shared" si="3"/>
        <v>52500</v>
      </c>
      <c r="F19" s="52">
        <f t="shared" si="4"/>
        <v>1.9047619047619046E-5</v>
      </c>
    </row>
    <row r="20" spans="1:6" x14ac:dyDescent="0.25">
      <c r="A20" t="s">
        <v>59</v>
      </c>
      <c r="B20" s="5" t="s">
        <v>53</v>
      </c>
      <c r="C20">
        <v>6.35</v>
      </c>
      <c r="D20" s="11">
        <v>1000</v>
      </c>
      <c r="E20" s="12">
        <f t="shared" si="3"/>
        <v>60000</v>
      </c>
      <c r="F20" s="13">
        <f t="shared" si="4"/>
        <v>1.6666666666666667E-5</v>
      </c>
    </row>
    <row r="21" spans="1:6" x14ac:dyDescent="0.25">
      <c r="A21" t="s">
        <v>59</v>
      </c>
      <c r="B21" s="5" t="s">
        <v>54</v>
      </c>
      <c r="C21">
        <v>4.7624999999999993</v>
      </c>
      <c r="D21" s="14">
        <v>1600</v>
      </c>
      <c r="E21" s="12">
        <f t="shared" si="1"/>
        <v>96000</v>
      </c>
      <c r="F21" s="13">
        <f t="shared" si="2"/>
        <v>1.0416666666666666E-5</v>
      </c>
    </row>
    <row r="22" spans="1:6" x14ac:dyDescent="0.25">
      <c r="A22" t="s">
        <v>59</v>
      </c>
      <c r="B22" s="4" t="s">
        <v>45</v>
      </c>
      <c r="C22">
        <v>3.4289999999999998</v>
      </c>
      <c r="D22" s="14">
        <f>2100+1200</f>
        <v>3300</v>
      </c>
      <c r="E22" s="12">
        <f t="shared" si="1"/>
        <v>198000</v>
      </c>
      <c r="F22" s="13">
        <f t="shared" si="2"/>
        <v>5.0505050505050507E-6</v>
      </c>
    </row>
    <row r="23" spans="1:6" x14ac:dyDescent="0.25">
      <c r="A23" t="s">
        <v>59</v>
      </c>
      <c r="B23" s="5" t="s">
        <v>55</v>
      </c>
      <c r="C23">
        <v>3.1749999999999998</v>
      </c>
      <c r="D23" s="11">
        <v>4700</v>
      </c>
      <c r="E23" s="12">
        <f t="shared" si="1"/>
        <v>282000</v>
      </c>
      <c r="F23" s="13">
        <f t="shared" si="2"/>
        <v>3.5460992907801419E-6</v>
      </c>
    </row>
    <row r="24" spans="1:6" x14ac:dyDescent="0.25">
      <c r="A24" t="s">
        <v>59</v>
      </c>
      <c r="B24" s="4" t="s">
        <v>43</v>
      </c>
      <c r="C24">
        <v>2.6669999999999998</v>
      </c>
      <c r="D24" s="14">
        <f>4200+1920</f>
        <v>6120</v>
      </c>
      <c r="E24" s="12">
        <f t="shared" si="1"/>
        <v>367200</v>
      </c>
      <c r="F24" s="13">
        <f t="shared" si="2"/>
        <v>2.7233115468409584E-6</v>
      </c>
    </row>
    <row r="25" spans="1:6" x14ac:dyDescent="0.25">
      <c r="A25" t="s">
        <v>59</v>
      </c>
      <c r="B25" s="4" t="s">
        <v>48</v>
      </c>
      <c r="C25">
        <v>1.905</v>
      </c>
      <c r="D25" s="14">
        <v>9000</v>
      </c>
      <c r="E25" s="12">
        <f t="shared" si="1"/>
        <v>540000</v>
      </c>
      <c r="F25" s="13">
        <f t="shared" si="2"/>
        <v>1.8518518518518519E-6</v>
      </c>
    </row>
    <row r="26" spans="1:6" x14ac:dyDescent="0.25">
      <c r="A26" t="s">
        <v>59</v>
      </c>
      <c r="B26" s="4" t="s">
        <v>56</v>
      </c>
      <c r="C26">
        <v>1.524</v>
      </c>
      <c r="D26" s="14">
        <f>(((C26-C25)/(C28-C25))*(D28-D25))+D25</f>
        <v>18204.831932773108</v>
      </c>
      <c r="E26" s="12">
        <f t="shared" si="1"/>
        <v>1092289.9159663864</v>
      </c>
      <c r="F26" s="13">
        <f t="shared" si="2"/>
        <v>9.1550785682688063E-7</v>
      </c>
    </row>
    <row r="27" spans="1:6" x14ac:dyDescent="0.25">
      <c r="A27" t="s">
        <v>59</v>
      </c>
      <c r="B27" s="4" t="s">
        <v>57</v>
      </c>
      <c r="C27">
        <v>1.2190000000000001</v>
      </c>
      <c r="D27" s="14">
        <f>(((C27-C25)/(C28-C25))*(D28-D25))+D25</f>
        <v>25573.529411764703</v>
      </c>
      <c r="E27" s="12">
        <f t="shared" si="1"/>
        <v>1534411.7647058822</v>
      </c>
      <c r="F27" s="13">
        <f t="shared" si="2"/>
        <v>6.5171554533256674E-7</v>
      </c>
    </row>
    <row r="28" spans="1:6" x14ac:dyDescent="0.25">
      <c r="A28" t="s">
        <v>59</v>
      </c>
      <c r="B28" s="4" t="s">
        <v>58</v>
      </c>
      <c r="C28">
        <v>0.95299999999999996</v>
      </c>
      <c r="D28" s="14">
        <v>32000</v>
      </c>
      <c r="E28" s="12">
        <f t="shared" si="1"/>
        <v>1920000</v>
      </c>
      <c r="F28" s="13">
        <f t="shared" si="2"/>
        <v>5.2083333333333336E-7</v>
      </c>
    </row>
    <row r="30" spans="1:6" x14ac:dyDescent="0.25">
      <c r="A30" s="48" t="s">
        <v>60</v>
      </c>
      <c r="B30" s="49" t="s">
        <v>54</v>
      </c>
      <c r="C30" s="48">
        <v>4.7624999999999993</v>
      </c>
      <c r="D30" s="50">
        <f>+D33/(C30/C33)</f>
        <v>2533.3333333333335</v>
      </c>
      <c r="E30" s="51">
        <f t="shared" si="1"/>
        <v>152000</v>
      </c>
      <c r="F30" s="52">
        <f t="shared" si="2"/>
        <v>6.578947368421053E-6</v>
      </c>
    </row>
    <row r="31" spans="1:6" x14ac:dyDescent="0.25">
      <c r="A31" s="48" t="s">
        <v>60</v>
      </c>
      <c r="B31" s="53" t="s">
        <v>45</v>
      </c>
      <c r="C31" s="48">
        <v>3.4289999999999998</v>
      </c>
      <c r="D31" s="50">
        <f>+D36/(C31/C36)</f>
        <v>3023.8095238095239</v>
      </c>
      <c r="E31" s="51">
        <f t="shared" ref="E31:E33" si="5">+D31*60</f>
        <v>181428.57142857142</v>
      </c>
      <c r="F31" s="52">
        <f t="shared" ref="F31:F33" si="6">1/E31</f>
        <v>5.5118110236220476E-6</v>
      </c>
    </row>
    <row r="32" spans="1:6" x14ac:dyDescent="0.25">
      <c r="A32" t="s">
        <v>60</v>
      </c>
      <c r="B32" s="5" t="s">
        <v>53</v>
      </c>
      <c r="C32">
        <f>0.25*25.4</f>
        <v>6.35</v>
      </c>
      <c r="D32" s="14">
        <f>+D26/2</f>
        <v>9102.4159663865539</v>
      </c>
      <c r="E32" s="12">
        <f>+D32*60</f>
        <v>546144.95798319322</v>
      </c>
      <c r="F32" s="13">
        <f t="shared" si="6"/>
        <v>1.8310157136537613E-6</v>
      </c>
    </row>
    <row r="33" spans="1:6" x14ac:dyDescent="0.25">
      <c r="A33" t="s">
        <v>60</v>
      </c>
      <c r="B33" s="1" t="s">
        <v>55</v>
      </c>
      <c r="C33">
        <v>3.1749999999999998</v>
      </c>
      <c r="D33" s="14">
        <v>3800</v>
      </c>
      <c r="E33" s="12">
        <f t="shared" si="5"/>
        <v>228000</v>
      </c>
      <c r="F33" s="13">
        <f t="shared" si="6"/>
        <v>4.3859649122807014E-6</v>
      </c>
    </row>
    <row r="34" spans="1:6" x14ac:dyDescent="0.25">
      <c r="A34" t="s">
        <v>60</v>
      </c>
      <c r="B34" s="1" t="s">
        <v>43</v>
      </c>
      <c r="C34">
        <v>2.6669999999999998</v>
      </c>
      <c r="D34" s="14">
        <f>(((C34-C30)/(C35-C30))*(D35-D30))+D30</f>
        <v>6542.2222222222226</v>
      </c>
      <c r="E34" s="12">
        <f t="shared" si="1"/>
        <v>392533.33333333337</v>
      </c>
      <c r="F34" s="13">
        <f t="shared" si="2"/>
        <v>2.5475543478260867E-6</v>
      </c>
    </row>
    <row r="35" spans="1:6" x14ac:dyDescent="0.25">
      <c r="A35" t="s">
        <v>60</v>
      </c>
      <c r="B35" s="1" t="s">
        <v>48</v>
      </c>
      <c r="C35">
        <v>1.905</v>
      </c>
      <c r="D35" s="14">
        <v>8000</v>
      </c>
      <c r="E35" s="12">
        <f t="shared" si="1"/>
        <v>480000</v>
      </c>
      <c r="F35" s="13">
        <f t="shared" si="2"/>
        <v>2.0833333333333334E-6</v>
      </c>
    </row>
    <row r="36" spans="1:6" x14ac:dyDescent="0.25">
      <c r="A36" t="s">
        <v>60</v>
      </c>
      <c r="B36" s="1" t="s">
        <v>56</v>
      </c>
      <c r="C36">
        <v>1.524</v>
      </c>
      <c r="D36" s="14">
        <f>((C36-C35)/(C38-C35))*(D38-D35)</f>
        <v>6803.5714285714284</v>
      </c>
      <c r="E36" s="12">
        <f t="shared" si="1"/>
        <v>408214.28571428568</v>
      </c>
      <c r="F36" s="13">
        <f t="shared" si="2"/>
        <v>2.4496937882764656E-6</v>
      </c>
    </row>
    <row r="37" spans="1:6" x14ac:dyDescent="0.25">
      <c r="A37" t="s">
        <v>60</v>
      </c>
      <c r="B37" s="1" t="s">
        <v>57</v>
      </c>
      <c r="C37">
        <v>1.2190000000000001</v>
      </c>
      <c r="D37" s="14">
        <f>((C37-C35)/(C38-C35))*(D38-D35)</f>
        <v>12249.999999999998</v>
      </c>
      <c r="E37" s="12">
        <f t="shared" si="1"/>
        <v>734999.99999999988</v>
      </c>
      <c r="F37" s="13">
        <f t="shared" si="2"/>
        <v>1.3605442176870751E-6</v>
      </c>
    </row>
    <row r="38" spans="1:6" x14ac:dyDescent="0.25">
      <c r="A38" t="s">
        <v>60</v>
      </c>
      <c r="B38" s="1" t="s">
        <v>58</v>
      </c>
      <c r="C38">
        <v>0.95299999999999996</v>
      </c>
      <c r="D38" s="14">
        <v>25000</v>
      </c>
      <c r="E38" s="12">
        <f t="shared" si="1"/>
        <v>1500000</v>
      </c>
      <c r="F38" s="13">
        <f t="shared" si="2"/>
        <v>6.6666666666666671E-7</v>
      </c>
    </row>
  </sheetData>
  <phoneticPr fontId="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0A57A-B4A7-43D7-9CC9-FF3131C7C21F}">
  <sheetPr>
    <tabColor rgb="FFFFFF00"/>
  </sheetPr>
  <dimension ref="A1:R58"/>
  <sheetViews>
    <sheetView showGridLines="0" zoomScale="115" zoomScaleNormal="115" workbookViewId="0">
      <selection activeCell="N17" sqref="N17"/>
    </sheetView>
  </sheetViews>
  <sheetFormatPr baseColWidth="10" defaultRowHeight="15" x14ac:dyDescent="0.25"/>
  <cols>
    <col min="1" max="1" width="9.28515625" style="4" customWidth="1"/>
    <col min="2" max="2" width="9.85546875" style="22" customWidth="1"/>
    <col min="3" max="4" width="0" style="10" hidden="1" customWidth="1"/>
    <col min="5" max="5" width="22.5703125" style="10" hidden="1" customWidth="1"/>
    <col min="6" max="6" width="12.28515625" style="10" hidden="1" customWidth="1"/>
    <col min="7" max="7" width="0" style="10" hidden="1" customWidth="1"/>
    <col min="8" max="8" width="10.28515625" style="10" customWidth="1"/>
    <col min="9" max="9" width="11" style="10" customWidth="1"/>
    <col min="10" max="10" width="21" style="10" customWidth="1"/>
    <col min="11" max="11" width="10.28515625" style="22" customWidth="1"/>
    <col min="12" max="14" width="11.42578125" style="10"/>
    <col min="15" max="15" width="11.42578125" style="391"/>
    <col min="16" max="17" width="11.42578125" style="10"/>
    <col min="18" max="18" width="11.42578125" style="391"/>
    <col min="19" max="16384" width="11.42578125" style="10"/>
  </cols>
  <sheetData>
    <row r="1" spans="1:18" x14ac:dyDescent="0.2">
      <c r="A1" s="473" t="s">
        <v>23</v>
      </c>
      <c r="B1" s="475" t="s">
        <v>1</v>
      </c>
      <c r="E1" s="10" t="s">
        <v>8</v>
      </c>
      <c r="F1" s="15">
        <f>+Analisis!J7</f>
        <v>25</v>
      </c>
      <c r="K1" s="16" t="s">
        <v>65</v>
      </c>
      <c r="L1" s="4" t="s">
        <v>66</v>
      </c>
      <c r="M1" s="4" t="s">
        <v>67</v>
      </c>
      <c r="P1" s="10" t="s">
        <v>1978</v>
      </c>
      <c r="R1" s="392">
        <v>17.407</v>
      </c>
    </row>
    <row r="2" spans="1:18" ht="15.75" thickBot="1" x14ac:dyDescent="0.3">
      <c r="A2" s="474"/>
      <c r="B2" s="476"/>
      <c r="E2" s="10" t="s">
        <v>68</v>
      </c>
      <c r="F2" s="15">
        <f>+Analisis!J6</f>
        <v>25</v>
      </c>
      <c r="H2" s="366" t="s">
        <v>47</v>
      </c>
      <c r="I2" s="10" t="s">
        <v>48</v>
      </c>
      <c r="J2" s="10" t="s">
        <v>69</v>
      </c>
      <c r="K2" s="174">
        <v>2250</v>
      </c>
      <c r="L2" s="10">
        <f t="shared" ref="L2:L12" si="0">4*10*12*12</f>
        <v>5760</v>
      </c>
      <c r="M2" s="17">
        <f t="shared" ref="M2:M12" si="1">+K2/L2</f>
        <v>0.390625</v>
      </c>
      <c r="N2" s="10">
        <v>1630</v>
      </c>
    </row>
    <row r="3" spans="1:18" x14ac:dyDescent="0.25">
      <c r="A3" s="18" t="s">
        <v>49</v>
      </c>
      <c r="B3" s="19">
        <v>1000</v>
      </c>
      <c r="E3" s="10" t="s">
        <v>70</v>
      </c>
      <c r="F3" s="15">
        <f>+Analisis!J10</f>
        <v>0</v>
      </c>
      <c r="H3" s="367" t="s">
        <v>165</v>
      </c>
      <c r="I3" s="10" t="s">
        <v>48</v>
      </c>
      <c r="J3" s="95" t="s">
        <v>69</v>
      </c>
      <c r="K3" s="173">
        <v>1800</v>
      </c>
      <c r="L3" s="95">
        <f t="shared" si="0"/>
        <v>5760</v>
      </c>
      <c r="M3" s="96">
        <f t="shared" ref="M3" si="2">+K3/L3</f>
        <v>0.3125</v>
      </c>
      <c r="N3" s="95">
        <v>1630</v>
      </c>
    </row>
    <row r="4" spans="1:18" x14ac:dyDescent="0.25">
      <c r="A4" s="20" t="s">
        <v>72</v>
      </c>
      <c r="B4" s="21">
        <v>2000</v>
      </c>
      <c r="C4" t="s">
        <v>42</v>
      </c>
      <c r="D4" s="5" t="s">
        <v>51</v>
      </c>
      <c r="E4" s="10" t="s">
        <v>73</v>
      </c>
      <c r="F4" s="15">
        <f>+F3/2.2</f>
        <v>0</v>
      </c>
      <c r="H4" s="366" t="s">
        <v>41</v>
      </c>
      <c r="I4" s="10" t="s">
        <v>43</v>
      </c>
      <c r="J4" s="10" t="s">
        <v>71</v>
      </c>
      <c r="K4" s="174">
        <v>3200</v>
      </c>
      <c r="L4" s="10">
        <f t="shared" si="0"/>
        <v>5760</v>
      </c>
      <c r="M4" s="17">
        <f t="shared" si="1"/>
        <v>0.55555555555555558</v>
      </c>
      <c r="N4" s="10">
        <v>2286</v>
      </c>
    </row>
    <row r="5" spans="1:18" x14ac:dyDescent="0.25">
      <c r="A5" s="20" t="s">
        <v>75</v>
      </c>
      <c r="B5" s="21">
        <v>2750</v>
      </c>
      <c r="C5" t="s">
        <v>59</v>
      </c>
      <c r="D5" s="5" t="s">
        <v>52</v>
      </c>
      <c r="H5" s="367" t="s">
        <v>163</v>
      </c>
      <c r="I5" s="95" t="s">
        <v>43</v>
      </c>
      <c r="J5" s="95" t="s">
        <v>71</v>
      </c>
      <c r="K5" s="173">
        <f>+O5*$R$1</f>
        <v>1625.6397300000001</v>
      </c>
      <c r="L5" s="95">
        <f t="shared" si="0"/>
        <v>5760</v>
      </c>
      <c r="M5" s="96">
        <f t="shared" ref="M5" si="3">+K5/L5</f>
        <v>0.2822291197916667</v>
      </c>
      <c r="N5" s="95">
        <v>2286</v>
      </c>
      <c r="O5" s="391">
        <v>93.39</v>
      </c>
    </row>
    <row r="6" spans="1:18" x14ac:dyDescent="0.25">
      <c r="A6" s="18" t="s">
        <v>77</v>
      </c>
      <c r="B6" s="19">
        <v>3000</v>
      </c>
      <c r="C6" t="s">
        <v>60</v>
      </c>
      <c r="D6" s="4" t="s">
        <v>53</v>
      </c>
      <c r="H6" s="366" t="s">
        <v>130</v>
      </c>
      <c r="I6" s="10" t="s">
        <v>56</v>
      </c>
      <c r="J6" s="10" t="s">
        <v>71</v>
      </c>
      <c r="K6" s="174">
        <v>2100</v>
      </c>
      <c r="L6" s="10">
        <f t="shared" si="0"/>
        <v>5760</v>
      </c>
      <c r="M6" s="17">
        <f t="shared" si="1"/>
        <v>0.36458333333333331</v>
      </c>
      <c r="N6" s="10">
        <v>2286</v>
      </c>
    </row>
    <row r="7" spans="1:18" x14ac:dyDescent="0.25">
      <c r="A7" s="20" t="s">
        <v>78</v>
      </c>
      <c r="B7" s="21">
        <v>3500</v>
      </c>
      <c r="D7" s="5" t="s">
        <v>54</v>
      </c>
      <c r="H7" s="367" t="s">
        <v>166</v>
      </c>
      <c r="I7" s="95" t="s">
        <v>56</v>
      </c>
      <c r="J7" s="95" t="s">
        <v>71</v>
      </c>
      <c r="K7" s="173">
        <f>+O7*$R$1</f>
        <v>981.58073000000002</v>
      </c>
      <c r="L7" s="95">
        <f t="shared" si="0"/>
        <v>5760</v>
      </c>
      <c r="M7" s="96">
        <f t="shared" ref="M7" si="4">+K7/L7</f>
        <v>0.17041332118055555</v>
      </c>
      <c r="N7" s="95">
        <v>2286</v>
      </c>
      <c r="O7" s="391">
        <v>56.39</v>
      </c>
    </row>
    <row r="8" spans="1:18" x14ac:dyDescent="0.25">
      <c r="A8" s="24" t="s">
        <v>80</v>
      </c>
      <c r="B8" s="25">
        <v>4000</v>
      </c>
      <c r="D8" s="4" t="s">
        <v>45</v>
      </c>
      <c r="H8" s="366" t="s">
        <v>44</v>
      </c>
      <c r="I8" s="10" t="s">
        <v>45</v>
      </c>
      <c r="J8" s="10" t="s">
        <v>74</v>
      </c>
      <c r="K8" s="174">
        <v>3900</v>
      </c>
      <c r="L8" s="10">
        <f t="shared" si="0"/>
        <v>5760</v>
      </c>
      <c r="M8" s="17">
        <f t="shared" ref="M8" si="5">+K8/L8</f>
        <v>0.67708333333333337</v>
      </c>
      <c r="N8" s="10">
        <v>2825</v>
      </c>
    </row>
    <row r="9" spans="1:18" x14ac:dyDescent="0.25">
      <c r="A9" s="20" t="s">
        <v>81</v>
      </c>
      <c r="B9" s="21">
        <v>4500</v>
      </c>
      <c r="D9" s="4" t="s">
        <v>55</v>
      </c>
      <c r="H9" s="367" t="s">
        <v>164</v>
      </c>
      <c r="I9" s="95" t="s">
        <v>45</v>
      </c>
      <c r="J9" s="95" t="s">
        <v>74</v>
      </c>
      <c r="K9" s="173">
        <v>3000</v>
      </c>
      <c r="L9" s="95">
        <f t="shared" si="0"/>
        <v>5760</v>
      </c>
      <c r="M9" s="96">
        <f t="shared" si="1"/>
        <v>0.52083333333333337</v>
      </c>
      <c r="N9" s="95">
        <v>2825</v>
      </c>
    </row>
    <row r="10" spans="1:18" x14ac:dyDescent="0.25">
      <c r="A10" s="24" t="s">
        <v>82</v>
      </c>
      <c r="B10" s="25">
        <v>5000</v>
      </c>
      <c r="D10" s="4" t="s">
        <v>43</v>
      </c>
      <c r="H10" s="368" t="s">
        <v>146</v>
      </c>
      <c r="I10" s="10" t="s">
        <v>53</v>
      </c>
      <c r="J10" s="10" t="s">
        <v>76</v>
      </c>
      <c r="K10" s="94">
        <v>10000</v>
      </c>
      <c r="L10" s="10">
        <f t="shared" si="0"/>
        <v>5760</v>
      </c>
      <c r="M10" s="17">
        <f t="shared" si="1"/>
        <v>1.7361111111111112</v>
      </c>
      <c r="N10" s="95">
        <v>2825</v>
      </c>
    </row>
    <row r="11" spans="1:18" x14ac:dyDescent="0.25">
      <c r="A11" s="20" t="s">
        <v>83</v>
      </c>
      <c r="B11" s="21">
        <v>5500</v>
      </c>
      <c r="D11" s="4" t="s">
        <v>48</v>
      </c>
      <c r="H11" s="368" t="s">
        <v>172</v>
      </c>
      <c r="I11" s="10" t="s">
        <v>55</v>
      </c>
      <c r="J11" s="10" t="s">
        <v>76</v>
      </c>
      <c r="K11" s="94">
        <v>6000</v>
      </c>
      <c r="L11" s="10">
        <f t="shared" si="0"/>
        <v>5760</v>
      </c>
      <c r="M11" s="17">
        <f t="shared" ref="M11" si="6">+K11/L11</f>
        <v>1.0416666666666667</v>
      </c>
      <c r="N11" s="95">
        <v>2825</v>
      </c>
    </row>
    <row r="12" spans="1:18" x14ac:dyDescent="0.25">
      <c r="A12" s="24" t="s">
        <v>84</v>
      </c>
      <c r="B12" s="25">
        <v>6000</v>
      </c>
      <c r="D12" s="4" t="s">
        <v>56</v>
      </c>
      <c r="H12" s="368" t="s">
        <v>46</v>
      </c>
      <c r="I12" s="10" t="s">
        <v>54</v>
      </c>
      <c r="J12" s="10" t="s">
        <v>76</v>
      </c>
      <c r="K12" s="94">
        <v>4800</v>
      </c>
      <c r="L12" s="10">
        <f t="shared" si="0"/>
        <v>5760</v>
      </c>
      <c r="M12" s="17">
        <f t="shared" si="1"/>
        <v>0.83333333333333337</v>
      </c>
      <c r="N12" s="95">
        <v>2825</v>
      </c>
    </row>
    <row r="13" spans="1:18" x14ac:dyDescent="0.25">
      <c r="A13" s="20" t="s">
        <v>85</v>
      </c>
      <c r="B13" s="21">
        <v>7000</v>
      </c>
      <c r="D13" s="4" t="s">
        <v>57</v>
      </c>
    </row>
    <row r="14" spans="1:18" ht="18.75" x14ac:dyDescent="0.25">
      <c r="A14" s="24" t="s">
        <v>86</v>
      </c>
      <c r="B14" s="25">
        <v>8000</v>
      </c>
      <c r="D14" s="4" t="s">
        <v>58</v>
      </c>
      <c r="H14" s="477" t="s">
        <v>79</v>
      </c>
      <c r="I14" s="477"/>
      <c r="J14" s="477"/>
      <c r="K14" s="23">
        <f>+Analisis!J4</f>
        <v>0.33</v>
      </c>
    </row>
    <row r="15" spans="1:18" x14ac:dyDescent="0.25">
      <c r="A15" s="20" t="s">
        <v>87</v>
      </c>
      <c r="B15" s="21">
        <v>9000</v>
      </c>
    </row>
    <row r="16" spans="1:18" ht="15.75" thickBot="1" x14ac:dyDescent="0.3">
      <c r="A16" s="26" t="s">
        <v>11</v>
      </c>
      <c r="B16" s="27">
        <v>10000</v>
      </c>
    </row>
    <row r="17" spans="1:13" x14ac:dyDescent="0.25">
      <c r="A17" s="24" t="s">
        <v>88</v>
      </c>
      <c r="B17" s="25">
        <v>11000</v>
      </c>
      <c r="M17" s="10" t="s">
        <v>51</v>
      </c>
    </row>
    <row r="18" spans="1:13" x14ac:dyDescent="0.25">
      <c r="A18" s="20" t="s">
        <v>89</v>
      </c>
      <c r="B18" s="21">
        <v>12000</v>
      </c>
      <c r="M18" s="10" t="s">
        <v>52</v>
      </c>
    </row>
    <row r="19" spans="1:13" ht="15.75" thickBot="1" x14ac:dyDescent="0.3">
      <c r="A19" s="26" t="s">
        <v>90</v>
      </c>
      <c r="B19" s="27">
        <v>13000</v>
      </c>
      <c r="M19" s="10" t="s">
        <v>53</v>
      </c>
    </row>
    <row r="20" spans="1:13" x14ac:dyDescent="0.25">
      <c r="A20" s="24" t="s">
        <v>91</v>
      </c>
      <c r="B20" s="25">
        <v>14000</v>
      </c>
      <c r="M20" s="10" t="s">
        <v>54</v>
      </c>
    </row>
    <row r="21" spans="1:13" x14ac:dyDescent="0.25">
      <c r="A21" s="20" t="s">
        <v>92</v>
      </c>
      <c r="B21" s="21">
        <v>15000</v>
      </c>
      <c r="M21" s="10" t="s">
        <v>55</v>
      </c>
    </row>
    <row r="22" spans="1:13" ht="15.75" thickBot="1" x14ac:dyDescent="0.3">
      <c r="A22" s="26" t="s">
        <v>93</v>
      </c>
      <c r="B22" s="27">
        <v>16000</v>
      </c>
    </row>
    <row r="23" spans="1:13" x14ac:dyDescent="0.25">
      <c r="A23" s="24" t="s">
        <v>94</v>
      </c>
      <c r="B23" s="25">
        <v>17000</v>
      </c>
    </row>
    <row r="24" spans="1:13" x14ac:dyDescent="0.25">
      <c r="A24" s="20" t="s">
        <v>95</v>
      </c>
      <c r="B24" s="21">
        <v>18000</v>
      </c>
    </row>
    <row r="25" spans="1:13" x14ac:dyDescent="0.25">
      <c r="A25" s="24" t="s">
        <v>96</v>
      </c>
      <c r="B25" s="25">
        <v>19000</v>
      </c>
    </row>
    <row r="26" spans="1:13" x14ac:dyDescent="0.25">
      <c r="A26" s="20" t="s">
        <v>97</v>
      </c>
      <c r="B26" s="21">
        <v>20000</v>
      </c>
      <c r="M26" s="10" t="s">
        <v>57</v>
      </c>
    </row>
    <row r="27" spans="1:13" ht="15.75" thickBot="1" x14ac:dyDescent="0.3">
      <c r="A27" s="26" t="s">
        <v>98</v>
      </c>
      <c r="B27" s="27">
        <v>21000</v>
      </c>
      <c r="M27" s="10" t="s">
        <v>58</v>
      </c>
    </row>
    <row r="28" spans="1:13" x14ac:dyDescent="0.25">
      <c r="A28" s="24" t="s">
        <v>99</v>
      </c>
      <c r="B28" s="25">
        <v>22000</v>
      </c>
    </row>
    <row r="29" spans="1:13" x14ac:dyDescent="0.25">
      <c r="A29" s="20" t="s">
        <v>100</v>
      </c>
      <c r="B29" s="21">
        <v>23000</v>
      </c>
    </row>
    <row r="30" spans="1:13" ht="15.75" thickBot="1" x14ac:dyDescent="0.3">
      <c r="A30" s="26" t="s">
        <v>101</v>
      </c>
      <c r="B30" s="27">
        <v>24000</v>
      </c>
    </row>
    <row r="31" spans="1:13" ht="15.75" thickBot="1" x14ac:dyDescent="0.3">
      <c r="A31" s="26" t="s">
        <v>102</v>
      </c>
      <c r="B31" s="27">
        <v>25000</v>
      </c>
    </row>
    <row r="32" spans="1:13" x14ac:dyDescent="0.25">
      <c r="A32" s="24" t="s">
        <v>103</v>
      </c>
      <c r="B32" s="25">
        <v>26000</v>
      </c>
    </row>
    <row r="33" spans="1:2" x14ac:dyDescent="0.25">
      <c r="A33" s="20" t="s">
        <v>104</v>
      </c>
      <c r="B33" s="21">
        <v>27000</v>
      </c>
    </row>
    <row r="34" spans="1:2" ht="15.75" thickBot="1" x14ac:dyDescent="0.3">
      <c r="A34" s="26" t="s">
        <v>105</v>
      </c>
      <c r="B34" s="27">
        <v>28000</v>
      </c>
    </row>
    <row r="35" spans="1:2" ht="15.75" thickBot="1" x14ac:dyDescent="0.3">
      <c r="A35" s="26" t="s">
        <v>106</v>
      </c>
      <c r="B35" s="27">
        <v>29000</v>
      </c>
    </row>
    <row r="36" spans="1:2" x14ac:dyDescent="0.25">
      <c r="A36" s="24" t="s">
        <v>107</v>
      </c>
      <c r="B36" s="25">
        <v>30000</v>
      </c>
    </row>
    <row r="37" spans="1:2" x14ac:dyDescent="0.25">
      <c r="A37" s="20" t="s">
        <v>108</v>
      </c>
      <c r="B37" s="21">
        <v>31000</v>
      </c>
    </row>
    <row r="38" spans="1:2" ht="15.75" thickBot="1" x14ac:dyDescent="0.3">
      <c r="A38" s="26" t="s">
        <v>109</v>
      </c>
      <c r="B38" s="27">
        <v>32000</v>
      </c>
    </row>
    <row r="39" spans="1:2" ht="15.75" thickBot="1" x14ac:dyDescent="0.3">
      <c r="A39" s="26" t="s">
        <v>110</v>
      </c>
      <c r="B39" s="27">
        <v>33000</v>
      </c>
    </row>
    <row r="40" spans="1:2" ht="15.75" thickBot="1" x14ac:dyDescent="0.3">
      <c r="A40" s="26" t="s">
        <v>111</v>
      </c>
      <c r="B40" s="27">
        <v>34000</v>
      </c>
    </row>
    <row r="41" spans="1:2" x14ac:dyDescent="0.25">
      <c r="A41" s="24" t="s">
        <v>112</v>
      </c>
      <c r="B41" s="25">
        <v>35000</v>
      </c>
    </row>
    <row r="42" spans="1:2" x14ac:dyDescent="0.25">
      <c r="A42" s="20" t="s">
        <v>113</v>
      </c>
      <c r="B42" s="21">
        <v>36000</v>
      </c>
    </row>
    <row r="43" spans="1:2" ht="15.75" thickBot="1" x14ac:dyDescent="0.3">
      <c r="A43" s="26" t="s">
        <v>114</v>
      </c>
      <c r="B43" s="27">
        <v>37000</v>
      </c>
    </row>
    <row r="44" spans="1:2" ht="15.75" thickBot="1" x14ac:dyDescent="0.3">
      <c r="A44" s="26" t="s">
        <v>115</v>
      </c>
      <c r="B44" s="27">
        <v>38000</v>
      </c>
    </row>
    <row r="45" spans="1:2" x14ac:dyDescent="0.25">
      <c r="A45" s="24" t="s">
        <v>116</v>
      </c>
      <c r="B45" s="25">
        <v>39000</v>
      </c>
    </row>
    <row r="46" spans="1:2" x14ac:dyDescent="0.25">
      <c r="A46" s="20" t="s">
        <v>117</v>
      </c>
      <c r="B46" s="21">
        <v>40000</v>
      </c>
    </row>
    <row r="47" spans="1:2" ht="15.75" thickBot="1" x14ac:dyDescent="0.3">
      <c r="A47" s="26" t="s">
        <v>118</v>
      </c>
      <c r="B47" s="27">
        <v>41000</v>
      </c>
    </row>
    <row r="48" spans="1:2" ht="15.75" thickBot="1" x14ac:dyDescent="0.3">
      <c r="A48" s="26" t="s">
        <v>119</v>
      </c>
      <c r="B48" s="27">
        <v>42000</v>
      </c>
    </row>
    <row r="49" spans="1:2" x14ac:dyDescent="0.25">
      <c r="A49" s="24" t="s">
        <v>120</v>
      </c>
      <c r="B49" s="25">
        <v>43000</v>
      </c>
    </row>
    <row r="50" spans="1:2" x14ac:dyDescent="0.25">
      <c r="A50" s="20" t="s">
        <v>121</v>
      </c>
      <c r="B50" s="21">
        <v>44000</v>
      </c>
    </row>
    <row r="51" spans="1:2" ht="15.75" thickBot="1" x14ac:dyDescent="0.3">
      <c r="A51" s="26" t="s">
        <v>122</v>
      </c>
      <c r="B51" s="27">
        <v>45000</v>
      </c>
    </row>
    <row r="52" spans="1:2" ht="15.75" thickBot="1" x14ac:dyDescent="0.3">
      <c r="A52" s="26" t="s">
        <v>123</v>
      </c>
      <c r="B52" s="27">
        <v>46000</v>
      </c>
    </row>
    <row r="53" spans="1:2" ht="15.75" thickBot="1" x14ac:dyDescent="0.3">
      <c r="A53" s="26" t="s">
        <v>124</v>
      </c>
      <c r="B53" s="27">
        <v>47000</v>
      </c>
    </row>
    <row r="54" spans="1:2" x14ac:dyDescent="0.25">
      <c r="A54" s="24" t="s">
        <v>125</v>
      </c>
      <c r="B54" s="25">
        <v>48000</v>
      </c>
    </row>
    <row r="55" spans="1:2" x14ac:dyDescent="0.25">
      <c r="A55" s="20" t="s">
        <v>126</v>
      </c>
      <c r="B55" s="21">
        <v>49000</v>
      </c>
    </row>
    <row r="56" spans="1:2" x14ac:dyDescent="0.25">
      <c r="A56" s="20" t="s">
        <v>127</v>
      </c>
      <c r="B56" s="21">
        <v>50000</v>
      </c>
    </row>
    <row r="57" spans="1:2" ht="15.75" thickBot="1" x14ac:dyDescent="0.3">
      <c r="A57" s="26" t="s">
        <v>128</v>
      </c>
      <c r="B57" s="27">
        <v>51000</v>
      </c>
    </row>
    <row r="58" spans="1:2" ht="15.75" thickBot="1" x14ac:dyDescent="0.3">
      <c r="A58" s="26" t="s">
        <v>129</v>
      </c>
      <c r="B58" s="27">
        <v>52000</v>
      </c>
    </row>
  </sheetData>
  <mergeCells count="3">
    <mergeCell ref="A1:A2"/>
    <mergeCell ref="B1:B2"/>
    <mergeCell ref="H14:J14"/>
  </mergeCell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B704618B-A187-44F8-AFC4-E11A47EFA862}">
          <x14:formula1>
            <xm:f>'Velocidades Std 1500 w'!$B$2:$B$15</xm:f>
          </x14:formula1>
          <xm:sqref>I2:I12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17CA1-30CA-446D-BC2C-E9FCF97FB3AD}">
  <sheetPr>
    <tabColor theme="1"/>
  </sheetPr>
  <dimension ref="A1:O6"/>
  <sheetViews>
    <sheetView zoomScale="130" zoomScaleNormal="130" workbookViewId="0">
      <selection activeCell="L19" sqref="L19"/>
    </sheetView>
  </sheetViews>
  <sheetFormatPr baseColWidth="10" defaultRowHeight="15" x14ac:dyDescent="0.25"/>
  <cols>
    <col min="1" max="1" width="3.5703125" customWidth="1"/>
    <col min="11" max="11" width="3.5703125" style="1" customWidth="1"/>
    <col min="13" max="13" width="8.140625" style="180" customWidth="1"/>
    <col min="14" max="14" width="6.85546875" customWidth="1"/>
    <col min="15" max="15" width="14.42578125" bestFit="1" customWidth="1"/>
  </cols>
  <sheetData>
    <row r="1" spans="1:15" x14ac:dyDescent="0.25">
      <c r="A1" s="179"/>
      <c r="B1" s="179" t="s">
        <v>678</v>
      </c>
      <c r="C1" s="179" t="s">
        <v>679</v>
      </c>
      <c r="D1" s="179" t="s">
        <v>680</v>
      </c>
      <c r="E1" s="179" t="s">
        <v>681</v>
      </c>
      <c r="F1" s="179" t="s">
        <v>682</v>
      </c>
      <c r="G1" s="179" t="s">
        <v>683</v>
      </c>
      <c r="H1" s="179" t="s">
        <v>684</v>
      </c>
      <c r="I1" s="179" t="s">
        <v>685</v>
      </c>
    </row>
    <row r="2" spans="1:15" x14ac:dyDescent="0.25">
      <c r="A2" t="s">
        <v>686</v>
      </c>
      <c r="B2" s="104">
        <f>180*2</f>
        <v>360</v>
      </c>
      <c r="C2" s="104">
        <f>+B2*0.63</f>
        <v>226.8</v>
      </c>
      <c r="D2" s="104">
        <f>+C2</f>
        <v>226.8</v>
      </c>
      <c r="E2" s="104">
        <v>0</v>
      </c>
      <c r="F2" s="104">
        <f>26+80</f>
        <v>106</v>
      </c>
      <c r="G2" s="104">
        <v>350</v>
      </c>
      <c r="H2" s="104">
        <v>0</v>
      </c>
      <c r="I2" s="104">
        <f>+'Dep. Maquina'!F12</f>
        <v>106.83760683760683</v>
      </c>
      <c r="K2" s="181" t="s">
        <v>686</v>
      </c>
      <c r="L2" s="182">
        <f>SUM(B2:K2)</f>
        <v>1376.4376068376068</v>
      </c>
      <c r="M2" s="183">
        <v>1000</v>
      </c>
      <c r="N2" s="184" t="s">
        <v>687</v>
      </c>
      <c r="O2" s="185" t="s">
        <v>688</v>
      </c>
    </row>
    <row r="3" spans="1:15" x14ac:dyDescent="0.25">
      <c r="A3" t="s">
        <v>689</v>
      </c>
      <c r="B3" s="104">
        <f t="shared" ref="B3:B6" si="0">180*2</f>
        <v>360</v>
      </c>
      <c r="C3" s="104">
        <f t="shared" ref="C3:C6" si="1">+B3*0.63</f>
        <v>226.8</v>
      </c>
      <c r="D3" s="104">
        <f t="shared" ref="D3:D6" si="2">+C3</f>
        <v>226.8</v>
      </c>
      <c r="E3" s="104">
        <v>0</v>
      </c>
      <c r="F3" s="104">
        <f t="shared" ref="F3:F6" si="3">26+80</f>
        <v>106</v>
      </c>
      <c r="G3" s="104">
        <v>350</v>
      </c>
      <c r="H3" s="104">
        <v>0</v>
      </c>
      <c r="I3" s="104">
        <f>+I2</f>
        <v>106.83760683760683</v>
      </c>
      <c r="K3" s="186" t="s">
        <v>689</v>
      </c>
      <c r="L3" s="187">
        <f>SUM(B3:K3)</f>
        <v>1376.4376068376068</v>
      </c>
      <c r="M3" s="188">
        <v>2000</v>
      </c>
      <c r="N3" s="189"/>
      <c r="O3" s="190">
        <f>+M3-L3</f>
        <v>623.56239316239316</v>
      </c>
    </row>
    <row r="4" spans="1:15" ht="18.75" x14ac:dyDescent="0.3">
      <c r="A4" t="s">
        <v>690</v>
      </c>
      <c r="B4" s="104">
        <f t="shared" si="0"/>
        <v>360</v>
      </c>
      <c r="C4" s="104">
        <f t="shared" si="1"/>
        <v>226.8</v>
      </c>
      <c r="D4" s="104">
        <f t="shared" si="2"/>
        <v>226.8</v>
      </c>
      <c r="E4" s="104">
        <v>0</v>
      </c>
      <c r="F4" s="104">
        <f t="shared" si="3"/>
        <v>106</v>
      </c>
      <c r="G4" s="104">
        <v>350</v>
      </c>
      <c r="H4" s="104">
        <v>0</v>
      </c>
      <c r="I4" s="104">
        <f t="shared" ref="I4:I6" si="4">+I3</f>
        <v>106.83760683760683</v>
      </c>
      <c r="K4" s="186" t="s">
        <v>690</v>
      </c>
      <c r="L4" s="187">
        <f>SUM(B4:K4)</f>
        <v>1376.4376068376068</v>
      </c>
      <c r="M4" s="188">
        <v>3000</v>
      </c>
      <c r="N4" s="189" t="s">
        <v>691</v>
      </c>
      <c r="O4" s="191">
        <f t="shared" ref="O4:O6" si="5">+M4-L4</f>
        <v>1623.5623931623932</v>
      </c>
    </row>
    <row r="5" spans="1:15" x14ac:dyDescent="0.25">
      <c r="A5" t="s">
        <v>692</v>
      </c>
      <c r="B5" s="104">
        <f t="shared" si="0"/>
        <v>360</v>
      </c>
      <c r="C5" s="104">
        <f t="shared" si="1"/>
        <v>226.8</v>
      </c>
      <c r="D5" s="104">
        <f t="shared" si="2"/>
        <v>226.8</v>
      </c>
      <c r="E5" s="104">
        <v>0</v>
      </c>
      <c r="F5" s="104">
        <f t="shared" si="3"/>
        <v>106</v>
      </c>
      <c r="G5" s="104">
        <v>350</v>
      </c>
      <c r="H5" s="104">
        <v>0</v>
      </c>
      <c r="I5" s="104">
        <f t="shared" si="4"/>
        <v>106.83760683760683</v>
      </c>
      <c r="K5" s="186" t="s">
        <v>692</v>
      </c>
      <c r="L5" s="187">
        <f>SUM(B5:K5)</f>
        <v>1376.4376068376068</v>
      </c>
      <c r="M5" s="188">
        <v>4000</v>
      </c>
      <c r="N5" s="189" t="s">
        <v>693</v>
      </c>
      <c r="O5" s="190">
        <f t="shared" si="5"/>
        <v>2623.5623931623932</v>
      </c>
    </row>
    <row r="6" spans="1:15" x14ac:dyDescent="0.25">
      <c r="A6" t="s">
        <v>694</v>
      </c>
      <c r="B6" s="104">
        <f t="shared" si="0"/>
        <v>360</v>
      </c>
      <c r="C6" s="104">
        <f t="shared" si="1"/>
        <v>226.8</v>
      </c>
      <c r="D6" s="104">
        <f t="shared" si="2"/>
        <v>226.8</v>
      </c>
      <c r="E6" s="104">
        <v>0</v>
      </c>
      <c r="F6" s="104">
        <f t="shared" si="3"/>
        <v>106</v>
      </c>
      <c r="G6" s="104">
        <v>350</v>
      </c>
      <c r="H6" s="104">
        <v>1214.2857142857142</v>
      </c>
      <c r="I6" s="104">
        <f t="shared" si="4"/>
        <v>106.83760683760683</v>
      </c>
      <c r="K6" s="186" t="s">
        <v>694</v>
      </c>
      <c r="L6" s="187">
        <f>SUM(B6:K6)</f>
        <v>2590.7233211233211</v>
      </c>
      <c r="M6" s="188">
        <v>5000</v>
      </c>
      <c r="N6" s="189" t="s">
        <v>695</v>
      </c>
      <c r="O6" s="190">
        <f t="shared" si="5"/>
        <v>2409.2766788766789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0B601-F554-4609-9FB4-BA04D8902BB2}">
  <sheetPr>
    <tabColor rgb="FFFFFF00"/>
  </sheetPr>
  <dimension ref="A1:N6"/>
  <sheetViews>
    <sheetView zoomScale="130" zoomScaleNormal="130" workbookViewId="0">
      <selection activeCell="L19" sqref="L19"/>
    </sheetView>
  </sheetViews>
  <sheetFormatPr baseColWidth="10" defaultRowHeight="15" x14ac:dyDescent="0.25"/>
  <cols>
    <col min="1" max="1" width="3.5703125" customWidth="1"/>
    <col min="10" max="10" width="3.5703125" style="1" customWidth="1"/>
    <col min="12" max="12" width="8.140625" style="180" customWidth="1"/>
    <col min="13" max="13" width="6.85546875" customWidth="1"/>
    <col min="14" max="14" width="18.28515625" customWidth="1"/>
  </cols>
  <sheetData>
    <row r="1" spans="1:14" ht="18.75" x14ac:dyDescent="0.25">
      <c r="A1" s="179"/>
      <c r="B1" s="179" t="s">
        <v>678</v>
      </c>
      <c r="C1" s="179" t="s">
        <v>680</v>
      </c>
      <c r="D1" s="179" t="s">
        <v>681</v>
      </c>
      <c r="E1" s="179" t="s">
        <v>682</v>
      </c>
      <c r="F1" s="179" t="s">
        <v>683</v>
      </c>
      <c r="G1" s="179" t="s">
        <v>684</v>
      </c>
      <c r="H1" s="179" t="s">
        <v>685</v>
      </c>
      <c r="K1" s="179" t="s">
        <v>696</v>
      </c>
      <c r="N1" s="192" t="s">
        <v>697</v>
      </c>
    </row>
    <row r="2" spans="1:14" ht="18.75" x14ac:dyDescent="0.25">
      <c r="A2" t="s">
        <v>686</v>
      </c>
      <c r="B2" s="104">
        <f>+'[3]M. O.'!M11</f>
        <v>405.62500000000006</v>
      </c>
      <c r="C2" s="104">
        <f>+B2*0.63</f>
        <v>255.54375000000005</v>
      </c>
      <c r="D2" s="104">
        <v>0</v>
      </c>
      <c r="E2" s="104">
        <f>+'Dep. Maquina'!F9</f>
        <v>64.903846153846146</v>
      </c>
      <c r="F2" s="104">
        <v>50</v>
      </c>
      <c r="G2" s="104">
        <v>0</v>
      </c>
      <c r="H2" s="104">
        <f>+'Dep. Maquina'!F12</f>
        <v>106.83760683760683</v>
      </c>
      <c r="I2" s="193">
        <v>60</v>
      </c>
      <c r="J2" s="194" t="s">
        <v>686</v>
      </c>
      <c r="K2" s="195">
        <f>SUM(C2:H2)</f>
        <v>477.28520299145299</v>
      </c>
      <c r="L2" s="196">
        <f>+K2/I2</f>
        <v>7.9547533831908828</v>
      </c>
      <c r="M2" s="197" t="s">
        <v>687</v>
      </c>
      <c r="N2" s="198">
        <v>10</v>
      </c>
    </row>
    <row r="3" spans="1:14" ht="18.75" x14ac:dyDescent="0.25">
      <c r="A3" t="s">
        <v>689</v>
      </c>
      <c r="B3" s="104">
        <f>+B2</f>
        <v>405.62500000000006</v>
      </c>
      <c r="C3" s="104">
        <f t="shared" ref="C3:C6" si="0">+B3*0.63</f>
        <v>255.54375000000005</v>
      </c>
      <c r="D3" s="104">
        <v>0</v>
      </c>
      <c r="E3" s="104">
        <f>+E2</f>
        <v>64.903846153846146</v>
      </c>
      <c r="F3" s="104">
        <v>50</v>
      </c>
      <c r="G3" s="104">
        <v>0</v>
      </c>
      <c r="H3" s="104">
        <f>+H2</f>
        <v>106.83760683760683</v>
      </c>
      <c r="I3" s="193">
        <v>60</v>
      </c>
      <c r="J3" s="186" t="s">
        <v>689</v>
      </c>
      <c r="K3" s="187">
        <v>1250</v>
      </c>
      <c r="L3" s="187">
        <f>+K3/I3</f>
        <v>20.833333333333332</v>
      </c>
      <c r="M3" s="189" t="s">
        <v>698</v>
      </c>
      <c r="N3" s="199">
        <v>18</v>
      </c>
    </row>
    <row r="4" spans="1:14" ht="18.75" x14ac:dyDescent="0.25">
      <c r="A4" t="s">
        <v>690</v>
      </c>
      <c r="B4" s="104">
        <f>+B3</f>
        <v>405.62500000000006</v>
      </c>
      <c r="C4" s="104">
        <f t="shared" si="0"/>
        <v>255.54375000000005</v>
      </c>
      <c r="D4" s="104">
        <v>0</v>
      </c>
      <c r="E4" s="104">
        <f t="shared" ref="E4:E6" si="1">+E3</f>
        <v>64.903846153846146</v>
      </c>
      <c r="F4" s="104">
        <v>50</v>
      </c>
      <c r="G4" s="104">
        <v>0</v>
      </c>
      <c r="H4" s="104">
        <f t="shared" ref="H4:H6" si="2">+H3</f>
        <v>106.83760683760683</v>
      </c>
      <c r="I4" s="193">
        <v>60</v>
      </c>
      <c r="J4" s="186" t="s">
        <v>690</v>
      </c>
      <c r="K4" s="187">
        <v>1750</v>
      </c>
      <c r="L4" s="187">
        <f t="shared" ref="L4:L6" si="3">+K4/I4</f>
        <v>29.166666666666668</v>
      </c>
      <c r="M4" s="189" t="s">
        <v>691</v>
      </c>
      <c r="N4" s="200">
        <v>25</v>
      </c>
    </row>
    <row r="5" spans="1:14" ht="18.75" x14ac:dyDescent="0.25">
      <c r="A5" t="s">
        <v>692</v>
      </c>
      <c r="B5" s="104">
        <f>+B4</f>
        <v>405.62500000000006</v>
      </c>
      <c r="C5" s="104">
        <f t="shared" si="0"/>
        <v>255.54375000000005</v>
      </c>
      <c r="D5" s="104">
        <v>0</v>
      </c>
      <c r="E5" s="104">
        <f t="shared" si="1"/>
        <v>64.903846153846146</v>
      </c>
      <c r="F5" s="104">
        <v>50</v>
      </c>
      <c r="G5" s="104">
        <v>0</v>
      </c>
      <c r="H5" s="104">
        <f t="shared" si="2"/>
        <v>106.83760683760683</v>
      </c>
      <c r="I5" s="193">
        <v>60</v>
      </c>
      <c r="J5" s="186" t="s">
        <v>692</v>
      </c>
      <c r="K5" s="187">
        <v>2000</v>
      </c>
      <c r="L5" s="187">
        <f t="shared" si="3"/>
        <v>33.333333333333336</v>
      </c>
      <c r="M5" s="189" t="s">
        <v>693</v>
      </c>
      <c r="N5" s="199">
        <v>30</v>
      </c>
    </row>
    <row r="6" spans="1:14" ht="18.75" x14ac:dyDescent="0.25">
      <c r="A6" t="s">
        <v>694</v>
      </c>
      <c r="B6" s="104">
        <f>+B5</f>
        <v>405.62500000000006</v>
      </c>
      <c r="C6" s="104">
        <f t="shared" si="0"/>
        <v>255.54375000000005</v>
      </c>
      <c r="D6" s="104">
        <v>0</v>
      </c>
      <c r="E6" s="104">
        <f t="shared" si="1"/>
        <v>64.903846153846146</v>
      </c>
      <c r="F6" s="104">
        <v>50</v>
      </c>
      <c r="G6" s="104">
        <v>0</v>
      </c>
      <c r="H6" s="104">
        <f t="shared" si="2"/>
        <v>106.83760683760683</v>
      </c>
      <c r="I6" s="193">
        <v>606</v>
      </c>
      <c r="J6" s="186" t="s">
        <v>694</v>
      </c>
      <c r="K6" s="187">
        <v>2250</v>
      </c>
      <c r="L6" s="187">
        <f t="shared" si="3"/>
        <v>3.7128712871287131</v>
      </c>
      <c r="M6" s="189" t="s">
        <v>695</v>
      </c>
      <c r="N6" s="199">
        <v>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7FC84-3263-4069-9B32-435AB960BDB0}">
  <sheetPr>
    <tabColor rgb="FF00FF00"/>
  </sheetPr>
  <dimension ref="A2:B11"/>
  <sheetViews>
    <sheetView workbookViewId="0">
      <selection activeCell="L19" sqref="L19"/>
    </sheetView>
  </sheetViews>
  <sheetFormatPr baseColWidth="10" defaultRowHeight="15" x14ac:dyDescent="0.25"/>
  <cols>
    <col min="1" max="1" width="12.28515625" customWidth="1"/>
    <col min="2" max="2" width="9.140625" style="180" customWidth="1"/>
  </cols>
  <sheetData>
    <row r="2" spans="1:2" x14ac:dyDescent="0.25">
      <c r="A2" t="s">
        <v>699</v>
      </c>
      <c r="B2" s="180">
        <f>+'Analisis Coatek'!S16</f>
        <v>60.833333333333329</v>
      </c>
    </row>
    <row r="3" spans="1:2" x14ac:dyDescent="0.25">
      <c r="A3" t="s">
        <v>700</v>
      </c>
      <c r="B3" s="180">
        <f>+'Analisis Coatek'!S9</f>
        <v>83.690476190476204</v>
      </c>
    </row>
    <row r="4" spans="1:2" x14ac:dyDescent="0.25">
      <c r="A4" t="s">
        <v>701</v>
      </c>
      <c r="B4" s="180">
        <f>+B3+B3-B2</f>
        <v>106.54761904761908</v>
      </c>
    </row>
    <row r="5" spans="1:2" x14ac:dyDescent="0.25">
      <c r="A5" t="s">
        <v>702</v>
      </c>
      <c r="B5" s="180">
        <f t="shared" ref="B5:B11" si="0">+B4+B4-B3</f>
        <v>129.40476190476195</v>
      </c>
    </row>
    <row r="6" spans="1:2" x14ac:dyDescent="0.25">
      <c r="A6" t="s">
        <v>703</v>
      </c>
      <c r="B6" s="180">
        <f t="shared" si="0"/>
        <v>152.26190476190482</v>
      </c>
    </row>
    <row r="7" spans="1:2" x14ac:dyDescent="0.25">
      <c r="A7" t="s">
        <v>704</v>
      </c>
      <c r="B7" s="180">
        <f t="shared" si="0"/>
        <v>175.11904761904768</v>
      </c>
    </row>
    <row r="8" spans="1:2" x14ac:dyDescent="0.25">
      <c r="A8" t="s">
        <v>705</v>
      </c>
      <c r="B8" s="180">
        <f t="shared" si="0"/>
        <v>197.97619047619054</v>
      </c>
    </row>
    <row r="9" spans="1:2" x14ac:dyDescent="0.25">
      <c r="A9" t="s">
        <v>706</v>
      </c>
      <c r="B9" s="180">
        <f t="shared" si="0"/>
        <v>220.8333333333334</v>
      </c>
    </row>
    <row r="10" spans="1:2" x14ac:dyDescent="0.25">
      <c r="A10" t="s">
        <v>707</v>
      </c>
      <c r="B10" s="180">
        <f t="shared" si="0"/>
        <v>243.69047619047626</v>
      </c>
    </row>
    <row r="11" spans="1:2" x14ac:dyDescent="0.25">
      <c r="A11" t="s">
        <v>708</v>
      </c>
      <c r="B11" s="180">
        <f t="shared" si="0"/>
        <v>266.54761904761915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05B40-138E-42B1-9B84-FB9FDA51E623}">
  <sheetPr>
    <pageSetUpPr fitToPage="1"/>
  </sheetPr>
  <dimension ref="A1:AD42"/>
  <sheetViews>
    <sheetView showGridLines="0" zoomScale="70" zoomScaleNormal="70" zoomScaleSheetLayoutView="100" workbookViewId="0">
      <pane xSplit="3" ySplit="2" topLeftCell="D6" activePane="bottomRight" state="frozen"/>
      <selection activeCell="L19" sqref="L19"/>
      <selection pane="topRight" activeCell="L19" sqref="L19"/>
      <selection pane="bottomLeft" activeCell="L19" sqref="L19"/>
      <selection pane="bottomRight" activeCell="E17" sqref="E17"/>
    </sheetView>
  </sheetViews>
  <sheetFormatPr baseColWidth="10" defaultRowHeight="19.5" outlineLevelCol="1" x14ac:dyDescent="0.25"/>
  <cols>
    <col min="1" max="1" width="5.42578125" style="201" customWidth="1"/>
    <col min="2" max="2" width="13.42578125" style="201" customWidth="1"/>
    <col min="3" max="3" width="34" style="225" customWidth="1"/>
    <col min="4" max="4" width="15.42578125" style="226" customWidth="1"/>
    <col min="5" max="6" width="15.42578125" style="201" customWidth="1"/>
    <col min="7" max="7" width="33.7109375" style="227" customWidth="1"/>
    <col min="8" max="8" width="11.5703125" style="228" customWidth="1"/>
    <col min="9" max="9" width="8.140625" style="201" customWidth="1"/>
    <col min="10" max="10" width="33" style="201" customWidth="1"/>
    <col min="11" max="11" width="12.5703125" style="229" customWidth="1"/>
    <col min="12" max="12" width="10.28515625" style="201" customWidth="1"/>
    <col min="13" max="13" width="12.7109375" style="201" customWidth="1"/>
    <col min="14" max="14" width="12.5703125" style="230" hidden="1" customWidth="1" outlineLevel="1"/>
    <col min="15" max="19" width="12.5703125" style="201" hidden="1" customWidth="1" outlineLevel="1"/>
    <col min="20" max="20" width="18.7109375" style="201" customWidth="1" collapsed="1"/>
    <col min="21" max="22" width="11.42578125" style="201" hidden="1" customWidth="1" outlineLevel="1"/>
    <col min="23" max="23" width="13" style="201" hidden="1" customWidth="1" outlineLevel="1"/>
    <col min="24" max="24" width="11.42578125" style="201" hidden="1" customWidth="1" outlineLevel="1"/>
    <col min="25" max="25" width="14" style="201" hidden="1" customWidth="1" outlineLevel="1"/>
    <col min="26" max="26" width="11.42578125" style="201" hidden="1" customWidth="1" outlineLevel="1"/>
    <col min="27" max="27" width="16.7109375" style="231" customWidth="1" collapsed="1"/>
    <col min="28" max="28" width="6.5703125" style="230" customWidth="1"/>
    <col min="29" max="29" width="16" style="201" customWidth="1"/>
    <col min="30" max="30" width="18.85546875" style="201" customWidth="1"/>
    <col min="31" max="16384" width="11.42578125" style="201"/>
  </cols>
  <sheetData>
    <row r="1" spans="1:30" x14ac:dyDescent="0.25">
      <c r="A1" s="480" t="s">
        <v>12</v>
      </c>
      <c r="B1" s="482" t="s">
        <v>709</v>
      </c>
      <c r="C1" s="482" t="str">
        <f>+"Nombre - Descripción - Numero de Parte"</f>
        <v>Nombre - Descripción - Numero de Parte</v>
      </c>
      <c r="D1" s="484" t="s">
        <v>710</v>
      </c>
      <c r="E1" s="484"/>
      <c r="F1" s="484"/>
      <c r="G1" s="484"/>
      <c r="H1" s="484"/>
      <c r="I1" s="484"/>
      <c r="J1" s="484"/>
      <c r="K1" s="484"/>
      <c r="L1" s="484"/>
      <c r="M1" s="484"/>
      <c r="N1" s="485" t="s">
        <v>711</v>
      </c>
      <c r="O1" s="485"/>
      <c r="P1" s="485"/>
      <c r="Q1" s="485"/>
      <c r="R1" s="485"/>
      <c r="S1" s="485"/>
      <c r="T1" s="478" t="s">
        <v>39</v>
      </c>
      <c r="U1" s="486" t="s">
        <v>712</v>
      </c>
      <c r="V1" s="486"/>
      <c r="W1" s="486"/>
      <c r="X1" s="486"/>
      <c r="Y1" s="486"/>
      <c r="Z1" s="486"/>
      <c r="AA1" s="487" t="s">
        <v>712</v>
      </c>
      <c r="AB1" s="489" t="s">
        <v>713</v>
      </c>
      <c r="AC1" s="491" t="s">
        <v>714</v>
      </c>
      <c r="AD1" s="491" t="s">
        <v>715</v>
      </c>
    </row>
    <row r="2" spans="1:30" s="208" customFormat="1" ht="78.75" thickBot="1" x14ac:dyDescent="0.3">
      <c r="A2" s="481"/>
      <c r="B2" s="483"/>
      <c r="C2" s="483"/>
      <c r="D2" s="202" t="s">
        <v>716</v>
      </c>
      <c r="E2" s="203" t="s">
        <v>717</v>
      </c>
      <c r="F2" s="203" t="s">
        <v>718</v>
      </c>
      <c r="G2" s="204" t="s">
        <v>719</v>
      </c>
      <c r="H2" s="203" t="s">
        <v>720</v>
      </c>
      <c r="I2" s="203" t="s">
        <v>721</v>
      </c>
      <c r="J2" s="203" t="s">
        <v>722</v>
      </c>
      <c r="K2" s="202" t="s">
        <v>723</v>
      </c>
      <c r="L2" s="203" t="s">
        <v>724</v>
      </c>
      <c r="M2" s="203" t="s">
        <v>725</v>
      </c>
      <c r="N2" s="205" t="s">
        <v>15</v>
      </c>
      <c r="O2" s="205" t="s">
        <v>726</v>
      </c>
      <c r="P2" s="205" t="s">
        <v>727</v>
      </c>
      <c r="Q2" s="205" t="s">
        <v>728</v>
      </c>
      <c r="R2" s="205" t="s">
        <v>729</v>
      </c>
      <c r="S2" s="206" t="s">
        <v>730</v>
      </c>
      <c r="T2" s="479"/>
      <c r="U2" s="207" t="s">
        <v>15</v>
      </c>
      <c r="V2" s="207" t="s">
        <v>726</v>
      </c>
      <c r="W2" s="207" t="s">
        <v>727</v>
      </c>
      <c r="X2" s="207" t="s">
        <v>728</v>
      </c>
      <c r="Y2" s="207" t="s">
        <v>731</v>
      </c>
      <c r="Z2" s="207" t="s">
        <v>730</v>
      </c>
      <c r="AA2" s="488"/>
      <c r="AB2" s="490"/>
      <c r="AC2" s="491"/>
      <c r="AD2" s="491"/>
    </row>
    <row r="3" spans="1:30" x14ac:dyDescent="0.25">
      <c r="A3" s="209">
        <v>1</v>
      </c>
      <c r="B3" s="210"/>
      <c r="C3" s="211" t="s">
        <v>699</v>
      </c>
      <c r="D3" s="212">
        <v>0</v>
      </c>
      <c r="E3" s="213">
        <v>0</v>
      </c>
      <c r="F3" s="213">
        <v>55</v>
      </c>
      <c r="G3" s="214" t="s">
        <v>6</v>
      </c>
      <c r="H3" s="215">
        <f>MO!$C$34*(+VLOOKUP(G3,BD!$A$1:$B$11,2,0))</f>
        <v>1539.5833333333335</v>
      </c>
      <c r="I3" s="216">
        <v>1</v>
      </c>
      <c r="J3" s="216" t="s">
        <v>732</v>
      </c>
      <c r="K3" s="217">
        <f>+VLOOKUP(J3,'Dep. Maquina'!A:F,6,)</f>
        <v>106.83760683760683</v>
      </c>
      <c r="L3" s="218">
        <v>0.3</v>
      </c>
      <c r="M3" s="210">
        <v>60</v>
      </c>
      <c r="N3" s="219">
        <f>D3*(1+IF(D3&lt;5000,30%,IF(D3&lt;10000,20%,15%)))</f>
        <v>0</v>
      </c>
      <c r="O3" s="219">
        <f>E3*(1+IF(E3&lt;5000,30%,IF(E3&lt;10000,20%,15%)))</f>
        <v>0</v>
      </c>
      <c r="P3" s="219">
        <f>F3*(1+IF(F3&lt;5000,30%,IF(F3&lt;10000,20%,15%)))</f>
        <v>71.5</v>
      </c>
      <c r="Q3" s="219">
        <f>+H3*I3</f>
        <v>1539.5833333333335</v>
      </c>
      <c r="R3" s="219">
        <f>+K3*I3*(1+L3)</f>
        <v>138.88888888888889</v>
      </c>
      <c r="S3" s="219">
        <f>SUM(N3:R3)*(M3*BD!$C$12)</f>
        <v>71.916666666666671</v>
      </c>
      <c r="T3" s="220">
        <f>SUM(N3:S3)</f>
        <v>1821.8888888888891</v>
      </c>
      <c r="U3" s="219">
        <f>D3*(+IF(D3&lt;5000,30%,IF(D3&lt;10000,20%,15%)))</f>
        <v>0</v>
      </c>
      <c r="V3" s="219">
        <f>E3*(+IF(E3&lt;5000,30%,IF(E3&lt;10000,20%,15%)))</f>
        <v>0</v>
      </c>
      <c r="W3" s="219">
        <f>F3*(+IF(F3&lt;5000,30%,IF(F3&lt;10000,20%,15%)))</f>
        <v>16.5</v>
      </c>
      <c r="X3" s="219">
        <f>+MO!$C$34*I3</f>
        <v>769.79166666666674</v>
      </c>
      <c r="Y3" s="219">
        <f>+K3*I3*(+L3)</f>
        <v>32.051282051282044</v>
      </c>
      <c r="Z3" s="219">
        <f>+(N3+Q3+R3)*M3*BD!$C$12</f>
        <v>68.978310502283108</v>
      </c>
      <c r="AA3" s="221">
        <f>SUM(U3:Z3)</f>
        <v>887.32125922023181</v>
      </c>
      <c r="AB3" s="222">
        <f>+AA3/T3</f>
        <v>0.48703368500226168</v>
      </c>
      <c r="AC3" s="223">
        <v>1</v>
      </c>
      <c r="AD3" s="224">
        <f>+AC3*T3</f>
        <v>1821.8888888888891</v>
      </c>
    </row>
    <row r="4" spans="1:30" x14ac:dyDescent="0.25">
      <c r="A4" s="209">
        <v>2</v>
      </c>
      <c r="B4" s="210"/>
      <c r="C4" s="211" t="s">
        <v>700</v>
      </c>
      <c r="D4" s="212">
        <v>0</v>
      </c>
      <c r="E4" s="213">
        <v>0</v>
      </c>
      <c r="F4" s="213">
        <v>55</v>
      </c>
      <c r="G4" s="214" t="s">
        <v>6</v>
      </c>
      <c r="H4" s="215">
        <f>MO!$C$34*(+VLOOKUP(G4,BD!$A$1:$B$11,2,0))</f>
        <v>1539.5833333333335</v>
      </c>
      <c r="I4" s="216">
        <v>1</v>
      </c>
      <c r="J4" s="216" t="s">
        <v>732</v>
      </c>
      <c r="K4" s="217">
        <f>+VLOOKUP(J4,'Dep. Maquina'!A:F,6,)</f>
        <v>106.83760683760683</v>
      </c>
      <c r="L4" s="218">
        <v>0.3</v>
      </c>
      <c r="M4" s="210">
        <v>60</v>
      </c>
      <c r="N4" s="219">
        <f t="shared" ref="N4:N42" si="0">D4*(1+IF(D4&lt;5000,30%,IF(D4&lt;10000,20%,15%)))</f>
        <v>0</v>
      </c>
      <c r="O4" s="219">
        <f t="shared" ref="O4:O42" si="1">E4*(1+IF(E4&lt;5000,30%,IF(E4&lt;10000,20%,15%)))</f>
        <v>0</v>
      </c>
      <c r="P4" s="219">
        <f t="shared" ref="P4:P42" si="2">F4*(1+IF(F4&lt;5000,30%,IF(F4&lt;10000,20%,15%)))</f>
        <v>71.5</v>
      </c>
      <c r="Q4" s="219">
        <f t="shared" ref="Q4:Q42" si="3">+H4*I4</f>
        <v>1539.5833333333335</v>
      </c>
      <c r="R4" s="219">
        <f t="shared" ref="R4:R42" si="4">+K4*I4*(1+L4)</f>
        <v>138.88888888888889</v>
      </c>
      <c r="S4" s="219">
        <f>SUM(N4:R4)*(M4*BD!$C$12)</f>
        <v>71.916666666666671</v>
      </c>
      <c r="T4" s="220">
        <f t="shared" ref="T4:T42" si="5">SUM(N4:S4)</f>
        <v>1821.8888888888891</v>
      </c>
      <c r="U4" s="219">
        <f t="shared" ref="U4:U42" si="6">D4*(+IF(D4&lt;5000,30%,IF(D4&lt;10000,20%,15%)))</f>
        <v>0</v>
      </c>
      <c r="V4" s="219">
        <f t="shared" ref="V4:V42" si="7">E4*(+IF(E4&lt;5000,30%,IF(E4&lt;10000,20%,15%)))</f>
        <v>0</v>
      </c>
      <c r="W4" s="219">
        <f t="shared" ref="W4:W42" si="8">F4*(+IF(F4&lt;5000,30%,IF(F4&lt;10000,20%,15%)))</f>
        <v>16.5</v>
      </c>
      <c r="X4" s="219">
        <f>+MO!$C$34*I4</f>
        <v>769.79166666666674</v>
      </c>
      <c r="Y4" s="219">
        <f t="shared" ref="Y4:Y42" si="9">+K4*I4*(+L4)</f>
        <v>32.051282051282044</v>
      </c>
      <c r="Z4" s="219">
        <f>+(N4+Q4+R4)*M4*BD!$C$12</f>
        <v>68.978310502283108</v>
      </c>
      <c r="AA4" s="221">
        <f t="shared" ref="AA4:AA42" si="10">SUM(U4:Z4)</f>
        <v>887.32125922023181</v>
      </c>
      <c r="AB4" s="222">
        <f t="shared" ref="AB4:AB42" si="11">+AA4/T4</f>
        <v>0.48703368500226168</v>
      </c>
      <c r="AC4" s="223">
        <v>1</v>
      </c>
      <c r="AD4" s="224">
        <f t="shared" ref="AD4:AD42" si="12">+AC4*T4</f>
        <v>1821.8888888888891</v>
      </c>
    </row>
    <row r="5" spans="1:30" x14ac:dyDescent="0.25">
      <c r="A5" s="209">
        <v>3</v>
      </c>
      <c r="B5" s="210"/>
      <c r="C5" s="211" t="s">
        <v>701</v>
      </c>
      <c r="D5" s="212">
        <v>0</v>
      </c>
      <c r="E5" s="213">
        <v>0</v>
      </c>
      <c r="F5" s="213">
        <v>55</v>
      </c>
      <c r="G5" s="214" t="s">
        <v>6</v>
      </c>
      <c r="H5" s="215">
        <f>MO!$C$34*(+VLOOKUP(G5,BD!$A$1:$B$11,2,0))</f>
        <v>1539.5833333333335</v>
      </c>
      <c r="I5" s="216">
        <v>1</v>
      </c>
      <c r="J5" s="216" t="s">
        <v>732</v>
      </c>
      <c r="K5" s="217">
        <f>+VLOOKUP(J5,'Dep. Maquina'!A:F,6,)</f>
        <v>106.83760683760683</v>
      </c>
      <c r="L5" s="218">
        <v>0.3</v>
      </c>
      <c r="M5" s="210">
        <v>60</v>
      </c>
      <c r="N5" s="219">
        <f t="shared" si="0"/>
        <v>0</v>
      </c>
      <c r="O5" s="219">
        <f t="shared" si="1"/>
        <v>0</v>
      </c>
      <c r="P5" s="219">
        <f t="shared" si="2"/>
        <v>71.5</v>
      </c>
      <c r="Q5" s="219">
        <f t="shared" si="3"/>
        <v>1539.5833333333335</v>
      </c>
      <c r="R5" s="219">
        <f t="shared" si="4"/>
        <v>138.88888888888889</v>
      </c>
      <c r="S5" s="219">
        <f>SUM(N5:R5)*(M5*BD!$C$12)</f>
        <v>71.916666666666671</v>
      </c>
      <c r="T5" s="220">
        <f t="shared" si="5"/>
        <v>1821.8888888888891</v>
      </c>
      <c r="U5" s="219">
        <f t="shared" si="6"/>
        <v>0</v>
      </c>
      <c r="V5" s="219">
        <f t="shared" si="7"/>
        <v>0</v>
      </c>
      <c r="W5" s="219">
        <f t="shared" si="8"/>
        <v>16.5</v>
      </c>
      <c r="X5" s="219">
        <f>+MO!$C$34*I5</f>
        <v>769.79166666666674</v>
      </c>
      <c r="Y5" s="219">
        <f t="shared" si="9"/>
        <v>32.051282051282044</v>
      </c>
      <c r="Z5" s="219">
        <f>+(N5+Q5+R5)*M5*BD!$C$12</f>
        <v>68.978310502283108</v>
      </c>
      <c r="AA5" s="221">
        <f t="shared" si="10"/>
        <v>887.32125922023181</v>
      </c>
      <c r="AB5" s="222">
        <f t="shared" si="11"/>
        <v>0.48703368500226168</v>
      </c>
      <c r="AC5" s="223">
        <v>1</v>
      </c>
      <c r="AD5" s="224">
        <f t="shared" si="12"/>
        <v>1821.8888888888891</v>
      </c>
    </row>
    <row r="6" spans="1:30" x14ac:dyDescent="0.25">
      <c r="A6" s="209">
        <v>4</v>
      </c>
      <c r="B6" s="210"/>
      <c r="C6" s="211" t="s">
        <v>702</v>
      </c>
      <c r="D6" s="212">
        <v>0</v>
      </c>
      <c r="E6" s="213">
        <v>0</v>
      </c>
      <c r="F6" s="213">
        <v>55</v>
      </c>
      <c r="G6" s="214" t="s">
        <v>6</v>
      </c>
      <c r="H6" s="215">
        <f>MO!$C$34*(+VLOOKUP(G6,BD!$A$1:$B$11,2,0))</f>
        <v>1539.5833333333335</v>
      </c>
      <c r="I6" s="216">
        <v>1</v>
      </c>
      <c r="J6" s="216" t="s">
        <v>732</v>
      </c>
      <c r="K6" s="217">
        <f>+VLOOKUP(J6,'Dep. Maquina'!A:F,6,)</f>
        <v>106.83760683760683</v>
      </c>
      <c r="L6" s="218">
        <v>0.3</v>
      </c>
      <c r="M6" s="210">
        <v>60</v>
      </c>
      <c r="N6" s="219">
        <f t="shared" si="0"/>
        <v>0</v>
      </c>
      <c r="O6" s="219">
        <f t="shared" si="1"/>
        <v>0</v>
      </c>
      <c r="P6" s="219">
        <f t="shared" si="2"/>
        <v>71.5</v>
      </c>
      <c r="Q6" s="219">
        <f t="shared" si="3"/>
        <v>1539.5833333333335</v>
      </c>
      <c r="R6" s="219">
        <f t="shared" si="4"/>
        <v>138.88888888888889</v>
      </c>
      <c r="S6" s="219">
        <f>SUM(N6:R6)*(M6*BD!$C$12)</f>
        <v>71.916666666666671</v>
      </c>
      <c r="T6" s="220">
        <f t="shared" si="5"/>
        <v>1821.8888888888891</v>
      </c>
      <c r="U6" s="219">
        <f t="shared" si="6"/>
        <v>0</v>
      </c>
      <c r="V6" s="219">
        <f t="shared" si="7"/>
        <v>0</v>
      </c>
      <c r="W6" s="219">
        <f t="shared" si="8"/>
        <v>16.5</v>
      </c>
      <c r="X6" s="219">
        <f>+MO!$C$34*I6</f>
        <v>769.79166666666674</v>
      </c>
      <c r="Y6" s="219">
        <f t="shared" si="9"/>
        <v>32.051282051282044</v>
      </c>
      <c r="Z6" s="219">
        <f>+(N6+Q6+R6)*M6*BD!$C$12</f>
        <v>68.978310502283108</v>
      </c>
      <c r="AA6" s="221">
        <f t="shared" si="10"/>
        <v>887.32125922023181</v>
      </c>
      <c r="AB6" s="222">
        <f t="shared" si="11"/>
        <v>0.48703368500226168</v>
      </c>
      <c r="AC6" s="223">
        <v>1</v>
      </c>
      <c r="AD6" s="224">
        <f t="shared" si="12"/>
        <v>1821.8888888888891</v>
      </c>
    </row>
    <row r="7" spans="1:30" x14ac:dyDescent="0.25">
      <c r="A7" s="209">
        <v>5</v>
      </c>
      <c r="B7" s="210"/>
      <c r="C7" s="211" t="s">
        <v>703</v>
      </c>
      <c r="D7" s="212">
        <v>3500</v>
      </c>
      <c r="E7" s="213">
        <v>0</v>
      </c>
      <c r="F7" s="213">
        <v>55</v>
      </c>
      <c r="G7" s="214" t="s">
        <v>6</v>
      </c>
      <c r="H7" s="215">
        <f>MO!$C$34*(+VLOOKUP(G7,BD!$A$1:$B$11,2,0))</f>
        <v>1539.5833333333335</v>
      </c>
      <c r="I7" s="216">
        <v>1</v>
      </c>
      <c r="J7" s="216" t="s">
        <v>732</v>
      </c>
      <c r="K7" s="217">
        <f>+VLOOKUP(J7,'Dep. Maquina'!A:F,6,)</f>
        <v>106.83760683760683</v>
      </c>
      <c r="L7" s="218">
        <v>0.3</v>
      </c>
      <c r="M7" s="210">
        <v>60</v>
      </c>
      <c r="N7" s="219">
        <f t="shared" si="0"/>
        <v>4550</v>
      </c>
      <c r="O7" s="219">
        <f t="shared" si="1"/>
        <v>0</v>
      </c>
      <c r="P7" s="219">
        <f t="shared" si="2"/>
        <v>71.5</v>
      </c>
      <c r="Q7" s="219">
        <f t="shared" si="3"/>
        <v>1539.5833333333335</v>
      </c>
      <c r="R7" s="219">
        <f t="shared" si="4"/>
        <v>138.88888888888889</v>
      </c>
      <c r="S7" s="219">
        <f>SUM(N7:R7)*(M7*BD!$C$12)</f>
        <v>258.90296803652967</v>
      </c>
      <c r="T7" s="220">
        <f t="shared" si="5"/>
        <v>6558.8751902587519</v>
      </c>
      <c r="U7" s="219">
        <f t="shared" si="6"/>
        <v>1050</v>
      </c>
      <c r="V7" s="219">
        <f t="shared" si="7"/>
        <v>0</v>
      </c>
      <c r="W7" s="219">
        <f t="shared" si="8"/>
        <v>16.5</v>
      </c>
      <c r="X7" s="219">
        <f>+MO!$C$34*I7</f>
        <v>769.79166666666674</v>
      </c>
      <c r="Y7" s="219">
        <f t="shared" si="9"/>
        <v>32.051282051282044</v>
      </c>
      <c r="Z7" s="219">
        <f>+(N7+Q7+R7)*M7*BD!$C$12</f>
        <v>255.96461187214615</v>
      </c>
      <c r="AA7" s="221">
        <f t="shared" si="10"/>
        <v>2124.3075605900949</v>
      </c>
      <c r="AB7" s="222">
        <f t="shared" si="11"/>
        <v>0.32388290659122754</v>
      </c>
      <c r="AC7" s="223">
        <v>1</v>
      </c>
      <c r="AD7" s="224">
        <f t="shared" si="12"/>
        <v>6558.8751902587519</v>
      </c>
    </row>
    <row r="8" spans="1:30" x14ac:dyDescent="0.25">
      <c r="A8" s="209">
        <v>6</v>
      </c>
      <c r="B8" s="210"/>
      <c r="C8" s="211" t="s">
        <v>704</v>
      </c>
      <c r="D8" s="212">
        <v>0</v>
      </c>
      <c r="E8" s="213">
        <v>0</v>
      </c>
      <c r="F8" s="213">
        <v>55</v>
      </c>
      <c r="G8" s="214" t="s">
        <v>6</v>
      </c>
      <c r="H8" s="215">
        <f>MO!$C$34*(+VLOOKUP(G8,BD!$A$1:$B$11,2,0))</f>
        <v>1539.5833333333335</v>
      </c>
      <c r="I8" s="216">
        <v>1</v>
      </c>
      <c r="J8" s="216" t="s">
        <v>732</v>
      </c>
      <c r="K8" s="217">
        <f>+VLOOKUP(J8,'Dep. Maquina'!A:F,6,)</f>
        <v>106.83760683760683</v>
      </c>
      <c r="L8" s="218">
        <v>0.3</v>
      </c>
      <c r="M8" s="210">
        <v>60</v>
      </c>
      <c r="N8" s="219">
        <f t="shared" si="0"/>
        <v>0</v>
      </c>
      <c r="O8" s="219">
        <f t="shared" si="1"/>
        <v>0</v>
      </c>
      <c r="P8" s="219">
        <f t="shared" si="2"/>
        <v>71.5</v>
      </c>
      <c r="Q8" s="219">
        <f t="shared" si="3"/>
        <v>1539.5833333333335</v>
      </c>
      <c r="R8" s="219">
        <f t="shared" si="4"/>
        <v>138.88888888888889</v>
      </c>
      <c r="S8" s="219">
        <f>SUM(N8:R8)*(M8*BD!$C$12)</f>
        <v>71.916666666666671</v>
      </c>
      <c r="T8" s="220">
        <f t="shared" si="5"/>
        <v>1821.8888888888891</v>
      </c>
      <c r="U8" s="219">
        <f t="shared" si="6"/>
        <v>0</v>
      </c>
      <c r="V8" s="219">
        <f t="shared" si="7"/>
        <v>0</v>
      </c>
      <c r="W8" s="219">
        <f t="shared" si="8"/>
        <v>16.5</v>
      </c>
      <c r="X8" s="219">
        <f>+MO!$C$34*I8</f>
        <v>769.79166666666674</v>
      </c>
      <c r="Y8" s="219">
        <f t="shared" si="9"/>
        <v>32.051282051282044</v>
      </c>
      <c r="Z8" s="219">
        <f>+(N8+Q8+R8)*M8*BD!$C$12</f>
        <v>68.978310502283108</v>
      </c>
      <c r="AA8" s="221">
        <f t="shared" si="10"/>
        <v>887.32125922023181</v>
      </c>
      <c r="AB8" s="222">
        <f t="shared" si="11"/>
        <v>0.48703368500226168</v>
      </c>
      <c r="AC8" s="223">
        <v>1</v>
      </c>
      <c r="AD8" s="224">
        <f t="shared" si="12"/>
        <v>1821.8888888888891</v>
      </c>
    </row>
    <row r="9" spans="1:30" x14ac:dyDescent="0.25">
      <c r="A9" s="209">
        <v>7</v>
      </c>
      <c r="B9" s="210"/>
      <c r="C9" s="211" t="s">
        <v>705</v>
      </c>
      <c r="D9" s="212">
        <v>0</v>
      </c>
      <c r="E9" s="213">
        <v>0</v>
      </c>
      <c r="F9" s="213">
        <v>55</v>
      </c>
      <c r="G9" s="214" t="s">
        <v>6</v>
      </c>
      <c r="H9" s="215">
        <f>MO!$C$34*(+VLOOKUP(G9,BD!$A$1:$B$11,2,0))</f>
        <v>1539.5833333333335</v>
      </c>
      <c r="I9" s="216">
        <v>1</v>
      </c>
      <c r="J9" s="216" t="s">
        <v>732</v>
      </c>
      <c r="K9" s="217">
        <f>+VLOOKUP(J9,'Dep. Maquina'!A:F,6,)</f>
        <v>106.83760683760683</v>
      </c>
      <c r="L9" s="218">
        <v>0.3</v>
      </c>
      <c r="M9" s="210">
        <v>60</v>
      </c>
      <c r="N9" s="219">
        <f t="shared" si="0"/>
        <v>0</v>
      </c>
      <c r="O9" s="219">
        <f t="shared" si="1"/>
        <v>0</v>
      </c>
      <c r="P9" s="219">
        <f t="shared" si="2"/>
        <v>71.5</v>
      </c>
      <c r="Q9" s="219">
        <f t="shared" si="3"/>
        <v>1539.5833333333335</v>
      </c>
      <c r="R9" s="219">
        <f t="shared" si="4"/>
        <v>138.88888888888889</v>
      </c>
      <c r="S9" s="219">
        <f>SUM(N9:R9)*(M9*BD!$C$12)</f>
        <v>71.916666666666671</v>
      </c>
      <c r="T9" s="220">
        <f t="shared" si="5"/>
        <v>1821.8888888888891</v>
      </c>
      <c r="U9" s="219">
        <f t="shared" si="6"/>
        <v>0</v>
      </c>
      <c r="V9" s="219">
        <f t="shared" si="7"/>
        <v>0</v>
      </c>
      <c r="W9" s="219">
        <f t="shared" si="8"/>
        <v>16.5</v>
      </c>
      <c r="X9" s="219">
        <f>+MO!$C$34*I9</f>
        <v>769.79166666666674</v>
      </c>
      <c r="Y9" s="219">
        <f t="shared" si="9"/>
        <v>32.051282051282044</v>
      </c>
      <c r="Z9" s="219">
        <f>+(N9+Q9+R9)*M9*BD!$C$12</f>
        <v>68.978310502283108</v>
      </c>
      <c r="AA9" s="221">
        <f t="shared" si="10"/>
        <v>887.32125922023181</v>
      </c>
      <c r="AB9" s="222">
        <f t="shared" si="11"/>
        <v>0.48703368500226168</v>
      </c>
      <c r="AC9" s="223">
        <v>1</v>
      </c>
      <c r="AD9" s="224">
        <f t="shared" si="12"/>
        <v>1821.8888888888891</v>
      </c>
    </row>
    <row r="10" spans="1:30" x14ac:dyDescent="0.25">
      <c r="A10" s="209">
        <v>8</v>
      </c>
      <c r="B10" s="210"/>
      <c r="C10" s="211" t="s">
        <v>733</v>
      </c>
      <c r="D10" s="212">
        <v>0</v>
      </c>
      <c r="E10" s="213">
        <v>0</v>
      </c>
      <c r="F10" s="213">
        <v>55</v>
      </c>
      <c r="G10" s="214" t="s">
        <v>6</v>
      </c>
      <c r="H10" s="215">
        <f>MO!$C$34*(+VLOOKUP(G10,BD!$A$1:$B$11,2,0))</f>
        <v>1539.5833333333335</v>
      </c>
      <c r="I10" s="216">
        <v>1</v>
      </c>
      <c r="J10" s="216" t="s">
        <v>732</v>
      </c>
      <c r="K10" s="217">
        <f>+VLOOKUP(J10,'Dep. Maquina'!A:F,6,)</f>
        <v>106.83760683760683</v>
      </c>
      <c r="L10" s="218">
        <v>0.3</v>
      </c>
      <c r="M10" s="210">
        <v>60</v>
      </c>
      <c r="N10" s="219">
        <f t="shared" si="0"/>
        <v>0</v>
      </c>
      <c r="O10" s="219">
        <f t="shared" si="1"/>
        <v>0</v>
      </c>
      <c r="P10" s="219">
        <f t="shared" si="2"/>
        <v>71.5</v>
      </c>
      <c r="Q10" s="219">
        <f t="shared" si="3"/>
        <v>1539.5833333333335</v>
      </c>
      <c r="R10" s="219">
        <f t="shared" si="4"/>
        <v>138.88888888888889</v>
      </c>
      <c r="S10" s="219">
        <f>SUM(N10:R10)*(M10*BD!$C$12)</f>
        <v>71.916666666666671</v>
      </c>
      <c r="T10" s="220">
        <f t="shared" si="5"/>
        <v>1821.8888888888891</v>
      </c>
      <c r="U10" s="219">
        <f t="shared" si="6"/>
        <v>0</v>
      </c>
      <c r="V10" s="219">
        <f t="shared" si="7"/>
        <v>0</v>
      </c>
      <c r="W10" s="219">
        <f t="shared" si="8"/>
        <v>16.5</v>
      </c>
      <c r="X10" s="219">
        <f>+MO!$C$34*I10</f>
        <v>769.79166666666674</v>
      </c>
      <c r="Y10" s="219">
        <f t="shared" si="9"/>
        <v>32.051282051282044</v>
      </c>
      <c r="Z10" s="219">
        <f>+(N10+Q10+R10)*M10*BD!$C$12</f>
        <v>68.978310502283108</v>
      </c>
      <c r="AA10" s="221">
        <f t="shared" si="10"/>
        <v>887.32125922023181</v>
      </c>
      <c r="AB10" s="222">
        <f t="shared" si="11"/>
        <v>0.48703368500226168</v>
      </c>
      <c r="AC10" s="223">
        <v>1</v>
      </c>
      <c r="AD10" s="224">
        <f t="shared" si="12"/>
        <v>1821.8888888888891</v>
      </c>
    </row>
    <row r="11" spans="1:30" x14ac:dyDescent="0.25">
      <c r="A11" s="209">
        <v>9</v>
      </c>
      <c r="B11" s="210"/>
      <c r="C11" s="211" t="s">
        <v>707</v>
      </c>
      <c r="D11" s="212">
        <v>0</v>
      </c>
      <c r="E11" s="213">
        <v>0</v>
      </c>
      <c r="F11" s="213">
        <v>55</v>
      </c>
      <c r="G11" s="214" t="s">
        <v>6</v>
      </c>
      <c r="H11" s="215">
        <f>MO!$C$34*(+VLOOKUP(G11,BD!$A$1:$B$11,2,0))</f>
        <v>1539.5833333333335</v>
      </c>
      <c r="I11" s="216">
        <v>1</v>
      </c>
      <c r="J11" s="216" t="s">
        <v>732</v>
      </c>
      <c r="K11" s="217">
        <f>+VLOOKUP(J11,'Dep. Maquina'!A:F,6,)</f>
        <v>106.83760683760683</v>
      </c>
      <c r="L11" s="218">
        <v>0.3</v>
      </c>
      <c r="M11" s="210">
        <v>60</v>
      </c>
      <c r="N11" s="219">
        <f t="shared" si="0"/>
        <v>0</v>
      </c>
      <c r="O11" s="219">
        <f t="shared" si="1"/>
        <v>0</v>
      </c>
      <c r="P11" s="219">
        <f t="shared" si="2"/>
        <v>71.5</v>
      </c>
      <c r="Q11" s="219">
        <f t="shared" si="3"/>
        <v>1539.5833333333335</v>
      </c>
      <c r="R11" s="219">
        <f t="shared" si="4"/>
        <v>138.88888888888889</v>
      </c>
      <c r="S11" s="219">
        <f>SUM(N11:R11)*(M11*BD!$C$12)</f>
        <v>71.916666666666671</v>
      </c>
      <c r="T11" s="220">
        <f t="shared" si="5"/>
        <v>1821.8888888888891</v>
      </c>
      <c r="U11" s="219">
        <f t="shared" si="6"/>
        <v>0</v>
      </c>
      <c r="V11" s="219">
        <f t="shared" si="7"/>
        <v>0</v>
      </c>
      <c r="W11" s="219">
        <f t="shared" si="8"/>
        <v>16.5</v>
      </c>
      <c r="X11" s="219">
        <f>+MO!$C$34*I11</f>
        <v>769.79166666666674</v>
      </c>
      <c r="Y11" s="219">
        <f t="shared" si="9"/>
        <v>32.051282051282044</v>
      </c>
      <c r="Z11" s="219">
        <f>+(N11+Q11+R11)*M11*BD!$C$12</f>
        <v>68.978310502283108</v>
      </c>
      <c r="AA11" s="221">
        <f t="shared" si="10"/>
        <v>887.32125922023181</v>
      </c>
      <c r="AB11" s="222">
        <f t="shared" si="11"/>
        <v>0.48703368500226168</v>
      </c>
      <c r="AC11" s="223">
        <v>1</v>
      </c>
      <c r="AD11" s="224">
        <f t="shared" si="12"/>
        <v>1821.8888888888891</v>
      </c>
    </row>
    <row r="12" spans="1:30" x14ac:dyDescent="0.25">
      <c r="A12" s="209">
        <v>10</v>
      </c>
      <c r="B12" s="210"/>
      <c r="C12" s="211" t="s">
        <v>708</v>
      </c>
      <c r="D12" s="212">
        <v>0</v>
      </c>
      <c r="E12" s="213">
        <v>0</v>
      </c>
      <c r="F12" s="213">
        <v>55</v>
      </c>
      <c r="G12" s="214" t="s">
        <v>6</v>
      </c>
      <c r="H12" s="215">
        <f>MO!$C$34*(+VLOOKUP(G12,BD!$A$1:$B$11,2,0))</f>
        <v>1539.5833333333335</v>
      </c>
      <c r="I12" s="216">
        <v>1</v>
      </c>
      <c r="J12" s="216" t="s">
        <v>732</v>
      </c>
      <c r="K12" s="217">
        <f>+VLOOKUP(J12,'Dep. Maquina'!A:F,6,)</f>
        <v>106.83760683760683</v>
      </c>
      <c r="L12" s="218">
        <v>0.3</v>
      </c>
      <c r="M12" s="210">
        <v>60</v>
      </c>
      <c r="N12" s="219">
        <f t="shared" si="0"/>
        <v>0</v>
      </c>
      <c r="O12" s="219">
        <f t="shared" si="1"/>
        <v>0</v>
      </c>
      <c r="P12" s="219">
        <f t="shared" si="2"/>
        <v>71.5</v>
      </c>
      <c r="Q12" s="219">
        <f t="shared" si="3"/>
        <v>1539.5833333333335</v>
      </c>
      <c r="R12" s="219">
        <f t="shared" si="4"/>
        <v>138.88888888888889</v>
      </c>
      <c r="S12" s="219">
        <f>SUM(N12:R12)*(M12*BD!$C$12)</f>
        <v>71.916666666666671</v>
      </c>
      <c r="T12" s="220">
        <f t="shared" si="5"/>
        <v>1821.8888888888891</v>
      </c>
      <c r="U12" s="219">
        <f t="shared" si="6"/>
        <v>0</v>
      </c>
      <c r="V12" s="219">
        <f t="shared" si="7"/>
        <v>0</v>
      </c>
      <c r="W12" s="219">
        <f t="shared" si="8"/>
        <v>16.5</v>
      </c>
      <c r="X12" s="219">
        <f>+MO!$C$34*I12</f>
        <v>769.79166666666674</v>
      </c>
      <c r="Y12" s="219">
        <f t="shared" si="9"/>
        <v>32.051282051282044</v>
      </c>
      <c r="Z12" s="219">
        <f>+(N12+Q12+R12)*M12*BD!$C$12</f>
        <v>68.978310502283108</v>
      </c>
      <c r="AA12" s="221">
        <f t="shared" si="10"/>
        <v>887.32125922023181</v>
      </c>
      <c r="AB12" s="222">
        <f t="shared" si="11"/>
        <v>0.48703368500226168</v>
      </c>
      <c r="AC12" s="223">
        <v>1</v>
      </c>
      <c r="AD12" s="224">
        <f t="shared" si="12"/>
        <v>1821.8888888888891</v>
      </c>
    </row>
    <row r="13" spans="1:30" x14ac:dyDescent="0.25">
      <c r="A13" s="209">
        <v>11</v>
      </c>
      <c r="B13" s="210"/>
      <c r="C13" s="211"/>
      <c r="D13" s="212"/>
      <c r="E13" s="213"/>
      <c r="F13" s="213"/>
      <c r="G13" s="214" t="s">
        <v>734</v>
      </c>
      <c r="H13" s="215">
        <f>MO!$C$34*(+VLOOKUP(G13,BD!$A$1:$B$11,2,0))</f>
        <v>1539.5833333333335</v>
      </c>
      <c r="I13" s="216"/>
      <c r="J13" s="216" t="s">
        <v>735</v>
      </c>
      <c r="K13" s="217" t="e">
        <f>+VLOOKUP(J13,'Dep. Maquina'!A:F,6,)</f>
        <v>#DIV/0!</v>
      </c>
      <c r="L13" s="218">
        <v>0.5</v>
      </c>
      <c r="M13" s="210">
        <v>30</v>
      </c>
      <c r="N13" s="219">
        <f t="shared" si="0"/>
        <v>0</v>
      </c>
      <c r="O13" s="219">
        <f t="shared" si="1"/>
        <v>0</v>
      </c>
      <c r="P13" s="219">
        <f t="shared" si="2"/>
        <v>0</v>
      </c>
      <c r="Q13" s="219">
        <f t="shared" si="3"/>
        <v>0</v>
      </c>
      <c r="R13" s="219" t="e">
        <f t="shared" si="4"/>
        <v>#DIV/0!</v>
      </c>
      <c r="S13" s="219" t="e">
        <f>SUM(N13:R13)*(M13*BD!$C$12)</f>
        <v>#DIV/0!</v>
      </c>
      <c r="T13" s="220" t="e">
        <f t="shared" si="5"/>
        <v>#DIV/0!</v>
      </c>
      <c r="U13" s="219">
        <f t="shared" si="6"/>
        <v>0</v>
      </c>
      <c r="V13" s="219">
        <f t="shared" si="7"/>
        <v>0</v>
      </c>
      <c r="W13" s="219">
        <f t="shared" si="8"/>
        <v>0</v>
      </c>
      <c r="X13" s="219">
        <f>+MO!$C$34*I13</f>
        <v>0</v>
      </c>
      <c r="Y13" s="219" t="e">
        <f t="shared" si="9"/>
        <v>#DIV/0!</v>
      </c>
      <c r="Z13" s="219" t="e">
        <f>+(N13+Q13+R13)*M13*BD!$C$12</f>
        <v>#DIV/0!</v>
      </c>
      <c r="AA13" s="221" t="e">
        <f t="shared" si="10"/>
        <v>#DIV/0!</v>
      </c>
      <c r="AB13" s="222" t="e">
        <f t="shared" si="11"/>
        <v>#DIV/0!</v>
      </c>
      <c r="AC13" s="223">
        <v>1</v>
      </c>
      <c r="AD13" s="224" t="e">
        <f t="shared" si="12"/>
        <v>#DIV/0!</v>
      </c>
    </row>
    <row r="14" spans="1:30" x14ac:dyDescent="0.25">
      <c r="A14" s="209">
        <v>12</v>
      </c>
      <c r="B14" s="210"/>
      <c r="C14" s="211"/>
      <c r="D14" s="212"/>
      <c r="E14" s="213"/>
      <c r="F14" s="213"/>
      <c r="G14" s="214" t="s">
        <v>734</v>
      </c>
      <c r="H14" s="215">
        <f>MO!$C$34*(+VLOOKUP(G14,BD!$A$1:$B$11,2,0))</f>
        <v>1539.5833333333335</v>
      </c>
      <c r="I14" s="216"/>
      <c r="J14" s="216" t="s">
        <v>735</v>
      </c>
      <c r="K14" s="217" t="e">
        <f>+VLOOKUP(J14,'Dep. Maquina'!A:F,6,)</f>
        <v>#DIV/0!</v>
      </c>
      <c r="L14" s="218">
        <v>0.5</v>
      </c>
      <c r="M14" s="210">
        <v>30</v>
      </c>
      <c r="N14" s="219">
        <f t="shared" si="0"/>
        <v>0</v>
      </c>
      <c r="O14" s="219">
        <f t="shared" si="1"/>
        <v>0</v>
      </c>
      <c r="P14" s="219">
        <f t="shared" si="2"/>
        <v>0</v>
      </c>
      <c r="Q14" s="219">
        <f t="shared" si="3"/>
        <v>0</v>
      </c>
      <c r="R14" s="219" t="e">
        <f t="shared" si="4"/>
        <v>#DIV/0!</v>
      </c>
      <c r="S14" s="219" t="e">
        <f>SUM(N14:R14)*(M14*BD!$C$12)</f>
        <v>#DIV/0!</v>
      </c>
      <c r="T14" s="220" t="e">
        <f t="shared" si="5"/>
        <v>#DIV/0!</v>
      </c>
      <c r="U14" s="219">
        <f t="shared" si="6"/>
        <v>0</v>
      </c>
      <c r="V14" s="219">
        <f t="shared" si="7"/>
        <v>0</v>
      </c>
      <c r="W14" s="219">
        <f t="shared" si="8"/>
        <v>0</v>
      </c>
      <c r="X14" s="219">
        <f>+MO!$C$34*I14</f>
        <v>0</v>
      </c>
      <c r="Y14" s="219" t="e">
        <f t="shared" si="9"/>
        <v>#DIV/0!</v>
      </c>
      <c r="Z14" s="219" t="e">
        <f>+(N14+Q14+R14)*M14*BD!$C$12</f>
        <v>#DIV/0!</v>
      </c>
      <c r="AA14" s="221" t="e">
        <f t="shared" si="10"/>
        <v>#DIV/0!</v>
      </c>
      <c r="AB14" s="222" t="e">
        <f t="shared" si="11"/>
        <v>#DIV/0!</v>
      </c>
      <c r="AC14" s="223">
        <v>1</v>
      </c>
      <c r="AD14" s="224" t="e">
        <f t="shared" si="12"/>
        <v>#DIV/0!</v>
      </c>
    </row>
    <row r="15" spans="1:30" x14ac:dyDescent="0.25">
      <c r="A15" s="209">
        <v>13</v>
      </c>
      <c r="B15" s="210"/>
      <c r="C15" s="211"/>
      <c r="D15" s="212"/>
      <c r="E15" s="213"/>
      <c r="F15" s="213"/>
      <c r="G15" s="214" t="s">
        <v>734</v>
      </c>
      <c r="H15" s="215">
        <f>MO!$C$34*(+VLOOKUP(G15,BD!$A$1:$B$11,2,0))</f>
        <v>1539.5833333333335</v>
      </c>
      <c r="I15" s="216"/>
      <c r="J15" s="216" t="s">
        <v>735</v>
      </c>
      <c r="K15" s="217" t="e">
        <f>+VLOOKUP(J15,'Dep. Maquina'!A:F,6,)</f>
        <v>#DIV/0!</v>
      </c>
      <c r="L15" s="218">
        <v>0.5</v>
      </c>
      <c r="M15" s="210">
        <v>30</v>
      </c>
      <c r="N15" s="219">
        <f t="shared" si="0"/>
        <v>0</v>
      </c>
      <c r="O15" s="219">
        <f t="shared" si="1"/>
        <v>0</v>
      </c>
      <c r="P15" s="219">
        <f t="shared" si="2"/>
        <v>0</v>
      </c>
      <c r="Q15" s="219">
        <f t="shared" si="3"/>
        <v>0</v>
      </c>
      <c r="R15" s="219" t="e">
        <f t="shared" si="4"/>
        <v>#DIV/0!</v>
      </c>
      <c r="S15" s="219" t="e">
        <f>SUM(N15:R15)*(M15*BD!$C$12)</f>
        <v>#DIV/0!</v>
      </c>
      <c r="T15" s="220" t="e">
        <f t="shared" si="5"/>
        <v>#DIV/0!</v>
      </c>
      <c r="U15" s="219">
        <f t="shared" si="6"/>
        <v>0</v>
      </c>
      <c r="V15" s="219">
        <f t="shared" si="7"/>
        <v>0</v>
      </c>
      <c r="W15" s="219">
        <f t="shared" si="8"/>
        <v>0</v>
      </c>
      <c r="X15" s="219">
        <f>+MO!$C$34*I15</f>
        <v>0</v>
      </c>
      <c r="Y15" s="219" t="e">
        <f t="shared" si="9"/>
        <v>#DIV/0!</v>
      </c>
      <c r="Z15" s="219" t="e">
        <f>+(N15+Q15+R15)*M15*BD!$C$12</f>
        <v>#DIV/0!</v>
      </c>
      <c r="AA15" s="221" t="e">
        <f t="shared" si="10"/>
        <v>#DIV/0!</v>
      </c>
      <c r="AB15" s="222" t="e">
        <f t="shared" si="11"/>
        <v>#DIV/0!</v>
      </c>
      <c r="AC15" s="223">
        <v>1</v>
      </c>
      <c r="AD15" s="224" t="e">
        <f t="shared" si="12"/>
        <v>#DIV/0!</v>
      </c>
    </row>
    <row r="16" spans="1:30" x14ac:dyDescent="0.25">
      <c r="A16" s="209">
        <v>14</v>
      </c>
      <c r="B16" s="210"/>
      <c r="C16" s="211"/>
      <c r="D16" s="212"/>
      <c r="E16" s="213"/>
      <c r="F16" s="213"/>
      <c r="G16" s="214" t="s">
        <v>734</v>
      </c>
      <c r="H16" s="215">
        <f>MO!$C$34*(+VLOOKUP(G16,BD!$A$1:$B$11,2,0))</f>
        <v>1539.5833333333335</v>
      </c>
      <c r="I16" s="216"/>
      <c r="J16" s="216" t="s">
        <v>735</v>
      </c>
      <c r="K16" s="217" t="e">
        <f>+VLOOKUP(J16,'Dep. Maquina'!A:F,6,)</f>
        <v>#DIV/0!</v>
      </c>
      <c r="L16" s="218">
        <v>0.5</v>
      </c>
      <c r="M16" s="210">
        <v>30</v>
      </c>
      <c r="N16" s="219">
        <f t="shared" si="0"/>
        <v>0</v>
      </c>
      <c r="O16" s="219">
        <f t="shared" si="1"/>
        <v>0</v>
      </c>
      <c r="P16" s="219">
        <f t="shared" si="2"/>
        <v>0</v>
      </c>
      <c r="Q16" s="219">
        <f t="shared" si="3"/>
        <v>0</v>
      </c>
      <c r="R16" s="219" t="e">
        <f t="shared" si="4"/>
        <v>#DIV/0!</v>
      </c>
      <c r="S16" s="219" t="e">
        <f>SUM(N16:R16)*(M16*BD!$C$12)</f>
        <v>#DIV/0!</v>
      </c>
      <c r="T16" s="220" t="e">
        <f t="shared" si="5"/>
        <v>#DIV/0!</v>
      </c>
      <c r="U16" s="219">
        <f t="shared" si="6"/>
        <v>0</v>
      </c>
      <c r="V16" s="219">
        <f t="shared" si="7"/>
        <v>0</v>
      </c>
      <c r="W16" s="219">
        <f t="shared" si="8"/>
        <v>0</v>
      </c>
      <c r="X16" s="219">
        <f>+MO!$C$34*I16</f>
        <v>0</v>
      </c>
      <c r="Y16" s="219" t="e">
        <f t="shared" si="9"/>
        <v>#DIV/0!</v>
      </c>
      <c r="Z16" s="219" t="e">
        <f>+(N16+Q16+R16)*M16*BD!$C$12</f>
        <v>#DIV/0!</v>
      </c>
      <c r="AA16" s="221" t="e">
        <f t="shared" si="10"/>
        <v>#DIV/0!</v>
      </c>
      <c r="AB16" s="222" t="e">
        <f t="shared" si="11"/>
        <v>#DIV/0!</v>
      </c>
      <c r="AC16" s="223">
        <v>1</v>
      </c>
      <c r="AD16" s="224" t="e">
        <f t="shared" si="12"/>
        <v>#DIV/0!</v>
      </c>
    </row>
    <row r="17" spans="1:30" x14ac:dyDescent="0.25">
      <c r="A17" s="209">
        <v>15</v>
      </c>
      <c r="B17" s="210"/>
      <c r="C17" s="211"/>
      <c r="D17" s="212"/>
      <c r="E17" s="213"/>
      <c r="F17" s="213"/>
      <c r="G17" s="214" t="s">
        <v>734</v>
      </c>
      <c r="H17" s="215">
        <f>MO!$C$34*(+VLOOKUP(G17,BD!$A$1:$B$11,2,0))</f>
        <v>1539.5833333333335</v>
      </c>
      <c r="I17" s="216"/>
      <c r="J17" s="216" t="s">
        <v>735</v>
      </c>
      <c r="K17" s="217" t="e">
        <f>+VLOOKUP(J17,'Dep. Maquina'!A:F,6,)</f>
        <v>#DIV/0!</v>
      </c>
      <c r="L17" s="218">
        <v>0.5</v>
      </c>
      <c r="M17" s="210">
        <v>30</v>
      </c>
      <c r="N17" s="219">
        <f t="shared" si="0"/>
        <v>0</v>
      </c>
      <c r="O17" s="219">
        <f t="shared" si="1"/>
        <v>0</v>
      </c>
      <c r="P17" s="219">
        <f t="shared" si="2"/>
        <v>0</v>
      </c>
      <c r="Q17" s="219">
        <f t="shared" si="3"/>
        <v>0</v>
      </c>
      <c r="R17" s="219" t="e">
        <f t="shared" si="4"/>
        <v>#DIV/0!</v>
      </c>
      <c r="S17" s="219" t="e">
        <f>SUM(N17:R17)*(M17*BD!$C$12)</f>
        <v>#DIV/0!</v>
      </c>
      <c r="T17" s="220" t="e">
        <f t="shared" si="5"/>
        <v>#DIV/0!</v>
      </c>
      <c r="U17" s="219">
        <f t="shared" si="6"/>
        <v>0</v>
      </c>
      <c r="V17" s="219">
        <f t="shared" si="7"/>
        <v>0</v>
      </c>
      <c r="W17" s="219">
        <f t="shared" si="8"/>
        <v>0</v>
      </c>
      <c r="X17" s="219">
        <f>+MO!$C$34*I17</f>
        <v>0</v>
      </c>
      <c r="Y17" s="219" t="e">
        <f t="shared" si="9"/>
        <v>#DIV/0!</v>
      </c>
      <c r="Z17" s="219" t="e">
        <f>+(N17+Q17+R17)*M17*BD!$C$12</f>
        <v>#DIV/0!</v>
      </c>
      <c r="AA17" s="221" t="e">
        <f t="shared" si="10"/>
        <v>#DIV/0!</v>
      </c>
      <c r="AB17" s="222" t="e">
        <f t="shared" si="11"/>
        <v>#DIV/0!</v>
      </c>
      <c r="AC17" s="223">
        <v>1</v>
      </c>
      <c r="AD17" s="224" t="e">
        <f t="shared" si="12"/>
        <v>#DIV/0!</v>
      </c>
    </row>
    <row r="18" spans="1:30" x14ac:dyDescent="0.25">
      <c r="A18" s="209">
        <v>16</v>
      </c>
      <c r="B18" s="210"/>
      <c r="C18" s="211"/>
      <c r="D18" s="212"/>
      <c r="E18" s="213"/>
      <c r="F18" s="213"/>
      <c r="G18" s="214" t="s">
        <v>734</v>
      </c>
      <c r="H18" s="215">
        <f>MO!$C$34*(+VLOOKUP(G18,BD!$A$1:$B$11,2,0))</f>
        <v>1539.5833333333335</v>
      </c>
      <c r="I18" s="216"/>
      <c r="J18" s="216" t="s">
        <v>735</v>
      </c>
      <c r="K18" s="217" t="e">
        <f>+VLOOKUP(J18,'Dep. Maquina'!A:F,6,)</f>
        <v>#DIV/0!</v>
      </c>
      <c r="L18" s="218">
        <v>0.5</v>
      </c>
      <c r="M18" s="210">
        <v>30</v>
      </c>
      <c r="N18" s="219">
        <f t="shared" si="0"/>
        <v>0</v>
      </c>
      <c r="O18" s="219">
        <f t="shared" si="1"/>
        <v>0</v>
      </c>
      <c r="P18" s="219">
        <f t="shared" si="2"/>
        <v>0</v>
      </c>
      <c r="Q18" s="219">
        <f t="shared" si="3"/>
        <v>0</v>
      </c>
      <c r="R18" s="219" t="e">
        <f t="shared" si="4"/>
        <v>#DIV/0!</v>
      </c>
      <c r="S18" s="219" t="e">
        <f>SUM(N18:R18)*(M18*BD!$C$12)</f>
        <v>#DIV/0!</v>
      </c>
      <c r="T18" s="220" t="e">
        <f t="shared" si="5"/>
        <v>#DIV/0!</v>
      </c>
      <c r="U18" s="219">
        <f t="shared" si="6"/>
        <v>0</v>
      </c>
      <c r="V18" s="219">
        <f t="shared" si="7"/>
        <v>0</v>
      </c>
      <c r="W18" s="219">
        <f t="shared" si="8"/>
        <v>0</v>
      </c>
      <c r="X18" s="219">
        <f>+MO!$C$34*I18</f>
        <v>0</v>
      </c>
      <c r="Y18" s="219" t="e">
        <f t="shared" si="9"/>
        <v>#DIV/0!</v>
      </c>
      <c r="Z18" s="219" t="e">
        <f>+(N18+Q18+R18)*M18*BD!$C$12</f>
        <v>#DIV/0!</v>
      </c>
      <c r="AA18" s="221" t="e">
        <f t="shared" si="10"/>
        <v>#DIV/0!</v>
      </c>
      <c r="AB18" s="222" t="e">
        <f t="shared" si="11"/>
        <v>#DIV/0!</v>
      </c>
      <c r="AC18" s="223">
        <v>1</v>
      </c>
      <c r="AD18" s="224" t="e">
        <f t="shared" si="12"/>
        <v>#DIV/0!</v>
      </c>
    </row>
    <row r="19" spans="1:30" x14ac:dyDescent="0.25">
      <c r="A19" s="209">
        <v>17</v>
      </c>
      <c r="B19" s="210"/>
      <c r="C19" s="211"/>
      <c r="D19" s="212"/>
      <c r="E19" s="213"/>
      <c r="F19" s="213"/>
      <c r="G19" s="214" t="s">
        <v>734</v>
      </c>
      <c r="H19" s="215">
        <f>MO!$C$34*(+VLOOKUP(G19,BD!$A$1:$B$11,2,0))</f>
        <v>1539.5833333333335</v>
      </c>
      <c r="I19" s="216"/>
      <c r="J19" s="216" t="s">
        <v>735</v>
      </c>
      <c r="K19" s="217" t="e">
        <f>+VLOOKUP(J19,'Dep. Maquina'!A:F,6,)</f>
        <v>#DIV/0!</v>
      </c>
      <c r="L19" s="218">
        <v>0.5</v>
      </c>
      <c r="M19" s="210">
        <v>30</v>
      </c>
      <c r="N19" s="219">
        <f t="shared" si="0"/>
        <v>0</v>
      </c>
      <c r="O19" s="219">
        <f t="shared" si="1"/>
        <v>0</v>
      </c>
      <c r="P19" s="219">
        <f t="shared" si="2"/>
        <v>0</v>
      </c>
      <c r="Q19" s="219">
        <f t="shared" si="3"/>
        <v>0</v>
      </c>
      <c r="R19" s="219" t="e">
        <f t="shared" si="4"/>
        <v>#DIV/0!</v>
      </c>
      <c r="S19" s="219" t="e">
        <f>SUM(N19:R19)*(M19*BD!$C$12)</f>
        <v>#DIV/0!</v>
      </c>
      <c r="T19" s="220" t="e">
        <f t="shared" si="5"/>
        <v>#DIV/0!</v>
      </c>
      <c r="U19" s="219">
        <f t="shared" si="6"/>
        <v>0</v>
      </c>
      <c r="V19" s="219">
        <f t="shared" si="7"/>
        <v>0</v>
      </c>
      <c r="W19" s="219">
        <f t="shared" si="8"/>
        <v>0</v>
      </c>
      <c r="X19" s="219">
        <f>+MO!$C$34*I19</f>
        <v>0</v>
      </c>
      <c r="Y19" s="219" t="e">
        <f t="shared" si="9"/>
        <v>#DIV/0!</v>
      </c>
      <c r="Z19" s="219" t="e">
        <f>+(N19+Q19+R19)*M19*BD!$C$12</f>
        <v>#DIV/0!</v>
      </c>
      <c r="AA19" s="221" t="e">
        <f t="shared" si="10"/>
        <v>#DIV/0!</v>
      </c>
      <c r="AB19" s="222" t="e">
        <f t="shared" si="11"/>
        <v>#DIV/0!</v>
      </c>
      <c r="AC19" s="223">
        <v>1</v>
      </c>
      <c r="AD19" s="224" t="e">
        <f t="shared" si="12"/>
        <v>#DIV/0!</v>
      </c>
    </row>
    <row r="20" spans="1:30" x14ac:dyDescent="0.25">
      <c r="A20" s="209">
        <v>18</v>
      </c>
      <c r="B20" s="210"/>
      <c r="C20" s="211"/>
      <c r="D20" s="212"/>
      <c r="E20" s="213"/>
      <c r="F20" s="213"/>
      <c r="G20" s="214" t="s">
        <v>734</v>
      </c>
      <c r="H20" s="215">
        <f>MO!$C$34*(+VLOOKUP(G20,BD!$A$1:$B$11,2,0))</f>
        <v>1539.5833333333335</v>
      </c>
      <c r="I20" s="216"/>
      <c r="J20" s="216" t="s">
        <v>735</v>
      </c>
      <c r="K20" s="217" t="e">
        <f>+VLOOKUP(J20,'Dep. Maquina'!A:F,6,)</f>
        <v>#DIV/0!</v>
      </c>
      <c r="L20" s="218">
        <v>0.5</v>
      </c>
      <c r="M20" s="210">
        <v>30</v>
      </c>
      <c r="N20" s="219">
        <f t="shared" si="0"/>
        <v>0</v>
      </c>
      <c r="O20" s="219">
        <f t="shared" si="1"/>
        <v>0</v>
      </c>
      <c r="P20" s="219">
        <f t="shared" si="2"/>
        <v>0</v>
      </c>
      <c r="Q20" s="219">
        <f t="shared" si="3"/>
        <v>0</v>
      </c>
      <c r="R20" s="219" t="e">
        <f t="shared" si="4"/>
        <v>#DIV/0!</v>
      </c>
      <c r="S20" s="219" t="e">
        <f>SUM(N20:R20)*(M20*BD!$C$12)</f>
        <v>#DIV/0!</v>
      </c>
      <c r="T20" s="220" t="e">
        <f t="shared" si="5"/>
        <v>#DIV/0!</v>
      </c>
      <c r="U20" s="219">
        <f t="shared" si="6"/>
        <v>0</v>
      </c>
      <c r="V20" s="219">
        <f t="shared" si="7"/>
        <v>0</v>
      </c>
      <c r="W20" s="219">
        <f t="shared" si="8"/>
        <v>0</v>
      </c>
      <c r="X20" s="219">
        <f>+MO!$C$34*I20</f>
        <v>0</v>
      </c>
      <c r="Y20" s="219" t="e">
        <f t="shared" si="9"/>
        <v>#DIV/0!</v>
      </c>
      <c r="Z20" s="219" t="e">
        <f>+(N20+Q20+R20)*M20*BD!$C$12</f>
        <v>#DIV/0!</v>
      </c>
      <c r="AA20" s="221" t="e">
        <f t="shared" si="10"/>
        <v>#DIV/0!</v>
      </c>
      <c r="AB20" s="222" t="e">
        <f t="shared" si="11"/>
        <v>#DIV/0!</v>
      </c>
      <c r="AC20" s="223">
        <v>1</v>
      </c>
      <c r="AD20" s="224" t="e">
        <f t="shared" si="12"/>
        <v>#DIV/0!</v>
      </c>
    </row>
    <row r="21" spans="1:30" x14ac:dyDescent="0.25">
      <c r="A21" s="209">
        <v>19</v>
      </c>
      <c r="B21" s="210"/>
      <c r="C21" s="211"/>
      <c r="D21" s="212"/>
      <c r="E21" s="213"/>
      <c r="F21" s="213"/>
      <c r="G21" s="214" t="s">
        <v>734</v>
      </c>
      <c r="H21" s="215">
        <f>MO!$C$34*(+VLOOKUP(G21,BD!$A$1:$B$11,2,0))</f>
        <v>1539.5833333333335</v>
      </c>
      <c r="I21" s="216"/>
      <c r="J21" s="216" t="s">
        <v>735</v>
      </c>
      <c r="K21" s="217" t="e">
        <f>+VLOOKUP(J21,'Dep. Maquina'!A:F,6,)</f>
        <v>#DIV/0!</v>
      </c>
      <c r="L21" s="218">
        <v>0.5</v>
      </c>
      <c r="M21" s="210">
        <v>30</v>
      </c>
      <c r="N21" s="219">
        <f t="shared" si="0"/>
        <v>0</v>
      </c>
      <c r="O21" s="219">
        <f t="shared" si="1"/>
        <v>0</v>
      </c>
      <c r="P21" s="219">
        <f t="shared" si="2"/>
        <v>0</v>
      </c>
      <c r="Q21" s="219">
        <f t="shared" si="3"/>
        <v>0</v>
      </c>
      <c r="R21" s="219" t="e">
        <f t="shared" si="4"/>
        <v>#DIV/0!</v>
      </c>
      <c r="S21" s="219" t="e">
        <f>SUM(N21:R21)*(M21*BD!$C$12)</f>
        <v>#DIV/0!</v>
      </c>
      <c r="T21" s="220" t="e">
        <f t="shared" si="5"/>
        <v>#DIV/0!</v>
      </c>
      <c r="U21" s="219">
        <f t="shared" si="6"/>
        <v>0</v>
      </c>
      <c r="V21" s="219">
        <f t="shared" si="7"/>
        <v>0</v>
      </c>
      <c r="W21" s="219">
        <f t="shared" si="8"/>
        <v>0</v>
      </c>
      <c r="X21" s="219">
        <f>+MO!$C$34*I21</f>
        <v>0</v>
      </c>
      <c r="Y21" s="219" t="e">
        <f t="shared" si="9"/>
        <v>#DIV/0!</v>
      </c>
      <c r="Z21" s="219" t="e">
        <f>+(N21+Q21+R21)*M21*BD!$C$12</f>
        <v>#DIV/0!</v>
      </c>
      <c r="AA21" s="221" t="e">
        <f t="shared" si="10"/>
        <v>#DIV/0!</v>
      </c>
      <c r="AB21" s="222" t="e">
        <f t="shared" si="11"/>
        <v>#DIV/0!</v>
      </c>
      <c r="AC21" s="223">
        <v>1</v>
      </c>
      <c r="AD21" s="224" t="e">
        <f t="shared" si="12"/>
        <v>#DIV/0!</v>
      </c>
    </row>
    <row r="22" spans="1:30" x14ac:dyDescent="0.25">
      <c r="A22" s="209">
        <v>20</v>
      </c>
      <c r="B22" s="210"/>
      <c r="C22" s="211"/>
      <c r="D22" s="212"/>
      <c r="E22" s="213"/>
      <c r="F22" s="213"/>
      <c r="G22" s="214" t="s">
        <v>734</v>
      </c>
      <c r="H22" s="215">
        <f>MO!$C$34*(+VLOOKUP(G22,BD!$A$1:$B$11,2,0))</f>
        <v>1539.5833333333335</v>
      </c>
      <c r="I22" s="216"/>
      <c r="J22" s="216" t="s">
        <v>735</v>
      </c>
      <c r="K22" s="217" t="e">
        <f>+VLOOKUP(J22,'Dep. Maquina'!A:F,6,)</f>
        <v>#DIV/0!</v>
      </c>
      <c r="L22" s="218">
        <v>0.5</v>
      </c>
      <c r="M22" s="210">
        <v>30</v>
      </c>
      <c r="N22" s="219">
        <f t="shared" si="0"/>
        <v>0</v>
      </c>
      <c r="O22" s="219">
        <f t="shared" si="1"/>
        <v>0</v>
      </c>
      <c r="P22" s="219">
        <f t="shared" si="2"/>
        <v>0</v>
      </c>
      <c r="Q22" s="219">
        <f t="shared" si="3"/>
        <v>0</v>
      </c>
      <c r="R22" s="219" t="e">
        <f t="shared" si="4"/>
        <v>#DIV/0!</v>
      </c>
      <c r="S22" s="219" t="e">
        <f>SUM(N22:R22)*(M22*BD!$C$12)</f>
        <v>#DIV/0!</v>
      </c>
      <c r="T22" s="220" t="e">
        <f t="shared" si="5"/>
        <v>#DIV/0!</v>
      </c>
      <c r="U22" s="219">
        <f t="shared" si="6"/>
        <v>0</v>
      </c>
      <c r="V22" s="219">
        <f t="shared" si="7"/>
        <v>0</v>
      </c>
      <c r="W22" s="219">
        <f t="shared" si="8"/>
        <v>0</v>
      </c>
      <c r="X22" s="219">
        <f>+MO!$C$34*I22</f>
        <v>0</v>
      </c>
      <c r="Y22" s="219" t="e">
        <f t="shared" si="9"/>
        <v>#DIV/0!</v>
      </c>
      <c r="Z22" s="219" t="e">
        <f>+(N22+Q22+R22)*M22*BD!$C$12</f>
        <v>#DIV/0!</v>
      </c>
      <c r="AA22" s="221" t="e">
        <f t="shared" si="10"/>
        <v>#DIV/0!</v>
      </c>
      <c r="AB22" s="222" t="e">
        <f t="shared" si="11"/>
        <v>#DIV/0!</v>
      </c>
      <c r="AC22" s="223">
        <v>1</v>
      </c>
      <c r="AD22" s="224" t="e">
        <f t="shared" si="12"/>
        <v>#DIV/0!</v>
      </c>
    </row>
    <row r="23" spans="1:30" x14ac:dyDescent="0.25">
      <c r="A23" s="209">
        <v>21</v>
      </c>
      <c r="B23" s="210"/>
      <c r="C23" s="211"/>
      <c r="D23" s="212"/>
      <c r="E23" s="213"/>
      <c r="F23" s="213"/>
      <c r="G23" s="214" t="s">
        <v>734</v>
      </c>
      <c r="H23" s="215">
        <f>MO!$C$34*(+VLOOKUP(G23,BD!$A$1:$B$11,2,0))</f>
        <v>1539.5833333333335</v>
      </c>
      <c r="I23" s="216"/>
      <c r="J23" s="216" t="s">
        <v>735</v>
      </c>
      <c r="K23" s="217" t="e">
        <f>+VLOOKUP(J23,'Dep. Maquina'!A:F,6,)</f>
        <v>#DIV/0!</v>
      </c>
      <c r="L23" s="218">
        <v>0.5</v>
      </c>
      <c r="M23" s="210">
        <v>30</v>
      </c>
      <c r="N23" s="219">
        <f t="shared" si="0"/>
        <v>0</v>
      </c>
      <c r="O23" s="219">
        <f t="shared" si="1"/>
        <v>0</v>
      </c>
      <c r="P23" s="219">
        <f t="shared" si="2"/>
        <v>0</v>
      </c>
      <c r="Q23" s="219">
        <f t="shared" si="3"/>
        <v>0</v>
      </c>
      <c r="R23" s="219" t="e">
        <f t="shared" si="4"/>
        <v>#DIV/0!</v>
      </c>
      <c r="S23" s="219" t="e">
        <f>SUM(N23:R23)*(M23*BD!$C$12)</f>
        <v>#DIV/0!</v>
      </c>
      <c r="T23" s="220" t="e">
        <f t="shared" si="5"/>
        <v>#DIV/0!</v>
      </c>
      <c r="U23" s="219">
        <f t="shared" si="6"/>
        <v>0</v>
      </c>
      <c r="V23" s="219">
        <f t="shared" si="7"/>
        <v>0</v>
      </c>
      <c r="W23" s="219">
        <f t="shared" si="8"/>
        <v>0</v>
      </c>
      <c r="X23" s="219">
        <f>+MO!$C$34*I23</f>
        <v>0</v>
      </c>
      <c r="Y23" s="219" t="e">
        <f t="shared" si="9"/>
        <v>#DIV/0!</v>
      </c>
      <c r="Z23" s="219" t="e">
        <f>+(N23+Q23+R23)*M23*BD!$C$12</f>
        <v>#DIV/0!</v>
      </c>
      <c r="AA23" s="221" t="e">
        <f t="shared" si="10"/>
        <v>#DIV/0!</v>
      </c>
      <c r="AB23" s="222" t="e">
        <f t="shared" si="11"/>
        <v>#DIV/0!</v>
      </c>
      <c r="AC23" s="223">
        <v>1</v>
      </c>
      <c r="AD23" s="224" t="e">
        <f t="shared" si="12"/>
        <v>#DIV/0!</v>
      </c>
    </row>
    <row r="24" spans="1:30" x14ac:dyDescent="0.25">
      <c r="A24" s="209">
        <v>22</v>
      </c>
      <c r="B24" s="210"/>
      <c r="C24" s="211"/>
      <c r="D24" s="212"/>
      <c r="E24" s="213"/>
      <c r="F24" s="213"/>
      <c r="G24" s="214" t="s">
        <v>734</v>
      </c>
      <c r="H24" s="215">
        <f>MO!$C$34*(+VLOOKUP(G24,BD!$A$1:$B$11,2,0))</f>
        <v>1539.5833333333335</v>
      </c>
      <c r="I24" s="216"/>
      <c r="J24" s="216" t="s">
        <v>735</v>
      </c>
      <c r="K24" s="217" t="e">
        <f>+VLOOKUP(J24,'Dep. Maquina'!A:F,6,)</f>
        <v>#DIV/0!</v>
      </c>
      <c r="L24" s="218">
        <v>0.5</v>
      </c>
      <c r="M24" s="210">
        <v>30</v>
      </c>
      <c r="N24" s="219">
        <f t="shared" si="0"/>
        <v>0</v>
      </c>
      <c r="O24" s="219">
        <f t="shared" si="1"/>
        <v>0</v>
      </c>
      <c r="P24" s="219">
        <f t="shared" si="2"/>
        <v>0</v>
      </c>
      <c r="Q24" s="219">
        <f t="shared" si="3"/>
        <v>0</v>
      </c>
      <c r="R24" s="219" t="e">
        <f t="shared" si="4"/>
        <v>#DIV/0!</v>
      </c>
      <c r="S24" s="219" t="e">
        <f>SUM(N24:R24)*(M24*BD!$C$12)</f>
        <v>#DIV/0!</v>
      </c>
      <c r="T24" s="220" t="e">
        <f t="shared" si="5"/>
        <v>#DIV/0!</v>
      </c>
      <c r="U24" s="219">
        <f t="shared" si="6"/>
        <v>0</v>
      </c>
      <c r="V24" s="219">
        <f t="shared" si="7"/>
        <v>0</v>
      </c>
      <c r="W24" s="219">
        <f t="shared" si="8"/>
        <v>0</v>
      </c>
      <c r="X24" s="219">
        <f>+MO!$C$34*I24</f>
        <v>0</v>
      </c>
      <c r="Y24" s="219" t="e">
        <f t="shared" si="9"/>
        <v>#DIV/0!</v>
      </c>
      <c r="Z24" s="219" t="e">
        <f>+(N24+Q24+R24)*M24*BD!$C$12</f>
        <v>#DIV/0!</v>
      </c>
      <c r="AA24" s="221" t="e">
        <f t="shared" si="10"/>
        <v>#DIV/0!</v>
      </c>
      <c r="AB24" s="222" t="e">
        <f t="shared" si="11"/>
        <v>#DIV/0!</v>
      </c>
      <c r="AC24" s="223">
        <v>1</v>
      </c>
      <c r="AD24" s="224" t="e">
        <f t="shared" si="12"/>
        <v>#DIV/0!</v>
      </c>
    </row>
    <row r="25" spans="1:30" x14ac:dyDescent="0.25">
      <c r="A25" s="209">
        <v>23</v>
      </c>
      <c r="B25" s="210"/>
      <c r="C25" s="211"/>
      <c r="D25" s="212"/>
      <c r="E25" s="213"/>
      <c r="F25" s="213"/>
      <c r="G25" s="214" t="s">
        <v>734</v>
      </c>
      <c r="H25" s="215">
        <f>MO!$C$34*(+VLOOKUP(G25,BD!$A$1:$B$11,2,0))</f>
        <v>1539.5833333333335</v>
      </c>
      <c r="I25" s="216"/>
      <c r="J25" s="216" t="s">
        <v>735</v>
      </c>
      <c r="K25" s="217" t="e">
        <f>+VLOOKUP(J25,'Dep. Maquina'!A:F,6,)</f>
        <v>#DIV/0!</v>
      </c>
      <c r="L25" s="218">
        <v>0.5</v>
      </c>
      <c r="M25" s="210">
        <v>30</v>
      </c>
      <c r="N25" s="219">
        <f t="shared" si="0"/>
        <v>0</v>
      </c>
      <c r="O25" s="219">
        <f t="shared" si="1"/>
        <v>0</v>
      </c>
      <c r="P25" s="219">
        <f t="shared" si="2"/>
        <v>0</v>
      </c>
      <c r="Q25" s="219">
        <f t="shared" si="3"/>
        <v>0</v>
      </c>
      <c r="R25" s="219" t="e">
        <f t="shared" si="4"/>
        <v>#DIV/0!</v>
      </c>
      <c r="S25" s="219" t="e">
        <f>SUM(N25:R25)*(M25*BD!$C$12)</f>
        <v>#DIV/0!</v>
      </c>
      <c r="T25" s="220" t="e">
        <f t="shared" si="5"/>
        <v>#DIV/0!</v>
      </c>
      <c r="U25" s="219">
        <f t="shared" si="6"/>
        <v>0</v>
      </c>
      <c r="V25" s="219">
        <f t="shared" si="7"/>
        <v>0</v>
      </c>
      <c r="W25" s="219">
        <f t="shared" si="8"/>
        <v>0</v>
      </c>
      <c r="X25" s="219">
        <f>+MO!$C$34*I25</f>
        <v>0</v>
      </c>
      <c r="Y25" s="219" t="e">
        <f t="shared" si="9"/>
        <v>#DIV/0!</v>
      </c>
      <c r="Z25" s="219" t="e">
        <f>+(N25+Q25+R25)*M25*BD!$C$12</f>
        <v>#DIV/0!</v>
      </c>
      <c r="AA25" s="221" t="e">
        <f t="shared" si="10"/>
        <v>#DIV/0!</v>
      </c>
      <c r="AB25" s="222" t="e">
        <f t="shared" si="11"/>
        <v>#DIV/0!</v>
      </c>
      <c r="AC25" s="223">
        <v>1</v>
      </c>
      <c r="AD25" s="224" t="e">
        <f t="shared" si="12"/>
        <v>#DIV/0!</v>
      </c>
    </row>
    <row r="26" spans="1:30" x14ac:dyDescent="0.25">
      <c r="A26" s="209">
        <v>24</v>
      </c>
      <c r="B26" s="210"/>
      <c r="C26" s="211"/>
      <c r="D26" s="212"/>
      <c r="E26" s="213"/>
      <c r="F26" s="213"/>
      <c r="G26" s="214" t="s">
        <v>734</v>
      </c>
      <c r="H26" s="215">
        <f>MO!$C$34*(+VLOOKUP(G26,BD!$A$1:$B$11,2,0))</f>
        <v>1539.5833333333335</v>
      </c>
      <c r="I26" s="216"/>
      <c r="J26" s="216" t="s">
        <v>735</v>
      </c>
      <c r="K26" s="217" t="e">
        <f>+VLOOKUP(J26,'Dep. Maquina'!A:F,6,)</f>
        <v>#DIV/0!</v>
      </c>
      <c r="L26" s="218">
        <v>0.5</v>
      </c>
      <c r="M26" s="210">
        <v>30</v>
      </c>
      <c r="N26" s="219">
        <f t="shared" si="0"/>
        <v>0</v>
      </c>
      <c r="O26" s="219">
        <f t="shared" si="1"/>
        <v>0</v>
      </c>
      <c r="P26" s="219">
        <f t="shared" si="2"/>
        <v>0</v>
      </c>
      <c r="Q26" s="219">
        <f t="shared" si="3"/>
        <v>0</v>
      </c>
      <c r="R26" s="219" t="e">
        <f t="shared" si="4"/>
        <v>#DIV/0!</v>
      </c>
      <c r="S26" s="219" t="e">
        <f>SUM(N26:R26)*(M26*BD!$C$12)</f>
        <v>#DIV/0!</v>
      </c>
      <c r="T26" s="220" t="e">
        <f t="shared" si="5"/>
        <v>#DIV/0!</v>
      </c>
      <c r="U26" s="219">
        <f t="shared" si="6"/>
        <v>0</v>
      </c>
      <c r="V26" s="219">
        <f t="shared" si="7"/>
        <v>0</v>
      </c>
      <c r="W26" s="219">
        <f t="shared" si="8"/>
        <v>0</v>
      </c>
      <c r="X26" s="219">
        <f>+MO!$C$34*I26</f>
        <v>0</v>
      </c>
      <c r="Y26" s="219" t="e">
        <f t="shared" si="9"/>
        <v>#DIV/0!</v>
      </c>
      <c r="Z26" s="219" t="e">
        <f>+(N26+Q26+R26)*M26*BD!$C$12</f>
        <v>#DIV/0!</v>
      </c>
      <c r="AA26" s="221" t="e">
        <f t="shared" si="10"/>
        <v>#DIV/0!</v>
      </c>
      <c r="AB26" s="222" t="e">
        <f t="shared" si="11"/>
        <v>#DIV/0!</v>
      </c>
      <c r="AC26" s="223">
        <v>1</v>
      </c>
      <c r="AD26" s="224" t="e">
        <f t="shared" si="12"/>
        <v>#DIV/0!</v>
      </c>
    </row>
    <row r="27" spans="1:30" x14ac:dyDescent="0.25">
      <c r="A27" s="209">
        <v>25</v>
      </c>
      <c r="B27" s="210"/>
      <c r="C27" s="211"/>
      <c r="D27" s="212"/>
      <c r="E27" s="213"/>
      <c r="F27" s="213"/>
      <c r="G27" s="214" t="s">
        <v>734</v>
      </c>
      <c r="H27" s="215">
        <f>MO!$C$34*(+VLOOKUP(G27,BD!$A$1:$B$11,2,0))</f>
        <v>1539.5833333333335</v>
      </c>
      <c r="I27" s="216"/>
      <c r="J27" s="216" t="s">
        <v>735</v>
      </c>
      <c r="K27" s="217" t="e">
        <f>+VLOOKUP(J27,'Dep. Maquina'!A:F,6,)</f>
        <v>#DIV/0!</v>
      </c>
      <c r="L27" s="218">
        <v>0.5</v>
      </c>
      <c r="M27" s="210">
        <v>30</v>
      </c>
      <c r="N27" s="219">
        <f t="shared" si="0"/>
        <v>0</v>
      </c>
      <c r="O27" s="219">
        <f t="shared" si="1"/>
        <v>0</v>
      </c>
      <c r="P27" s="219">
        <f t="shared" si="2"/>
        <v>0</v>
      </c>
      <c r="Q27" s="219">
        <f t="shared" si="3"/>
        <v>0</v>
      </c>
      <c r="R27" s="219" t="e">
        <f t="shared" si="4"/>
        <v>#DIV/0!</v>
      </c>
      <c r="S27" s="219" t="e">
        <f>SUM(N27:R27)*(M27*BD!$C$12)</f>
        <v>#DIV/0!</v>
      </c>
      <c r="T27" s="220" t="e">
        <f t="shared" si="5"/>
        <v>#DIV/0!</v>
      </c>
      <c r="U27" s="219">
        <f t="shared" si="6"/>
        <v>0</v>
      </c>
      <c r="V27" s="219">
        <f t="shared" si="7"/>
        <v>0</v>
      </c>
      <c r="W27" s="219">
        <f t="shared" si="8"/>
        <v>0</v>
      </c>
      <c r="X27" s="219">
        <f>+MO!$C$34*I27</f>
        <v>0</v>
      </c>
      <c r="Y27" s="219" t="e">
        <f t="shared" si="9"/>
        <v>#DIV/0!</v>
      </c>
      <c r="Z27" s="219" t="e">
        <f>+(N27+Q27+R27)*M27*BD!$C$12</f>
        <v>#DIV/0!</v>
      </c>
      <c r="AA27" s="221" t="e">
        <f t="shared" si="10"/>
        <v>#DIV/0!</v>
      </c>
      <c r="AB27" s="222" t="e">
        <f t="shared" si="11"/>
        <v>#DIV/0!</v>
      </c>
      <c r="AC27" s="223">
        <v>1</v>
      </c>
      <c r="AD27" s="224" t="e">
        <f t="shared" si="12"/>
        <v>#DIV/0!</v>
      </c>
    </row>
    <row r="28" spans="1:30" x14ac:dyDescent="0.25">
      <c r="A28" s="209">
        <v>26</v>
      </c>
      <c r="B28" s="210"/>
      <c r="C28" s="211"/>
      <c r="D28" s="212"/>
      <c r="E28" s="213"/>
      <c r="F28" s="213"/>
      <c r="G28" s="214" t="s">
        <v>734</v>
      </c>
      <c r="H28" s="215">
        <f>MO!$C$34*(+VLOOKUP(G28,BD!$A$1:$B$11,2,0))</f>
        <v>1539.5833333333335</v>
      </c>
      <c r="I28" s="216"/>
      <c r="J28" s="216" t="s">
        <v>735</v>
      </c>
      <c r="K28" s="217" t="e">
        <f>+VLOOKUP(J28,'Dep. Maquina'!A:F,6,)</f>
        <v>#DIV/0!</v>
      </c>
      <c r="L28" s="218">
        <v>0.5</v>
      </c>
      <c r="M28" s="210">
        <v>30</v>
      </c>
      <c r="N28" s="219">
        <f t="shared" si="0"/>
        <v>0</v>
      </c>
      <c r="O28" s="219">
        <f t="shared" si="1"/>
        <v>0</v>
      </c>
      <c r="P28" s="219">
        <f t="shared" si="2"/>
        <v>0</v>
      </c>
      <c r="Q28" s="219">
        <f t="shared" si="3"/>
        <v>0</v>
      </c>
      <c r="R28" s="219" t="e">
        <f t="shared" si="4"/>
        <v>#DIV/0!</v>
      </c>
      <c r="S28" s="219" t="e">
        <f>SUM(N28:R28)*(M28*BD!$C$12)</f>
        <v>#DIV/0!</v>
      </c>
      <c r="T28" s="220" t="e">
        <f t="shared" si="5"/>
        <v>#DIV/0!</v>
      </c>
      <c r="U28" s="219">
        <f t="shared" si="6"/>
        <v>0</v>
      </c>
      <c r="V28" s="219">
        <f t="shared" si="7"/>
        <v>0</v>
      </c>
      <c r="W28" s="219">
        <f t="shared" si="8"/>
        <v>0</v>
      </c>
      <c r="X28" s="219">
        <f>+MO!$C$34*I28</f>
        <v>0</v>
      </c>
      <c r="Y28" s="219" t="e">
        <f t="shared" si="9"/>
        <v>#DIV/0!</v>
      </c>
      <c r="Z28" s="219" t="e">
        <f>+(N28+Q28+R28)*M28*BD!$C$12</f>
        <v>#DIV/0!</v>
      </c>
      <c r="AA28" s="221" t="e">
        <f t="shared" si="10"/>
        <v>#DIV/0!</v>
      </c>
      <c r="AB28" s="222" t="e">
        <f t="shared" si="11"/>
        <v>#DIV/0!</v>
      </c>
      <c r="AC28" s="223">
        <v>1</v>
      </c>
      <c r="AD28" s="224" t="e">
        <f t="shared" si="12"/>
        <v>#DIV/0!</v>
      </c>
    </row>
    <row r="29" spans="1:30" x14ac:dyDescent="0.25">
      <c r="A29" s="209">
        <v>27</v>
      </c>
      <c r="B29" s="210"/>
      <c r="C29" s="211"/>
      <c r="D29" s="212"/>
      <c r="E29" s="213"/>
      <c r="F29" s="213"/>
      <c r="G29" s="214" t="s">
        <v>734</v>
      </c>
      <c r="H29" s="215">
        <f>MO!$C$34*(+VLOOKUP(G29,BD!$A$1:$B$11,2,0))</f>
        <v>1539.5833333333335</v>
      </c>
      <c r="I29" s="216"/>
      <c r="J29" s="216" t="s">
        <v>735</v>
      </c>
      <c r="K29" s="217" t="e">
        <f>+VLOOKUP(J29,'Dep. Maquina'!A:F,6,)</f>
        <v>#DIV/0!</v>
      </c>
      <c r="L29" s="218">
        <v>0.5</v>
      </c>
      <c r="M29" s="210">
        <v>30</v>
      </c>
      <c r="N29" s="219">
        <f t="shared" si="0"/>
        <v>0</v>
      </c>
      <c r="O29" s="219">
        <f t="shared" si="1"/>
        <v>0</v>
      </c>
      <c r="P29" s="219">
        <f t="shared" si="2"/>
        <v>0</v>
      </c>
      <c r="Q29" s="219">
        <f t="shared" si="3"/>
        <v>0</v>
      </c>
      <c r="R29" s="219" t="e">
        <f t="shared" si="4"/>
        <v>#DIV/0!</v>
      </c>
      <c r="S29" s="219" t="e">
        <f>SUM(N29:R29)*(M29*BD!$C$12)</f>
        <v>#DIV/0!</v>
      </c>
      <c r="T29" s="220" t="e">
        <f t="shared" si="5"/>
        <v>#DIV/0!</v>
      </c>
      <c r="U29" s="219">
        <f t="shared" si="6"/>
        <v>0</v>
      </c>
      <c r="V29" s="219">
        <f t="shared" si="7"/>
        <v>0</v>
      </c>
      <c r="W29" s="219">
        <f t="shared" si="8"/>
        <v>0</v>
      </c>
      <c r="X29" s="219">
        <f>+MO!$C$34*I29</f>
        <v>0</v>
      </c>
      <c r="Y29" s="219" t="e">
        <f t="shared" si="9"/>
        <v>#DIV/0!</v>
      </c>
      <c r="Z29" s="219" t="e">
        <f>+(N29+Q29+R29)*M29*BD!$C$12</f>
        <v>#DIV/0!</v>
      </c>
      <c r="AA29" s="221" t="e">
        <f t="shared" si="10"/>
        <v>#DIV/0!</v>
      </c>
      <c r="AB29" s="222" t="e">
        <f t="shared" si="11"/>
        <v>#DIV/0!</v>
      </c>
      <c r="AC29" s="223">
        <v>1</v>
      </c>
      <c r="AD29" s="224" t="e">
        <f t="shared" si="12"/>
        <v>#DIV/0!</v>
      </c>
    </row>
    <row r="30" spans="1:30" x14ac:dyDescent="0.25">
      <c r="A30" s="209">
        <v>28</v>
      </c>
      <c r="B30" s="210"/>
      <c r="C30" s="211"/>
      <c r="D30" s="212"/>
      <c r="E30" s="213"/>
      <c r="F30" s="213"/>
      <c r="G30" s="214" t="s">
        <v>734</v>
      </c>
      <c r="H30" s="215">
        <f>MO!$C$34*(+VLOOKUP(G30,BD!$A$1:$B$11,2,0))</f>
        <v>1539.5833333333335</v>
      </c>
      <c r="I30" s="216"/>
      <c r="J30" s="216" t="s">
        <v>735</v>
      </c>
      <c r="K30" s="217" t="e">
        <f>+VLOOKUP(J30,'Dep. Maquina'!A:F,6,)</f>
        <v>#DIV/0!</v>
      </c>
      <c r="L30" s="218">
        <v>0.5</v>
      </c>
      <c r="M30" s="210">
        <v>30</v>
      </c>
      <c r="N30" s="219">
        <f t="shared" si="0"/>
        <v>0</v>
      </c>
      <c r="O30" s="219">
        <f t="shared" si="1"/>
        <v>0</v>
      </c>
      <c r="P30" s="219">
        <f t="shared" si="2"/>
        <v>0</v>
      </c>
      <c r="Q30" s="219">
        <f t="shared" si="3"/>
        <v>0</v>
      </c>
      <c r="R30" s="219" t="e">
        <f t="shared" si="4"/>
        <v>#DIV/0!</v>
      </c>
      <c r="S30" s="219" t="e">
        <f>SUM(N30:R30)*(M30*BD!$C$12)</f>
        <v>#DIV/0!</v>
      </c>
      <c r="T30" s="220" t="e">
        <f t="shared" si="5"/>
        <v>#DIV/0!</v>
      </c>
      <c r="U30" s="219">
        <f t="shared" si="6"/>
        <v>0</v>
      </c>
      <c r="V30" s="219">
        <f t="shared" si="7"/>
        <v>0</v>
      </c>
      <c r="W30" s="219">
        <f t="shared" si="8"/>
        <v>0</v>
      </c>
      <c r="X30" s="219">
        <f>+MO!$C$34*I30</f>
        <v>0</v>
      </c>
      <c r="Y30" s="219" t="e">
        <f t="shared" si="9"/>
        <v>#DIV/0!</v>
      </c>
      <c r="Z30" s="219" t="e">
        <f>+(N30+Q30+R30)*M30*BD!$C$12</f>
        <v>#DIV/0!</v>
      </c>
      <c r="AA30" s="221" t="e">
        <f t="shared" si="10"/>
        <v>#DIV/0!</v>
      </c>
      <c r="AB30" s="222" t="e">
        <f t="shared" si="11"/>
        <v>#DIV/0!</v>
      </c>
      <c r="AC30" s="223">
        <v>1</v>
      </c>
      <c r="AD30" s="224" t="e">
        <f t="shared" si="12"/>
        <v>#DIV/0!</v>
      </c>
    </row>
    <row r="31" spans="1:30" x14ac:dyDescent="0.25">
      <c r="A31" s="209">
        <v>29</v>
      </c>
      <c r="B31" s="210"/>
      <c r="C31" s="211"/>
      <c r="D31" s="212"/>
      <c r="E31" s="213"/>
      <c r="F31" s="213"/>
      <c r="G31" s="214" t="s">
        <v>734</v>
      </c>
      <c r="H31" s="215">
        <f>MO!$C$34*(+VLOOKUP(G31,BD!$A$1:$B$11,2,0))</f>
        <v>1539.5833333333335</v>
      </c>
      <c r="I31" s="216"/>
      <c r="J31" s="216" t="s">
        <v>735</v>
      </c>
      <c r="K31" s="217" t="e">
        <f>+VLOOKUP(J31,'Dep. Maquina'!A:F,6,)</f>
        <v>#DIV/0!</v>
      </c>
      <c r="L31" s="218">
        <v>0.5</v>
      </c>
      <c r="M31" s="210">
        <v>30</v>
      </c>
      <c r="N31" s="219">
        <f t="shared" si="0"/>
        <v>0</v>
      </c>
      <c r="O31" s="219">
        <f t="shared" si="1"/>
        <v>0</v>
      </c>
      <c r="P31" s="219">
        <f t="shared" si="2"/>
        <v>0</v>
      </c>
      <c r="Q31" s="219">
        <f t="shared" si="3"/>
        <v>0</v>
      </c>
      <c r="R31" s="219" t="e">
        <f t="shared" si="4"/>
        <v>#DIV/0!</v>
      </c>
      <c r="S31" s="219" t="e">
        <f>SUM(N31:R31)*(M31*BD!$C$12)</f>
        <v>#DIV/0!</v>
      </c>
      <c r="T31" s="220" t="e">
        <f t="shared" si="5"/>
        <v>#DIV/0!</v>
      </c>
      <c r="U31" s="219">
        <f t="shared" si="6"/>
        <v>0</v>
      </c>
      <c r="V31" s="219">
        <f t="shared" si="7"/>
        <v>0</v>
      </c>
      <c r="W31" s="219">
        <f t="shared" si="8"/>
        <v>0</v>
      </c>
      <c r="X31" s="219">
        <f>+MO!$C$34*I31</f>
        <v>0</v>
      </c>
      <c r="Y31" s="219" t="e">
        <f t="shared" si="9"/>
        <v>#DIV/0!</v>
      </c>
      <c r="Z31" s="219" t="e">
        <f>+(N31+Q31+R31)*M31*BD!$C$12</f>
        <v>#DIV/0!</v>
      </c>
      <c r="AA31" s="221" t="e">
        <f t="shared" si="10"/>
        <v>#DIV/0!</v>
      </c>
      <c r="AB31" s="222" t="e">
        <f t="shared" si="11"/>
        <v>#DIV/0!</v>
      </c>
      <c r="AC31" s="223">
        <v>1</v>
      </c>
      <c r="AD31" s="224" t="e">
        <f t="shared" si="12"/>
        <v>#DIV/0!</v>
      </c>
    </row>
    <row r="32" spans="1:30" x14ac:dyDescent="0.25">
      <c r="A32" s="209">
        <v>30</v>
      </c>
      <c r="B32" s="210"/>
      <c r="C32" s="211"/>
      <c r="D32" s="212"/>
      <c r="E32" s="213"/>
      <c r="F32" s="213"/>
      <c r="G32" s="214" t="s">
        <v>734</v>
      </c>
      <c r="H32" s="215">
        <f>MO!$C$34*(+VLOOKUP(G32,BD!$A$1:$B$11,2,0))</f>
        <v>1539.5833333333335</v>
      </c>
      <c r="I32" s="216"/>
      <c r="J32" s="216" t="s">
        <v>735</v>
      </c>
      <c r="K32" s="217" t="e">
        <f>+VLOOKUP(J32,'Dep. Maquina'!A:F,6,)</f>
        <v>#DIV/0!</v>
      </c>
      <c r="L32" s="218">
        <v>0.5</v>
      </c>
      <c r="M32" s="210">
        <v>30</v>
      </c>
      <c r="N32" s="219">
        <f t="shared" si="0"/>
        <v>0</v>
      </c>
      <c r="O32" s="219">
        <f t="shared" si="1"/>
        <v>0</v>
      </c>
      <c r="P32" s="219">
        <f t="shared" si="2"/>
        <v>0</v>
      </c>
      <c r="Q32" s="219">
        <f t="shared" si="3"/>
        <v>0</v>
      </c>
      <c r="R32" s="219" t="e">
        <f t="shared" si="4"/>
        <v>#DIV/0!</v>
      </c>
      <c r="S32" s="219" t="e">
        <f>SUM(N32:R32)*(M32*BD!$C$12)</f>
        <v>#DIV/0!</v>
      </c>
      <c r="T32" s="220" t="e">
        <f t="shared" si="5"/>
        <v>#DIV/0!</v>
      </c>
      <c r="U32" s="219">
        <f t="shared" si="6"/>
        <v>0</v>
      </c>
      <c r="V32" s="219">
        <f t="shared" si="7"/>
        <v>0</v>
      </c>
      <c r="W32" s="219">
        <f t="shared" si="8"/>
        <v>0</v>
      </c>
      <c r="X32" s="219">
        <f>+MO!$C$34*I32</f>
        <v>0</v>
      </c>
      <c r="Y32" s="219" t="e">
        <f t="shared" si="9"/>
        <v>#DIV/0!</v>
      </c>
      <c r="Z32" s="219" t="e">
        <f>+(N32+Q32+R32)*M32*BD!$C$12</f>
        <v>#DIV/0!</v>
      </c>
      <c r="AA32" s="221" t="e">
        <f t="shared" si="10"/>
        <v>#DIV/0!</v>
      </c>
      <c r="AB32" s="222" t="e">
        <f t="shared" si="11"/>
        <v>#DIV/0!</v>
      </c>
      <c r="AC32" s="223">
        <v>1</v>
      </c>
      <c r="AD32" s="224" t="e">
        <f t="shared" si="12"/>
        <v>#DIV/0!</v>
      </c>
    </row>
    <row r="33" spans="1:30" x14ac:dyDescent="0.25">
      <c r="A33" s="209">
        <v>31</v>
      </c>
      <c r="B33" s="210"/>
      <c r="C33" s="211"/>
      <c r="D33" s="212"/>
      <c r="E33" s="213"/>
      <c r="F33" s="213"/>
      <c r="G33" s="214" t="s">
        <v>734</v>
      </c>
      <c r="H33" s="215">
        <f>MO!$C$34*(+VLOOKUP(G33,BD!$A$1:$B$11,2,0))</f>
        <v>1539.5833333333335</v>
      </c>
      <c r="I33" s="216"/>
      <c r="J33" s="216" t="s">
        <v>735</v>
      </c>
      <c r="K33" s="217" t="e">
        <f>+VLOOKUP(J33,'Dep. Maquina'!A:F,6,)</f>
        <v>#DIV/0!</v>
      </c>
      <c r="L33" s="218">
        <v>0.5</v>
      </c>
      <c r="M33" s="210">
        <v>30</v>
      </c>
      <c r="N33" s="219">
        <f t="shared" si="0"/>
        <v>0</v>
      </c>
      <c r="O33" s="219">
        <f t="shared" si="1"/>
        <v>0</v>
      </c>
      <c r="P33" s="219">
        <f t="shared" si="2"/>
        <v>0</v>
      </c>
      <c r="Q33" s="219">
        <f t="shared" si="3"/>
        <v>0</v>
      </c>
      <c r="R33" s="219" t="e">
        <f t="shared" si="4"/>
        <v>#DIV/0!</v>
      </c>
      <c r="S33" s="219" t="e">
        <f>SUM(N33:R33)*(M33*BD!$C$12)</f>
        <v>#DIV/0!</v>
      </c>
      <c r="T33" s="220" t="e">
        <f t="shared" si="5"/>
        <v>#DIV/0!</v>
      </c>
      <c r="U33" s="219">
        <f t="shared" si="6"/>
        <v>0</v>
      </c>
      <c r="V33" s="219">
        <f t="shared" si="7"/>
        <v>0</v>
      </c>
      <c r="W33" s="219">
        <f t="shared" si="8"/>
        <v>0</v>
      </c>
      <c r="X33" s="219">
        <f>+MO!$C$34*I33</f>
        <v>0</v>
      </c>
      <c r="Y33" s="219" t="e">
        <f t="shared" si="9"/>
        <v>#DIV/0!</v>
      </c>
      <c r="Z33" s="219" t="e">
        <f>+(N33+Q33+R33)*M33*BD!$C$12</f>
        <v>#DIV/0!</v>
      </c>
      <c r="AA33" s="221" t="e">
        <f t="shared" si="10"/>
        <v>#DIV/0!</v>
      </c>
      <c r="AB33" s="222" t="e">
        <f t="shared" si="11"/>
        <v>#DIV/0!</v>
      </c>
      <c r="AC33" s="223">
        <v>1</v>
      </c>
      <c r="AD33" s="224" t="e">
        <f t="shared" si="12"/>
        <v>#DIV/0!</v>
      </c>
    </row>
    <row r="34" spans="1:30" x14ac:dyDescent="0.25">
      <c r="A34" s="209">
        <v>32</v>
      </c>
      <c r="B34" s="210"/>
      <c r="C34" s="211"/>
      <c r="D34" s="212"/>
      <c r="E34" s="213"/>
      <c r="F34" s="213"/>
      <c r="G34" s="214" t="s">
        <v>734</v>
      </c>
      <c r="H34" s="215">
        <f>MO!$C$34*(+VLOOKUP(G34,BD!$A$1:$B$11,2,0))</f>
        <v>1539.5833333333335</v>
      </c>
      <c r="I34" s="216"/>
      <c r="J34" s="216" t="s">
        <v>735</v>
      </c>
      <c r="K34" s="217" t="e">
        <f>+VLOOKUP(J34,'Dep. Maquina'!A:F,6,)</f>
        <v>#DIV/0!</v>
      </c>
      <c r="L34" s="218">
        <v>0.5</v>
      </c>
      <c r="M34" s="210">
        <v>30</v>
      </c>
      <c r="N34" s="219">
        <f t="shared" si="0"/>
        <v>0</v>
      </c>
      <c r="O34" s="219">
        <f t="shared" si="1"/>
        <v>0</v>
      </c>
      <c r="P34" s="219">
        <f t="shared" si="2"/>
        <v>0</v>
      </c>
      <c r="Q34" s="219">
        <f t="shared" si="3"/>
        <v>0</v>
      </c>
      <c r="R34" s="219" t="e">
        <f t="shared" si="4"/>
        <v>#DIV/0!</v>
      </c>
      <c r="S34" s="219" t="e">
        <f>SUM(N34:R34)*(M34*BD!$C$12)</f>
        <v>#DIV/0!</v>
      </c>
      <c r="T34" s="220" t="e">
        <f t="shared" si="5"/>
        <v>#DIV/0!</v>
      </c>
      <c r="U34" s="219">
        <f t="shared" si="6"/>
        <v>0</v>
      </c>
      <c r="V34" s="219">
        <f t="shared" si="7"/>
        <v>0</v>
      </c>
      <c r="W34" s="219">
        <f t="shared" si="8"/>
        <v>0</v>
      </c>
      <c r="X34" s="219">
        <f>+MO!$C$34*I34</f>
        <v>0</v>
      </c>
      <c r="Y34" s="219" t="e">
        <f t="shared" si="9"/>
        <v>#DIV/0!</v>
      </c>
      <c r="Z34" s="219" t="e">
        <f>+(N34+Q34+R34)*M34*BD!$C$12</f>
        <v>#DIV/0!</v>
      </c>
      <c r="AA34" s="221" t="e">
        <f t="shared" si="10"/>
        <v>#DIV/0!</v>
      </c>
      <c r="AB34" s="222" t="e">
        <f t="shared" si="11"/>
        <v>#DIV/0!</v>
      </c>
      <c r="AC34" s="223">
        <v>1</v>
      </c>
      <c r="AD34" s="224" t="e">
        <f t="shared" si="12"/>
        <v>#DIV/0!</v>
      </c>
    </row>
    <row r="35" spans="1:30" x14ac:dyDescent="0.25">
      <c r="A35" s="209">
        <v>33</v>
      </c>
      <c r="B35" s="210"/>
      <c r="C35" s="211"/>
      <c r="D35" s="212"/>
      <c r="E35" s="213"/>
      <c r="F35" s="213"/>
      <c r="G35" s="214" t="s">
        <v>734</v>
      </c>
      <c r="H35" s="215">
        <f>MO!$C$34*(+VLOOKUP(G35,BD!$A$1:$B$11,2,0))</f>
        <v>1539.5833333333335</v>
      </c>
      <c r="I35" s="216"/>
      <c r="J35" s="216" t="s">
        <v>735</v>
      </c>
      <c r="K35" s="217" t="e">
        <f>+VLOOKUP(J35,'Dep. Maquina'!A:F,6,)</f>
        <v>#DIV/0!</v>
      </c>
      <c r="L35" s="218">
        <v>0.5</v>
      </c>
      <c r="M35" s="210">
        <v>30</v>
      </c>
      <c r="N35" s="219">
        <f t="shared" si="0"/>
        <v>0</v>
      </c>
      <c r="O35" s="219">
        <f t="shared" si="1"/>
        <v>0</v>
      </c>
      <c r="P35" s="219">
        <f t="shared" si="2"/>
        <v>0</v>
      </c>
      <c r="Q35" s="219">
        <f t="shared" si="3"/>
        <v>0</v>
      </c>
      <c r="R35" s="219" t="e">
        <f t="shared" si="4"/>
        <v>#DIV/0!</v>
      </c>
      <c r="S35" s="219" t="e">
        <f>SUM(N35:R35)*(M35*BD!$C$12)</f>
        <v>#DIV/0!</v>
      </c>
      <c r="T35" s="220" t="e">
        <f t="shared" si="5"/>
        <v>#DIV/0!</v>
      </c>
      <c r="U35" s="219">
        <f t="shared" si="6"/>
        <v>0</v>
      </c>
      <c r="V35" s="219">
        <f t="shared" si="7"/>
        <v>0</v>
      </c>
      <c r="W35" s="219">
        <f t="shared" si="8"/>
        <v>0</v>
      </c>
      <c r="X35" s="219">
        <f>+MO!$C$34*I35</f>
        <v>0</v>
      </c>
      <c r="Y35" s="219" t="e">
        <f t="shared" si="9"/>
        <v>#DIV/0!</v>
      </c>
      <c r="Z35" s="219" t="e">
        <f>+(N35+Q35+R35)*M35*BD!$C$12</f>
        <v>#DIV/0!</v>
      </c>
      <c r="AA35" s="221" t="e">
        <f t="shared" si="10"/>
        <v>#DIV/0!</v>
      </c>
      <c r="AB35" s="222" t="e">
        <f t="shared" si="11"/>
        <v>#DIV/0!</v>
      </c>
      <c r="AC35" s="223">
        <v>1</v>
      </c>
      <c r="AD35" s="224" t="e">
        <f t="shared" si="12"/>
        <v>#DIV/0!</v>
      </c>
    </row>
    <row r="36" spans="1:30" x14ac:dyDescent="0.25">
      <c r="A36" s="209">
        <v>34</v>
      </c>
      <c r="B36" s="210"/>
      <c r="C36" s="211"/>
      <c r="D36" s="212"/>
      <c r="E36" s="213"/>
      <c r="F36" s="213"/>
      <c r="G36" s="214" t="s">
        <v>734</v>
      </c>
      <c r="H36" s="215">
        <f>MO!$C$34*(+VLOOKUP(G36,BD!$A$1:$B$11,2,0))</f>
        <v>1539.5833333333335</v>
      </c>
      <c r="I36" s="216"/>
      <c r="J36" s="216" t="s">
        <v>735</v>
      </c>
      <c r="K36" s="217" t="e">
        <f>+VLOOKUP(J36,'Dep. Maquina'!A:F,6,)</f>
        <v>#DIV/0!</v>
      </c>
      <c r="L36" s="218">
        <v>0.5</v>
      </c>
      <c r="M36" s="210">
        <v>30</v>
      </c>
      <c r="N36" s="219">
        <f t="shared" si="0"/>
        <v>0</v>
      </c>
      <c r="O36" s="219">
        <f t="shared" si="1"/>
        <v>0</v>
      </c>
      <c r="P36" s="219">
        <f t="shared" si="2"/>
        <v>0</v>
      </c>
      <c r="Q36" s="219">
        <f t="shared" si="3"/>
        <v>0</v>
      </c>
      <c r="R36" s="219" t="e">
        <f t="shared" si="4"/>
        <v>#DIV/0!</v>
      </c>
      <c r="S36" s="219" t="e">
        <f>SUM(N36:R36)*(M36*BD!$C$12)</f>
        <v>#DIV/0!</v>
      </c>
      <c r="T36" s="220" t="e">
        <f t="shared" si="5"/>
        <v>#DIV/0!</v>
      </c>
      <c r="U36" s="219">
        <f t="shared" si="6"/>
        <v>0</v>
      </c>
      <c r="V36" s="219">
        <f t="shared" si="7"/>
        <v>0</v>
      </c>
      <c r="W36" s="219">
        <f t="shared" si="8"/>
        <v>0</v>
      </c>
      <c r="X36" s="219">
        <f>+MO!$C$34*I36</f>
        <v>0</v>
      </c>
      <c r="Y36" s="219" t="e">
        <f t="shared" si="9"/>
        <v>#DIV/0!</v>
      </c>
      <c r="Z36" s="219" t="e">
        <f>+(N36+Q36+R36)*M36*BD!$C$12</f>
        <v>#DIV/0!</v>
      </c>
      <c r="AA36" s="221" t="e">
        <f t="shared" si="10"/>
        <v>#DIV/0!</v>
      </c>
      <c r="AB36" s="222" t="e">
        <f t="shared" si="11"/>
        <v>#DIV/0!</v>
      </c>
      <c r="AC36" s="223">
        <v>1</v>
      </c>
      <c r="AD36" s="224" t="e">
        <f t="shared" si="12"/>
        <v>#DIV/0!</v>
      </c>
    </row>
    <row r="37" spans="1:30" x14ac:dyDescent="0.25">
      <c r="A37" s="209">
        <v>35</v>
      </c>
      <c r="B37" s="210"/>
      <c r="C37" s="211"/>
      <c r="D37" s="212"/>
      <c r="E37" s="213"/>
      <c r="F37" s="213"/>
      <c r="G37" s="214" t="s">
        <v>734</v>
      </c>
      <c r="H37" s="215">
        <f>MO!$C$34*(+VLOOKUP(G37,BD!$A$1:$B$11,2,0))</f>
        <v>1539.5833333333335</v>
      </c>
      <c r="I37" s="216"/>
      <c r="J37" s="216" t="s">
        <v>735</v>
      </c>
      <c r="K37" s="217" t="e">
        <f>+VLOOKUP(J37,'Dep. Maquina'!A:F,6,)</f>
        <v>#DIV/0!</v>
      </c>
      <c r="L37" s="218">
        <v>0.5</v>
      </c>
      <c r="M37" s="210">
        <v>30</v>
      </c>
      <c r="N37" s="219">
        <f t="shared" si="0"/>
        <v>0</v>
      </c>
      <c r="O37" s="219">
        <f t="shared" si="1"/>
        <v>0</v>
      </c>
      <c r="P37" s="219">
        <f t="shared" si="2"/>
        <v>0</v>
      </c>
      <c r="Q37" s="219">
        <f t="shared" si="3"/>
        <v>0</v>
      </c>
      <c r="R37" s="219" t="e">
        <f t="shared" si="4"/>
        <v>#DIV/0!</v>
      </c>
      <c r="S37" s="219" t="e">
        <f>SUM(N37:R37)*(M37*BD!$C$12)</f>
        <v>#DIV/0!</v>
      </c>
      <c r="T37" s="220" t="e">
        <f t="shared" si="5"/>
        <v>#DIV/0!</v>
      </c>
      <c r="U37" s="219">
        <f t="shared" si="6"/>
        <v>0</v>
      </c>
      <c r="V37" s="219">
        <f t="shared" si="7"/>
        <v>0</v>
      </c>
      <c r="W37" s="219">
        <f t="shared" si="8"/>
        <v>0</v>
      </c>
      <c r="X37" s="219">
        <f>+MO!$C$34*I37</f>
        <v>0</v>
      </c>
      <c r="Y37" s="219" t="e">
        <f t="shared" si="9"/>
        <v>#DIV/0!</v>
      </c>
      <c r="Z37" s="219" t="e">
        <f>+(N37+Q37+R37)*M37*BD!$C$12</f>
        <v>#DIV/0!</v>
      </c>
      <c r="AA37" s="221" t="e">
        <f t="shared" si="10"/>
        <v>#DIV/0!</v>
      </c>
      <c r="AB37" s="222" t="e">
        <f t="shared" si="11"/>
        <v>#DIV/0!</v>
      </c>
      <c r="AC37" s="223">
        <v>1</v>
      </c>
      <c r="AD37" s="224" t="e">
        <f t="shared" si="12"/>
        <v>#DIV/0!</v>
      </c>
    </row>
    <row r="38" spans="1:30" x14ac:dyDescent="0.25">
      <c r="A38" s="209">
        <v>36</v>
      </c>
      <c r="B38" s="210"/>
      <c r="C38" s="211"/>
      <c r="D38" s="212"/>
      <c r="E38" s="213"/>
      <c r="F38" s="213"/>
      <c r="G38" s="214" t="s">
        <v>734</v>
      </c>
      <c r="H38" s="215">
        <f>MO!$C$34*(+VLOOKUP(G38,BD!$A$1:$B$11,2,0))</f>
        <v>1539.5833333333335</v>
      </c>
      <c r="I38" s="216"/>
      <c r="J38" s="216" t="s">
        <v>735</v>
      </c>
      <c r="K38" s="217" t="e">
        <f>+VLOOKUP(J38,'Dep. Maquina'!A:F,6,)</f>
        <v>#DIV/0!</v>
      </c>
      <c r="L38" s="218">
        <v>0.5</v>
      </c>
      <c r="M38" s="210">
        <v>30</v>
      </c>
      <c r="N38" s="219">
        <f t="shared" si="0"/>
        <v>0</v>
      </c>
      <c r="O38" s="219">
        <f t="shared" si="1"/>
        <v>0</v>
      </c>
      <c r="P38" s="219">
        <f t="shared" si="2"/>
        <v>0</v>
      </c>
      <c r="Q38" s="219">
        <f t="shared" si="3"/>
        <v>0</v>
      </c>
      <c r="R38" s="219" t="e">
        <f t="shared" si="4"/>
        <v>#DIV/0!</v>
      </c>
      <c r="S38" s="219" t="e">
        <f>SUM(N38:R38)*(M38*BD!$C$12)</f>
        <v>#DIV/0!</v>
      </c>
      <c r="T38" s="220" t="e">
        <f t="shared" si="5"/>
        <v>#DIV/0!</v>
      </c>
      <c r="U38" s="219">
        <f t="shared" si="6"/>
        <v>0</v>
      </c>
      <c r="V38" s="219">
        <f t="shared" si="7"/>
        <v>0</v>
      </c>
      <c r="W38" s="219">
        <f t="shared" si="8"/>
        <v>0</v>
      </c>
      <c r="X38" s="219">
        <f>+MO!$C$34*I38</f>
        <v>0</v>
      </c>
      <c r="Y38" s="219" t="e">
        <f t="shared" si="9"/>
        <v>#DIV/0!</v>
      </c>
      <c r="Z38" s="219" t="e">
        <f>+(N38+Q38+R38)*M38*BD!$C$12</f>
        <v>#DIV/0!</v>
      </c>
      <c r="AA38" s="221" t="e">
        <f t="shared" si="10"/>
        <v>#DIV/0!</v>
      </c>
      <c r="AB38" s="222" t="e">
        <f t="shared" si="11"/>
        <v>#DIV/0!</v>
      </c>
      <c r="AC38" s="223">
        <v>1</v>
      </c>
      <c r="AD38" s="224" t="e">
        <f t="shared" si="12"/>
        <v>#DIV/0!</v>
      </c>
    </row>
    <row r="39" spans="1:30" x14ac:dyDescent="0.25">
      <c r="A39" s="209">
        <v>37</v>
      </c>
      <c r="B39" s="210"/>
      <c r="C39" s="211"/>
      <c r="D39" s="212"/>
      <c r="E39" s="213"/>
      <c r="F39" s="213"/>
      <c r="G39" s="214" t="s">
        <v>734</v>
      </c>
      <c r="H39" s="215">
        <f>MO!$C$34*(+VLOOKUP(G39,BD!$A$1:$B$11,2,0))</f>
        <v>1539.5833333333335</v>
      </c>
      <c r="I39" s="216"/>
      <c r="J39" s="216" t="s">
        <v>735</v>
      </c>
      <c r="K39" s="217" t="e">
        <f>+VLOOKUP(J39,'Dep. Maquina'!A:F,6,)</f>
        <v>#DIV/0!</v>
      </c>
      <c r="L39" s="218">
        <v>0.5</v>
      </c>
      <c r="M39" s="210">
        <v>30</v>
      </c>
      <c r="N39" s="219">
        <f t="shared" si="0"/>
        <v>0</v>
      </c>
      <c r="O39" s="219">
        <f t="shared" si="1"/>
        <v>0</v>
      </c>
      <c r="P39" s="219">
        <f t="shared" si="2"/>
        <v>0</v>
      </c>
      <c r="Q39" s="219">
        <f t="shared" si="3"/>
        <v>0</v>
      </c>
      <c r="R39" s="219" t="e">
        <f t="shared" si="4"/>
        <v>#DIV/0!</v>
      </c>
      <c r="S39" s="219" t="e">
        <f>SUM(N39:R39)*(M39*BD!$C$12)</f>
        <v>#DIV/0!</v>
      </c>
      <c r="T39" s="220" t="e">
        <f t="shared" si="5"/>
        <v>#DIV/0!</v>
      </c>
      <c r="U39" s="219">
        <f t="shared" si="6"/>
        <v>0</v>
      </c>
      <c r="V39" s="219">
        <f t="shared" si="7"/>
        <v>0</v>
      </c>
      <c r="W39" s="219">
        <f t="shared" si="8"/>
        <v>0</v>
      </c>
      <c r="X39" s="219">
        <f>+MO!$C$34*I39</f>
        <v>0</v>
      </c>
      <c r="Y39" s="219" t="e">
        <f t="shared" si="9"/>
        <v>#DIV/0!</v>
      </c>
      <c r="Z39" s="219" t="e">
        <f>+(N39+Q39+R39)*M39*BD!$C$12</f>
        <v>#DIV/0!</v>
      </c>
      <c r="AA39" s="221" t="e">
        <f t="shared" si="10"/>
        <v>#DIV/0!</v>
      </c>
      <c r="AB39" s="222" t="e">
        <f t="shared" si="11"/>
        <v>#DIV/0!</v>
      </c>
      <c r="AC39" s="223">
        <v>1</v>
      </c>
      <c r="AD39" s="224" t="e">
        <f t="shared" si="12"/>
        <v>#DIV/0!</v>
      </c>
    </row>
    <row r="40" spans="1:30" x14ac:dyDescent="0.25">
      <c r="A40" s="209">
        <v>38</v>
      </c>
      <c r="B40" s="210"/>
      <c r="C40" s="211"/>
      <c r="D40" s="212"/>
      <c r="E40" s="213"/>
      <c r="F40" s="213"/>
      <c r="G40" s="214" t="s">
        <v>734</v>
      </c>
      <c r="H40" s="215">
        <f>MO!$C$34*(+VLOOKUP(G40,BD!$A$1:$B$11,2,0))</f>
        <v>1539.5833333333335</v>
      </c>
      <c r="I40" s="216"/>
      <c r="J40" s="216" t="s">
        <v>735</v>
      </c>
      <c r="K40" s="217" t="e">
        <f>+VLOOKUP(J40,'Dep. Maquina'!A:F,6,)</f>
        <v>#DIV/0!</v>
      </c>
      <c r="L40" s="218">
        <v>0.5</v>
      </c>
      <c r="M40" s="210">
        <v>30</v>
      </c>
      <c r="N40" s="219">
        <f t="shared" si="0"/>
        <v>0</v>
      </c>
      <c r="O40" s="219">
        <f t="shared" si="1"/>
        <v>0</v>
      </c>
      <c r="P40" s="219">
        <f t="shared" si="2"/>
        <v>0</v>
      </c>
      <c r="Q40" s="219">
        <f t="shared" si="3"/>
        <v>0</v>
      </c>
      <c r="R40" s="219" t="e">
        <f t="shared" si="4"/>
        <v>#DIV/0!</v>
      </c>
      <c r="S40" s="219" t="e">
        <f>SUM(N40:R40)*(M40*BD!$C$12)</f>
        <v>#DIV/0!</v>
      </c>
      <c r="T40" s="220" t="e">
        <f t="shared" si="5"/>
        <v>#DIV/0!</v>
      </c>
      <c r="U40" s="219">
        <f t="shared" si="6"/>
        <v>0</v>
      </c>
      <c r="V40" s="219">
        <f t="shared" si="7"/>
        <v>0</v>
      </c>
      <c r="W40" s="219">
        <f t="shared" si="8"/>
        <v>0</v>
      </c>
      <c r="X40" s="219">
        <f>+MO!$C$34*I40</f>
        <v>0</v>
      </c>
      <c r="Y40" s="219" t="e">
        <f t="shared" si="9"/>
        <v>#DIV/0!</v>
      </c>
      <c r="Z40" s="219" t="e">
        <f>+(N40+Q40+R40)*M40*BD!$C$12</f>
        <v>#DIV/0!</v>
      </c>
      <c r="AA40" s="221" t="e">
        <f t="shared" si="10"/>
        <v>#DIV/0!</v>
      </c>
      <c r="AB40" s="222" t="e">
        <f t="shared" si="11"/>
        <v>#DIV/0!</v>
      </c>
      <c r="AC40" s="223">
        <v>1</v>
      </c>
      <c r="AD40" s="224" t="e">
        <f t="shared" si="12"/>
        <v>#DIV/0!</v>
      </c>
    </row>
    <row r="41" spans="1:30" x14ac:dyDescent="0.25">
      <c r="A41" s="209">
        <v>39</v>
      </c>
      <c r="B41" s="210"/>
      <c r="C41" s="211"/>
      <c r="D41" s="212"/>
      <c r="E41" s="213"/>
      <c r="F41" s="213"/>
      <c r="G41" s="214" t="s">
        <v>734</v>
      </c>
      <c r="H41" s="215">
        <f>MO!$C$34*(+VLOOKUP(G41,BD!$A$1:$B$11,2,0))</f>
        <v>1539.5833333333335</v>
      </c>
      <c r="I41" s="216"/>
      <c r="J41" s="216" t="s">
        <v>735</v>
      </c>
      <c r="K41" s="217" t="e">
        <f>+VLOOKUP(J41,'Dep. Maquina'!A:F,6,)</f>
        <v>#DIV/0!</v>
      </c>
      <c r="L41" s="218">
        <v>0.5</v>
      </c>
      <c r="M41" s="210">
        <v>30</v>
      </c>
      <c r="N41" s="219">
        <f t="shared" si="0"/>
        <v>0</v>
      </c>
      <c r="O41" s="219">
        <f t="shared" si="1"/>
        <v>0</v>
      </c>
      <c r="P41" s="219">
        <f t="shared" si="2"/>
        <v>0</v>
      </c>
      <c r="Q41" s="219">
        <f t="shared" si="3"/>
        <v>0</v>
      </c>
      <c r="R41" s="219" t="e">
        <f t="shared" si="4"/>
        <v>#DIV/0!</v>
      </c>
      <c r="S41" s="219" t="e">
        <f>SUM(N41:R41)*(M41*BD!$C$12)</f>
        <v>#DIV/0!</v>
      </c>
      <c r="T41" s="220" t="e">
        <f t="shared" si="5"/>
        <v>#DIV/0!</v>
      </c>
      <c r="U41" s="219">
        <f t="shared" si="6"/>
        <v>0</v>
      </c>
      <c r="V41" s="219">
        <f t="shared" si="7"/>
        <v>0</v>
      </c>
      <c r="W41" s="219">
        <f t="shared" si="8"/>
        <v>0</v>
      </c>
      <c r="X41" s="219">
        <f>+MO!$C$34*I41</f>
        <v>0</v>
      </c>
      <c r="Y41" s="219" t="e">
        <f t="shared" si="9"/>
        <v>#DIV/0!</v>
      </c>
      <c r="Z41" s="219" t="e">
        <f>+(N41+Q41+R41)*M41*BD!$C$12</f>
        <v>#DIV/0!</v>
      </c>
      <c r="AA41" s="221" t="e">
        <f t="shared" si="10"/>
        <v>#DIV/0!</v>
      </c>
      <c r="AB41" s="222" t="e">
        <f t="shared" si="11"/>
        <v>#DIV/0!</v>
      </c>
      <c r="AC41" s="223">
        <v>1</v>
      </c>
      <c r="AD41" s="224" t="e">
        <f t="shared" si="12"/>
        <v>#DIV/0!</v>
      </c>
    </row>
    <row r="42" spans="1:30" x14ac:dyDescent="0.25">
      <c r="A42" s="209">
        <v>40</v>
      </c>
      <c r="B42" s="210"/>
      <c r="C42" s="211"/>
      <c r="D42" s="212"/>
      <c r="E42" s="213"/>
      <c r="F42" s="213"/>
      <c r="G42" s="214" t="s">
        <v>734</v>
      </c>
      <c r="H42" s="215">
        <f>MO!$C$34*(+VLOOKUP(G42,BD!$A$1:$B$11,2,0))</f>
        <v>1539.5833333333335</v>
      </c>
      <c r="I42" s="216"/>
      <c r="J42" s="216" t="s">
        <v>735</v>
      </c>
      <c r="K42" s="217" t="e">
        <f>+VLOOKUP(J42,'Dep. Maquina'!A:F,6,)</f>
        <v>#DIV/0!</v>
      </c>
      <c r="L42" s="218">
        <v>0.5</v>
      </c>
      <c r="M42" s="210">
        <v>30</v>
      </c>
      <c r="N42" s="219">
        <f t="shared" si="0"/>
        <v>0</v>
      </c>
      <c r="O42" s="219">
        <f t="shared" si="1"/>
        <v>0</v>
      </c>
      <c r="P42" s="219">
        <f t="shared" si="2"/>
        <v>0</v>
      </c>
      <c r="Q42" s="219">
        <f t="shared" si="3"/>
        <v>0</v>
      </c>
      <c r="R42" s="219" t="e">
        <f t="shared" si="4"/>
        <v>#DIV/0!</v>
      </c>
      <c r="S42" s="219" t="e">
        <f>SUM(N42:R42)*(M42*BD!$C$12)</f>
        <v>#DIV/0!</v>
      </c>
      <c r="T42" s="220" t="e">
        <f t="shared" si="5"/>
        <v>#DIV/0!</v>
      </c>
      <c r="U42" s="219">
        <f t="shared" si="6"/>
        <v>0</v>
      </c>
      <c r="V42" s="219">
        <f t="shared" si="7"/>
        <v>0</v>
      </c>
      <c r="W42" s="219">
        <f t="shared" si="8"/>
        <v>0</v>
      </c>
      <c r="X42" s="219">
        <f>+MO!$C$34*I42</f>
        <v>0</v>
      </c>
      <c r="Y42" s="219" t="e">
        <f t="shared" si="9"/>
        <v>#DIV/0!</v>
      </c>
      <c r="Z42" s="219" t="e">
        <f>+(N42+Q42+R42)*M42*BD!$C$12</f>
        <v>#DIV/0!</v>
      </c>
      <c r="AA42" s="221" t="e">
        <f t="shared" si="10"/>
        <v>#DIV/0!</v>
      </c>
      <c r="AB42" s="222" t="e">
        <f t="shared" si="11"/>
        <v>#DIV/0!</v>
      </c>
      <c r="AC42" s="223">
        <v>1</v>
      </c>
      <c r="AD42" s="224" t="e">
        <f t="shared" si="12"/>
        <v>#DIV/0!</v>
      </c>
    </row>
  </sheetData>
  <sheetProtection sheet="1" formatCells="0" formatColumns="0" formatRows="0" insertColumns="0" insertRows="0" insertHyperlinks="0"/>
  <mergeCells count="11">
    <mergeCell ref="U1:Z1"/>
    <mergeCell ref="AA1:AA2"/>
    <mergeCell ref="AB1:AB2"/>
    <mergeCell ref="AC1:AC2"/>
    <mergeCell ref="AD1:AD2"/>
    <mergeCell ref="T1:T2"/>
    <mergeCell ref="A1:A2"/>
    <mergeCell ref="B1:B2"/>
    <mergeCell ref="C1:C2"/>
    <mergeCell ref="D1:M1"/>
    <mergeCell ref="N1:S1"/>
  </mergeCells>
  <printOptions horizontalCentered="1"/>
  <pageMargins left="0.70866141732283472" right="0.70866141732283472" top="1.1811023622047245" bottom="0.74803149606299213" header="0.31496062992125984" footer="0.31496062992125984"/>
  <pageSetup scale="42" orientation="landscape" r:id="rId1"/>
  <headerFooter>
    <oddHeader>&amp;L&amp;D
&amp;T&amp;C&amp;"-,Negrita"&amp;20ANALISIS DE COSTO Y FACTORES DE COTIZACIÓN&amp;R&amp;G</oddHeader>
    <oddFooter>&amp;RAutorización:
____________________</oddFooter>
  </headerFooter>
  <legacy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7E3A3CF-D5F6-46AB-A2E0-8C79B4B2D84E}">
          <x14:formula1>
            <xm:f>BD!$A$1:$A$11</xm:f>
          </x14:formula1>
          <xm:sqref>G3:G42</xm:sqref>
        </x14:dataValidation>
        <x14:dataValidation type="list" allowBlank="1" showInputMessage="1" showErrorMessage="1" xr:uid="{C133E9C8-D996-4ABB-BE90-90DC69996E62}">
          <x14:formula1>
            <xm:f>'Dep. Maquina'!$A$2:$A$18</xm:f>
          </x14:formula1>
          <xm:sqref>J3:J42</xm:sqref>
        </x14:dataValidation>
        <x14:dataValidation type="list" allowBlank="1" showInputMessage="1" showErrorMessage="1" xr:uid="{143CE591-801F-4EE9-B2A2-91B2DE3DA37B}">
          <x14:formula1>
            <xm:f>BD!$E$1:$E$6</xm:f>
          </x14:formula1>
          <xm:sqref>B1:B1048576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8A1B8-78F0-4F85-97AA-F651A4DFD33B}">
  <dimension ref="A1:F15"/>
  <sheetViews>
    <sheetView zoomScaleNormal="100" workbookViewId="0">
      <selection activeCell="L19" sqref="L19"/>
    </sheetView>
  </sheetViews>
  <sheetFormatPr baseColWidth="10" defaultRowHeight="18" x14ac:dyDescent="0.35"/>
  <cols>
    <col min="1" max="1" width="32.5703125" style="234" customWidth="1"/>
    <col min="2" max="2" width="17.7109375" style="235" customWidth="1"/>
    <col min="3" max="3" width="11.42578125" style="234"/>
    <col min="4" max="4" width="13.85546875" style="234" customWidth="1"/>
    <col min="5" max="5" width="11.42578125" style="234"/>
    <col min="6" max="6" width="15.28515625" style="233" customWidth="1"/>
    <col min="7" max="16384" width="11.42578125" style="234"/>
  </cols>
  <sheetData>
    <row r="1" spans="1:6" x14ac:dyDescent="0.35">
      <c r="A1" s="232" t="s">
        <v>736</v>
      </c>
      <c r="B1" s="233" t="s">
        <v>737</v>
      </c>
      <c r="C1" s="232" t="s">
        <v>738</v>
      </c>
      <c r="D1" s="232" t="s">
        <v>739</v>
      </c>
      <c r="E1" s="232" t="s">
        <v>740</v>
      </c>
      <c r="F1" s="233" t="s">
        <v>731</v>
      </c>
    </row>
    <row r="2" spans="1:6" x14ac:dyDescent="0.35">
      <c r="A2" s="234" t="s">
        <v>741</v>
      </c>
      <c r="B2" s="235">
        <v>850000</v>
      </c>
      <c r="C2" s="234">
        <v>5</v>
      </c>
      <c r="D2" s="234">
        <v>300</v>
      </c>
      <c r="E2" s="234">
        <v>16</v>
      </c>
      <c r="F2" s="233">
        <f t="shared" ref="F2:F15" si="0">+B2/C2/D2/E2</f>
        <v>35.416666666666664</v>
      </c>
    </row>
    <row r="3" spans="1:6" x14ac:dyDescent="0.35">
      <c r="A3" s="234" t="s">
        <v>742</v>
      </c>
      <c r="B3" s="235">
        <v>150000</v>
      </c>
      <c r="C3" s="234">
        <v>5</v>
      </c>
      <c r="D3" s="234">
        <v>300</v>
      </c>
      <c r="E3" s="234">
        <v>16</v>
      </c>
      <c r="F3" s="233">
        <f t="shared" si="0"/>
        <v>6.25</v>
      </c>
    </row>
    <row r="4" spans="1:6" x14ac:dyDescent="0.35">
      <c r="A4" s="234" t="s">
        <v>743</v>
      </c>
      <c r="B4" s="235">
        <v>650000</v>
      </c>
      <c r="C4" s="234">
        <v>5</v>
      </c>
      <c r="D4" s="234">
        <v>300</v>
      </c>
      <c r="E4" s="234">
        <v>16</v>
      </c>
      <c r="F4" s="233">
        <f t="shared" si="0"/>
        <v>27.083333333333332</v>
      </c>
    </row>
    <row r="5" spans="1:6" x14ac:dyDescent="0.35">
      <c r="A5" s="234" t="s">
        <v>744</v>
      </c>
      <c r="B5" s="235">
        <v>150000</v>
      </c>
      <c r="C5" s="234">
        <v>5</v>
      </c>
      <c r="D5" s="234">
        <v>300</v>
      </c>
      <c r="E5" s="234">
        <v>16</v>
      </c>
      <c r="F5" s="233">
        <f t="shared" si="0"/>
        <v>6.25</v>
      </c>
    </row>
    <row r="6" spans="1:6" x14ac:dyDescent="0.35">
      <c r="A6" s="234" t="s">
        <v>745</v>
      </c>
      <c r="B6" s="235">
        <v>400000</v>
      </c>
      <c r="C6" s="234">
        <v>5</v>
      </c>
      <c r="D6" s="234">
        <v>300</v>
      </c>
      <c r="E6" s="234">
        <v>16</v>
      </c>
      <c r="F6" s="233">
        <f t="shared" si="0"/>
        <v>16.666666666666668</v>
      </c>
    </row>
    <row r="7" spans="1:6" x14ac:dyDescent="0.35">
      <c r="A7" s="234" t="s">
        <v>746</v>
      </c>
      <c r="B7" s="235">
        <v>1500000</v>
      </c>
      <c r="C7" s="234">
        <v>5</v>
      </c>
      <c r="D7" s="234">
        <v>300</v>
      </c>
      <c r="E7" s="234">
        <v>16</v>
      </c>
      <c r="F7" s="233">
        <f t="shared" si="0"/>
        <v>62.5</v>
      </c>
    </row>
    <row r="8" spans="1:6" x14ac:dyDescent="0.35">
      <c r="A8" s="234" t="s">
        <v>747</v>
      </c>
      <c r="B8" s="235">
        <v>185000</v>
      </c>
      <c r="C8" s="234">
        <v>5</v>
      </c>
      <c r="D8" s="234">
        <v>300</v>
      </c>
      <c r="E8" s="234">
        <v>16</v>
      </c>
      <c r="F8" s="233">
        <f t="shared" si="0"/>
        <v>7.708333333333333</v>
      </c>
    </row>
    <row r="9" spans="1:6" x14ac:dyDescent="0.35">
      <c r="A9" s="234" t="s">
        <v>748</v>
      </c>
      <c r="B9" s="235">
        <f>45000*18</f>
        <v>810000</v>
      </c>
      <c r="C9" s="234">
        <v>4</v>
      </c>
      <c r="D9" s="234">
        <f>5*52</f>
        <v>260</v>
      </c>
      <c r="E9" s="234">
        <v>12</v>
      </c>
      <c r="F9" s="233">
        <f t="shared" si="0"/>
        <v>64.903846153846146</v>
      </c>
    </row>
    <row r="10" spans="1:6" x14ac:dyDescent="0.35">
      <c r="A10" s="234" t="s">
        <v>749</v>
      </c>
      <c r="B10" s="235">
        <v>185000</v>
      </c>
      <c r="C10" s="234">
        <v>5</v>
      </c>
      <c r="D10" s="234">
        <v>300</v>
      </c>
      <c r="E10" s="234">
        <v>16</v>
      </c>
      <c r="F10" s="233">
        <f t="shared" si="0"/>
        <v>7.708333333333333</v>
      </c>
    </row>
    <row r="11" spans="1:6" x14ac:dyDescent="0.35">
      <c r="A11" s="234" t="s">
        <v>750</v>
      </c>
      <c r="B11" s="235">
        <v>800000</v>
      </c>
      <c r="C11" s="234">
        <v>3</v>
      </c>
      <c r="D11" s="234">
        <f>5*52</f>
        <v>260</v>
      </c>
      <c r="E11" s="234">
        <v>12</v>
      </c>
      <c r="F11" s="233">
        <f t="shared" si="0"/>
        <v>85.470085470085465</v>
      </c>
    </row>
    <row r="12" spans="1:6" x14ac:dyDescent="0.35">
      <c r="A12" s="234" t="s">
        <v>732</v>
      </c>
      <c r="B12" s="235">
        <v>1000000</v>
      </c>
      <c r="C12" s="234">
        <v>3</v>
      </c>
      <c r="D12" s="234">
        <f t="shared" ref="D12:D14" si="1">5*52</f>
        <v>260</v>
      </c>
      <c r="E12" s="234">
        <v>12</v>
      </c>
      <c r="F12" s="233">
        <f t="shared" si="0"/>
        <v>106.83760683760683</v>
      </c>
    </row>
    <row r="13" spans="1:6" x14ac:dyDescent="0.35">
      <c r="A13" s="234" t="s">
        <v>751</v>
      </c>
      <c r="B13" s="235">
        <v>1500000</v>
      </c>
      <c r="C13" s="234">
        <v>3</v>
      </c>
      <c r="D13" s="234">
        <f t="shared" si="1"/>
        <v>260</v>
      </c>
      <c r="E13" s="234">
        <v>12</v>
      </c>
      <c r="F13" s="233">
        <f t="shared" si="0"/>
        <v>160.25641025641025</v>
      </c>
    </row>
    <row r="14" spans="1:6" x14ac:dyDescent="0.35">
      <c r="A14" s="234" t="s">
        <v>752</v>
      </c>
      <c r="B14" s="235">
        <v>2000000</v>
      </c>
      <c r="C14" s="234">
        <v>3</v>
      </c>
      <c r="D14" s="234">
        <f t="shared" si="1"/>
        <v>260</v>
      </c>
      <c r="E14" s="234">
        <v>12</v>
      </c>
      <c r="F14" s="233">
        <f t="shared" si="0"/>
        <v>213.67521367521366</v>
      </c>
    </row>
    <row r="15" spans="1:6" x14ac:dyDescent="0.35">
      <c r="A15" s="234" t="s">
        <v>735</v>
      </c>
      <c r="B15" s="235">
        <v>0</v>
      </c>
      <c r="C15" s="234">
        <v>3</v>
      </c>
      <c r="D15" s="234">
        <v>0</v>
      </c>
      <c r="E15" s="234">
        <v>16</v>
      </c>
      <c r="F15" s="233" t="e">
        <f t="shared" si="0"/>
        <v>#DIV/0!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8B662-F378-4E3B-99C5-11BAA64AD6D6}">
  <dimension ref="A1:E12"/>
  <sheetViews>
    <sheetView workbookViewId="0">
      <selection activeCell="L19" sqref="L19"/>
    </sheetView>
  </sheetViews>
  <sheetFormatPr baseColWidth="10" defaultRowHeight="16.5" x14ac:dyDescent="0.3"/>
  <cols>
    <col min="1" max="1" width="52" style="234" customWidth="1"/>
    <col min="2" max="2" width="11.85546875" style="234" customWidth="1"/>
    <col min="3" max="4" width="11.42578125" style="234"/>
    <col min="5" max="5" width="17.140625" style="234" customWidth="1"/>
    <col min="6" max="16384" width="11.42578125" style="234"/>
  </cols>
  <sheetData>
    <row r="1" spans="1:5" x14ac:dyDescent="0.3">
      <c r="A1" s="234" t="s">
        <v>753</v>
      </c>
      <c r="B1" s="234">
        <v>1.25</v>
      </c>
      <c r="E1" s="234" t="s">
        <v>754</v>
      </c>
    </row>
    <row r="2" spans="1:5" x14ac:dyDescent="0.3">
      <c r="A2" s="234" t="s">
        <v>755</v>
      </c>
      <c r="B2" s="234">
        <v>2.5</v>
      </c>
      <c r="E2" s="234" t="s">
        <v>756</v>
      </c>
    </row>
    <row r="3" spans="1:5" x14ac:dyDescent="0.3">
      <c r="A3" s="234" t="s">
        <v>757</v>
      </c>
      <c r="B3" s="234">
        <v>3</v>
      </c>
      <c r="E3" s="234" t="s">
        <v>758</v>
      </c>
    </row>
    <row r="4" spans="1:5" x14ac:dyDescent="0.3">
      <c r="A4" s="234" t="s">
        <v>759</v>
      </c>
      <c r="B4" s="234">
        <v>4</v>
      </c>
    </row>
    <row r="5" spans="1:5" x14ac:dyDescent="0.3">
      <c r="A5" s="234" t="s">
        <v>734</v>
      </c>
      <c r="B5" s="234">
        <v>2</v>
      </c>
    </row>
    <row r="6" spans="1:5" x14ac:dyDescent="0.3">
      <c r="A6" s="236" t="s">
        <v>760</v>
      </c>
      <c r="B6" s="234">
        <v>3.5</v>
      </c>
    </row>
    <row r="7" spans="1:5" x14ac:dyDescent="0.3">
      <c r="A7" s="236" t="s">
        <v>761</v>
      </c>
      <c r="B7" s="234">
        <v>3</v>
      </c>
    </row>
    <row r="8" spans="1:5" x14ac:dyDescent="0.3">
      <c r="A8" s="236" t="s">
        <v>762</v>
      </c>
      <c r="B8" s="234">
        <v>2</v>
      </c>
    </row>
    <row r="9" spans="1:5" x14ac:dyDescent="0.3">
      <c r="A9" s="236" t="s">
        <v>763</v>
      </c>
      <c r="B9" s="234">
        <v>1.5</v>
      </c>
    </row>
    <row r="10" spans="1:5" x14ac:dyDescent="0.3">
      <c r="A10" s="236" t="s">
        <v>6</v>
      </c>
      <c r="B10" s="234">
        <v>2</v>
      </c>
    </row>
    <row r="11" spans="1:5" x14ac:dyDescent="0.3">
      <c r="A11" s="236" t="s">
        <v>764</v>
      </c>
      <c r="B11" s="234">
        <v>4</v>
      </c>
    </row>
    <row r="12" spans="1:5" x14ac:dyDescent="0.3">
      <c r="A12" s="234" t="s">
        <v>765</v>
      </c>
      <c r="B12" s="237">
        <v>0.25</v>
      </c>
      <c r="C12" s="238">
        <f>B12/365</f>
        <v>6.8493150684931507E-4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4498D-5669-405A-96BA-31DF06BB95B3}">
  <dimension ref="A1:E34"/>
  <sheetViews>
    <sheetView showGridLines="0" zoomScaleNormal="100" workbookViewId="0">
      <selection activeCell="L19" sqref="L19"/>
    </sheetView>
  </sheetViews>
  <sheetFormatPr baseColWidth="10" defaultRowHeight="16.5" x14ac:dyDescent="0.3"/>
  <cols>
    <col min="1" max="1" width="27.42578125" style="234" bestFit="1" customWidth="1"/>
    <col min="2" max="2" width="22.7109375" style="234" bestFit="1" customWidth="1"/>
    <col min="3" max="3" width="23" style="234" bestFit="1" customWidth="1"/>
    <col min="4" max="4" width="29.5703125" style="234" customWidth="1"/>
    <col min="5" max="5" width="14.85546875" style="234" bestFit="1" customWidth="1"/>
    <col min="6" max="7" width="11.42578125" style="234"/>
    <col min="8" max="8" width="14.85546875" style="234" bestFit="1" customWidth="1"/>
    <col min="9" max="16384" width="11.42578125" style="234"/>
  </cols>
  <sheetData>
    <row r="1" spans="1:5" x14ac:dyDescent="0.3">
      <c r="A1" s="492" t="s">
        <v>766</v>
      </c>
      <c r="B1" s="493"/>
      <c r="D1" s="494" t="s">
        <v>767</v>
      </c>
      <c r="E1" s="494"/>
    </row>
    <row r="2" spans="1:5" ht="19.5" x14ac:dyDescent="0.4">
      <c r="A2" s="239" t="s">
        <v>768</v>
      </c>
      <c r="B2" s="239" t="s">
        <v>769</v>
      </c>
      <c r="D2" s="239" t="s">
        <v>768</v>
      </c>
      <c r="E2" s="239" t="s">
        <v>769</v>
      </c>
    </row>
    <row r="3" spans="1:5" x14ac:dyDescent="0.3">
      <c r="A3" s="240" t="s">
        <v>770</v>
      </c>
      <c r="B3" s="241">
        <v>35000</v>
      </c>
      <c r="D3" s="240" t="s">
        <v>770</v>
      </c>
      <c r="E3" s="241">
        <v>25000</v>
      </c>
    </row>
    <row r="4" spans="1:5" x14ac:dyDescent="0.3">
      <c r="A4" s="240" t="s">
        <v>771</v>
      </c>
      <c r="B4" s="241">
        <v>35000</v>
      </c>
      <c r="D4" s="240" t="s">
        <v>771</v>
      </c>
      <c r="E4" s="241">
        <v>25000</v>
      </c>
    </row>
    <row r="5" spans="1:5" x14ac:dyDescent="0.3">
      <c r="A5" s="240" t="s">
        <v>772</v>
      </c>
      <c r="B5" s="241">
        <v>35000</v>
      </c>
      <c r="D5" s="240" t="s">
        <v>772</v>
      </c>
      <c r="E5" s="241">
        <v>25000</v>
      </c>
    </row>
    <row r="6" spans="1:5" x14ac:dyDescent="0.3">
      <c r="A6" s="240" t="s">
        <v>773</v>
      </c>
      <c r="B6" s="242">
        <f>AVERAGE(B3:B5)</f>
        <v>35000</v>
      </c>
      <c r="D6" s="240" t="s">
        <v>773</v>
      </c>
      <c r="E6" s="242">
        <f>AVERAGE(E3:E5)</f>
        <v>25000</v>
      </c>
    </row>
    <row r="10" spans="1:5" x14ac:dyDescent="0.3">
      <c r="A10" s="243" t="s">
        <v>774</v>
      </c>
      <c r="B10" s="243"/>
      <c r="C10" s="243"/>
      <c r="D10" s="243"/>
    </row>
    <row r="11" spans="1:5" ht="19.5" x14ac:dyDescent="0.4">
      <c r="A11" s="239" t="s">
        <v>775</v>
      </c>
      <c r="B11" s="239" t="s">
        <v>776</v>
      </c>
      <c r="C11" s="239" t="s">
        <v>777</v>
      </c>
      <c r="D11" s="239" t="s">
        <v>778</v>
      </c>
    </row>
    <row r="12" spans="1:5" ht="19.5" x14ac:dyDescent="0.4">
      <c r="A12" s="244">
        <v>2</v>
      </c>
      <c r="B12" s="245">
        <v>8</v>
      </c>
      <c r="C12" s="244">
        <v>18</v>
      </c>
      <c r="D12" s="246">
        <f>(B12*C12)*A12</f>
        <v>288</v>
      </c>
    </row>
    <row r="15" spans="1:5" x14ac:dyDescent="0.3">
      <c r="A15" s="247" t="s">
        <v>779</v>
      </c>
      <c r="B15" s="247"/>
      <c r="C15" s="247"/>
      <c r="D15" s="247"/>
    </row>
    <row r="16" spans="1:5" ht="19.5" x14ac:dyDescent="0.4">
      <c r="A16" s="239" t="s">
        <v>775</v>
      </c>
      <c r="B16" s="239" t="s">
        <v>776</v>
      </c>
      <c r="C16" s="239" t="s">
        <v>777</v>
      </c>
      <c r="D16" s="239" t="s">
        <v>778</v>
      </c>
    </row>
    <row r="17" spans="1:4" x14ac:dyDescent="0.3">
      <c r="A17" s="240" t="s">
        <v>780</v>
      </c>
      <c r="B17" s="248">
        <v>10</v>
      </c>
      <c r="C17" s="248">
        <v>22</v>
      </c>
      <c r="D17" s="240">
        <f>B17*C17</f>
        <v>220</v>
      </c>
    </row>
    <row r="18" spans="1:4" x14ac:dyDescent="0.3">
      <c r="A18" s="240" t="s">
        <v>781</v>
      </c>
      <c r="B18" s="248"/>
      <c r="C18" s="248"/>
      <c r="D18" s="240">
        <f t="shared" ref="D18:D26" si="0">B18*C18</f>
        <v>0</v>
      </c>
    </row>
    <row r="19" spans="1:4" x14ac:dyDescent="0.3">
      <c r="A19" s="240" t="s">
        <v>782</v>
      </c>
      <c r="B19" s="248"/>
      <c r="C19" s="248"/>
      <c r="D19" s="240">
        <f t="shared" si="0"/>
        <v>0</v>
      </c>
    </row>
    <row r="20" spans="1:4" x14ac:dyDescent="0.3">
      <c r="A20" s="240" t="s">
        <v>783</v>
      </c>
      <c r="B20" s="248"/>
      <c r="C20" s="248"/>
      <c r="D20" s="240">
        <f t="shared" si="0"/>
        <v>0</v>
      </c>
    </row>
    <row r="21" spans="1:4" x14ac:dyDescent="0.3">
      <c r="A21" s="240" t="s">
        <v>784</v>
      </c>
      <c r="B21" s="248"/>
      <c r="C21" s="248"/>
      <c r="D21" s="240">
        <f t="shared" si="0"/>
        <v>0</v>
      </c>
    </row>
    <row r="22" spans="1:4" x14ac:dyDescent="0.3">
      <c r="A22" s="240" t="s">
        <v>785</v>
      </c>
      <c r="B22" s="248"/>
      <c r="C22" s="248"/>
      <c r="D22" s="240">
        <f t="shared" si="0"/>
        <v>0</v>
      </c>
    </row>
    <row r="23" spans="1:4" x14ac:dyDescent="0.3">
      <c r="A23" s="240" t="s">
        <v>786</v>
      </c>
      <c r="B23" s="248"/>
      <c r="C23" s="248"/>
      <c r="D23" s="240">
        <f t="shared" si="0"/>
        <v>0</v>
      </c>
    </row>
    <row r="24" spans="1:4" x14ac:dyDescent="0.3">
      <c r="A24" s="240" t="s">
        <v>787</v>
      </c>
      <c r="B24" s="248"/>
      <c r="C24" s="248"/>
      <c r="D24" s="240">
        <f t="shared" si="0"/>
        <v>0</v>
      </c>
    </row>
    <row r="25" spans="1:4" x14ac:dyDescent="0.3">
      <c r="A25" s="240" t="s">
        <v>788</v>
      </c>
      <c r="B25" s="248"/>
      <c r="C25" s="248"/>
      <c r="D25" s="240">
        <f t="shared" si="0"/>
        <v>0</v>
      </c>
    </row>
    <row r="26" spans="1:4" x14ac:dyDescent="0.3">
      <c r="A26" s="240" t="s">
        <v>789</v>
      </c>
      <c r="B26" s="248"/>
      <c r="C26" s="248"/>
      <c r="D26" s="240">
        <f t="shared" si="0"/>
        <v>0</v>
      </c>
    </row>
    <row r="27" spans="1:4" x14ac:dyDescent="0.3">
      <c r="A27" s="249" t="s">
        <v>790</v>
      </c>
      <c r="B27" s="250"/>
      <c r="C27" s="251"/>
      <c r="D27" s="252">
        <f>SUM(D17:D26)</f>
        <v>220</v>
      </c>
    </row>
    <row r="30" spans="1:4" x14ac:dyDescent="0.3">
      <c r="A30" s="253" t="s">
        <v>791</v>
      </c>
      <c r="B30" s="253" t="s">
        <v>792</v>
      </c>
      <c r="C30" s="253" t="s">
        <v>793</v>
      </c>
    </row>
    <row r="31" spans="1:4" ht="19.5" x14ac:dyDescent="0.4">
      <c r="A31" s="239" t="s">
        <v>794</v>
      </c>
      <c r="B31" s="254">
        <f>15000*2*1.63</f>
        <v>48900</v>
      </c>
      <c r="C31" s="255">
        <f>B31/B33</f>
        <v>509.375</v>
      </c>
    </row>
    <row r="32" spans="1:4" ht="19.5" x14ac:dyDescent="0.4">
      <c r="A32" s="239" t="s">
        <v>795</v>
      </c>
      <c r="B32" s="254">
        <v>25000</v>
      </c>
      <c r="C32" s="255">
        <f>B32/B33</f>
        <v>260.41666666666669</v>
      </c>
    </row>
    <row r="33" spans="1:3" ht="19.5" x14ac:dyDescent="0.4">
      <c r="A33" s="239" t="s">
        <v>796</v>
      </c>
      <c r="B33" s="255">
        <f>48*2</f>
        <v>96</v>
      </c>
      <c r="C33" s="255"/>
    </row>
    <row r="34" spans="1:3" ht="19.5" x14ac:dyDescent="0.4">
      <c r="A34" s="249" t="s">
        <v>797</v>
      </c>
      <c r="B34" s="251"/>
      <c r="C34" s="256">
        <f>C31+C32</f>
        <v>769.79166666666674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512F7-3966-4A56-A015-F26FFCC7620C}">
  <sheetPr>
    <tabColor rgb="FF7030A0"/>
  </sheetPr>
  <dimension ref="A1:S33"/>
  <sheetViews>
    <sheetView zoomScale="85" zoomScaleNormal="85" workbookViewId="0">
      <selection activeCell="L19" sqref="L19"/>
    </sheetView>
  </sheetViews>
  <sheetFormatPr baseColWidth="10" defaultColWidth="10.7109375" defaultRowHeight="15" x14ac:dyDescent="0.25"/>
  <cols>
    <col min="2" max="2" width="12.7109375" customWidth="1"/>
    <col min="4" max="4" width="9" customWidth="1"/>
    <col min="5" max="5" width="13.140625" bestFit="1" customWidth="1"/>
    <col min="16" max="16" width="11.7109375" customWidth="1"/>
    <col min="17" max="17" width="15" customWidth="1"/>
    <col min="18" max="18" width="15.5703125" bestFit="1" customWidth="1"/>
    <col min="19" max="19" width="10.5703125" customWidth="1"/>
  </cols>
  <sheetData>
    <row r="1" spans="1:19" ht="26.25" x14ac:dyDescent="0.4">
      <c r="A1" s="257" t="s">
        <v>798</v>
      </c>
    </row>
    <row r="4" spans="1:19" x14ac:dyDescent="0.25">
      <c r="A4" s="258">
        <v>1</v>
      </c>
      <c r="B4" s="258">
        <v>2</v>
      </c>
      <c r="C4" s="258">
        <v>3</v>
      </c>
      <c r="D4" s="258">
        <v>4</v>
      </c>
      <c r="E4" s="258">
        <v>5</v>
      </c>
      <c r="F4" s="258">
        <v>6</v>
      </c>
      <c r="G4" s="258">
        <v>7</v>
      </c>
      <c r="H4" s="258">
        <v>8</v>
      </c>
      <c r="I4" s="258">
        <v>9</v>
      </c>
      <c r="J4" s="258">
        <v>10</v>
      </c>
      <c r="K4" s="258">
        <v>11</v>
      </c>
      <c r="L4" s="258">
        <v>12</v>
      </c>
      <c r="M4" s="258">
        <v>10</v>
      </c>
      <c r="N4" s="258">
        <v>13</v>
      </c>
      <c r="O4" s="258">
        <v>14</v>
      </c>
      <c r="P4" s="258">
        <v>15</v>
      </c>
      <c r="Q4" s="258">
        <v>16</v>
      </c>
      <c r="R4" s="258">
        <v>17</v>
      </c>
      <c r="S4" s="258">
        <v>18</v>
      </c>
    </row>
    <row r="5" spans="1:19" ht="78.75" x14ac:dyDescent="0.25">
      <c r="A5" s="259" t="s">
        <v>799</v>
      </c>
      <c r="B5" s="259" t="s">
        <v>800</v>
      </c>
      <c r="C5" s="259" t="s">
        <v>801</v>
      </c>
      <c r="D5" s="259" t="s">
        <v>802</v>
      </c>
      <c r="E5" s="259" t="s">
        <v>803</v>
      </c>
      <c r="F5" s="259" t="s">
        <v>804</v>
      </c>
      <c r="G5" s="259" t="s">
        <v>805</v>
      </c>
      <c r="H5" s="259" t="s">
        <v>806</v>
      </c>
      <c r="I5" s="259" t="s">
        <v>807</v>
      </c>
      <c r="J5" s="259" t="s">
        <v>808</v>
      </c>
      <c r="K5" s="259" t="s">
        <v>809</v>
      </c>
      <c r="L5" s="259" t="s">
        <v>810</v>
      </c>
      <c r="M5" s="259" t="s">
        <v>811</v>
      </c>
      <c r="N5" s="259" t="s">
        <v>812</v>
      </c>
      <c r="O5" s="259" t="s">
        <v>813</v>
      </c>
      <c r="P5" s="260" t="s">
        <v>814</v>
      </c>
      <c r="Q5" s="259" t="s">
        <v>815</v>
      </c>
      <c r="R5" s="259" t="s">
        <v>816</v>
      </c>
      <c r="S5" s="260" t="s">
        <v>817</v>
      </c>
    </row>
    <row r="6" spans="1:19" ht="15.75" x14ac:dyDescent="0.25">
      <c r="A6" s="261">
        <v>230</v>
      </c>
      <c r="B6" s="262">
        <v>88</v>
      </c>
      <c r="C6" s="262">
        <v>70</v>
      </c>
      <c r="D6" s="263">
        <v>25</v>
      </c>
      <c r="E6" s="263">
        <v>5</v>
      </c>
      <c r="F6" s="263">
        <v>1</v>
      </c>
      <c r="G6" s="264">
        <v>80</v>
      </c>
      <c r="H6" s="265">
        <f>F6*G6</f>
        <v>80</v>
      </c>
      <c r="I6" s="266">
        <f>(1/E6)*F6</f>
        <v>0.2</v>
      </c>
      <c r="J6" s="262">
        <f>I6*A6</f>
        <v>46</v>
      </c>
      <c r="K6" s="267">
        <f>G6*I6</f>
        <v>16</v>
      </c>
      <c r="L6" s="268">
        <f>A6*K6</f>
        <v>3680</v>
      </c>
      <c r="M6" s="269">
        <v>20</v>
      </c>
      <c r="N6" s="262">
        <v>12</v>
      </c>
      <c r="O6" s="262">
        <f>(D6*3.2)/60*R6</f>
        <v>46.666666666666664</v>
      </c>
      <c r="P6" s="262">
        <f>(O6)+(N6*F6)+J6</f>
        <v>104.66666666666666</v>
      </c>
      <c r="Q6" s="262">
        <f>O6+(N6*F6+J6)*G6</f>
        <v>4686.666666666667</v>
      </c>
      <c r="R6" s="270">
        <v>35</v>
      </c>
      <c r="S6" s="271">
        <f>Q6/G6</f>
        <v>58.583333333333336</v>
      </c>
    </row>
    <row r="7" spans="1:19" ht="15.75" x14ac:dyDescent="0.25">
      <c r="A7" s="272" t="s">
        <v>818</v>
      </c>
      <c r="B7" s="272" t="s">
        <v>818</v>
      </c>
      <c r="C7" s="272" t="s">
        <v>818</v>
      </c>
      <c r="D7" s="272" t="s">
        <v>818</v>
      </c>
      <c r="E7" s="272" t="s">
        <v>818</v>
      </c>
      <c r="F7" s="272" t="s">
        <v>818</v>
      </c>
      <c r="G7" s="272" t="s">
        <v>818</v>
      </c>
      <c r="I7" s="273"/>
      <c r="J7" s="273"/>
      <c r="N7" s="273"/>
      <c r="O7" s="273"/>
      <c r="P7" s="274"/>
      <c r="Q7" s="274"/>
      <c r="R7" s="272" t="s">
        <v>818</v>
      </c>
    </row>
    <row r="8" spans="1:19" x14ac:dyDescent="0.25">
      <c r="A8" t="s">
        <v>819</v>
      </c>
      <c r="R8" s="275" t="s">
        <v>820</v>
      </c>
      <c r="S8" s="276">
        <v>0.3</v>
      </c>
    </row>
    <row r="9" spans="1:19" ht="15.75" x14ac:dyDescent="0.25">
      <c r="Q9" s="277"/>
      <c r="R9" s="185" t="s">
        <v>821</v>
      </c>
      <c r="S9" s="278">
        <f>+S6/(1-S8)</f>
        <v>83.690476190476204</v>
      </c>
    </row>
    <row r="10" spans="1:19" ht="15.75" x14ac:dyDescent="0.25">
      <c r="Q10" s="277"/>
      <c r="R10" s="185"/>
      <c r="S10" s="278"/>
    </row>
    <row r="11" spans="1:19" x14ac:dyDescent="0.25">
      <c r="A11" s="258">
        <v>1</v>
      </c>
      <c r="B11" s="258">
        <v>2</v>
      </c>
      <c r="C11" s="258">
        <v>3</v>
      </c>
      <c r="D11" s="258">
        <v>4</v>
      </c>
      <c r="E11" s="258">
        <v>5</v>
      </c>
      <c r="F11" s="258">
        <v>6</v>
      </c>
      <c r="G11" s="258">
        <v>7</v>
      </c>
      <c r="H11" s="258">
        <v>8</v>
      </c>
      <c r="I11" s="258">
        <v>9</v>
      </c>
      <c r="J11" s="258">
        <v>10</v>
      </c>
      <c r="K11" s="258">
        <v>11</v>
      </c>
      <c r="L11" s="258">
        <v>12</v>
      </c>
      <c r="M11" s="258">
        <v>10</v>
      </c>
      <c r="N11" s="258">
        <v>13</v>
      </c>
      <c r="O11" s="258">
        <v>14</v>
      </c>
      <c r="P11" s="258">
        <v>15</v>
      </c>
      <c r="Q11" s="258">
        <v>16</v>
      </c>
      <c r="R11" s="258">
        <v>17</v>
      </c>
      <c r="S11" s="258">
        <v>18</v>
      </c>
    </row>
    <row r="12" spans="1:19" ht="78.75" x14ac:dyDescent="0.25">
      <c r="A12" s="259" t="s">
        <v>799</v>
      </c>
      <c r="B12" s="259" t="s">
        <v>800</v>
      </c>
      <c r="C12" s="259" t="s">
        <v>801</v>
      </c>
      <c r="D12" s="259" t="s">
        <v>802</v>
      </c>
      <c r="E12" s="259" t="s">
        <v>803</v>
      </c>
      <c r="F12" s="259" t="s">
        <v>804</v>
      </c>
      <c r="G12" s="259" t="s">
        <v>805</v>
      </c>
      <c r="H12" s="259" t="s">
        <v>806</v>
      </c>
      <c r="I12" s="259" t="s">
        <v>807</v>
      </c>
      <c r="J12" s="259" t="s">
        <v>808</v>
      </c>
      <c r="K12" s="259" t="s">
        <v>809</v>
      </c>
      <c r="L12" s="259" t="s">
        <v>810</v>
      </c>
      <c r="M12" s="259" t="s">
        <v>811</v>
      </c>
      <c r="N12" s="259" t="s">
        <v>812</v>
      </c>
      <c r="O12" s="259" t="s">
        <v>813</v>
      </c>
      <c r="P12" s="260" t="s">
        <v>814</v>
      </c>
      <c r="Q12" s="259" t="s">
        <v>815</v>
      </c>
      <c r="R12" s="259" t="s">
        <v>816</v>
      </c>
      <c r="S12" s="260" t="s">
        <v>817</v>
      </c>
    </row>
    <row r="13" spans="1:19" ht="15.75" x14ac:dyDescent="0.25">
      <c r="A13" s="261">
        <v>150</v>
      </c>
      <c r="B13" s="262">
        <v>88</v>
      </c>
      <c r="C13" s="262">
        <v>70</v>
      </c>
      <c r="D13" s="263">
        <v>25</v>
      </c>
      <c r="E13" s="263">
        <v>5</v>
      </c>
      <c r="F13" s="263">
        <v>1</v>
      </c>
      <c r="G13" s="264">
        <v>80</v>
      </c>
      <c r="H13" s="265">
        <f>F13*G13</f>
        <v>80</v>
      </c>
      <c r="I13" s="266">
        <f>(1/E13)*F13</f>
        <v>0.2</v>
      </c>
      <c r="J13" s="262">
        <f>I13*A13</f>
        <v>30</v>
      </c>
      <c r="K13" s="267">
        <f>G13*I13</f>
        <v>16</v>
      </c>
      <c r="L13" s="268">
        <f>A13*K13</f>
        <v>2400</v>
      </c>
      <c r="M13" s="269">
        <v>20</v>
      </c>
      <c r="N13" s="262">
        <v>12</v>
      </c>
      <c r="O13" s="262">
        <f>(D13*3.2)/60*R13</f>
        <v>46.666666666666664</v>
      </c>
      <c r="P13" s="262">
        <f>(O13)+(N13*F13)+J13</f>
        <v>88.666666666666657</v>
      </c>
      <c r="Q13" s="262">
        <f>O13+(N13*F13+J13)*G13</f>
        <v>3406.6666666666665</v>
      </c>
      <c r="R13" s="270">
        <v>35</v>
      </c>
      <c r="S13" s="271">
        <f>Q13/G13</f>
        <v>42.583333333333329</v>
      </c>
    </row>
    <row r="14" spans="1:19" ht="15.75" x14ac:dyDescent="0.25">
      <c r="A14" s="272" t="s">
        <v>818</v>
      </c>
      <c r="B14" s="272" t="s">
        <v>818</v>
      </c>
      <c r="C14" s="272" t="s">
        <v>818</v>
      </c>
      <c r="D14" s="272" t="s">
        <v>818</v>
      </c>
      <c r="E14" s="272" t="s">
        <v>818</v>
      </c>
      <c r="F14" s="272" t="s">
        <v>818</v>
      </c>
      <c r="G14" s="272" t="s">
        <v>818</v>
      </c>
      <c r="I14" s="273"/>
      <c r="J14" s="273"/>
      <c r="N14" s="273"/>
      <c r="O14" s="273"/>
      <c r="P14" s="274"/>
      <c r="Q14" s="274"/>
      <c r="R14" s="272" t="s">
        <v>818</v>
      </c>
    </row>
    <row r="15" spans="1:19" ht="15.75" x14ac:dyDescent="0.25">
      <c r="A15" t="s">
        <v>822</v>
      </c>
      <c r="Q15" s="277"/>
      <c r="R15" s="275" t="s">
        <v>820</v>
      </c>
      <c r="S15" s="276">
        <v>0.3</v>
      </c>
    </row>
    <row r="16" spans="1:19" x14ac:dyDescent="0.25">
      <c r="R16" s="185" t="s">
        <v>821</v>
      </c>
      <c r="S16" s="278">
        <f>+S13/(1-S15)</f>
        <v>60.833333333333329</v>
      </c>
    </row>
    <row r="17" spans="1:19" x14ac:dyDescent="0.25">
      <c r="A17" t="s">
        <v>823</v>
      </c>
      <c r="R17" s="185"/>
      <c r="S17" s="278"/>
    </row>
    <row r="18" spans="1:19" x14ac:dyDescent="0.25">
      <c r="A18" t="s">
        <v>824</v>
      </c>
    </row>
    <row r="19" spans="1:19" x14ac:dyDescent="0.25">
      <c r="A19" t="s">
        <v>825</v>
      </c>
    </row>
    <row r="20" spans="1:19" x14ac:dyDescent="0.25">
      <c r="A20" t="s">
        <v>826</v>
      </c>
    </row>
    <row r="21" spans="1:19" x14ac:dyDescent="0.25">
      <c r="A21" t="s">
        <v>827</v>
      </c>
      <c r="K21" s="278"/>
    </row>
    <row r="22" spans="1:19" x14ac:dyDescent="0.25">
      <c r="A22" t="s">
        <v>828</v>
      </c>
    </row>
    <row r="23" spans="1:19" x14ac:dyDescent="0.25">
      <c r="A23" t="s">
        <v>829</v>
      </c>
    </row>
    <row r="24" spans="1:19" x14ac:dyDescent="0.25">
      <c r="A24" t="s">
        <v>830</v>
      </c>
    </row>
    <row r="25" spans="1:19" x14ac:dyDescent="0.25">
      <c r="A25" t="s">
        <v>831</v>
      </c>
    </row>
    <row r="26" spans="1:19" x14ac:dyDescent="0.25">
      <c r="A26" t="s">
        <v>832</v>
      </c>
    </row>
    <row r="27" spans="1:19" x14ac:dyDescent="0.25">
      <c r="A27" t="s">
        <v>833</v>
      </c>
    </row>
    <row r="28" spans="1:19" x14ac:dyDescent="0.25">
      <c r="A28" t="s">
        <v>834</v>
      </c>
    </row>
    <row r="29" spans="1:19" x14ac:dyDescent="0.25">
      <c r="A29" t="s">
        <v>835</v>
      </c>
    </row>
    <row r="30" spans="1:19" x14ac:dyDescent="0.25">
      <c r="A30" t="s">
        <v>836</v>
      </c>
    </row>
    <row r="31" spans="1:19" x14ac:dyDescent="0.25">
      <c r="A31" t="s">
        <v>837</v>
      </c>
    </row>
    <row r="32" spans="1:19" x14ac:dyDescent="0.25">
      <c r="A32" t="s">
        <v>838</v>
      </c>
    </row>
    <row r="33" spans="1:1" x14ac:dyDescent="0.25">
      <c r="A33" t="s">
        <v>839</v>
      </c>
    </row>
  </sheetData>
  <pageMargins left="0.7" right="0.7" top="0.75" bottom="0.75" header="0.3" footer="0.3"/>
  <pageSetup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17</vt:i4>
      </vt:variant>
      <vt:variant>
        <vt:lpstr>Rangos con nombre</vt:lpstr>
      </vt:variant>
      <vt:variant>
        <vt:i4>2</vt:i4>
      </vt:variant>
    </vt:vector>
  </HeadingPairs>
  <TitlesOfParts>
    <vt:vector size="19" baseType="lpstr">
      <vt:lpstr>Entregable</vt:lpstr>
      <vt:lpstr>Analisis</vt:lpstr>
      <vt:lpstr>REQ GALV</vt:lpstr>
      <vt:lpstr>COT. GAL</vt:lpstr>
      <vt:lpstr>Tiempo Objeto</vt:lpstr>
      <vt:lpstr>REQ. PINTADO</vt:lpstr>
      <vt:lpstr>COT. PITADO</vt:lpstr>
      <vt:lpstr>Velocidades Std 1500 w</vt:lpstr>
      <vt:lpstr>Material</vt:lpstr>
      <vt:lpstr>TARIFA LASER</vt:lpstr>
      <vt:lpstr>TARIFA DOBLEZ</vt:lpstr>
      <vt:lpstr>TARIFA PINTURA</vt:lpstr>
      <vt:lpstr>Cotizador</vt:lpstr>
      <vt:lpstr>Dep. Maquina</vt:lpstr>
      <vt:lpstr>BD</vt:lpstr>
      <vt:lpstr>MO</vt:lpstr>
      <vt:lpstr>Analisis Coatek</vt:lpstr>
      <vt:lpstr>Cotizador!Área_de_impresión</vt:lpstr>
      <vt:lpstr>Entregable!Área_de_impresión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-dge</dc:creator>
  <cp:lastModifiedBy>Jesús Alberto Morales López</cp:lastModifiedBy>
  <cp:lastPrinted>2026-02-20T20:08:09Z</cp:lastPrinted>
  <dcterms:created xsi:type="dcterms:W3CDTF">2022-07-25T18:32:58Z</dcterms:created>
  <dcterms:modified xsi:type="dcterms:W3CDTF">2026-02-24T19:52:07Z</dcterms:modified>
</cp:coreProperties>
</file>